
<file path=[Content_Types].xml><?xml version="1.0" encoding="utf-8"?>
<Types xmlns="http://schemas.openxmlformats.org/package/2006/content-types">
  <Default Extension="bin" ContentType="application/vnd.openxmlformats-officedocument.spreadsheetml.printerSettings"/>
  <Default Extension="data" ContentType="application/binary"/>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Data/itemProps1.xml" ContentType="application/vnd.ms-excel.customDataProperti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4.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24226"/>
  <mc:AlternateContent xmlns:mc="http://schemas.openxmlformats.org/markup-compatibility/2006">
    <mc:Choice Requires="x15">
      <x15ac:absPath xmlns:x15ac="http://schemas.microsoft.com/office/spreadsheetml/2010/11/ac" url="https://ensemble.ent.cgi.com/client/313174/Documents/90_Follow_up/"/>
    </mc:Choice>
  </mc:AlternateContent>
  <xr:revisionPtr revIDLastSave="0" documentId="13_ncr:1_{8E3EF3DA-73C9-47E6-98AD-8FC22D112AF1}" xr6:coauthVersionLast="47" xr6:coauthVersionMax="47" xr10:uidLastSave="{00000000-0000-0000-0000-000000000000}"/>
  <bookViews>
    <workbookView xWindow="-28920" yWindow="-120" windowWidth="29040" windowHeight="15840" tabRatio="810" activeTab="2" xr2:uid="{00000000-000D-0000-FFFF-FFFF00000000}"/>
  </bookViews>
  <sheets>
    <sheet name="Guide" sheetId="44" r:id="rId1"/>
    <sheet name="Offer management" sheetId="23" r:id="rId2"/>
    <sheet name="CS management" sheetId="30" r:id="rId3"/>
    <sheet name="Expenses management" sheetId="42" r:id="rId4"/>
    <sheet name="Consortium synthèse" sheetId="36" r:id="rId5"/>
    <sheet name="Consortium calculs" sheetId="38" r:id="rId6"/>
    <sheet name="Cessions EDDA" sheetId="50" r:id="rId7"/>
    <sheet name="CS synthesis" sheetId="31" r:id="rId8"/>
    <sheet name="Suivi PO Global" sheetId="56" r:id="rId9"/>
    <sheet name="Dashboards" sheetId="55" r:id="rId10"/>
    <sheet name="Dashboards Lot 1" sheetId="57" r:id="rId11"/>
    <sheet name="Dashboards Lot 2" sheetId="58" r:id="rId12"/>
    <sheet name="Dashboards Lot 3" sheetId="59" r:id="rId13"/>
    <sheet name="Params" sheetId="28" r:id="rId14"/>
  </sheets>
  <definedNames>
    <definedName name="_xlnm._FilterDatabase" localSheetId="6" hidden="1">'Cessions EDDA'!$A$7:$AW$7</definedName>
    <definedName name="_xlnm._FilterDatabase" localSheetId="8" hidden="1">'Suivi PO Global'!$B$4:$O$127</definedName>
    <definedName name="_ftn2" localSheetId="13">Params!#REF!</definedName>
    <definedName name="_ftnref1" localSheetId="13">Params!#REF!</definedName>
    <definedName name="_ftnref2" localSheetId="13">Params!#REF!</definedName>
    <definedName name="ACCEPTED_EXPENSES_REF" localSheetId="10">Tableau19[EXPENSES_REF]</definedName>
    <definedName name="ACCEPTED_EXPENSES_REF" localSheetId="11">Tableau19[EXPENSES_REF]</definedName>
    <definedName name="ACCEPTED_EXPENSES_REF" localSheetId="12">Tableau19[EXPENSES_REF]</definedName>
    <definedName name="ACCEPTED_EXPENSES_REF">Tableau19[EXPENSES_REF]</definedName>
    <definedName name="ACCEPTED_REFERENCES" localSheetId="10">Tableau19[ACCEPTED_REFERENCES]</definedName>
    <definedName name="ACCEPTED_REFERENCES" localSheetId="11">Tableau19[ACCEPTED_REFERENCES]</definedName>
    <definedName name="ACCEPTED_REFERENCES" localSheetId="12">Tableau19[ACCEPTED_REFERENCES]</definedName>
    <definedName name="ACCEPTED_REFERENCES">Tableau19[ACCEPTED_REFERENCES]</definedName>
    <definedName name="Excl_Lot1" localSheetId="10">Tableau1922[Ref To Exclude Lot 1]</definedName>
    <definedName name="Excl_Lot1" localSheetId="11">Tableau1922[Ref To Exclude Lot 1]</definedName>
    <definedName name="Excl_Lot1" localSheetId="12">Tableau1922[Ref To Exclude Lot 1]</definedName>
    <definedName name="Excl_Lot1">Tableau1922[Ref To Exclude Lot 1]</definedName>
    <definedName name="Excl_Lot2" localSheetId="10">Tableau20[Ref To Exclude Lot 2]</definedName>
    <definedName name="Excl_Lot2" localSheetId="11">Tableau20[Ref To Exclude Lot 2]</definedName>
    <definedName name="Excl_Lot2" localSheetId="12">Tableau20[Ref To Exclude Lot 2]</definedName>
    <definedName name="Excl_Lot2">Tableau20[Ref To Exclude Lot 2]</definedName>
    <definedName name="Excl_Lot3">Params!$BF$2:$BF$1481</definedName>
    <definedName name="Excl_Total" localSheetId="10">Tableau21[Total to Exclude]</definedName>
    <definedName name="Excl_Total" localSheetId="11">Tableau21[Total to Exclude]</definedName>
    <definedName name="Excl_Total" localSheetId="12">Tableau21[Total to Exclude]</definedName>
    <definedName name="Excl_Total">Tableau21[Total to Exclude]</definedName>
    <definedName name="Filtered_Expenses_Ref" localSheetId="10">Tableau19[Filtered_Expenses_Ref]</definedName>
    <definedName name="Filtered_Expenses_Ref" localSheetId="11">Tableau19[Filtered_Expenses_Ref]</definedName>
    <definedName name="Filtered_Expenses_Ref" localSheetId="12">Tableau19[Filtered_Expenses_Ref]</definedName>
    <definedName name="Filtered_Expenses_Ref">Tableau19[Filtered_Expenses_Ref]</definedName>
    <definedName name="Filtered_Ressources" localSheetId="10">TAB_ressource[Filtered Ressources List]</definedName>
    <definedName name="Filtered_Ressources" localSheetId="11">TAB_ressource[Filtered Ressources List]</definedName>
    <definedName name="Filtered_Ressources" localSheetId="12">TAB_ressource[Filtered Ressources List]</definedName>
    <definedName name="Filtered_Ressources">TAB_ressource[Filtered Ressources List]</definedName>
    <definedName name="VALUES_CONSORTIUM" localSheetId="10">TAB_Consortium[Company]</definedName>
    <definedName name="VALUES_CONSORTIUM" localSheetId="11">TAB_Consortium[Company]</definedName>
    <definedName name="VALUES_CONSORTIUM" localSheetId="12">TAB_Consortium[Company]</definedName>
    <definedName name="VALUES_CONSORTIUM" localSheetId="3">TAB_Consortium[Company]</definedName>
    <definedName name="VALUES_CONSORTIUM">TAB_Consortium[Company]</definedName>
    <definedName name="VALUES_CS_STATE" localSheetId="10">TAB_EtatCS[CS_State]</definedName>
    <definedName name="VALUES_CS_STATE" localSheetId="11">TAB_EtatCS[CS_State]</definedName>
    <definedName name="VALUES_CS_STATE" localSheetId="12">TAB_EtatCS[CS_State]</definedName>
    <definedName name="VALUES_CS_STATE" localSheetId="3">TAB_EtatCS[CS_State]</definedName>
    <definedName name="VALUES_CS_STATE">TAB_EtatCS[CS_State]</definedName>
    <definedName name="VALUES_DELIVERY_MODE" localSheetId="10">TAB_DELIVERY[Delivery_Mode]</definedName>
    <definedName name="VALUES_DELIVERY_MODE" localSheetId="11">TAB_DELIVERY[Delivery_Mode]</definedName>
    <definedName name="VALUES_DELIVERY_MODE" localSheetId="12">TAB_DELIVERY[Delivery_Mode]</definedName>
    <definedName name="VALUES_DELIVERY_MODE" localSheetId="3">TAB_DELIVERY[Delivery_Mode]</definedName>
    <definedName name="VALUES_DELIVERY_MODE">TAB_DELIVERY[Delivery_Mode]</definedName>
    <definedName name="VALUES_INSTITUTIONS" localSheetId="10">TAB_Institution[Institution]</definedName>
    <definedName name="VALUES_INSTITUTIONS" localSheetId="11">TAB_Institution[Institution]</definedName>
    <definedName name="VALUES_INSTITUTIONS" localSheetId="12">TAB_Institution[Institution]</definedName>
    <definedName name="VALUES_INSTITUTIONS" localSheetId="3">TAB_Institution[Institution]</definedName>
    <definedName name="VALUES_INSTITUTIONS">TAB_Institution[Institution]</definedName>
    <definedName name="VALUES_LEVEL" localSheetId="10">TAB_Level[Level]</definedName>
    <definedName name="VALUES_LEVEL" localSheetId="11">TAB_Level[Level]</definedName>
    <definedName name="VALUES_LEVEL" localSheetId="12">TAB_Level[Level]</definedName>
    <definedName name="VALUES_LEVEL" localSheetId="3">TAB_Level[Level]</definedName>
    <definedName name="VALUES_LEVEL">TAB_Level[Level]</definedName>
    <definedName name="VALUES_LOT" localSheetId="10">TAB_Lot[Lot]</definedName>
    <definedName name="VALUES_LOT" localSheetId="11">TAB_Lot[Lot]</definedName>
    <definedName name="VALUES_LOT" localSheetId="12">TAB_Lot[Lot]</definedName>
    <definedName name="VALUES_LOT" localSheetId="3">TAB_Lot[Lot]</definedName>
    <definedName name="VALUES_LOT">TAB_Lot[Lot]</definedName>
    <definedName name="VALUES_MODES" localSheetId="10">TAB_Mode[Mode]</definedName>
    <definedName name="VALUES_MODES" localSheetId="11">TAB_Mode[Mode]</definedName>
    <definedName name="VALUES_MODES" localSheetId="12">TAB_Mode[Mode]</definedName>
    <definedName name="VALUES_MODES" localSheetId="3">TAB_Mode[Mode]</definedName>
    <definedName name="VALUES_MODES">TAB_Mode[Mode]</definedName>
    <definedName name="VALUES_PROFILE" localSheetId="10">TAB_prix[Profil]</definedName>
    <definedName name="VALUES_PROFILE" localSheetId="11">TAB_prix[Profil]</definedName>
    <definedName name="VALUES_PROFILE" localSheetId="12">TAB_prix[Profil]</definedName>
    <definedName name="VALUES_PROFILE" localSheetId="3">TAB_prix[Profil]</definedName>
    <definedName name="VALUES_PROFILE">TAB_prix[Profil]</definedName>
    <definedName name="VALUES_REFERENCE" localSheetId="10">TAB_Offres[Reference]</definedName>
    <definedName name="VALUES_REFERENCE" localSheetId="11">TAB_Offres[Reference]</definedName>
    <definedName name="VALUES_REFERENCE" localSheetId="12">TAB_Offres[Reference]</definedName>
    <definedName name="VALUES_REFERENCE" localSheetId="3">TAB_Offres[Reference]</definedName>
    <definedName name="VALUES_REFERENCE">TAB_Offres[Reference]</definedName>
    <definedName name="VALUES_ReponseCS" localSheetId="10">TAB_ReponseCS[Reponse_CS]</definedName>
    <definedName name="VALUES_ReponseCS" localSheetId="11">TAB_ReponseCS[Reponse_CS]</definedName>
    <definedName name="VALUES_ReponseCS" localSheetId="12">TAB_ReponseCS[Reponse_CS]</definedName>
    <definedName name="VALUES_ReponseCS" localSheetId="3">TAB_ReponseCS[Reponse_CS]</definedName>
    <definedName name="VALUES_ReponseCS">TAB_ReponseCS[Reponse_CS]</definedName>
    <definedName name="VALUES_REQUEST_STATE" localSheetId="10">Tableau18[REQUEST_STATE]</definedName>
    <definedName name="VALUES_REQUEST_STATE" localSheetId="11">Tableau18[REQUEST_STATE]</definedName>
    <definedName name="VALUES_REQUEST_STATE" localSheetId="12">Tableau18[REQUEST_STATE]</definedName>
    <definedName name="VALUES_REQUEST_STATE">Tableau18[REQUEST_STATE]</definedName>
    <definedName name="VALUES_RESSOURCES" localSheetId="10">TAB_ressource[Import Ressource]</definedName>
    <definedName name="VALUES_RESSOURCES" localSheetId="11">TAB_ressource[Import Ressource]</definedName>
    <definedName name="VALUES_RESSOURCES" localSheetId="12">TAB_ressource[Import Ressource]</definedName>
    <definedName name="VALUES_RESSOURCES" localSheetId="3">TAB_ressource[Import Ressource]</definedName>
    <definedName name="VALUES_RESSOURCES">TAB_ressource[Import Ressource]</definedName>
    <definedName name="VALUES_YN" localSheetId="10">TAB_ReponseCS[YN]</definedName>
    <definedName name="VALUES_YN" localSheetId="11">TAB_ReponseCS[YN]</definedName>
    <definedName name="VALUES_YN" localSheetId="12">TAB_ReponseCS[YN]</definedName>
    <definedName name="VALUES_YN">TAB_ReponseCS[YN]</definedName>
    <definedName name="_xlnm.Print_Area" localSheetId="8">'Suivi PO Global'!$F$4:$L$61</definedName>
  </definedNames>
  <calcPr calcId="191029"/>
  <pivotCaches>
    <pivotCache cacheId="7" r:id="rId15"/>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01" i="56" l="1"/>
  <c r="P107" i="56"/>
  <c r="H12" i="50" l="1"/>
  <c r="G12" i="50"/>
  <c r="F12" i="50"/>
  <c r="H39" i="50" l="1"/>
  <c r="G39" i="50"/>
  <c r="F39" i="50"/>
  <c r="H43" i="50"/>
  <c r="G43" i="50"/>
  <c r="F43" i="50"/>
  <c r="N169" i="30" l="1"/>
  <c r="M169" i="30" s="1"/>
  <c r="N168" i="30"/>
  <c r="A29" i="42"/>
  <c r="D29" i="42"/>
  <c r="E29" i="42"/>
  <c r="F29" i="42"/>
  <c r="G29" i="42"/>
  <c r="H29" i="42"/>
  <c r="I29" i="42"/>
  <c r="J29" i="42"/>
  <c r="K29" i="42"/>
  <c r="L29" i="42"/>
  <c r="N29" i="42"/>
  <c r="O29" i="42"/>
  <c r="P29" i="42"/>
  <c r="R29" i="42" s="1"/>
  <c r="AV29" i="42"/>
  <c r="S29" i="42" s="1"/>
  <c r="A30" i="42"/>
  <c r="D30" i="42"/>
  <c r="E30" i="42"/>
  <c r="F30" i="42"/>
  <c r="G30" i="42"/>
  <c r="H30" i="42"/>
  <c r="I30" i="42"/>
  <c r="J30" i="42"/>
  <c r="K30" i="42"/>
  <c r="L30" i="42"/>
  <c r="N30" i="42"/>
  <c r="O30" i="42"/>
  <c r="P30" i="42"/>
  <c r="R30" i="42" s="1"/>
  <c r="AV30" i="42"/>
  <c r="U30" i="42" s="1"/>
  <c r="A31" i="42"/>
  <c r="D31" i="42"/>
  <c r="E31" i="42"/>
  <c r="F31" i="42"/>
  <c r="G31" i="42"/>
  <c r="H31" i="42"/>
  <c r="I31" i="42"/>
  <c r="J31" i="42"/>
  <c r="K31" i="42"/>
  <c r="L31" i="42"/>
  <c r="N31" i="42"/>
  <c r="O31" i="42"/>
  <c r="P31" i="42"/>
  <c r="R31" i="42" s="1"/>
  <c r="AV31" i="42"/>
  <c r="S31" i="42" s="1"/>
  <c r="A32" i="42"/>
  <c r="D32" i="42"/>
  <c r="E32" i="42"/>
  <c r="F32" i="42"/>
  <c r="G32" i="42"/>
  <c r="H32" i="42"/>
  <c r="I32" i="42"/>
  <c r="J32" i="42"/>
  <c r="K32" i="42"/>
  <c r="L32" i="42"/>
  <c r="N32" i="42"/>
  <c r="O32" i="42"/>
  <c r="P32" i="42"/>
  <c r="R32" i="42" s="1"/>
  <c r="AV32" i="42"/>
  <c r="S32" i="42" s="1"/>
  <c r="A33" i="42"/>
  <c r="D33" i="42"/>
  <c r="E33" i="42"/>
  <c r="F33" i="42"/>
  <c r="G33" i="42"/>
  <c r="H33" i="42"/>
  <c r="I33" i="42"/>
  <c r="J33" i="42"/>
  <c r="K33" i="42"/>
  <c r="L33" i="42"/>
  <c r="N33" i="42"/>
  <c r="O33" i="42"/>
  <c r="P33" i="42"/>
  <c r="R33" i="42" s="1"/>
  <c r="AV33" i="42"/>
  <c r="S33" i="42" s="1"/>
  <c r="A34" i="42"/>
  <c r="D34" i="42"/>
  <c r="E34" i="42"/>
  <c r="F34" i="42"/>
  <c r="G34" i="42"/>
  <c r="H34" i="42"/>
  <c r="I34" i="42"/>
  <c r="J34" i="42"/>
  <c r="K34" i="42"/>
  <c r="L34" i="42"/>
  <c r="N34" i="42"/>
  <c r="O34" i="42"/>
  <c r="P34" i="42"/>
  <c r="R34" i="42" s="1"/>
  <c r="AV34" i="42"/>
  <c r="S34" i="42" s="1"/>
  <c r="N167" i="30"/>
  <c r="A169" i="30"/>
  <c r="D169" i="30" s="1"/>
  <c r="F169" i="30"/>
  <c r="G169" i="30"/>
  <c r="H169" i="30"/>
  <c r="I169" i="30"/>
  <c r="W169" i="30"/>
  <c r="X169" i="30" s="1"/>
  <c r="AB169" i="30"/>
  <c r="A170" i="30"/>
  <c r="D170" i="30"/>
  <c r="F170" i="30"/>
  <c r="G170" i="30"/>
  <c r="H170" i="30"/>
  <c r="I170" i="30"/>
  <c r="N170" i="30"/>
  <c r="M170" i="30" s="1"/>
  <c r="V170" i="30"/>
  <c r="W170" i="30"/>
  <c r="X170" i="30" s="1"/>
  <c r="AB170" i="30"/>
  <c r="A171" i="30"/>
  <c r="D171" i="30"/>
  <c r="F171" i="30"/>
  <c r="G171" i="30"/>
  <c r="H171" i="30"/>
  <c r="I171" i="30"/>
  <c r="N171" i="30"/>
  <c r="L171" i="30" s="1"/>
  <c r="V171" i="30"/>
  <c r="W171" i="30"/>
  <c r="X171" i="30" s="1"/>
  <c r="AB171" i="30"/>
  <c r="E21" i="42"/>
  <c r="F21" i="42"/>
  <c r="G21" i="42"/>
  <c r="H21" i="42"/>
  <c r="I21" i="42"/>
  <c r="J21" i="42"/>
  <c r="K21" i="42"/>
  <c r="L21" i="42"/>
  <c r="N21" i="42"/>
  <c r="P21" i="42"/>
  <c r="P60" i="56"/>
  <c r="U98" i="30"/>
  <c r="R238" i="28"/>
  <c r="R237" i="28"/>
  <c r="R236" i="28"/>
  <c r="R235" i="28"/>
  <c r="R234" i="28"/>
  <c r="R233" i="28"/>
  <c r="R232" i="28"/>
  <c r="R231" i="28"/>
  <c r="R230" i="28"/>
  <c r="R229" i="28"/>
  <c r="R228" i="28"/>
  <c r="R227" i="28"/>
  <c r="AX82" i="30"/>
  <c r="A21" i="42"/>
  <c r="U31" i="42" l="1"/>
  <c r="S30" i="42"/>
  <c r="T30" i="42" s="1"/>
  <c r="U29" i="42"/>
  <c r="T29" i="42"/>
  <c r="U32" i="42"/>
  <c r="U33" i="42"/>
  <c r="T34" i="42"/>
  <c r="T31" i="42"/>
  <c r="T32" i="42"/>
  <c r="U34" i="42"/>
  <c r="T33" i="42"/>
  <c r="K169" i="30"/>
  <c r="R170" i="30"/>
  <c r="L169" i="30"/>
  <c r="K170" i="30"/>
  <c r="L170" i="30"/>
  <c r="R171" i="30"/>
  <c r="S169" i="30"/>
  <c r="Y170" i="30"/>
  <c r="Z170" i="30" s="1"/>
  <c r="Y169" i="30"/>
  <c r="J170" i="30"/>
  <c r="R169" i="30"/>
  <c r="J169" i="30"/>
  <c r="S170" i="30"/>
  <c r="T170" i="30" s="1"/>
  <c r="P170" i="30" s="1"/>
  <c r="O169" i="30"/>
  <c r="J171" i="30"/>
  <c r="O170" i="30"/>
  <c r="S171" i="30"/>
  <c r="T171" i="30" s="1"/>
  <c r="P171" i="30" s="1"/>
  <c r="K171" i="30"/>
  <c r="Y171" i="30"/>
  <c r="Z171" i="30" s="1"/>
  <c r="O171" i="30"/>
  <c r="Q171" i="30" s="1"/>
  <c r="M171" i="30"/>
  <c r="D21" i="42"/>
  <c r="N166" i="30"/>
  <c r="L166" i="30" s="1"/>
  <c r="N165" i="30"/>
  <c r="L165" i="30" s="1"/>
  <c r="N164" i="30"/>
  <c r="A165" i="30"/>
  <c r="D165" i="30" s="1"/>
  <c r="F165" i="30"/>
  <c r="G165" i="30"/>
  <c r="H165" i="30"/>
  <c r="I165" i="30"/>
  <c r="W165" i="30"/>
  <c r="AB165" i="30"/>
  <c r="A166" i="30"/>
  <c r="D166" i="30" s="1"/>
  <c r="F166" i="30"/>
  <c r="G166" i="30"/>
  <c r="H166" i="30"/>
  <c r="I166" i="30"/>
  <c r="W166" i="30"/>
  <c r="Y166" i="30" s="1"/>
  <c r="AB166" i="30"/>
  <c r="A167" i="30"/>
  <c r="D167" i="30" s="1"/>
  <c r="F167" i="30"/>
  <c r="G167" i="30"/>
  <c r="H167" i="30"/>
  <c r="I167" i="30"/>
  <c r="W167" i="30"/>
  <c r="X167" i="30" s="1"/>
  <c r="AB167" i="30"/>
  <c r="A168" i="30"/>
  <c r="D168" i="30" s="1"/>
  <c r="F168" i="30"/>
  <c r="G168" i="30"/>
  <c r="H168" i="30"/>
  <c r="I168" i="30"/>
  <c r="M168" i="30"/>
  <c r="W168" i="30"/>
  <c r="X168" i="30" s="1"/>
  <c r="AB168" i="30"/>
  <c r="A172" i="30"/>
  <c r="D172" i="30"/>
  <c r="F172" i="30"/>
  <c r="G172" i="30"/>
  <c r="H172" i="30"/>
  <c r="I172" i="30"/>
  <c r="N172" i="30"/>
  <c r="L172" i="30" s="1"/>
  <c r="V172" i="30"/>
  <c r="W172" i="30"/>
  <c r="Y172" i="30" s="1"/>
  <c r="Z172" i="30" s="1"/>
  <c r="AB172" i="30"/>
  <c r="T169" i="30" l="1"/>
  <c r="AC169" i="30"/>
  <c r="Q169" i="30"/>
  <c r="AC170" i="30"/>
  <c r="Q170" i="30"/>
  <c r="AC171" i="30"/>
  <c r="L167" i="30"/>
  <c r="R167" i="30"/>
  <c r="S167" i="30"/>
  <c r="K165" i="30"/>
  <c r="K167" i="30"/>
  <c r="O166" i="30"/>
  <c r="Q166" i="30" s="1"/>
  <c r="S165" i="30"/>
  <c r="Y167" i="30"/>
  <c r="R165" i="30"/>
  <c r="J165" i="30"/>
  <c r="Y165" i="30"/>
  <c r="O165" i="30"/>
  <c r="M165" i="30"/>
  <c r="S166" i="30"/>
  <c r="K166" i="30"/>
  <c r="R166" i="30"/>
  <c r="J166" i="30"/>
  <c r="M166" i="30"/>
  <c r="J167" i="30"/>
  <c r="O167" i="30"/>
  <c r="M167" i="30"/>
  <c r="L168" i="30"/>
  <c r="S168" i="30"/>
  <c r="K168" i="30"/>
  <c r="J168" i="30"/>
  <c r="R168" i="30"/>
  <c r="Y168" i="30"/>
  <c r="O168" i="30"/>
  <c r="Q168" i="30" s="1"/>
  <c r="S172" i="30"/>
  <c r="T172" i="30" s="1"/>
  <c r="P172" i="30" s="1"/>
  <c r="K172" i="30"/>
  <c r="R172" i="30"/>
  <c r="J172" i="30"/>
  <c r="X172" i="30"/>
  <c r="O172" i="30"/>
  <c r="M172" i="30"/>
  <c r="C134" i="56"/>
  <c r="C135" i="56"/>
  <c r="C133" i="56"/>
  <c r="C136" i="56"/>
  <c r="N163" i="30"/>
  <c r="N162" i="30"/>
  <c r="P169" i="30" l="1"/>
  <c r="V169" i="30"/>
  <c r="Z169" i="30"/>
  <c r="T168" i="30"/>
  <c r="T167" i="30"/>
  <c r="Z167" i="30" s="1"/>
  <c r="T166" i="30"/>
  <c r="X166" i="30" s="1"/>
  <c r="T165" i="30"/>
  <c r="AC166" i="30"/>
  <c r="AC165" i="30"/>
  <c r="Q165" i="30"/>
  <c r="Q167" i="30"/>
  <c r="AC167" i="30"/>
  <c r="AC168" i="30"/>
  <c r="Q172" i="30"/>
  <c r="AC172" i="30"/>
  <c r="H38" i="50"/>
  <c r="H40" i="50"/>
  <c r="F38" i="50"/>
  <c r="G38" i="50"/>
  <c r="F40" i="50"/>
  <c r="G40" i="50"/>
  <c r="N142" i="30"/>
  <c r="P168" i="30" l="1"/>
  <c r="V168" i="30"/>
  <c r="Z168" i="30"/>
  <c r="V167" i="30"/>
  <c r="P167" i="30"/>
  <c r="P165" i="30"/>
  <c r="X165" i="30"/>
  <c r="P166" i="30"/>
  <c r="V166" i="30"/>
  <c r="Z166" i="30"/>
  <c r="Z165" i="30"/>
  <c r="V165" i="30"/>
  <c r="H127" i="56"/>
  <c r="G127" i="56"/>
  <c r="F127" i="56"/>
  <c r="E127" i="56"/>
  <c r="H126" i="56"/>
  <c r="G126" i="56"/>
  <c r="F126" i="56"/>
  <c r="E126" i="56"/>
  <c r="H125" i="56"/>
  <c r="G125" i="56"/>
  <c r="F125" i="56"/>
  <c r="E125" i="56"/>
  <c r="H124" i="56"/>
  <c r="G124" i="56"/>
  <c r="F124" i="56"/>
  <c r="E124" i="56"/>
  <c r="H123" i="56"/>
  <c r="G123" i="56"/>
  <c r="F123" i="56"/>
  <c r="E123" i="56"/>
  <c r="H122" i="56"/>
  <c r="G122" i="56"/>
  <c r="F122" i="56"/>
  <c r="E122" i="56"/>
  <c r="H121" i="56"/>
  <c r="G121" i="56"/>
  <c r="F121" i="56"/>
  <c r="E121" i="56"/>
  <c r="H120" i="56"/>
  <c r="G120" i="56"/>
  <c r="F120" i="56"/>
  <c r="E120" i="56"/>
  <c r="H119" i="56"/>
  <c r="G119" i="56"/>
  <c r="F119" i="56"/>
  <c r="E119" i="56"/>
  <c r="H118" i="56"/>
  <c r="G118" i="56"/>
  <c r="F118" i="56"/>
  <c r="E118" i="56"/>
  <c r="H117" i="56"/>
  <c r="G117" i="56"/>
  <c r="F117" i="56"/>
  <c r="E117" i="56"/>
  <c r="H114" i="56"/>
  <c r="G114" i="56"/>
  <c r="F114" i="56"/>
  <c r="E114" i="56"/>
  <c r="H116" i="56"/>
  <c r="G116" i="56"/>
  <c r="F116" i="56"/>
  <c r="E116" i="56"/>
  <c r="H115" i="56"/>
  <c r="G115" i="56"/>
  <c r="F115" i="56"/>
  <c r="E115" i="56"/>
  <c r="H113" i="56"/>
  <c r="G113" i="56"/>
  <c r="F113" i="56"/>
  <c r="E113" i="56"/>
  <c r="H112" i="56"/>
  <c r="G112" i="56"/>
  <c r="F112" i="56"/>
  <c r="E112" i="56"/>
  <c r="H111" i="56"/>
  <c r="G111" i="56"/>
  <c r="F111" i="56"/>
  <c r="E111" i="56"/>
  <c r="H110" i="56"/>
  <c r="G110" i="56"/>
  <c r="F110" i="56"/>
  <c r="E110" i="56"/>
  <c r="H109" i="56"/>
  <c r="G109" i="56"/>
  <c r="F109" i="56"/>
  <c r="E109" i="56"/>
  <c r="H108" i="56"/>
  <c r="G108" i="56"/>
  <c r="F108" i="56"/>
  <c r="E108" i="56"/>
  <c r="H107" i="56"/>
  <c r="G107" i="56"/>
  <c r="F107" i="56"/>
  <c r="E107" i="56"/>
  <c r="N161" i="30" l="1"/>
  <c r="M161" i="30" s="1"/>
  <c r="N160" i="30"/>
  <c r="M160" i="30" s="1"/>
  <c r="N159" i="30"/>
  <c r="O159" i="30" s="1"/>
  <c r="N158" i="30"/>
  <c r="F159" i="30"/>
  <c r="G159" i="30"/>
  <c r="H159" i="30"/>
  <c r="I159" i="30"/>
  <c r="W159" i="30"/>
  <c r="AB159" i="30"/>
  <c r="F160" i="30"/>
  <c r="G160" i="30"/>
  <c r="H160" i="30"/>
  <c r="I160" i="30"/>
  <c r="W160" i="30"/>
  <c r="AB160" i="30"/>
  <c r="A161" i="30"/>
  <c r="D161" i="30" s="1"/>
  <c r="F161" i="30"/>
  <c r="G161" i="30"/>
  <c r="H161" i="30"/>
  <c r="I161" i="30"/>
  <c r="W161" i="30"/>
  <c r="AB161" i="30"/>
  <c r="A162" i="30"/>
  <c r="D162" i="30" s="1"/>
  <c r="F162" i="30"/>
  <c r="G162" i="30"/>
  <c r="H162" i="30"/>
  <c r="I162" i="30"/>
  <c r="L162" i="30"/>
  <c r="W162" i="30"/>
  <c r="AB162" i="30"/>
  <c r="BH178" i="30"/>
  <c r="BJ178" i="30"/>
  <c r="R160" i="30" l="1"/>
  <c r="L159" i="30"/>
  <c r="K159" i="30"/>
  <c r="Y161" i="30"/>
  <c r="S159" i="30"/>
  <c r="M159" i="30"/>
  <c r="Y159" i="30"/>
  <c r="Q159" i="30"/>
  <c r="AC159" i="30"/>
  <c r="R161" i="30"/>
  <c r="J160" i="30"/>
  <c r="R159" i="30"/>
  <c r="J159" i="30"/>
  <c r="L161" i="30"/>
  <c r="J161" i="30"/>
  <c r="L160" i="30"/>
  <c r="R162" i="30"/>
  <c r="K161" i="30"/>
  <c r="S160" i="30"/>
  <c r="K160" i="30"/>
  <c r="Y160" i="30"/>
  <c r="Y162" i="30"/>
  <c r="S161" i="30"/>
  <c r="O160" i="30"/>
  <c r="Q160" i="30" s="1"/>
  <c r="K162" i="30"/>
  <c r="O161" i="30"/>
  <c r="S162" i="30"/>
  <c r="J162" i="30"/>
  <c r="O162" i="30"/>
  <c r="M162" i="30"/>
  <c r="N133" i="30"/>
  <c r="T162" i="30" l="1"/>
  <c r="T161" i="30"/>
  <c r="T160" i="30"/>
  <c r="T159" i="30"/>
  <c r="X159" i="30" s="1"/>
  <c r="AC160" i="30"/>
  <c r="AC161" i="30"/>
  <c r="Q161" i="30"/>
  <c r="Q162" i="30"/>
  <c r="AC162" i="30"/>
  <c r="R22" i="42"/>
  <c r="E22" i="42"/>
  <c r="F22" i="42"/>
  <c r="G22" i="42"/>
  <c r="H22" i="42"/>
  <c r="I22" i="42"/>
  <c r="J22" i="42"/>
  <c r="K22" i="42"/>
  <c r="L22" i="42"/>
  <c r="N22" i="42"/>
  <c r="P22" i="42"/>
  <c r="R18" i="42"/>
  <c r="P18" i="42"/>
  <c r="E18" i="42"/>
  <c r="F18" i="42"/>
  <c r="G18" i="42"/>
  <c r="H18" i="42"/>
  <c r="I18" i="42"/>
  <c r="J18" i="42"/>
  <c r="K18" i="42"/>
  <c r="L18" i="42"/>
  <c r="N18" i="42"/>
  <c r="N157" i="30"/>
  <c r="N156" i="30"/>
  <c r="J101" i="56"/>
  <c r="H102" i="56"/>
  <c r="G102" i="56"/>
  <c r="F102" i="56"/>
  <c r="H106" i="56"/>
  <c r="G106" i="56"/>
  <c r="F106" i="56"/>
  <c r="H105" i="56"/>
  <c r="G105" i="56"/>
  <c r="F105" i="56"/>
  <c r="H104" i="56"/>
  <c r="G104" i="56"/>
  <c r="F104" i="56"/>
  <c r="H103" i="56"/>
  <c r="G103" i="56"/>
  <c r="F103" i="56"/>
  <c r="N101" i="56"/>
  <c r="H101" i="56"/>
  <c r="G101" i="56"/>
  <c r="F101" i="56"/>
  <c r="Z160" i="30" l="1"/>
  <c r="X160" i="30"/>
  <c r="V161" i="30"/>
  <c r="X161" i="30"/>
  <c r="Z162" i="30"/>
  <c r="X162" i="30"/>
  <c r="P162" i="30"/>
  <c r="V162" i="30"/>
  <c r="Z161" i="30"/>
  <c r="P161" i="30"/>
  <c r="V160" i="30"/>
  <c r="P160" i="30"/>
  <c r="P159" i="30"/>
  <c r="V159" i="30"/>
  <c r="Z159" i="30"/>
  <c r="E23" i="42"/>
  <c r="F23" i="42"/>
  <c r="G23" i="42"/>
  <c r="H23" i="42"/>
  <c r="I23" i="42"/>
  <c r="J23" i="42"/>
  <c r="K23" i="42"/>
  <c r="L23" i="42"/>
  <c r="N23" i="42"/>
  <c r="P23" i="42"/>
  <c r="Q23" i="42" s="1"/>
  <c r="E20" i="42"/>
  <c r="F20" i="42"/>
  <c r="G20" i="42"/>
  <c r="H20" i="42"/>
  <c r="I20" i="42"/>
  <c r="J20" i="42"/>
  <c r="K20" i="42"/>
  <c r="L20" i="42"/>
  <c r="N20" i="42"/>
  <c r="P20" i="42"/>
  <c r="Q20" i="42" s="1"/>
  <c r="AV36" i="42"/>
  <c r="S36" i="42" s="1"/>
  <c r="AV35" i="42"/>
  <c r="S35" i="42" s="1"/>
  <c r="AV37" i="42"/>
  <c r="P24" i="42"/>
  <c r="Q24" i="42" s="1"/>
  <c r="E24" i="42"/>
  <c r="F24" i="42"/>
  <c r="G24" i="42"/>
  <c r="H24" i="42"/>
  <c r="I24" i="42"/>
  <c r="J24" i="42"/>
  <c r="K24" i="42"/>
  <c r="L24" i="42"/>
  <c r="N24" i="42"/>
  <c r="E25" i="42"/>
  <c r="F25" i="42"/>
  <c r="G25" i="42"/>
  <c r="H25" i="42"/>
  <c r="I25" i="42"/>
  <c r="J25" i="42"/>
  <c r="K25" i="42"/>
  <c r="L25" i="42"/>
  <c r="N25" i="42"/>
  <c r="P25" i="42"/>
  <c r="Q25" i="42" s="1"/>
  <c r="E26" i="42"/>
  <c r="F26" i="42"/>
  <c r="G26" i="42"/>
  <c r="H26" i="42"/>
  <c r="I26" i="42"/>
  <c r="J26" i="42"/>
  <c r="K26" i="42"/>
  <c r="L26" i="42"/>
  <c r="N26" i="42"/>
  <c r="P26" i="42"/>
  <c r="E27" i="42"/>
  <c r="F27" i="42"/>
  <c r="G27" i="42"/>
  <c r="H27" i="42"/>
  <c r="I27" i="42"/>
  <c r="J27" i="42"/>
  <c r="K27" i="42"/>
  <c r="L27" i="42"/>
  <c r="N27" i="42"/>
  <c r="P27" i="42"/>
  <c r="E28" i="42"/>
  <c r="F28" i="42"/>
  <c r="G28" i="42"/>
  <c r="H28" i="42"/>
  <c r="I28" i="42"/>
  <c r="J28" i="42"/>
  <c r="K28" i="42"/>
  <c r="L28" i="42"/>
  <c r="N28" i="42"/>
  <c r="P28" i="42"/>
  <c r="A35" i="42"/>
  <c r="D35" i="42"/>
  <c r="E35" i="42"/>
  <c r="F35" i="42"/>
  <c r="G35" i="42"/>
  <c r="H35" i="42"/>
  <c r="I35" i="42"/>
  <c r="J35" i="42"/>
  <c r="K35" i="42"/>
  <c r="L35" i="42"/>
  <c r="N35" i="42"/>
  <c r="O35" i="42"/>
  <c r="P35" i="42"/>
  <c r="R35" i="42" s="1"/>
  <c r="A36" i="42"/>
  <c r="D36" i="42"/>
  <c r="E36" i="42"/>
  <c r="F36" i="42"/>
  <c r="G36" i="42"/>
  <c r="H36" i="42"/>
  <c r="I36" i="42"/>
  <c r="J36" i="42"/>
  <c r="K36" i="42"/>
  <c r="L36" i="42"/>
  <c r="N36" i="42"/>
  <c r="O36" i="42"/>
  <c r="P36" i="42"/>
  <c r="R36" i="42" s="1"/>
  <c r="A28" i="42"/>
  <c r="D28" i="42" l="1"/>
  <c r="U35" i="42"/>
  <c r="U36" i="42"/>
  <c r="T35" i="42"/>
  <c r="T36" i="42"/>
  <c r="N155" i="30"/>
  <c r="L155" i="30" s="1"/>
  <c r="N154" i="30"/>
  <c r="L154" i="30" s="1"/>
  <c r="N153" i="30"/>
  <c r="L153" i="30" s="1"/>
  <c r="N152" i="30"/>
  <c r="L152" i="30" s="1"/>
  <c r="N151" i="30"/>
  <c r="L151" i="30" s="1"/>
  <c r="N150" i="30"/>
  <c r="L150" i="30" s="1"/>
  <c r="F151" i="30"/>
  <c r="G151" i="30"/>
  <c r="H151" i="30"/>
  <c r="I151" i="30"/>
  <c r="W151" i="30"/>
  <c r="AB151" i="30"/>
  <c r="F152" i="30"/>
  <c r="G152" i="30"/>
  <c r="H152" i="30"/>
  <c r="I152" i="30"/>
  <c r="W152" i="30"/>
  <c r="AB152" i="30"/>
  <c r="F153" i="30"/>
  <c r="G153" i="30"/>
  <c r="H153" i="30"/>
  <c r="I153" i="30"/>
  <c r="W153" i="30"/>
  <c r="AB153" i="30"/>
  <c r="F154" i="30"/>
  <c r="G154" i="30"/>
  <c r="H154" i="30"/>
  <c r="I154" i="30"/>
  <c r="W154" i="30"/>
  <c r="AB154" i="30"/>
  <c r="F155" i="30"/>
  <c r="G155" i="30"/>
  <c r="H155" i="30"/>
  <c r="I155" i="30"/>
  <c r="V155" i="30"/>
  <c r="J125" i="56" s="1"/>
  <c r="W155" i="30"/>
  <c r="X155" i="30" s="1"/>
  <c r="K125" i="56" s="1"/>
  <c r="AB155" i="30"/>
  <c r="F156" i="30"/>
  <c r="G156" i="30"/>
  <c r="H156" i="30"/>
  <c r="I156" i="30"/>
  <c r="L156" i="30"/>
  <c r="W156" i="30"/>
  <c r="AB156" i="30"/>
  <c r="F157" i="30"/>
  <c r="G157" i="30"/>
  <c r="H157" i="30"/>
  <c r="I157" i="30"/>
  <c r="L157" i="30"/>
  <c r="W157" i="30"/>
  <c r="AB157" i="30"/>
  <c r="F158" i="30"/>
  <c r="G158" i="30"/>
  <c r="H158" i="30"/>
  <c r="I158" i="30"/>
  <c r="L158" i="30"/>
  <c r="W158" i="30"/>
  <c r="AB158" i="30"/>
  <c r="A163" i="30"/>
  <c r="D163" i="30" s="1"/>
  <c r="F163" i="30"/>
  <c r="G163" i="30"/>
  <c r="H163" i="30"/>
  <c r="I163" i="30"/>
  <c r="L163" i="30"/>
  <c r="W163" i="30"/>
  <c r="AB163" i="30"/>
  <c r="A164" i="30"/>
  <c r="D164" i="30" s="1"/>
  <c r="F164" i="30"/>
  <c r="G164" i="30"/>
  <c r="H164" i="30"/>
  <c r="I164" i="30"/>
  <c r="L164" i="30"/>
  <c r="W164" i="30"/>
  <c r="AB164" i="30"/>
  <c r="N149" i="30"/>
  <c r="L149" i="30" s="1"/>
  <c r="N148" i="30"/>
  <c r="M148" i="30" s="1"/>
  <c r="N95" i="56"/>
  <c r="N89" i="56"/>
  <c r="P62" i="56"/>
  <c r="N99" i="56"/>
  <c r="N93" i="56"/>
  <c r="N86" i="56"/>
  <c r="N82" i="56"/>
  <c r="N77" i="56"/>
  <c r="N75" i="56"/>
  <c r="N72" i="56"/>
  <c r="N71" i="56"/>
  <c r="N68" i="56"/>
  <c r="N64" i="56"/>
  <c r="N5" i="56"/>
  <c r="N7" i="56"/>
  <c r="N13" i="56"/>
  <c r="N17" i="56"/>
  <c r="N21" i="56"/>
  <c r="N24" i="56"/>
  <c r="N26" i="56"/>
  <c r="N29" i="56"/>
  <c r="N31" i="56"/>
  <c r="N34" i="56"/>
  <c r="N38" i="56"/>
  <c r="N41" i="56"/>
  <c r="N44" i="56"/>
  <c r="N49" i="56"/>
  <c r="N52" i="56"/>
  <c r="N56" i="56"/>
  <c r="N58" i="56"/>
  <c r="N60" i="56"/>
  <c r="N62" i="56"/>
  <c r="H63" i="56"/>
  <c r="G63" i="56"/>
  <c r="F63" i="56"/>
  <c r="H62" i="56"/>
  <c r="G62" i="56"/>
  <c r="F62" i="56"/>
  <c r="C62" i="56"/>
  <c r="AA150" i="30"/>
  <c r="AA149" i="30"/>
  <c r="AA148" i="30"/>
  <c r="N147" i="30"/>
  <c r="F148" i="30"/>
  <c r="G148" i="30"/>
  <c r="H148" i="30"/>
  <c r="I148" i="30"/>
  <c r="W148" i="30"/>
  <c r="Y148" i="30" s="1"/>
  <c r="F149" i="30"/>
  <c r="G149" i="30"/>
  <c r="H149" i="30"/>
  <c r="I149" i="30"/>
  <c r="W149" i="30"/>
  <c r="F150" i="30"/>
  <c r="G150" i="30"/>
  <c r="H150" i="30"/>
  <c r="I150" i="30"/>
  <c r="W150" i="30"/>
  <c r="L125" i="56" l="1"/>
  <c r="J152" i="30"/>
  <c r="R152" i="30"/>
  <c r="J151" i="30"/>
  <c r="S155" i="30"/>
  <c r="R154" i="30"/>
  <c r="R151" i="30"/>
  <c r="Y151" i="30"/>
  <c r="Y152" i="30"/>
  <c r="K152" i="30"/>
  <c r="S151" i="30"/>
  <c r="K151" i="30"/>
  <c r="S152" i="30"/>
  <c r="O151" i="30"/>
  <c r="Q151" i="30" s="1"/>
  <c r="M151" i="30"/>
  <c r="J154" i="30"/>
  <c r="M152" i="30"/>
  <c r="J153" i="30"/>
  <c r="Y153" i="30"/>
  <c r="O152" i="30"/>
  <c r="R153" i="30"/>
  <c r="S153" i="30"/>
  <c r="K153" i="30"/>
  <c r="K155" i="30"/>
  <c r="Y154" i="30"/>
  <c r="O153" i="30"/>
  <c r="Q153" i="30" s="1"/>
  <c r="M153" i="30"/>
  <c r="S154" i="30"/>
  <c r="K154" i="30"/>
  <c r="Y155" i="30"/>
  <c r="Z155" i="30" s="1"/>
  <c r="O154" i="30"/>
  <c r="Q154" i="30" s="1"/>
  <c r="M154" i="30"/>
  <c r="K163" i="30"/>
  <c r="K156" i="30"/>
  <c r="R155" i="30"/>
  <c r="J155" i="30"/>
  <c r="O155" i="30"/>
  <c r="M155" i="30"/>
  <c r="S163" i="30"/>
  <c r="S156" i="30"/>
  <c r="R163" i="30"/>
  <c r="K157" i="30"/>
  <c r="R156" i="30"/>
  <c r="J156" i="30"/>
  <c r="Y156" i="30"/>
  <c r="O156" i="30"/>
  <c r="M156" i="30"/>
  <c r="S157" i="30"/>
  <c r="K158" i="30"/>
  <c r="R157" i="30"/>
  <c r="J157" i="30"/>
  <c r="Y157" i="30"/>
  <c r="O157" i="30"/>
  <c r="M157" i="30"/>
  <c r="S158" i="30"/>
  <c r="J163" i="30"/>
  <c r="R158" i="30"/>
  <c r="J158" i="30"/>
  <c r="Y158" i="30"/>
  <c r="O158" i="30"/>
  <c r="M158" i="30"/>
  <c r="Y163" i="30"/>
  <c r="Y164" i="30"/>
  <c r="O163" i="30"/>
  <c r="J164" i="30"/>
  <c r="M163" i="30"/>
  <c r="R164" i="30"/>
  <c r="S164" i="30"/>
  <c r="K164" i="30"/>
  <c r="O164" i="30"/>
  <c r="Q164" i="30" s="1"/>
  <c r="M164" i="30"/>
  <c r="O148" i="30"/>
  <c r="Q148" i="30" s="1"/>
  <c r="K148" i="30"/>
  <c r="K150" i="30"/>
  <c r="L148" i="30"/>
  <c r="J148" i="30"/>
  <c r="S148" i="30"/>
  <c r="R148" i="30"/>
  <c r="S150" i="30"/>
  <c r="M149" i="30"/>
  <c r="M150" i="30"/>
  <c r="S149" i="30"/>
  <c r="K149" i="30"/>
  <c r="R149" i="30"/>
  <c r="Y149" i="30"/>
  <c r="J149" i="30"/>
  <c r="O149" i="30"/>
  <c r="Q149" i="30" s="1"/>
  <c r="R150" i="30"/>
  <c r="J150" i="30"/>
  <c r="Y150" i="30"/>
  <c r="O150" i="30"/>
  <c r="N146" i="30"/>
  <c r="L146" i="30" s="1"/>
  <c r="N145" i="30"/>
  <c r="L145" i="30" s="1"/>
  <c r="N144" i="30"/>
  <c r="L144" i="30" s="1"/>
  <c r="N143" i="30"/>
  <c r="L143" i="30" s="1"/>
  <c r="AA120" i="30"/>
  <c r="AA121" i="30"/>
  <c r="AA122" i="30"/>
  <c r="AA123" i="30"/>
  <c r="AA124" i="30"/>
  <c r="AA125" i="30"/>
  <c r="AA126" i="30"/>
  <c r="AA127" i="30"/>
  <c r="AA128" i="30"/>
  <c r="AA129" i="30"/>
  <c r="AA130" i="30"/>
  <c r="AA131" i="30"/>
  <c r="AA132" i="30"/>
  <c r="AA133" i="30"/>
  <c r="AA134" i="30"/>
  <c r="AA135" i="30"/>
  <c r="AA136" i="30"/>
  <c r="AA137" i="30"/>
  <c r="AA138" i="30"/>
  <c r="AA139" i="30"/>
  <c r="AA140" i="30"/>
  <c r="AA141" i="30"/>
  <c r="AA142" i="30"/>
  <c r="AA143" i="30"/>
  <c r="AA144" i="30"/>
  <c r="AA145" i="30"/>
  <c r="AA146" i="30"/>
  <c r="AA147" i="30"/>
  <c r="AA173" i="30"/>
  <c r="AA174" i="30"/>
  <c r="AA175" i="30"/>
  <c r="AA176" i="30"/>
  <c r="AY178" i="30"/>
  <c r="AZ178" i="30"/>
  <c r="BA178" i="30"/>
  <c r="BB178" i="30"/>
  <c r="BC178" i="30"/>
  <c r="BD178" i="30"/>
  <c r="BE178" i="30"/>
  <c r="BI178" i="30"/>
  <c r="BF178" i="30"/>
  <c r="BG178" i="30"/>
  <c r="BM178" i="30"/>
  <c r="BK178" i="30"/>
  <c r="BL178" i="30"/>
  <c r="BN178" i="30"/>
  <c r="BO178" i="30"/>
  <c r="BP178" i="30"/>
  <c r="BQ178" i="30"/>
  <c r="BR178" i="30"/>
  <c r="BS178" i="30"/>
  <c r="BT178" i="30"/>
  <c r="BU178" i="30"/>
  <c r="BV178" i="30"/>
  <c r="BW178" i="30"/>
  <c r="BX178" i="30"/>
  <c r="BY178" i="30"/>
  <c r="F143" i="30"/>
  <c r="G143" i="30"/>
  <c r="H143" i="30"/>
  <c r="I143" i="30"/>
  <c r="W143" i="30"/>
  <c r="F144" i="30"/>
  <c r="G144" i="30"/>
  <c r="H144" i="30"/>
  <c r="I144" i="30"/>
  <c r="W144" i="30"/>
  <c r="F145" i="30"/>
  <c r="G145" i="30"/>
  <c r="H145" i="30"/>
  <c r="I145" i="30"/>
  <c r="W145" i="30"/>
  <c r="F146" i="30"/>
  <c r="G146" i="30"/>
  <c r="H146" i="30"/>
  <c r="I146" i="30"/>
  <c r="W146" i="30"/>
  <c r="F147" i="30"/>
  <c r="G147" i="30"/>
  <c r="H147" i="30"/>
  <c r="I147" i="30"/>
  <c r="L147" i="30"/>
  <c r="W147" i="30"/>
  <c r="H27" i="50"/>
  <c r="G27" i="50"/>
  <c r="F27" i="50"/>
  <c r="N141" i="30"/>
  <c r="T164" i="30" l="1"/>
  <c r="X164" i="30" s="1"/>
  <c r="T163" i="30"/>
  <c r="T158" i="30"/>
  <c r="X158" i="30" s="1"/>
  <c r="T157" i="30"/>
  <c r="T156" i="30"/>
  <c r="P155" i="30"/>
  <c r="T154" i="30"/>
  <c r="X154" i="30" s="1"/>
  <c r="T153" i="30"/>
  <c r="X153" i="30" s="1"/>
  <c r="T152" i="30"/>
  <c r="T151" i="30"/>
  <c r="T150" i="30"/>
  <c r="AC151" i="30"/>
  <c r="Q152" i="30"/>
  <c r="AC152" i="30"/>
  <c r="AC153" i="30"/>
  <c r="AC154" i="30"/>
  <c r="Q155" i="30"/>
  <c r="AC155" i="30"/>
  <c r="Q156" i="30"/>
  <c r="AC156" i="30"/>
  <c r="Q157" i="30"/>
  <c r="AC157" i="30"/>
  <c r="Q158" i="30"/>
  <c r="AC158" i="30"/>
  <c r="AC163" i="30"/>
  <c r="Q163" i="30"/>
  <c r="AC164" i="30"/>
  <c r="T149" i="30"/>
  <c r="T148" i="30"/>
  <c r="AC148" i="30"/>
  <c r="AC149" i="30"/>
  <c r="Q150" i="30"/>
  <c r="AC150" i="30"/>
  <c r="R144" i="30"/>
  <c r="K144" i="30"/>
  <c r="S143" i="30"/>
  <c r="K143" i="30"/>
  <c r="S144" i="30"/>
  <c r="Y143" i="30"/>
  <c r="J144" i="30"/>
  <c r="R143" i="30"/>
  <c r="J143" i="30"/>
  <c r="Y147" i="30"/>
  <c r="O143" i="30"/>
  <c r="M143" i="30"/>
  <c r="Y144" i="30"/>
  <c r="O144" i="30"/>
  <c r="M144" i="30"/>
  <c r="K145" i="30"/>
  <c r="S145" i="30"/>
  <c r="R147" i="30"/>
  <c r="K146" i="30"/>
  <c r="R145" i="30"/>
  <c r="J145" i="30"/>
  <c r="K147" i="30"/>
  <c r="Y145" i="30"/>
  <c r="Y146" i="30"/>
  <c r="O145" i="30"/>
  <c r="M145" i="30"/>
  <c r="S146" i="30"/>
  <c r="J147" i="30"/>
  <c r="R146" i="30"/>
  <c r="J146" i="30"/>
  <c r="S147" i="30"/>
  <c r="O146" i="30"/>
  <c r="O147" i="30"/>
  <c r="Q147" i="30" s="1"/>
  <c r="M146" i="30"/>
  <c r="M147" i="30"/>
  <c r="AE178" i="30"/>
  <c r="AF178" i="30"/>
  <c r="AG178" i="30"/>
  <c r="AH178" i="30"/>
  <c r="AI178" i="30"/>
  <c r="AJ178" i="30"/>
  <c r="AK178" i="30"/>
  <c r="AL178" i="30"/>
  <c r="AM178" i="30"/>
  <c r="AN178" i="30"/>
  <c r="AO178" i="30"/>
  <c r="AP178" i="30"/>
  <c r="AQ178" i="30"/>
  <c r="AR178" i="30"/>
  <c r="AS178" i="30"/>
  <c r="AT178" i="30"/>
  <c r="AU178" i="30"/>
  <c r="AV178" i="30"/>
  <c r="AW178" i="30"/>
  <c r="AX178" i="30"/>
  <c r="N140" i="30"/>
  <c r="F141" i="30"/>
  <c r="G141" i="30"/>
  <c r="H141" i="30"/>
  <c r="I141" i="30"/>
  <c r="L141" i="30"/>
  <c r="W141" i="30"/>
  <c r="F142" i="30"/>
  <c r="G142" i="30"/>
  <c r="H142" i="30"/>
  <c r="I142" i="30"/>
  <c r="L142" i="30"/>
  <c r="W142" i="30"/>
  <c r="A173" i="30"/>
  <c r="D173" i="30"/>
  <c r="F173" i="30"/>
  <c r="G173" i="30"/>
  <c r="H173" i="30"/>
  <c r="I173" i="30"/>
  <c r="L173" i="30"/>
  <c r="V173" i="30"/>
  <c r="W173" i="30"/>
  <c r="X173" i="30" s="1"/>
  <c r="AB173" i="30"/>
  <c r="AJ30" i="38"/>
  <c r="AH30" i="38"/>
  <c r="AJ29" i="38"/>
  <c r="AH29" i="38"/>
  <c r="AJ28" i="38"/>
  <c r="AH28" i="38"/>
  <c r="AJ27" i="38"/>
  <c r="AH27" i="38"/>
  <c r="AB148" i="30" l="1"/>
  <c r="X148" i="30"/>
  <c r="P156" i="30"/>
  <c r="X156" i="30"/>
  <c r="V149" i="30"/>
  <c r="X149" i="30"/>
  <c r="Z157" i="30"/>
  <c r="X157" i="30"/>
  <c r="Z151" i="30"/>
  <c r="X151" i="30"/>
  <c r="Z163" i="30"/>
  <c r="X163" i="30"/>
  <c r="Z152" i="30"/>
  <c r="X152" i="30"/>
  <c r="P164" i="30"/>
  <c r="V164" i="30"/>
  <c r="Z164" i="30"/>
  <c r="V163" i="30"/>
  <c r="P163" i="30"/>
  <c r="P158" i="30"/>
  <c r="V158" i="30"/>
  <c r="Z158" i="30"/>
  <c r="P157" i="30"/>
  <c r="V157" i="30"/>
  <c r="Z156" i="30"/>
  <c r="V156" i="30"/>
  <c r="V154" i="30"/>
  <c r="P154" i="30"/>
  <c r="Z154" i="30"/>
  <c r="P153" i="30"/>
  <c r="V153" i="30"/>
  <c r="Z153" i="30"/>
  <c r="V152" i="30"/>
  <c r="P152" i="30"/>
  <c r="V151" i="30"/>
  <c r="P151" i="30"/>
  <c r="Z150" i="30"/>
  <c r="X150" i="30"/>
  <c r="AB150" i="30"/>
  <c r="P150" i="30"/>
  <c r="V150" i="30"/>
  <c r="Z149" i="30"/>
  <c r="AB149" i="30"/>
  <c r="P149" i="30"/>
  <c r="P148" i="30"/>
  <c r="V148" i="30"/>
  <c r="Z148" i="30"/>
  <c r="T147" i="30"/>
  <c r="T146" i="30"/>
  <c r="T145" i="30"/>
  <c r="T144" i="30"/>
  <c r="T143" i="30"/>
  <c r="AC143" i="30"/>
  <c r="Q143" i="30"/>
  <c r="AC144" i="30"/>
  <c r="Q144" i="30"/>
  <c r="AC145" i="30"/>
  <c r="Q145" i="30"/>
  <c r="AC146" i="30"/>
  <c r="Q146" i="30"/>
  <c r="AC147" i="30"/>
  <c r="S141" i="30"/>
  <c r="K141" i="30"/>
  <c r="K142" i="30"/>
  <c r="R141" i="30"/>
  <c r="J141" i="30"/>
  <c r="Y141" i="30"/>
  <c r="O141" i="30"/>
  <c r="M141" i="30"/>
  <c r="S142" i="30"/>
  <c r="R142" i="30"/>
  <c r="J142" i="30"/>
  <c r="Y142" i="30"/>
  <c r="O142" i="30"/>
  <c r="M142" i="30"/>
  <c r="K173" i="30"/>
  <c r="S173" i="30"/>
  <c r="T173" i="30" s="1"/>
  <c r="P173" i="30" s="1"/>
  <c r="R173" i="30"/>
  <c r="J173" i="30"/>
  <c r="Y173" i="30"/>
  <c r="Z173" i="30" s="1"/>
  <c r="O173" i="30"/>
  <c r="M173" i="30"/>
  <c r="N139" i="30"/>
  <c r="N138" i="30"/>
  <c r="N137" i="30"/>
  <c r="N136" i="30"/>
  <c r="Z135" i="23"/>
  <c r="N135" i="30"/>
  <c r="H59" i="56"/>
  <c r="G59" i="56"/>
  <c r="F59" i="56"/>
  <c r="C59" i="56"/>
  <c r="H58" i="56"/>
  <c r="G58" i="56"/>
  <c r="F58" i="56"/>
  <c r="C58" i="56"/>
  <c r="AB147" i="30" l="1"/>
  <c r="X147" i="30"/>
  <c r="P147" i="30"/>
  <c r="V147" i="30"/>
  <c r="Z147" i="30"/>
  <c r="AB146" i="30"/>
  <c r="X146" i="30"/>
  <c r="P146" i="30"/>
  <c r="V146" i="30"/>
  <c r="Z146" i="30"/>
  <c r="AB145" i="30"/>
  <c r="X145" i="30"/>
  <c r="K124" i="56" s="1"/>
  <c r="P145" i="30"/>
  <c r="V145" i="30"/>
  <c r="J124" i="56" s="1"/>
  <c r="Z145" i="30"/>
  <c r="Z144" i="30"/>
  <c r="X144" i="30"/>
  <c r="K127" i="56" s="1"/>
  <c r="AB144" i="30"/>
  <c r="P144" i="30"/>
  <c r="V144" i="30"/>
  <c r="J127" i="56" s="1"/>
  <c r="X143" i="30"/>
  <c r="AB143" i="30"/>
  <c r="P143" i="30"/>
  <c r="V143" i="30"/>
  <c r="Z143" i="30"/>
  <c r="T142" i="30"/>
  <c r="T141" i="30"/>
  <c r="AB141" i="30" s="1"/>
  <c r="Q141" i="30"/>
  <c r="AC141" i="30"/>
  <c r="AC142" i="30"/>
  <c r="Q142" i="30"/>
  <c r="AC173" i="30"/>
  <c r="Q173" i="30"/>
  <c r="H99" i="56"/>
  <c r="G99" i="56"/>
  <c r="F99" i="56"/>
  <c r="C99" i="56"/>
  <c r="H94" i="56"/>
  <c r="G94" i="56"/>
  <c r="F94" i="56"/>
  <c r="C94" i="56"/>
  <c r="H93" i="56"/>
  <c r="G93" i="56"/>
  <c r="F93" i="56"/>
  <c r="C93" i="56"/>
  <c r="H57" i="56"/>
  <c r="G57" i="56"/>
  <c r="F57" i="56"/>
  <c r="C57" i="56"/>
  <c r="H56" i="56"/>
  <c r="G56" i="56"/>
  <c r="F56" i="56"/>
  <c r="C56" i="56"/>
  <c r="H61" i="56"/>
  <c r="G61" i="56"/>
  <c r="F61" i="56"/>
  <c r="H60" i="56"/>
  <c r="G60" i="56"/>
  <c r="F60" i="56"/>
  <c r="C60" i="56"/>
  <c r="L127" i="56" l="1"/>
  <c r="L124" i="56"/>
  <c r="AB142" i="30"/>
  <c r="X142" i="30"/>
  <c r="P142" i="30"/>
  <c r="V142" i="30"/>
  <c r="Z142" i="30"/>
  <c r="Z141" i="30"/>
  <c r="X141" i="30"/>
  <c r="P141" i="30"/>
  <c r="V141" i="30"/>
  <c r="C95" i="56" l="1"/>
  <c r="H98" i="56"/>
  <c r="G98" i="56"/>
  <c r="F98" i="56"/>
  <c r="H97" i="56"/>
  <c r="G97" i="56"/>
  <c r="F97" i="56"/>
  <c r="H96" i="56"/>
  <c r="G96" i="56"/>
  <c r="F96" i="56"/>
  <c r="H95" i="56"/>
  <c r="G95" i="56"/>
  <c r="F95" i="56"/>
  <c r="H92" i="56"/>
  <c r="G92" i="56"/>
  <c r="F92" i="56"/>
  <c r="H91" i="56"/>
  <c r="G91" i="56"/>
  <c r="F91" i="56"/>
  <c r="H90" i="56"/>
  <c r="G90" i="56"/>
  <c r="F90" i="56"/>
  <c r="H89" i="56"/>
  <c r="G89" i="56"/>
  <c r="F89" i="56"/>
  <c r="C89" i="56"/>
  <c r="H37" i="56"/>
  <c r="G37" i="56"/>
  <c r="F37" i="56"/>
  <c r="H36" i="56"/>
  <c r="G36" i="56"/>
  <c r="F36" i="56"/>
  <c r="H35" i="56"/>
  <c r="G35" i="56"/>
  <c r="F35" i="56"/>
  <c r="H34" i="56"/>
  <c r="G34" i="56"/>
  <c r="F34" i="56"/>
  <c r="C34" i="56"/>
  <c r="H6" i="56"/>
  <c r="G6" i="56"/>
  <c r="F6" i="56"/>
  <c r="H5" i="56"/>
  <c r="G5" i="56"/>
  <c r="F5" i="56"/>
  <c r="C5" i="56"/>
  <c r="C100" i="56" l="1"/>
  <c r="F100" i="56"/>
  <c r="F76" i="56"/>
  <c r="F75" i="56"/>
  <c r="F85" i="56"/>
  <c r="F84" i="56"/>
  <c r="F83" i="56"/>
  <c r="F82" i="56"/>
  <c r="F88" i="56"/>
  <c r="F87" i="56"/>
  <c r="F86" i="56"/>
  <c r="F71" i="56"/>
  <c r="F67" i="56"/>
  <c r="F66" i="56"/>
  <c r="F65" i="56"/>
  <c r="F64" i="56"/>
  <c r="F74" i="56"/>
  <c r="F73" i="56"/>
  <c r="F72" i="56"/>
  <c r="F70" i="56"/>
  <c r="F69" i="56"/>
  <c r="F68" i="56"/>
  <c r="F81" i="56"/>
  <c r="F80" i="56"/>
  <c r="F79" i="56"/>
  <c r="F78" i="56"/>
  <c r="F77" i="56"/>
  <c r="F48" i="56"/>
  <c r="F47" i="56"/>
  <c r="F46" i="56"/>
  <c r="F45" i="56"/>
  <c r="F44" i="56"/>
  <c r="F55" i="56"/>
  <c r="F54" i="56"/>
  <c r="F53" i="56"/>
  <c r="F52" i="56"/>
  <c r="F43" i="56"/>
  <c r="F42" i="56"/>
  <c r="F41" i="56"/>
  <c r="F51" i="56"/>
  <c r="F50" i="56"/>
  <c r="F49" i="56"/>
  <c r="F40" i="56"/>
  <c r="F39" i="56"/>
  <c r="F38" i="56"/>
  <c r="F23" i="56"/>
  <c r="F22" i="56"/>
  <c r="F21" i="56"/>
  <c r="F30" i="56"/>
  <c r="F29" i="56"/>
  <c r="F28" i="56"/>
  <c r="F27" i="56"/>
  <c r="F26" i="56"/>
  <c r="F16" i="56"/>
  <c r="F15" i="56"/>
  <c r="F14" i="56"/>
  <c r="F13" i="56"/>
  <c r="F12" i="56"/>
  <c r="F11" i="56"/>
  <c r="F10" i="56"/>
  <c r="F9" i="56"/>
  <c r="F8" i="56"/>
  <c r="F7" i="56"/>
  <c r="F25" i="56"/>
  <c r="F24" i="56"/>
  <c r="F20" i="56"/>
  <c r="F19" i="56"/>
  <c r="F18" i="56"/>
  <c r="F17" i="56"/>
  <c r="F33" i="56"/>
  <c r="F32" i="56"/>
  <c r="F31" i="56"/>
  <c r="G100" i="56"/>
  <c r="G76" i="56"/>
  <c r="G75" i="56"/>
  <c r="G85" i="56"/>
  <c r="G84" i="56"/>
  <c r="G83" i="56"/>
  <c r="G82" i="56"/>
  <c r="G88" i="56"/>
  <c r="G87" i="56"/>
  <c r="G86" i="56"/>
  <c r="G71" i="56"/>
  <c r="G67" i="56"/>
  <c r="G66" i="56"/>
  <c r="G65" i="56"/>
  <c r="G64" i="56"/>
  <c r="G74" i="56"/>
  <c r="G73" i="56"/>
  <c r="G72" i="56"/>
  <c r="G70" i="56"/>
  <c r="G69" i="56"/>
  <c r="G68" i="56"/>
  <c r="G81" i="56"/>
  <c r="G80" i="56"/>
  <c r="G79" i="56"/>
  <c r="G78" i="56"/>
  <c r="G77" i="56"/>
  <c r="G48" i="56"/>
  <c r="G47" i="56"/>
  <c r="G46" i="56"/>
  <c r="G45" i="56"/>
  <c r="G44" i="56"/>
  <c r="G55" i="56"/>
  <c r="G54" i="56"/>
  <c r="G53" i="56"/>
  <c r="G52" i="56"/>
  <c r="G43" i="56"/>
  <c r="G42" i="56"/>
  <c r="G41" i="56"/>
  <c r="G51" i="56"/>
  <c r="G50" i="56"/>
  <c r="G49" i="56"/>
  <c r="G40" i="56"/>
  <c r="G39" i="56"/>
  <c r="G38" i="56"/>
  <c r="G23" i="56"/>
  <c r="G22" i="56"/>
  <c r="G21" i="56"/>
  <c r="G30" i="56"/>
  <c r="G29" i="56"/>
  <c r="G28" i="56"/>
  <c r="G27" i="56"/>
  <c r="G26" i="56"/>
  <c r="G16" i="56"/>
  <c r="G15" i="56"/>
  <c r="G14" i="56"/>
  <c r="G13" i="56"/>
  <c r="G12" i="56"/>
  <c r="G11" i="56"/>
  <c r="G10" i="56"/>
  <c r="G9" i="56"/>
  <c r="G8" i="56"/>
  <c r="G7" i="56"/>
  <c r="G25" i="56"/>
  <c r="G24" i="56"/>
  <c r="G20" i="56"/>
  <c r="G19" i="56"/>
  <c r="G18" i="56"/>
  <c r="G17" i="56"/>
  <c r="G33" i="56"/>
  <c r="G32" i="56"/>
  <c r="G31" i="56"/>
  <c r="H100" i="56"/>
  <c r="H76" i="56"/>
  <c r="H75" i="56"/>
  <c r="H85" i="56"/>
  <c r="H84" i="56"/>
  <c r="H83" i="56"/>
  <c r="H82" i="56"/>
  <c r="H88" i="56"/>
  <c r="H87" i="56"/>
  <c r="H86" i="56"/>
  <c r="H71" i="56"/>
  <c r="H67" i="56"/>
  <c r="H66" i="56"/>
  <c r="H65" i="56"/>
  <c r="H64" i="56"/>
  <c r="H74" i="56"/>
  <c r="H73" i="56"/>
  <c r="H72" i="56"/>
  <c r="H70" i="56"/>
  <c r="H69" i="56"/>
  <c r="H68" i="56"/>
  <c r="H81" i="56"/>
  <c r="H80" i="56"/>
  <c r="H79" i="56"/>
  <c r="H78" i="56"/>
  <c r="H77" i="56"/>
  <c r="H48" i="56"/>
  <c r="H47" i="56"/>
  <c r="H46" i="56"/>
  <c r="H45" i="56"/>
  <c r="H44" i="56"/>
  <c r="H55" i="56"/>
  <c r="H54" i="56"/>
  <c r="H53" i="56"/>
  <c r="H52" i="56"/>
  <c r="H43" i="56"/>
  <c r="H42" i="56"/>
  <c r="H41" i="56"/>
  <c r="H51" i="56"/>
  <c r="H50" i="56"/>
  <c r="H49" i="56"/>
  <c r="H40" i="56"/>
  <c r="H39" i="56"/>
  <c r="H38" i="56"/>
  <c r="H23" i="56"/>
  <c r="H22" i="56"/>
  <c r="H21" i="56"/>
  <c r="H30" i="56"/>
  <c r="H29" i="56"/>
  <c r="H28" i="56"/>
  <c r="H27" i="56"/>
  <c r="H26" i="56"/>
  <c r="H16" i="56"/>
  <c r="H15" i="56"/>
  <c r="H14" i="56"/>
  <c r="H13" i="56"/>
  <c r="H12" i="56"/>
  <c r="H11" i="56"/>
  <c r="H10" i="56"/>
  <c r="H9" i="56"/>
  <c r="H8" i="56"/>
  <c r="H7" i="56"/>
  <c r="H25" i="56"/>
  <c r="H24" i="56"/>
  <c r="H20" i="56"/>
  <c r="H19" i="56"/>
  <c r="H18" i="56"/>
  <c r="H17" i="56"/>
  <c r="H33" i="56"/>
  <c r="H32" i="56"/>
  <c r="H31" i="56"/>
  <c r="K78" i="56"/>
  <c r="K77" i="56"/>
  <c r="K66" i="56"/>
  <c r="L66" i="56" s="1"/>
  <c r="N134" i="30" l="1"/>
  <c r="N132" i="30"/>
  <c r="N131" i="30"/>
  <c r="N130" i="30"/>
  <c r="N129" i="30"/>
  <c r="N128" i="30"/>
  <c r="N127" i="30"/>
  <c r="N126" i="30"/>
  <c r="N125" i="30"/>
  <c r="N124" i="30"/>
  <c r="N123" i="30"/>
  <c r="N122" i="30"/>
  <c r="N121" i="30"/>
  <c r="N120" i="30"/>
  <c r="N119" i="30"/>
  <c r="N118" i="30"/>
  <c r="N117" i="30"/>
  <c r="N116" i="30"/>
  <c r="N115" i="30"/>
  <c r="N114" i="30"/>
  <c r="N113" i="30"/>
  <c r="N112" i="30"/>
  <c r="N111" i="30"/>
  <c r="N110" i="30"/>
  <c r="N109" i="30"/>
  <c r="N108" i="30"/>
  <c r="N107" i="30"/>
  <c r="N106" i="30"/>
  <c r="N105" i="30"/>
  <c r="N104" i="30"/>
  <c r="N103" i="30"/>
  <c r="N102" i="30"/>
  <c r="N101" i="30"/>
  <c r="N100" i="30"/>
  <c r="N99" i="30"/>
  <c r="N98" i="30"/>
  <c r="N97" i="30"/>
  <c r="N96" i="30"/>
  <c r="N95" i="30"/>
  <c r="N94" i="30"/>
  <c r="N93" i="30"/>
  <c r="N92" i="30"/>
  <c r="N91" i="30"/>
  <c r="N90" i="30"/>
  <c r="N89" i="30"/>
  <c r="N88" i="30"/>
  <c r="N87" i="30"/>
  <c r="N86" i="30"/>
  <c r="N85" i="30"/>
  <c r="N84" i="30"/>
  <c r="N83" i="30"/>
  <c r="N82" i="30"/>
  <c r="N81" i="30"/>
  <c r="N80" i="30"/>
  <c r="N79" i="30"/>
  <c r="N78" i="30"/>
  <c r="N77" i="30"/>
  <c r="N76" i="30"/>
  <c r="N75" i="30"/>
  <c r="N74" i="30"/>
  <c r="N73" i="30"/>
  <c r="N72" i="30"/>
  <c r="N71" i="30"/>
  <c r="N70" i="30"/>
  <c r="N69" i="30"/>
  <c r="N68" i="30"/>
  <c r="N67" i="30"/>
  <c r="N66" i="30"/>
  <c r="N65" i="30"/>
  <c r="N64" i="30"/>
  <c r="N63" i="30"/>
  <c r="N62" i="30"/>
  <c r="N61" i="30"/>
  <c r="N60" i="30"/>
  <c r="N59" i="30"/>
  <c r="N56" i="30"/>
  <c r="N55" i="30"/>
  <c r="N54" i="30"/>
  <c r="N53" i="30"/>
  <c r="N52" i="30"/>
  <c r="N51" i="30"/>
  <c r="N50" i="30"/>
  <c r="N49" i="30"/>
  <c r="N48" i="30"/>
  <c r="N47" i="30"/>
  <c r="N46" i="30"/>
  <c r="N45" i="30"/>
  <c r="N44" i="30"/>
  <c r="N43" i="30"/>
  <c r="N42" i="30"/>
  <c r="N41" i="30"/>
  <c r="N40" i="30"/>
  <c r="N39" i="30"/>
  <c r="N38" i="30"/>
  <c r="N37" i="30"/>
  <c r="N36" i="30"/>
  <c r="N35" i="30"/>
  <c r="N34" i="30"/>
  <c r="N33" i="30"/>
  <c r="N32" i="30"/>
  <c r="N30" i="30"/>
  <c r="N29" i="30"/>
  <c r="N28" i="30"/>
  <c r="N27" i="30"/>
  <c r="N26" i="30"/>
  <c r="N25" i="30"/>
  <c r="N24" i="30"/>
  <c r="N23" i="30"/>
  <c r="N22" i="30"/>
  <c r="N21" i="30"/>
  <c r="N20" i="30"/>
  <c r="N19" i="30"/>
  <c r="N18" i="30"/>
  <c r="N17" i="30"/>
  <c r="N16" i="30"/>
  <c r="N15" i="30"/>
  <c r="N13" i="30"/>
  <c r="N12" i="30"/>
  <c r="N11" i="30"/>
  <c r="N10" i="30"/>
  <c r="N9" i="30"/>
  <c r="N8" i="30"/>
  <c r="N7" i="30"/>
  <c r="N6" i="30"/>
  <c r="N5" i="30"/>
  <c r="N4" i="30"/>
  <c r="N3" i="30"/>
  <c r="Z2" i="23"/>
  <c r="Z3" i="23"/>
  <c r="Z4" i="23"/>
  <c r="Z5" i="23"/>
  <c r="Z6" i="23"/>
  <c r="Z7" i="23"/>
  <c r="Z8" i="23"/>
  <c r="Z9" i="23"/>
  <c r="Z10" i="23"/>
  <c r="Z11" i="23"/>
  <c r="Z12" i="23"/>
  <c r="Z13" i="23"/>
  <c r="Z14" i="23"/>
  <c r="Z15" i="23"/>
  <c r="Z16" i="23"/>
  <c r="Z17" i="23"/>
  <c r="Z18" i="23"/>
  <c r="Z19" i="23"/>
  <c r="Z20" i="23"/>
  <c r="Z21" i="23"/>
  <c r="Z22" i="23"/>
  <c r="Z23" i="23"/>
  <c r="Z24" i="23"/>
  <c r="Z25" i="23"/>
  <c r="Z26" i="23"/>
  <c r="Z27" i="23"/>
  <c r="Z28" i="23"/>
  <c r="Z29" i="23"/>
  <c r="Z30" i="23"/>
  <c r="Z31" i="23"/>
  <c r="Z32" i="23"/>
  <c r="Z33" i="23"/>
  <c r="Z34" i="23"/>
  <c r="Z35" i="23"/>
  <c r="Z36" i="23"/>
  <c r="Z37" i="23"/>
  <c r="Z38" i="23"/>
  <c r="Z39" i="23"/>
  <c r="Z40" i="23"/>
  <c r="Z41" i="23"/>
  <c r="Z42" i="23"/>
  <c r="Z43" i="23"/>
  <c r="Z44" i="23"/>
  <c r="Z45" i="23"/>
  <c r="Z46" i="23"/>
  <c r="Z47" i="23"/>
  <c r="Z48" i="23"/>
  <c r="Z49" i="23"/>
  <c r="Z50" i="23"/>
  <c r="Z51" i="23"/>
  <c r="Z52" i="23"/>
  <c r="Z53" i="23"/>
  <c r="Z54" i="23"/>
  <c r="Z55" i="23"/>
  <c r="Z56" i="23"/>
  <c r="Z57" i="23"/>
  <c r="Z58" i="23"/>
  <c r="Z59" i="23"/>
  <c r="Z60" i="23"/>
  <c r="Z61" i="23"/>
  <c r="Z62" i="23"/>
  <c r="Z63" i="23"/>
  <c r="Z64" i="23"/>
  <c r="Z65" i="23"/>
  <c r="Z66" i="23"/>
  <c r="Z67" i="23"/>
  <c r="Z68" i="23"/>
  <c r="Z69" i="23"/>
  <c r="Z70" i="23"/>
  <c r="Z71" i="23"/>
  <c r="Z73" i="23"/>
  <c r="Z74" i="23"/>
  <c r="Z75" i="23"/>
  <c r="Z76" i="23"/>
  <c r="Z77" i="23"/>
  <c r="Z79" i="23"/>
  <c r="Z80" i="23"/>
  <c r="Z81" i="23"/>
  <c r="Z82" i="23"/>
  <c r="Z83" i="23"/>
  <c r="Z85" i="23"/>
  <c r="Z90" i="23"/>
  <c r="Z91" i="23"/>
  <c r="Z92" i="23"/>
  <c r="Z93" i="23"/>
  <c r="Z94" i="23"/>
  <c r="Z95" i="23"/>
  <c r="Z96" i="23"/>
  <c r="Z97" i="23"/>
  <c r="Z99" i="23"/>
  <c r="Z101" i="23"/>
  <c r="Z102" i="23"/>
  <c r="Z103" i="23"/>
  <c r="Z104" i="23"/>
  <c r="Z105" i="23"/>
  <c r="Z106" i="23"/>
  <c r="Z107" i="23"/>
  <c r="Z108" i="23"/>
  <c r="Z109" i="23"/>
  <c r="Z110" i="23"/>
  <c r="Z111" i="23"/>
  <c r="Z112" i="23"/>
  <c r="Z113" i="23"/>
  <c r="Z114" i="23"/>
  <c r="Z115" i="23"/>
  <c r="Z116" i="23"/>
  <c r="Z117" i="23"/>
  <c r="Z118" i="23"/>
  <c r="Z120" i="23"/>
  <c r="Z121" i="23"/>
  <c r="Z122" i="23"/>
  <c r="Z123" i="23"/>
  <c r="Z124" i="23"/>
  <c r="Z125" i="23"/>
  <c r="Z126" i="23"/>
  <c r="Z127" i="23"/>
  <c r="Z128" i="23"/>
  <c r="Z129" i="23"/>
  <c r="Z130" i="23"/>
  <c r="Z132" i="23"/>
  <c r="Z133" i="23"/>
  <c r="Z134" i="23"/>
  <c r="Z137" i="23"/>
  <c r="Z138" i="23"/>
  <c r="Z139" i="23"/>
  <c r="Z140" i="23"/>
  <c r="Z141" i="23"/>
  <c r="Z142" i="23"/>
  <c r="Z143" i="23"/>
  <c r="Z144" i="23"/>
  <c r="Z145" i="23"/>
  <c r="Z146" i="23"/>
  <c r="Z147" i="23"/>
  <c r="Z148" i="23"/>
  <c r="Z149" i="23"/>
  <c r="Z150" i="23"/>
  <c r="Z151" i="23"/>
  <c r="Z152" i="23"/>
  <c r="Z153" i="23"/>
  <c r="Z154" i="23"/>
  <c r="Z155" i="23"/>
  <c r="Z156" i="23"/>
  <c r="Z157" i="23"/>
  <c r="Z158" i="23"/>
  <c r="Z159" i="23"/>
  <c r="Z160" i="23"/>
  <c r="Z161" i="23"/>
  <c r="Z162" i="23"/>
  <c r="Z163" i="23"/>
  <c r="Z164" i="23"/>
  <c r="Z165" i="23"/>
  <c r="Z166" i="23"/>
  <c r="Z167" i="23"/>
  <c r="Z168" i="23"/>
  <c r="Z169" i="23"/>
  <c r="Z170" i="23"/>
  <c r="Z171" i="23"/>
  <c r="Z172" i="23"/>
  <c r="Z173" i="23"/>
  <c r="Z174" i="23"/>
  <c r="Z175" i="23"/>
  <c r="Z176" i="23"/>
  <c r="Z177" i="23"/>
  <c r="Z178" i="23"/>
  <c r="Z179" i="23"/>
  <c r="Z180" i="23"/>
  <c r="Z181" i="23"/>
  <c r="Z182" i="23"/>
  <c r="Z183" i="23"/>
  <c r="Z184" i="23"/>
  <c r="Z185" i="23"/>
  <c r="Z186" i="23"/>
  <c r="Z187" i="23"/>
  <c r="Z188" i="23"/>
  <c r="Z189" i="23"/>
  <c r="Z190" i="23"/>
  <c r="Z191" i="23"/>
  <c r="Z192" i="23"/>
  <c r="Z193" i="23"/>
  <c r="Z194" i="23"/>
  <c r="Z195" i="23"/>
  <c r="Z196" i="23"/>
  <c r="Z197" i="23"/>
  <c r="Z198" i="23"/>
  <c r="Z199" i="23"/>
  <c r="Z200" i="23"/>
  <c r="Z201" i="23"/>
  <c r="Z202" i="23"/>
  <c r="Z203" i="23"/>
  <c r="Z204" i="23"/>
  <c r="Z205" i="23"/>
  <c r="Z206" i="23"/>
  <c r="Z207" i="23"/>
  <c r="Z208" i="23"/>
  <c r="Z209" i="23"/>
  <c r="Z210" i="23"/>
  <c r="Z211" i="23"/>
  <c r="Z212" i="23"/>
  <c r="Z213" i="23"/>
  <c r="Z214" i="23"/>
  <c r="Z215" i="23"/>
  <c r="Z216" i="23"/>
  <c r="Z217" i="23"/>
  <c r="Z218" i="23"/>
  <c r="Z219" i="23"/>
  <c r="Z220" i="23"/>
  <c r="Z221" i="23"/>
  <c r="Z222" i="23"/>
  <c r="Z223" i="23"/>
  <c r="Z224" i="23"/>
  <c r="Z225" i="23"/>
  <c r="Z226" i="23"/>
  <c r="Z227" i="23"/>
  <c r="Z228" i="23"/>
  <c r="Z229" i="23"/>
  <c r="Z230" i="23"/>
  <c r="Z231" i="23"/>
  <c r="Z232" i="23"/>
  <c r="Z233" i="23"/>
  <c r="Z234" i="23"/>
  <c r="Z235" i="23"/>
  <c r="Z236" i="23"/>
  <c r="Z237" i="23"/>
  <c r="Z238" i="23"/>
  <c r="Z239" i="23"/>
  <c r="Z240" i="23"/>
  <c r="Z241" i="23"/>
  <c r="Z242" i="23"/>
  <c r="Z243" i="23"/>
  <c r="Z244" i="23"/>
  <c r="Z245" i="23"/>
  <c r="Z246" i="23"/>
  <c r="Z247" i="23"/>
  <c r="Z248" i="23"/>
  <c r="Z249" i="23"/>
  <c r="Z250" i="23"/>
  <c r="Z251" i="23"/>
  <c r="Z252" i="23"/>
  <c r="Z253" i="23"/>
  <c r="Z254" i="23"/>
  <c r="Z255" i="23"/>
  <c r="Z256" i="23"/>
  <c r="Z257" i="23"/>
  <c r="Z258" i="23"/>
  <c r="Z259" i="23"/>
  <c r="Z260" i="23"/>
  <c r="Z261" i="23"/>
  <c r="Z262" i="23"/>
  <c r="Z263" i="23"/>
  <c r="Z264" i="23"/>
  <c r="Z265" i="23"/>
  <c r="Z266" i="23"/>
  <c r="Z267" i="23"/>
  <c r="Z268" i="23"/>
  <c r="Z269" i="23"/>
  <c r="Z270" i="23"/>
  <c r="Z271" i="23"/>
  <c r="Z272" i="23"/>
  <c r="Z273" i="23"/>
  <c r="Z274" i="23"/>
  <c r="Z275" i="23"/>
  <c r="Z276" i="23"/>
  <c r="Z277" i="23"/>
  <c r="Z278" i="23"/>
  <c r="Z279" i="23"/>
  <c r="Z280" i="23"/>
  <c r="Z281" i="23"/>
  <c r="Z282" i="23"/>
  <c r="Z283" i="23"/>
  <c r="Z284" i="23"/>
  <c r="Z285" i="23"/>
  <c r="Z286" i="23"/>
  <c r="Z287" i="23"/>
  <c r="Z288" i="23"/>
  <c r="Z289" i="23"/>
  <c r="Z290" i="23"/>
  <c r="Z291" i="23"/>
  <c r="Z292" i="23"/>
  <c r="Z293" i="23"/>
  <c r="Z294" i="23"/>
  <c r="Z295" i="23"/>
  <c r="Z296" i="23"/>
  <c r="Z297" i="23"/>
  <c r="Z298" i="23"/>
  <c r="Z299" i="23"/>
  <c r="Z300" i="23"/>
  <c r="Z301" i="23"/>
  <c r="Z302" i="23"/>
  <c r="Z303" i="23"/>
  <c r="Z304" i="23"/>
  <c r="Z305" i="23"/>
  <c r="Z306" i="23"/>
  <c r="Z307" i="23"/>
  <c r="Z308" i="23"/>
  <c r="Z309" i="23"/>
  <c r="Z310" i="23"/>
  <c r="Z311" i="23"/>
  <c r="Z312" i="23"/>
  <c r="Z313" i="23"/>
  <c r="Z314" i="23"/>
  <c r="Z315" i="23"/>
  <c r="Z316" i="23"/>
  <c r="Z317" i="23"/>
  <c r="Z318" i="23"/>
  <c r="Z319" i="23"/>
  <c r="Z320" i="23"/>
  <c r="Z321" i="23"/>
  <c r="Z322" i="23"/>
  <c r="Z323" i="23"/>
  <c r="Z324" i="23"/>
  <c r="Z325" i="23"/>
  <c r="Z326" i="23"/>
  <c r="Z327" i="23"/>
  <c r="Z328" i="23"/>
  <c r="Z329" i="23"/>
  <c r="Z330" i="23"/>
  <c r="Z331" i="23"/>
  <c r="Z332" i="23"/>
  <c r="Z333" i="23"/>
  <c r="Z334" i="23"/>
  <c r="Z335" i="23"/>
  <c r="Z336" i="23"/>
  <c r="Z337" i="23"/>
  <c r="Z338" i="23"/>
  <c r="Z339" i="23"/>
  <c r="Z340" i="23"/>
  <c r="Z341" i="23"/>
  <c r="Z342" i="23"/>
  <c r="Z343" i="23"/>
  <c r="Z344" i="23"/>
  <c r="Z345" i="23"/>
  <c r="Z346" i="23"/>
  <c r="Z347" i="23"/>
  <c r="Z348" i="23"/>
  <c r="Z349" i="23"/>
  <c r="Z350" i="23"/>
  <c r="Z351" i="23"/>
  <c r="Z352" i="23"/>
  <c r="Z353" i="23"/>
  <c r="Z354" i="23"/>
  <c r="Z355" i="23"/>
  <c r="Z356" i="23"/>
  <c r="Z357" i="23"/>
  <c r="Z358" i="23"/>
  <c r="Z359" i="23"/>
  <c r="Z360" i="23"/>
  <c r="Z361" i="23"/>
  <c r="Z362" i="23"/>
  <c r="Z363" i="23"/>
  <c r="Z364" i="23"/>
  <c r="Z365" i="23"/>
  <c r="Z366" i="23"/>
  <c r="Z367" i="23"/>
  <c r="Z368" i="23"/>
  <c r="Z369" i="23"/>
  <c r="Z370" i="23"/>
  <c r="Z371" i="23"/>
  <c r="Z372" i="23"/>
  <c r="Z373" i="23"/>
  <c r="Z374" i="23"/>
  <c r="Z375" i="23"/>
  <c r="Z376" i="23"/>
  <c r="Z377" i="23"/>
  <c r="Z378" i="23"/>
  <c r="Z379" i="23"/>
  <c r="Z380" i="23"/>
  <c r="Z381" i="23"/>
  <c r="Z382" i="23"/>
  <c r="Z383" i="23"/>
  <c r="Z384" i="23"/>
  <c r="Z385" i="23"/>
  <c r="Z386" i="23"/>
  <c r="Z387" i="23"/>
  <c r="Z388" i="23"/>
  <c r="Z389" i="23"/>
  <c r="Z390" i="23"/>
  <c r="Z391" i="23"/>
  <c r="Z392" i="23"/>
  <c r="Z393" i="23"/>
  <c r="Z394" i="23"/>
  <c r="Z395" i="23"/>
  <c r="Z396" i="23"/>
  <c r="Z397" i="23"/>
  <c r="Z398" i="23"/>
  <c r="Z399" i="23"/>
  <c r="Z400" i="23"/>
  <c r="Z401" i="23"/>
  <c r="Z402" i="23"/>
  <c r="Z403" i="23"/>
  <c r="Z404" i="23"/>
  <c r="Z405" i="23"/>
  <c r="Z406" i="23"/>
  <c r="Z407" i="23"/>
  <c r="Z408" i="23"/>
  <c r="Z409" i="23"/>
  <c r="Z410" i="23"/>
  <c r="Z411" i="23"/>
  <c r="Z412" i="23"/>
  <c r="Z413" i="23"/>
  <c r="Z414" i="23"/>
  <c r="Z415" i="23"/>
  <c r="Z416" i="23"/>
  <c r="Z417" i="23"/>
  <c r="Z418" i="23"/>
  <c r="Z419" i="23"/>
  <c r="Z420" i="23"/>
  <c r="Z421" i="23"/>
  <c r="Z422" i="23"/>
  <c r="Z423" i="23"/>
  <c r="Z424" i="23"/>
  <c r="Z425" i="23"/>
  <c r="Z426" i="23"/>
  <c r="Z427" i="23"/>
  <c r="Z428" i="23"/>
  <c r="Z429" i="23"/>
  <c r="Z430" i="23"/>
  <c r="Z431" i="23"/>
  <c r="Z432" i="23"/>
  <c r="Z433" i="23"/>
  <c r="Z434" i="23"/>
  <c r="Z435" i="23"/>
  <c r="Z436" i="23"/>
  <c r="Z437" i="23"/>
  <c r="Z438" i="23"/>
  <c r="Z439" i="23"/>
  <c r="Z440" i="23"/>
  <c r="Z441" i="23"/>
  <c r="Z442" i="23"/>
  <c r="Z443" i="23"/>
  <c r="Z444" i="23"/>
  <c r="Z445" i="23"/>
  <c r="Z446" i="23"/>
  <c r="Z447" i="23"/>
  <c r="Z448" i="23"/>
  <c r="Z449" i="23"/>
  <c r="Z450" i="23"/>
  <c r="Z451" i="23"/>
  <c r="Z452" i="23"/>
  <c r="Z453" i="23"/>
  <c r="Z454" i="23"/>
  <c r="Z455" i="23"/>
  <c r="Z456" i="23"/>
  <c r="Z457" i="23"/>
  <c r="Z458" i="23"/>
  <c r="Z459" i="23"/>
  <c r="Z460" i="23"/>
  <c r="Z461" i="23"/>
  <c r="Z462" i="23"/>
  <c r="Z463" i="23"/>
  <c r="Z464" i="23"/>
  <c r="Z465" i="23"/>
  <c r="Z466" i="23"/>
  <c r="Z467" i="23"/>
  <c r="Z468" i="23"/>
  <c r="Z469" i="23"/>
  <c r="Z470" i="23"/>
  <c r="Z471" i="23"/>
  <c r="Z472" i="23"/>
  <c r="Z473" i="23"/>
  <c r="Z474" i="23"/>
  <c r="Z475" i="23"/>
  <c r="Z476" i="23"/>
  <c r="Z477" i="23"/>
  <c r="Z478" i="23"/>
  <c r="Z479" i="23"/>
  <c r="Z480" i="23"/>
  <c r="Z481" i="23"/>
  <c r="Z482" i="23"/>
  <c r="Z483" i="23"/>
  <c r="Z484" i="23"/>
  <c r="Z485" i="23"/>
  <c r="Z486" i="23"/>
  <c r="Z487" i="23"/>
  <c r="Z488" i="23"/>
  <c r="Z489" i="23"/>
  <c r="Z490" i="23"/>
  <c r="Z491" i="23"/>
  <c r="Z492" i="23"/>
  <c r="Z493" i="23"/>
  <c r="Z494" i="23"/>
  <c r="Z495" i="23"/>
  <c r="Z496" i="23"/>
  <c r="Z497" i="23"/>
  <c r="Z498" i="23"/>
  <c r="Z499" i="23"/>
  <c r="Z500" i="23"/>
  <c r="Z501" i="23"/>
  <c r="Z502" i="23"/>
  <c r="Z503" i="23"/>
  <c r="Z504" i="23"/>
  <c r="Z505" i="23"/>
  <c r="Z506" i="23"/>
  <c r="Z507" i="23"/>
  <c r="Z508" i="23"/>
  <c r="Z509" i="23"/>
  <c r="Z510" i="23"/>
  <c r="Z511" i="23"/>
  <c r="Z512" i="23"/>
  <c r="Z513" i="23"/>
  <c r="Z514" i="23"/>
  <c r="Z515" i="23"/>
  <c r="Z516" i="23"/>
  <c r="Z517" i="23"/>
  <c r="Z518" i="23"/>
  <c r="Z519" i="23"/>
  <c r="Z520" i="23"/>
  <c r="Z521" i="23"/>
  <c r="Z522" i="23"/>
  <c r="Z523" i="23"/>
  <c r="Z524" i="23"/>
  <c r="Z525" i="23"/>
  <c r="Z526" i="23"/>
  <c r="Z527" i="23"/>
  <c r="Z528" i="23"/>
  <c r="Z529" i="23"/>
  <c r="Z530" i="23"/>
  <c r="Z531" i="23"/>
  <c r="Z532" i="23"/>
  <c r="Z533" i="23"/>
  <c r="Z534" i="23"/>
  <c r="Z535" i="23"/>
  <c r="Z536" i="23"/>
  <c r="Z537" i="23"/>
  <c r="Z538" i="23"/>
  <c r="Z539" i="23"/>
  <c r="Z540" i="23"/>
  <c r="Z541" i="23"/>
  <c r="Z542" i="23"/>
  <c r="Z543" i="23"/>
  <c r="Z544" i="23"/>
  <c r="Z545" i="23"/>
  <c r="Z546" i="23"/>
  <c r="Z547" i="23"/>
  <c r="Z548" i="23"/>
  <c r="Z549" i="23"/>
  <c r="Z550" i="23"/>
  <c r="Z551" i="23"/>
  <c r="Z552" i="23"/>
  <c r="Z553" i="23"/>
  <c r="Z554" i="23"/>
  <c r="Z555" i="23"/>
  <c r="Z556" i="23"/>
  <c r="Z557" i="23"/>
  <c r="Z558" i="23"/>
  <c r="Z559" i="23"/>
  <c r="Z560" i="23"/>
  <c r="Z561" i="23"/>
  <c r="Z562" i="23"/>
  <c r="Z563" i="23"/>
  <c r="Z564" i="23"/>
  <c r="Z565" i="23"/>
  <c r="Z566" i="23"/>
  <c r="Z567" i="23"/>
  <c r="Z568" i="23"/>
  <c r="Z569" i="23"/>
  <c r="Z570" i="23"/>
  <c r="Z571" i="23"/>
  <c r="Z572" i="23"/>
  <c r="Z573" i="23"/>
  <c r="Z574" i="23"/>
  <c r="Z575" i="23"/>
  <c r="Z576" i="23"/>
  <c r="Z577" i="23"/>
  <c r="Z578" i="23"/>
  <c r="Z579" i="23"/>
  <c r="Z580" i="23"/>
  <c r="Z581" i="23"/>
  <c r="Z582" i="23"/>
  <c r="Z583" i="23"/>
  <c r="Z584" i="23"/>
  <c r="Z585" i="23"/>
  <c r="Z586" i="23"/>
  <c r="Z587" i="23"/>
  <c r="Z588" i="23"/>
  <c r="Z589" i="23"/>
  <c r="Z590" i="23"/>
  <c r="Z591" i="23"/>
  <c r="Z592" i="23"/>
  <c r="Z593" i="23"/>
  <c r="Z594" i="23"/>
  <c r="Z595" i="23"/>
  <c r="Z596" i="23"/>
  <c r="Z597" i="23"/>
  <c r="Z598" i="23"/>
  <c r="Z599" i="23"/>
  <c r="Z600" i="23"/>
  <c r="Z601" i="23"/>
  <c r="Z602" i="23"/>
  <c r="Z603" i="23"/>
  <c r="Z604" i="23"/>
  <c r="Z605" i="23"/>
  <c r="Z606" i="23"/>
  <c r="Z607" i="23"/>
  <c r="Z608" i="23"/>
  <c r="Z609" i="23"/>
  <c r="Z610" i="23"/>
  <c r="Z611" i="23"/>
  <c r="Z612" i="23"/>
  <c r="Z613" i="23"/>
  <c r="Z614" i="23"/>
  <c r="Z615" i="23"/>
  <c r="Z616" i="23"/>
  <c r="Z617" i="23"/>
  <c r="Z618" i="23"/>
  <c r="Z619" i="23"/>
  <c r="Z620" i="23"/>
  <c r="Z621" i="23"/>
  <c r="Z622" i="23"/>
  <c r="Z623" i="23"/>
  <c r="Z624" i="23"/>
  <c r="Z625" i="23"/>
  <c r="Z626" i="23"/>
  <c r="Z627" i="23"/>
  <c r="Z628" i="23"/>
  <c r="Z629" i="23"/>
  <c r="Z630" i="23"/>
  <c r="Z631" i="23"/>
  <c r="Z632" i="23"/>
  <c r="Z633" i="23"/>
  <c r="Z634" i="23"/>
  <c r="Z635" i="23"/>
  <c r="Z636" i="23"/>
  <c r="Z637" i="23"/>
  <c r="Z638" i="23"/>
  <c r="Z639" i="23"/>
  <c r="Z640" i="23"/>
  <c r="Z641" i="23"/>
  <c r="Z642" i="23"/>
  <c r="Z643" i="23"/>
  <c r="Z644" i="23"/>
  <c r="Z645" i="23"/>
  <c r="Z646" i="23"/>
  <c r="Z647" i="23"/>
  <c r="Z648" i="23"/>
  <c r="Z649" i="23"/>
  <c r="Z650" i="23"/>
  <c r="Z651" i="23"/>
  <c r="Z652" i="23"/>
  <c r="Z653" i="23"/>
  <c r="Z654" i="23"/>
  <c r="Z655" i="23"/>
  <c r="Z656" i="23"/>
  <c r="Z657" i="23"/>
  <c r="Z658" i="23"/>
  <c r="Z659" i="23"/>
  <c r="Z660" i="23"/>
  <c r="Z661" i="23"/>
  <c r="Z662" i="23"/>
  <c r="Z663" i="23"/>
  <c r="Z664" i="23"/>
  <c r="Z665" i="23"/>
  <c r="Z666" i="23"/>
  <c r="Z667" i="23"/>
  <c r="Z668" i="23"/>
  <c r="Z669" i="23"/>
  <c r="Z670" i="23"/>
  <c r="Z671" i="23"/>
  <c r="Z672" i="23"/>
  <c r="Z673" i="23"/>
  <c r="Z674" i="23"/>
  <c r="Z675" i="23"/>
  <c r="Z676" i="23"/>
  <c r="Z677" i="23"/>
  <c r="Z678" i="23"/>
  <c r="Z679" i="23"/>
  <c r="Z680" i="23"/>
  <c r="Z681" i="23"/>
  <c r="Z682" i="23"/>
  <c r="Z683" i="23"/>
  <c r="Z684" i="23"/>
  <c r="Z685" i="23"/>
  <c r="Z686" i="23"/>
  <c r="Z687" i="23"/>
  <c r="Z688" i="23"/>
  <c r="Z689" i="23"/>
  <c r="Z690" i="23"/>
  <c r="Z691" i="23"/>
  <c r="Z692" i="23"/>
  <c r="Z693" i="23"/>
  <c r="Z694" i="23"/>
  <c r="Z695" i="23"/>
  <c r="Z696" i="23"/>
  <c r="Z697" i="23"/>
  <c r="Z698" i="23"/>
  <c r="Z699" i="23"/>
  <c r="Z700" i="23"/>
  <c r="Z701" i="23"/>
  <c r="Z702" i="23"/>
  <c r="Z703" i="23"/>
  <c r="Z704" i="23"/>
  <c r="Z705" i="23"/>
  <c r="Z706" i="23"/>
  <c r="Z707" i="23"/>
  <c r="Z708" i="23"/>
  <c r="Z709" i="23"/>
  <c r="Z710" i="23"/>
  <c r="Z711" i="23"/>
  <c r="Z712" i="23"/>
  <c r="Z713" i="23"/>
  <c r="Z714" i="23"/>
  <c r="Z715" i="23"/>
  <c r="Z716" i="23"/>
  <c r="Z717" i="23"/>
  <c r="Z718" i="23"/>
  <c r="Z719" i="23"/>
  <c r="Z720" i="23"/>
  <c r="Z721" i="23"/>
  <c r="Z722" i="23"/>
  <c r="Z723" i="23"/>
  <c r="Z724" i="23"/>
  <c r="Z725" i="23"/>
  <c r="Z726" i="23"/>
  <c r="Z727" i="23"/>
  <c r="Z728" i="23"/>
  <c r="Z729" i="23"/>
  <c r="Z730" i="23"/>
  <c r="Z731" i="23"/>
  <c r="Z732" i="23"/>
  <c r="Z733" i="23"/>
  <c r="Z734" i="23"/>
  <c r="Z735" i="23"/>
  <c r="Z736" i="23"/>
  <c r="Z737" i="23"/>
  <c r="Z738" i="23"/>
  <c r="Z739" i="23"/>
  <c r="Z740" i="23"/>
  <c r="Z741" i="23"/>
  <c r="Z742" i="23"/>
  <c r="Z743" i="23"/>
  <c r="Z744" i="23"/>
  <c r="Z745" i="23"/>
  <c r="Z746" i="23"/>
  <c r="Z747" i="23"/>
  <c r="Z748" i="23"/>
  <c r="Z749" i="23"/>
  <c r="Z750" i="23"/>
  <c r="Z751" i="23"/>
  <c r="Z752" i="23"/>
  <c r="Z753" i="23"/>
  <c r="Z754" i="23"/>
  <c r="Z755" i="23"/>
  <c r="Z756" i="23"/>
  <c r="Z757" i="23"/>
  <c r="Z758" i="23"/>
  <c r="Z759" i="23"/>
  <c r="Z760" i="23"/>
  <c r="Z761" i="23"/>
  <c r="Z762" i="23"/>
  <c r="Z763" i="23"/>
  <c r="Z764" i="23"/>
  <c r="Z765" i="23"/>
  <c r="Z766" i="23"/>
  <c r="Z767" i="23"/>
  <c r="Z768" i="23"/>
  <c r="Z769" i="23"/>
  <c r="Z770" i="23"/>
  <c r="Z771" i="23"/>
  <c r="Z772" i="23"/>
  <c r="Z773" i="23"/>
  <c r="Z774" i="23"/>
  <c r="Z775" i="23"/>
  <c r="Z776" i="23"/>
  <c r="Z777" i="23"/>
  <c r="Z778" i="23"/>
  <c r="Z779" i="23"/>
  <c r="Z780" i="23"/>
  <c r="Z781" i="23"/>
  <c r="Z782" i="23"/>
  <c r="Z783" i="23"/>
  <c r="Z784" i="23"/>
  <c r="Z785" i="23"/>
  <c r="Z786" i="23"/>
  <c r="Z787" i="23"/>
  <c r="Z788" i="23"/>
  <c r="Z789" i="23"/>
  <c r="Z790" i="23"/>
  <c r="Z791" i="23"/>
  <c r="Z792" i="23"/>
  <c r="Z793" i="23"/>
  <c r="Z794" i="23"/>
  <c r="Z795" i="23"/>
  <c r="Z796" i="23"/>
  <c r="Z797" i="23"/>
  <c r="Z798" i="23"/>
  <c r="Z799" i="23"/>
  <c r="Z800" i="23"/>
  <c r="Z801" i="23"/>
  <c r="Z802" i="23"/>
  <c r="Z803" i="23"/>
  <c r="Z804" i="23"/>
  <c r="Z805" i="23"/>
  <c r="Z806" i="23"/>
  <c r="Z807" i="23"/>
  <c r="Z808" i="23"/>
  <c r="Z809" i="23"/>
  <c r="Z810" i="23"/>
  <c r="Z811" i="23"/>
  <c r="Z812" i="23"/>
  <c r="Z813" i="23"/>
  <c r="Z814" i="23"/>
  <c r="Z815" i="23"/>
  <c r="Z816" i="23"/>
  <c r="Z817" i="23"/>
  <c r="Z818" i="23"/>
  <c r="Z819" i="23"/>
  <c r="Z820" i="23"/>
  <c r="Z821" i="23"/>
  <c r="Z822" i="23"/>
  <c r="Z823" i="23"/>
  <c r="Z824" i="23"/>
  <c r="Z825" i="23"/>
  <c r="Z826" i="23"/>
  <c r="Z827" i="23"/>
  <c r="Z828" i="23"/>
  <c r="Z829" i="23"/>
  <c r="Z830" i="23"/>
  <c r="Z831" i="23"/>
  <c r="Z832" i="23"/>
  <c r="Z833" i="23"/>
  <c r="Z834" i="23"/>
  <c r="Z835" i="23"/>
  <c r="Z836" i="23"/>
  <c r="Z837" i="23"/>
  <c r="Z838" i="23"/>
  <c r="Z839" i="23"/>
  <c r="Z840" i="23"/>
  <c r="Z841" i="23"/>
  <c r="Z842" i="23"/>
  <c r="Z843" i="23"/>
  <c r="Z844" i="23"/>
  <c r="Z845" i="23"/>
  <c r="Z846" i="23"/>
  <c r="Z847" i="23"/>
  <c r="Z848" i="23"/>
  <c r="Z849" i="23"/>
  <c r="Z850" i="23"/>
  <c r="Z851" i="23"/>
  <c r="Z852" i="23"/>
  <c r="Z853" i="23"/>
  <c r="Z854" i="23"/>
  <c r="Z855" i="23"/>
  <c r="Z856" i="23"/>
  <c r="Z857" i="23"/>
  <c r="Z858" i="23"/>
  <c r="Z859" i="23"/>
  <c r="Z860" i="23"/>
  <c r="Z861" i="23"/>
  <c r="Z862" i="23"/>
  <c r="Z863" i="23"/>
  <c r="Z864" i="23"/>
  <c r="Z865" i="23"/>
  <c r="Z866" i="23"/>
  <c r="Z867" i="23"/>
  <c r="Z868" i="23"/>
  <c r="Z869" i="23"/>
  <c r="Z870" i="23"/>
  <c r="Z871" i="23"/>
  <c r="Z872" i="23"/>
  <c r="Z873" i="23"/>
  <c r="Z874" i="23"/>
  <c r="Z875" i="23"/>
  <c r="Z876" i="23"/>
  <c r="Z877" i="23"/>
  <c r="Z878" i="23"/>
  <c r="Z879" i="23"/>
  <c r="Z880" i="23"/>
  <c r="Z881" i="23"/>
  <c r="Z882" i="23"/>
  <c r="Z883" i="23"/>
  <c r="Z884" i="23"/>
  <c r="Z885" i="23"/>
  <c r="Z886" i="23"/>
  <c r="Z887" i="23"/>
  <c r="Z888" i="23"/>
  <c r="Z889" i="23"/>
  <c r="Z890" i="23"/>
  <c r="Z891" i="23"/>
  <c r="Z892" i="23"/>
  <c r="Z893" i="23"/>
  <c r="Z894" i="23"/>
  <c r="Z895" i="23"/>
  <c r="Z896" i="23"/>
  <c r="Z897" i="23"/>
  <c r="Z898" i="23"/>
  <c r="Z899" i="23"/>
  <c r="Z900" i="23"/>
  <c r="Z901" i="23"/>
  <c r="Z902" i="23"/>
  <c r="Z903" i="23"/>
  <c r="Z904" i="23"/>
  <c r="Z905" i="23"/>
  <c r="Z906" i="23"/>
  <c r="Z907" i="23"/>
  <c r="Z908" i="23"/>
  <c r="Z909" i="23"/>
  <c r="Z910" i="23"/>
  <c r="Z911" i="23"/>
  <c r="Z912" i="23"/>
  <c r="Z913" i="23"/>
  <c r="Z914" i="23"/>
  <c r="Z915" i="23"/>
  <c r="Z916" i="23"/>
  <c r="Z917" i="23"/>
  <c r="Z918" i="23"/>
  <c r="Z919" i="23"/>
  <c r="Z920" i="23"/>
  <c r="Z921" i="23"/>
  <c r="Z922" i="23"/>
  <c r="Z923" i="23"/>
  <c r="Z924" i="23"/>
  <c r="Z925" i="23"/>
  <c r="Z926" i="23"/>
  <c r="Z927" i="23"/>
  <c r="Z928" i="23"/>
  <c r="Z929" i="23"/>
  <c r="Z930" i="23"/>
  <c r="Z931" i="23"/>
  <c r="Z932" i="23"/>
  <c r="Z933" i="23"/>
  <c r="Z934" i="23"/>
  <c r="Z935" i="23"/>
  <c r="Z936" i="23"/>
  <c r="Z937" i="23"/>
  <c r="Z938" i="23"/>
  <c r="Z939" i="23"/>
  <c r="Z940" i="23"/>
  <c r="Z941" i="23"/>
  <c r="Z942" i="23"/>
  <c r="Z943" i="23"/>
  <c r="Z944" i="23"/>
  <c r="Z945" i="23"/>
  <c r="Z946" i="23"/>
  <c r="Z947" i="23"/>
  <c r="Z948" i="23"/>
  <c r="Z949" i="23"/>
  <c r="Z950" i="23"/>
  <c r="Z951" i="23"/>
  <c r="Z952" i="23"/>
  <c r="Z953" i="23"/>
  <c r="Z954" i="23"/>
  <c r="Z955" i="23"/>
  <c r="Z956" i="23"/>
  <c r="Z957" i="23"/>
  <c r="Z958" i="23"/>
  <c r="Z959" i="23"/>
  <c r="Z960" i="23"/>
  <c r="Z961" i="23"/>
  <c r="Z962" i="23"/>
  <c r="Z963" i="23"/>
  <c r="Z964" i="23"/>
  <c r="Z965" i="23"/>
  <c r="Z966" i="23"/>
  <c r="Z967" i="23"/>
  <c r="Z968" i="23"/>
  <c r="Z969" i="23"/>
  <c r="Z970" i="23"/>
  <c r="Z971" i="23"/>
  <c r="Z972" i="23"/>
  <c r="Z973" i="23"/>
  <c r="Z974" i="23"/>
  <c r="Z975" i="23"/>
  <c r="Z976" i="23"/>
  <c r="Z977" i="23"/>
  <c r="Z978" i="23"/>
  <c r="Z979" i="23"/>
  <c r="Z980" i="23"/>
  <c r="Z981" i="23"/>
  <c r="Z982" i="23"/>
  <c r="Z983" i="23"/>
  <c r="Z984" i="23"/>
  <c r="Z985" i="23"/>
  <c r="Z986" i="23"/>
  <c r="Z987" i="23"/>
  <c r="Z988" i="23"/>
  <c r="Z989" i="23"/>
  <c r="Z990" i="23"/>
  <c r="Z991" i="23"/>
  <c r="Z992" i="23"/>
  <c r="Z993" i="23"/>
  <c r="Z994" i="23"/>
  <c r="Z995" i="23"/>
  <c r="Z996" i="23"/>
  <c r="Z997" i="23"/>
  <c r="Z998" i="23"/>
  <c r="Z999" i="23"/>
  <c r="AA39" i="23"/>
  <c r="AA41" i="23"/>
  <c r="AA82" i="23"/>
  <c r="AA93" i="23"/>
  <c r="AA141" i="23"/>
  <c r="AA142" i="23"/>
  <c r="AA143" i="23"/>
  <c r="AA144" i="23"/>
  <c r="AA145" i="23"/>
  <c r="AA146" i="23"/>
  <c r="AA147" i="23"/>
  <c r="AA148" i="23"/>
  <c r="AA149" i="23"/>
  <c r="AA150" i="23"/>
  <c r="AA151" i="23"/>
  <c r="AA152" i="23"/>
  <c r="AA153" i="23"/>
  <c r="AA154" i="23"/>
  <c r="AA155" i="23"/>
  <c r="AA156" i="23"/>
  <c r="AA157" i="23"/>
  <c r="AA158" i="23"/>
  <c r="AA159" i="23"/>
  <c r="AA160" i="23"/>
  <c r="AA161" i="23"/>
  <c r="AA162" i="23"/>
  <c r="AA163" i="23"/>
  <c r="AA164" i="23"/>
  <c r="AA165" i="23"/>
  <c r="AA166" i="23"/>
  <c r="AA167" i="23"/>
  <c r="AA168" i="23"/>
  <c r="AA169" i="23"/>
  <c r="AA170" i="23"/>
  <c r="AA171" i="23"/>
  <c r="AA172" i="23"/>
  <c r="AA173" i="23"/>
  <c r="AA174" i="23"/>
  <c r="AA175" i="23"/>
  <c r="AA176" i="23"/>
  <c r="AA177" i="23"/>
  <c r="AA178" i="23"/>
  <c r="AA179" i="23"/>
  <c r="AA180" i="23"/>
  <c r="AA181" i="23"/>
  <c r="AA182" i="23"/>
  <c r="AA183" i="23"/>
  <c r="AA184" i="23"/>
  <c r="AA185" i="23"/>
  <c r="AA186" i="23"/>
  <c r="AA187" i="23"/>
  <c r="AA188" i="23"/>
  <c r="AA189" i="23"/>
  <c r="AA190" i="23"/>
  <c r="AA191" i="23"/>
  <c r="AA192" i="23"/>
  <c r="AA193" i="23"/>
  <c r="AA194" i="23"/>
  <c r="AA195" i="23"/>
  <c r="AA196" i="23"/>
  <c r="AA197" i="23"/>
  <c r="AA198" i="23"/>
  <c r="AA199" i="23"/>
  <c r="AA200" i="23"/>
  <c r="AA201" i="23"/>
  <c r="AA202" i="23"/>
  <c r="AA203" i="23"/>
  <c r="AA204" i="23"/>
  <c r="AA205" i="23"/>
  <c r="AA206" i="23"/>
  <c r="AA207" i="23"/>
  <c r="AA208" i="23"/>
  <c r="AA209" i="23"/>
  <c r="AA210" i="23"/>
  <c r="AA211" i="23"/>
  <c r="AA212" i="23"/>
  <c r="AA213" i="23"/>
  <c r="AA214" i="23"/>
  <c r="AA215" i="23"/>
  <c r="AA216" i="23"/>
  <c r="AA217" i="23"/>
  <c r="AA218" i="23"/>
  <c r="AA219" i="23"/>
  <c r="AA220" i="23"/>
  <c r="AA221" i="23"/>
  <c r="AA222" i="23"/>
  <c r="AA223" i="23"/>
  <c r="AA224" i="23"/>
  <c r="AA225" i="23"/>
  <c r="AA226" i="23"/>
  <c r="AA227" i="23"/>
  <c r="AA228" i="23"/>
  <c r="AA229" i="23"/>
  <c r="AA230" i="23"/>
  <c r="AA231" i="23"/>
  <c r="AA232" i="23"/>
  <c r="AA233" i="23"/>
  <c r="AA234" i="23"/>
  <c r="AA235" i="23"/>
  <c r="AA236" i="23"/>
  <c r="AA237" i="23"/>
  <c r="AA238" i="23"/>
  <c r="AA239" i="23"/>
  <c r="AA240" i="23"/>
  <c r="AA241" i="23"/>
  <c r="AA242" i="23"/>
  <c r="AA243" i="23"/>
  <c r="AA244" i="23"/>
  <c r="AA245" i="23"/>
  <c r="AA246" i="23"/>
  <c r="AA247" i="23"/>
  <c r="AA248" i="23"/>
  <c r="AA249" i="23"/>
  <c r="AA250" i="23"/>
  <c r="AA251" i="23"/>
  <c r="AA252" i="23"/>
  <c r="AA253" i="23"/>
  <c r="AA254" i="23"/>
  <c r="AA255" i="23"/>
  <c r="AA256" i="23"/>
  <c r="AA257" i="23"/>
  <c r="AA258" i="23"/>
  <c r="AA259" i="23"/>
  <c r="AA260" i="23"/>
  <c r="AA261" i="23"/>
  <c r="AA262" i="23"/>
  <c r="AA263" i="23"/>
  <c r="AA264" i="23"/>
  <c r="AA265" i="23"/>
  <c r="AA266" i="23"/>
  <c r="AA267" i="23"/>
  <c r="AA268" i="23"/>
  <c r="AA269" i="23"/>
  <c r="AA270" i="23"/>
  <c r="AA271" i="23"/>
  <c r="AA272" i="23"/>
  <c r="AA273" i="23"/>
  <c r="AA274" i="23"/>
  <c r="AA275" i="23"/>
  <c r="AA276" i="23"/>
  <c r="AA277" i="23"/>
  <c r="AA278" i="23"/>
  <c r="AA279" i="23"/>
  <c r="AA280" i="23"/>
  <c r="AA281" i="23"/>
  <c r="AA282" i="23"/>
  <c r="AA283" i="23"/>
  <c r="AA284" i="23"/>
  <c r="AA285" i="23"/>
  <c r="AA286" i="23"/>
  <c r="AA287" i="23"/>
  <c r="AA288" i="23"/>
  <c r="AA289" i="23"/>
  <c r="AA290" i="23"/>
  <c r="AA291" i="23"/>
  <c r="AA292" i="23"/>
  <c r="AA293" i="23"/>
  <c r="AA294" i="23"/>
  <c r="AA295" i="23"/>
  <c r="AA296" i="23"/>
  <c r="AA297" i="23"/>
  <c r="AA298" i="23"/>
  <c r="AA299" i="23"/>
  <c r="AA300" i="23"/>
  <c r="AA301" i="23"/>
  <c r="AA302" i="23"/>
  <c r="AA303" i="23"/>
  <c r="AA304" i="23"/>
  <c r="AA305" i="23"/>
  <c r="AA306" i="23"/>
  <c r="AA307" i="23"/>
  <c r="AA308" i="23"/>
  <c r="AA309" i="23"/>
  <c r="AA310" i="23"/>
  <c r="AA311" i="23"/>
  <c r="AA312" i="23"/>
  <c r="AA313" i="23"/>
  <c r="AA314" i="23"/>
  <c r="AA315" i="23"/>
  <c r="AA316" i="23"/>
  <c r="AA317" i="23"/>
  <c r="AA318" i="23"/>
  <c r="AA319" i="23"/>
  <c r="AA320" i="23"/>
  <c r="AA321" i="23"/>
  <c r="AA322" i="23"/>
  <c r="AA323" i="23"/>
  <c r="AA324" i="23"/>
  <c r="AA325" i="23"/>
  <c r="AA326" i="23"/>
  <c r="AA327" i="23"/>
  <c r="AA328" i="23"/>
  <c r="AA329" i="23"/>
  <c r="AA330" i="23"/>
  <c r="AA331" i="23"/>
  <c r="AA332" i="23"/>
  <c r="AA333" i="23"/>
  <c r="AA334" i="23"/>
  <c r="AA335" i="23"/>
  <c r="AA336" i="23"/>
  <c r="AA337" i="23"/>
  <c r="AA338" i="23"/>
  <c r="AA339" i="23"/>
  <c r="AA340" i="23"/>
  <c r="AA341" i="23"/>
  <c r="AA342" i="23"/>
  <c r="AA343" i="23"/>
  <c r="AA344" i="23"/>
  <c r="AA345" i="23"/>
  <c r="AA346" i="23"/>
  <c r="AA347" i="23"/>
  <c r="AA348" i="23"/>
  <c r="AA349" i="23"/>
  <c r="AA350" i="23"/>
  <c r="AA351" i="23"/>
  <c r="AA352" i="23"/>
  <c r="AA353" i="23"/>
  <c r="AA354" i="23"/>
  <c r="AA355" i="23"/>
  <c r="AA356" i="23"/>
  <c r="AA357" i="23"/>
  <c r="AA358" i="23"/>
  <c r="AA359" i="23"/>
  <c r="AA360" i="23"/>
  <c r="AA361" i="23"/>
  <c r="AA362" i="23"/>
  <c r="AA363" i="23"/>
  <c r="AA364" i="23"/>
  <c r="AA365" i="23"/>
  <c r="AA366" i="23"/>
  <c r="AA367" i="23"/>
  <c r="AA368" i="23"/>
  <c r="AA369" i="23"/>
  <c r="AA370" i="23"/>
  <c r="AA371" i="23"/>
  <c r="AA372" i="23"/>
  <c r="AA373" i="23"/>
  <c r="AA374" i="23"/>
  <c r="AA375" i="23"/>
  <c r="AA376" i="23"/>
  <c r="AA377" i="23"/>
  <c r="AA378" i="23"/>
  <c r="AA379" i="23"/>
  <c r="AA380" i="23"/>
  <c r="AA381" i="23"/>
  <c r="AA382" i="23"/>
  <c r="AA383" i="23"/>
  <c r="AA384" i="23"/>
  <c r="AA385" i="23"/>
  <c r="AA386" i="23"/>
  <c r="AA387" i="23"/>
  <c r="AA388" i="23"/>
  <c r="AA389" i="23"/>
  <c r="AA390" i="23"/>
  <c r="AA391" i="23"/>
  <c r="AA392" i="23"/>
  <c r="AA393" i="23"/>
  <c r="AA394" i="23"/>
  <c r="AA395" i="23"/>
  <c r="AA396" i="23"/>
  <c r="AA397" i="23"/>
  <c r="AA398" i="23"/>
  <c r="AA399" i="23"/>
  <c r="AA400" i="23"/>
  <c r="AA401" i="23"/>
  <c r="AA402" i="23"/>
  <c r="AA403" i="23"/>
  <c r="AA404" i="23"/>
  <c r="AA405" i="23"/>
  <c r="AA406" i="23"/>
  <c r="AA407" i="23"/>
  <c r="AA408" i="23"/>
  <c r="AA409" i="23"/>
  <c r="AA410" i="23"/>
  <c r="AA411" i="23"/>
  <c r="AA412" i="23"/>
  <c r="AA413" i="23"/>
  <c r="AA414" i="23"/>
  <c r="AA415" i="23"/>
  <c r="AA416" i="23"/>
  <c r="AA417" i="23"/>
  <c r="AA418" i="23"/>
  <c r="AA419" i="23"/>
  <c r="AA420" i="23"/>
  <c r="AA421" i="23"/>
  <c r="AA422" i="23"/>
  <c r="AA423" i="23"/>
  <c r="AA424" i="23"/>
  <c r="AA425" i="23"/>
  <c r="AA426" i="23"/>
  <c r="AA427" i="23"/>
  <c r="AA428" i="23"/>
  <c r="AA429" i="23"/>
  <c r="AA430" i="23"/>
  <c r="AA431" i="23"/>
  <c r="AA432" i="23"/>
  <c r="AA433" i="23"/>
  <c r="AA434" i="23"/>
  <c r="AA435" i="23"/>
  <c r="AA436" i="23"/>
  <c r="AA437" i="23"/>
  <c r="AA438" i="23"/>
  <c r="AA439" i="23"/>
  <c r="AA440" i="23"/>
  <c r="AA441" i="23"/>
  <c r="AA442" i="23"/>
  <c r="AA443" i="23"/>
  <c r="AA444" i="23"/>
  <c r="AA445" i="23"/>
  <c r="AA446" i="23"/>
  <c r="AA447" i="23"/>
  <c r="AA448" i="23"/>
  <c r="AA449" i="23"/>
  <c r="AA450" i="23"/>
  <c r="AA451" i="23"/>
  <c r="AA452" i="23"/>
  <c r="AA453" i="23"/>
  <c r="AA454" i="23"/>
  <c r="AA455" i="23"/>
  <c r="AA456" i="23"/>
  <c r="AA457" i="23"/>
  <c r="AA458" i="23"/>
  <c r="AA459" i="23"/>
  <c r="AA460" i="23"/>
  <c r="AA461" i="23"/>
  <c r="AA462" i="23"/>
  <c r="AA463" i="23"/>
  <c r="AA464" i="23"/>
  <c r="AA465" i="23"/>
  <c r="AA466" i="23"/>
  <c r="AA467" i="23"/>
  <c r="AA468" i="23"/>
  <c r="AA469" i="23"/>
  <c r="AA470" i="23"/>
  <c r="AA471" i="23"/>
  <c r="AA472" i="23"/>
  <c r="AA473" i="23"/>
  <c r="AA474" i="23"/>
  <c r="AA475" i="23"/>
  <c r="AA476" i="23"/>
  <c r="AA477" i="23"/>
  <c r="AA478" i="23"/>
  <c r="AA479" i="23"/>
  <c r="AA480" i="23"/>
  <c r="AA481" i="23"/>
  <c r="AA482" i="23"/>
  <c r="AA483" i="23"/>
  <c r="AA484" i="23"/>
  <c r="AA485" i="23"/>
  <c r="AA486" i="23"/>
  <c r="AA487" i="23"/>
  <c r="AA488" i="23"/>
  <c r="AA489" i="23"/>
  <c r="AA490" i="23"/>
  <c r="AA491" i="23"/>
  <c r="AA492" i="23"/>
  <c r="AA493" i="23"/>
  <c r="AA494" i="23"/>
  <c r="AA495" i="23"/>
  <c r="AA496" i="23"/>
  <c r="AA497" i="23"/>
  <c r="AA498" i="23"/>
  <c r="AA499" i="23"/>
  <c r="AA500" i="23"/>
  <c r="AA501" i="23"/>
  <c r="AA502" i="23"/>
  <c r="AA503" i="23"/>
  <c r="AA504" i="23"/>
  <c r="AA505" i="23"/>
  <c r="AA506" i="23"/>
  <c r="AA507" i="23"/>
  <c r="AA508" i="23"/>
  <c r="AA509" i="23"/>
  <c r="AA510" i="23"/>
  <c r="AA511" i="23"/>
  <c r="AA512" i="23"/>
  <c r="AA513" i="23"/>
  <c r="AA514" i="23"/>
  <c r="AA515" i="23"/>
  <c r="AA516" i="23"/>
  <c r="AA517" i="23"/>
  <c r="AA518" i="23"/>
  <c r="AA519" i="23"/>
  <c r="AA520" i="23"/>
  <c r="AA521" i="23"/>
  <c r="AA522" i="23"/>
  <c r="AA523" i="23"/>
  <c r="AA524" i="23"/>
  <c r="AA525" i="23"/>
  <c r="AA526" i="23"/>
  <c r="AA527" i="23"/>
  <c r="AA528" i="23"/>
  <c r="AA529" i="23"/>
  <c r="AA530" i="23"/>
  <c r="AA531" i="23"/>
  <c r="AA532" i="23"/>
  <c r="AA533" i="23"/>
  <c r="AA534" i="23"/>
  <c r="AA535" i="23"/>
  <c r="AA536" i="23"/>
  <c r="AA537" i="23"/>
  <c r="AA538" i="23"/>
  <c r="AA539" i="23"/>
  <c r="AA540" i="23"/>
  <c r="AA541" i="23"/>
  <c r="AA542" i="23"/>
  <c r="AA543" i="23"/>
  <c r="AA544" i="23"/>
  <c r="AA545" i="23"/>
  <c r="AA546" i="23"/>
  <c r="AA547" i="23"/>
  <c r="AA548" i="23"/>
  <c r="AA549" i="23"/>
  <c r="AA550" i="23"/>
  <c r="AA551" i="23"/>
  <c r="AA552" i="23"/>
  <c r="AA553" i="23"/>
  <c r="AA554" i="23"/>
  <c r="AA555" i="23"/>
  <c r="AA556" i="23"/>
  <c r="AA557" i="23"/>
  <c r="AA558" i="23"/>
  <c r="AA559" i="23"/>
  <c r="AA560" i="23"/>
  <c r="AA561" i="23"/>
  <c r="AA562" i="23"/>
  <c r="AA563" i="23"/>
  <c r="AA564" i="23"/>
  <c r="AA565" i="23"/>
  <c r="AA566" i="23"/>
  <c r="AA567" i="23"/>
  <c r="AA568" i="23"/>
  <c r="AA569" i="23"/>
  <c r="AA570" i="23"/>
  <c r="AA571" i="23"/>
  <c r="AA572" i="23"/>
  <c r="AA573" i="23"/>
  <c r="AA574" i="23"/>
  <c r="AA575" i="23"/>
  <c r="AA576" i="23"/>
  <c r="AA577" i="23"/>
  <c r="AA578" i="23"/>
  <c r="AA579" i="23"/>
  <c r="AA580" i="23"/>
  <c r="AA581" i="23"/>
  <c r="AA582" i="23"/>
  <c r="AA583" i="23"/>
  <c r="AA584" i="23"/>
  <c r="AA585" i="23"/>
  <c r="AA586" i="23"/>
  <c r="AA587" i="23"/>
  <c r="AA588" i="23"/>
  <c r="AA589" i="23"/>
  <c r="AA590" i="23"/>
  <c r="AA591" i="23"/>
  <c r="AA592" i="23"/>
  <c r="AA593" i="23"/>
  <c r="AA594" i="23"/>
  <c r="AA595" i="23"/>
  <c r="AA596" i="23"/>
  <c r="AA597" i="23"/>
  <c r="AA598" i="23"/>
  <c r="AA599" i="23"/>
  <c r="AA600" i="23"/>
  <c r="AA601" i="23"/>
  <c r="AA602" i="23"/>
  <c r="AA603" i="23"/>
  <c r="AA604" i="23"/>
  <c r="AA605" i="23"/>
  <c r="AA606" i="23"/>
  <c r="AA607" i="23"/>
  <c r="AA608" i="23"/>
  <c r="AA609" i="23"/>
  <c r="AA610" i="23"/>
  <c r="AA611" i="23"/>
  <c r="AA612" i="23"/>
  <c r="AA613" i="23"/>
  <c r="AA614" i="23"/>
  <c r="AA615" i="23"/>
  <c r="AA616" i="23"/>
  <c r="AA617" i="23"/>
  <c r="AA618" i="23"/>
  <c r="AA619" i="23"/>
  <c r="AA620" i="23"/>
  <c r="AA621" i="23"/>
  <c r="AA622" i="23"/>
  <c r="AA623" i="23"/>
  <c r="AA624" i="23"/>
  <c r="AA625" i="23"/>
  <c r="AA626" i="23"/>
  <c r="AA627" i="23"/>
  <c r="AA628" i="23"/>
  <c r="AA629" i="23"/>
  <c r="AA630" i="23"/>
  <c r="AA631" i="23"/>
  <c r="AA632" i="23"/>
  <c r="AA633" i="23"/>
  <c r="AA634" i="23"/>
  <c r="AA635" i="23"/>
  <c r="AA636" i="23"/>
  <c r="AA637" i="23"/>
  <c r="AA638" i="23"/>
  <c r="AA639" i="23"/>
  <c r="AA640" i="23"/>
  <c r="AA641" i="23"/>
  <c r="AA642" i="23"/>
  <c r="AA643" i="23"/>
  <c r="AA644" i="23"/>
  <c r="AA645" i="23"/>
  <c r="AA646" i="23"/>
  <c r="AA647" i="23"/>
  <c r="AA648" i="23"/>
  <c r="AA649" i="23"/>
  <c r="AA650" i="23"/>
  <c r="AA651" i="23"/>
  <c r="AA652" i="23"/>
  <c r="AA653" i="23"/>
  <c r="AA654" i="23"/>
  <c r="AA655" i="23"/>
  <c r="AA656" i="23"/>
  <c r="AA657" i="23"/>
  <c r="AA658" i="23"/>
  <c r="AA659" i="23"/>
  <c r="AA660" i="23"/>
  <c r="AA661" i="23"/>
  <c r="AA662" i="23"/>
  <c r="AA663" i="23"/>
  <c r="AA664" i="23"/>
  <c r="AA665" i="23"/>
  <c r="AA666" i="23"/>
  <c r="AA667" i="23"/>
  <c r="AA668" i="23"/>
  <c r="AA669" i="23"/>
  <c r="AA670" i="23"/>
  <c r="AA671" i="23"/>
  <c r="AA672" i="23"/>
  <c r="AA673" i="23"/>
  <c r="AA674" i="23"/>
  <c r="AA675" i="23"/>
  <c r="AA676" i="23"/>
  <c r="AA677" i="23"/>
  <c r="AA678" i="23"/>
  <c r="AA679" i="23"/>
  <c r="AA680" i="23"/>
  <c r="AA681" i="23"/>
  <c r="AA682" i="23"/>
  <c r="AA683" i="23"/>
  <c r="AA684" i="23"/>
  <c r="AA685" i="23"/>
  <c r="AA686" i="23"/>
  <c r="AA687" i="23"/>
  <c r="AA688" i="23"/>
  <c r="AA689" i="23"/>
  <c r="AA690" i="23"/>
  <c r="AA691" i="23"/>
  <c r="AA692" i="23"/>
  <c r="AA693" i="23"/>
  <c r="AA694" i="23"/>
  <c r="AA695" i="23"/>
  <c r="AA696" i="23"/>
  <c r="AA697" i="23"/>
  <c r="AA698" i="23"/>
  <c r="AA699" i="23"/>
  <c r="AA700" i="23"/>
  <c r="AA701" i="23"/>
  <c r="AA702" i="23"/>
  <c r="AA703" i="23"/>
  <c r="AA704" i="23"/>
  <c r="AA705" i="23"/>
  <c r="AA706" i="23"/>
  <c r="AA707" i="23"/>
  <c r="AA708" i="23"/>
  <c r="AA709" i="23"/>
  <c r="AA710" i="23"/>
  <c r="AA711" i="23"/>
  <c r="AA712" i="23"/>
  <c r="AA713" i="23"/>
  <c r="AA714" i="23"/>
  <c r="AA715" i="23"/>
  <c r="AA716" i="23"/>
  <c r="AA717" i="23"/>
  <c r="AA718" i="23"/>
  <c r="AA719" i="23"/>
  <c r="AA720" i="23"/>
  <c r="AA721" i="23"/>
  <c r="AA722" i="23"/>
  <c r="AA723" i="23"/>
  <c r="AA724" i="23"/>
  <c r="AA725" i="23"/>
  <c r="AA726" i="23"/>
  <c r="AA727" i="23"/>
  <c r="AA728" i="23"/>
  <c r="AA729" i="23"/>
  <c r="AA730" i="23"/>
  <c r="AA731" i="23"/>
  <c r="AA732" i="23"/>
  <c r="AA733" i="23"/>
  <c r="AA734" i="23"/>
  <c r="AA735" i="23"/>
  <c r="AA736" i="23"/>
  <c r="AA737" i="23"/>
  <c r="AA738" i="23"/>
  <c r="AA739" i="23"/>
  <c r="AA740" i="23"/>
  <c r="AA741" i="23"/>
  <c r="AA742" i="23"/>
  <c r="AA743" i="23"/>
  <c r="AA744" i="23"/>
  <c r="AA745" i="23"/>
  <c r="AA746" i="23"/>
  <c r="AA747" i="23"/>
  <c r="AA748" i="23"/>
  <c r="AA749" i="23"/>
  <c r="AA750" i="23"/>
  <c r="AA751" i="23"/>
  <c r="AA752" i="23"/>
  <c r="AA753" i="23"/>
  <c r="AA754" i="23"/>
  <c r="AA755" i="23"/>
  <c r="AA756" i="23"/>
  <c r="AA757" i="23"/>
  <c r="AA758" i="23"/>
  <c r="AA759" i="23"/>
  <c r="AA760" i="23"/>
  <c r="AA761" i="23"/>
  <c r="AA762" i="23"/>
  <c r="AA763" i="23"/>
  <c r="AA764" i="23"/>
  <c r="AA765" i="23"/>
  <c r="AA766" i="23"/>
  <c r="AA767" i="23"/>
  <c r="AA768" i="23"/>
  <c r="AA769" i="23"/>
  <c r="AA770" i="23"/>
  <c r="AA771" i="23"/>
  <c r="AA772" i="23"/>
  <c r="AA773" i="23"/>
  <c r="AA774" i="23"/>
  <c r="AA775" i="23"/>
  <c r="AA776" i="23"/>
  <c r="AA777" i="23"/>
  <c r="AA778" i="23"/>
  <c r="AA779" i="23"/>
  <c r="AA780" i="23"/>
  <c r="AA781" i="23"/>
  <c r="AA782" i="23"/>
  <c r="AA783" i="23"/>
  <c r="AA784" i="23"/>
  <c r="AA785" i="23"/>
  <c r="AA786" i="23"/>
  <c r="AA787" i="23"/>
  <c r="AA788" i="23"/>
  <c r="AA789" i="23"/>
  <c r="AA790" i="23"/>
  <c r="AA791" i="23"/>
  <c r="AA792" i="23"/>
  <c r="AA793" i="23"/>
  <c r="AA794" i="23"/>
  <c r="AA795" i="23"/>
  <c r="AA796" i="23"/>
  <c r="AA797" i="23"/>
  <c r="AA798" i="23"/>
  <c r="AA799" i="23"/>
  <c r="AA800" i="23"/>
  <c r="AA801" i="23"/>
  <c r="AA802" i="23"/>
  <c r="AA803" i="23"/>
  <c r="AA804" i="23"/>
  <c r="AA805" i="23"/>
  <c r="AA806" i="23"/>
  <c r="AA807" i="23"/>
  <c r="AA808" i="23"/>
  <c r="AA809" i="23"/>
  <c r="AA810" i="23"/>
  <c r="AA811" i="23"/>
  <c r="AA812" i="23"/>
  <c r="AA813" i="23"/>
  <c r="AA814" i="23"/>
  <c r="AA815" i="23"/>
  <c r="AA816" i="23"/>
  <c r="AA817" i="23"/>
  <c r="AA818" i="23"/>
  <c r="AA819" i="23"/>
  <c r="AA820" i="23"/>
  <c r="AA821" i="23"/>
  <c r="AA822" i="23"/>
  <c r="AA823" i="23"/>
  <c r="AA824" i="23"/>
  <c r="AA825" i="23"/>
  <c r="AA826" i="23"/>
  <c r="AA827" i="23"/>
  <c r="AA828" i="23"/>
  <c r="AA829" i="23"/>
  <c r="AA830" i="23"/>
  <c r="AA831" i="23"/>
  <c r="AA832" i="23"/>
  <c r="AA833" i="23"/>
  <c r="AA834" i="23"/>
  <c r="AA835" i="23"/>
  <c r="AA836" i="23"/>
  <c r="AA837" i="23"/>
  <c r="AA838" i="23"/>
  <c r="AA839" i="23"/>
  <c r="AA840" i="23"/>
  <c r="AA841" i="23"/>
  <c r="AA842" i="23"/>
  <c r="AA843" i="23"/>
  <c r="AA844" i="23"/>
  <c r="AA845" i="23"/>
  <c r="AA846" i="23"/>
  <c r="AA847" i="23"/>
  <c r="AA848" i="23"/>
  <c r="AA849" i="23"/>
  <c r="AA850" i="23"/>
  <c r="AA851" i="23"/>
  <c r="AA852" i="23"/>
  <c r="AA853" i="23"/>
  <c r="AA854" i="23"/>
  <c r="AA855" i="23"/>
  <c r="AA856" i="23"/>
  <c r="AA857" i="23"/>
  <c r="AA858" i="23"/>
  <c r="AA859" i="23"/>
  <c r="AA860" i="23"/>
  <c r="AA861" i="23"/>
  <c r="AA862" i="23"/>
  <c r="AA863" i="23"/>
  <c r="AA864" i="23"/>
  <c r="AA865" i="23"/>
  <c r="AA866" i="23"/>
  <c r="AA867" i="23"/>
  <c r="AA868" i="23"/>
  <c r="AA869" i="23"/>
  <c r="AA870" i="23"/>
  <c r="AA871" i="23"/>
  <c r="AA872" i="23"/>
  <c r="AA873" i="23"/>
  <c r="AA874" i="23"/>
  <c r="AA875" i="23"/>
  <c r="AA876" i="23"/>
  <c r="AA877" i="23"/>
  <c r="AA878" i="23"/>
  <c r="AA879" i="23"/>
  <c r="AA880" i="23"/>
  <c r="AA881" i="23"/>
  <c r="AA882" i="23"/>
  <c r="AA883" i="23"/>
  <c r="AA884" i="23"/>
  <c r="AA885" i="23"/>
  <c r="AA886" i="23"/>
  <c r="AA887" i="23"/>
  <c r="AA888" i="23"/>
  <c r="AA889" i="23"/>
  <c r="AA890" i="23"/>
  <c r="AA891" i="23"/>
  <c r="AA892" i="23"/>
  <c r="AA893" i="23"/>
  <c r="AA894" i="23"/>
  <c r="AA895" i="23"/>
  <c r="AA896" i="23"/>
  <c r="AA897" i="23"/>
  <c r="AA898" i="23"/>
  <c r="AA899" i="23"/>
  <c r="AA900" i="23"/>
  <c r="AA901" i="23"/>
  <c r="AA902" i="23"/>
  <c r="AA903" i="23"/>
  <c r="AA904" i="23"/>
  <c r="AA905" i="23"/>
  <c r="AA906" i="23"/>
  <c r="AA907" i="23"/>
  <c r="AA908" i="23"/>
  <c r="AA909" i="23"/>
  <c r="AA910" i="23"/>
  <c r="AA911" i="23"/>
  <c r="AA912" i="23"/>
  <c r="AA913" i="23"/>
  <c r="AA914" i="23"/>
  <c r="AA915" i="23"/>
  <c r="AA916" i="23"/>
  <c r="AA917" i="23"/>
  <c r="AA918" i="23"/>
  <c r="AA919" i="23"/>
  <c r="AA920" i="23"/>
  <c r="AA921" i="23"/>
  <c r="AA922" i="23"/>
  <c r="AA923" i="23"/>
  <c r="AA924" i="23"/>
  <c r="AA925" i="23"/>
  <c r="AA926" i="23"/>
  <c r="AA927" i="23"/>
  <c r="AA928" i="23"/>
  <c r="AA929" i="23"/>
  <c r="AA930" i="23"/>
  <c r="AA931" i="23"/>
  <c r="AA932" i="23"/>
  <c r="AA933" i="23"/>
  <c r="AA934" i="23"/>
  <c r="AA935" i="23"/>
  <c r="AA936" i="23"/>
  <c r="AA937" i="23"/>
  <c r="AA938" i="23"/>
  <c r="AA939" i="23"/>
  <c r="AA940" i="23"/>
  <c r="AA941" i="23"/>
  <c r="AA942" i="23"/>
  <c r="AA943" i="23"/>
  <c r="AA944" i="23"/>
  <c r="AA945" i="23"/>
  <c r="AA946" i="23"/>
  <c r="AA947" i="23"/>
  <c r="AA948" i="23"/>
  <c r="AA949" i="23"/>
  <c r="AA950" i="23"/>
  <c r="AA951" i="23"/>
  <c r="AA952" i="23"/>
  <c r="AA953" i="23"/>
  <c r="AA954" i="23"/>
  <c r="AA955" i="23"/>
  <c r="AA956" i="23"/>
  <c r="AA957" i="23"/>
  <c r="AA958" i="23"/>
  <c r="AA959" i="23"/>
  <c r="AA960" i="23"/>
  <c r="AA961" i="23"/>
  <c r="AA962" i="23"/>
  <c r="AA963" i="23"/>
  <c r="AA964" i="23"/>
  <c r="AA965" i="23"/>
  <c r="AA966" i="23"/>
  <c r="AA967" i="23"/>
  <c r="AA968" i="23"/>
  <c r="AA969" i="23"/>
  <c r="AA970" i="23"/>
  <c r="AA971" i="23"/>
  <c r="AA972" i="23"/>
  <c r="AA973" i="23"/>
  <c r="AA974" i="23"/>
  <c r="AA975" i="23"/>
  <c r="AA976" i="23"/>
  <c r="AA977" i="23"/>
  <c r="AA978" i="23"/>
  <c r="AA979" i="23"/>
  <c r="AA980" i="23"/>
  <c r="AA981" i="23"/>
  <c r="AA982" i="23"/>
  <c r="AA983" i="23"/>
  <c r="AA984" i="23"/>
  <c r="AA985" i="23"/>
  <c r="AA986" i="23"/>
  <c r="AA987" i="23"/>
  <c r="AA988" i="23"/>
  <c r="AA989" i="23"/>
  <c r="AA990" i="23"/>
  <c r="AA991" i="23"/>
  <c r="AA992" i="23"/>
  <c r="AA993" i="23"/>
  <c r="AA994" i="23"/>
  <c r="AA995" i="23"/>
  <c r="AA996" i="23"/>
  <c r="AA997" i="23"/>
  <c r="AA998" i="23"/>
  <c r="AA999" i="23"/>
  <c r="AV27" i="42" l="1"/>
  <c r="Q75" i="30"/>
  <c r="Q177" i="30"/>
  <c r="U27" i="42" l="1"/>
  <c r="S27" i="42"/>
  <c r="T27" i="42" s="1"/>
  <c r="A97" i="23"/>
  <c r="E105" i="56" s="1"/>
  <c r="A99" i="23"/>
  <c r="A98" i="30" l="1"/>
  <c r="A100" i="30"/>
  <c r="E98" i="56"/>
  <c r="F136" i="30"/>
  <c r="G136" i="30"/>
  <c r="H136" i="30"/>
  <c r="I136" i="30"/>
  <c r="L136" i="30"/>
  <c r="W136" i="30"/>
  <c r="F137" i="30"/>
  <c r="G137" i="30"/>
  <c r="H137" i="30"/>
  <c r="I137" i="30"/>
  <c r="M137" i="30"/>
  <c r="W137" i="30"/>
  <c r="F138" i="30"/>
  <c r="G138" i="30"/>
  <c r="H138" i="30"/>
  <c r="I138" i="30"/>
  <c r="L138" i="30"/>
  <c r="W138" i="30"/>
  <c r="F139" i="30"/>
  <c r="G139" i="30"/>
  <c r="H139" i="30"/>
  <c r="I139" i="30"/>
  <c r="L139" i="30"/>
  <c r="W139" i="30"/>
  <c r="F140" i="30"/>
  <c r="G140" i="30"/>
  <c r="H140" i="30"/>
  <c r="I140" i="30"/>
  <c r="L140" i="30"/>
  <c r="W140" i="30"/>
  <c r="Z131" i="23"/>
  <c r="H46" i="50"/>
  <c r="G46" i="50"/>
  <c r="F46" i="50"/>
  <c r="H44" i="50"/>
  <c r="G44" i="50"/>
  <c r="F44" i="50"/>
  <c r="H37" i="50"/>
  <c r="G37" i="50"/>
  <c r="F37" i="50"/>
  <c r="H34" i="50"/>
  <c r="G34" i="50"/>
  <c r="F34" i="50"/>
  <c r="H31" i="50"/>
  <c r="G31" i="50"/>
  <c r="F31" i="50"/>
  <c r="H28" i="50"/>
  <c r="G28" i="50"/>
  <c r="F28" i="50"/>
  <c r="H25" i="50"/>
  <c r="G25" i="50"/>
  <c r="F25" i="50"/>
  <c r="H22" i="50"/>
  <c r="G22" i="50"/>
  <c r="F22" i="50"/>
  <c r="H19" i="50"/>
  <c r="G19" i="50"/>
  <c r="F19" i="50"/>
  <c r="H16" i="50"/>
  <c r="G16" i="50"/>
  <c r="F16" i="50"/>
  <c r="H13" i="50"/>
  <c r="G13" i="50"/>
  <c r="F13" i="50"/>
  <c r="H35" i="50"/>
  <c r="G35" i="50"/>
  <c r="F35" i="50"/>
  <c r="H33" i="50"/>
  <c r="G33" i="50"/>
  <c r="F33" i="50"/>
  <c r="H30" i="50"/>
  <c r="G30" i="50"/>
  <c r="F30" i="50"/>
  <c r="H24" i="50"/>
  <c r="G24" i="50"/>
  <c r="F24" i="50"/>
  <c r="H21" i="50"/>
  <c r="G21" i="50"/>
  <c r="F21" i="50"/>
  <c r="H18" i="50"/>
  <c r="G18" i="50"/>
  <c r="F18" i="50"/>
  <c r="H15" i="50"/>
  <c r="G15" i="50"/>
  <c r="F15" i="50"/>
  <c r="H11" i="50"/>
  <c r="G11" i="50"/>
  <c r="F11" i="50"/>
  <c r="P177" i="30"/>
  <c r="H45" i="50"/>
  <c r="H42" i="50"/>
  <c r="H10" i="50"/>
  <c r="H14" i="50"/>
  <c r="H17" i="50"/>
  <c r="H20" i="50"/>
  <c r="H23" i="50"/>
  <c r="H26" i="50"/>
  <c r="H29" i="50"/>
  <c r="H32" i="50"/>
  <c r="H36" i="50"/>
  <c r="H9" i="50"/>
  <c r="K67" i="50"/>
  <c r="G54" i="50"/>
  <c r="F54" i="50"/>
  <c r="G53" i="50"/>
  <c r="F53" i="50"/>
  <c r="G52" i="50"/>
  <c r="F52" i="50"/>
  <c r="G51" i="50"/>
  <c r="F51" i="50"/>
  <c r="G50" i="50"/>
  <c r="F50" i="50"/>
  <c r="G49" i="50"/>
  <c r="F49" i="50"/>
  <c r="G48" i="50"/>
  <c r="F48" i="50"/>
  <c r="G45" i="50"/>
  <c r="F45" i="50"/>
  <c r="G42" i="50"/>
  <c r="F42" i="50"/>
  <c r="G36" i="50"/>
  <c r="F36" i="50"/>
  <c r="G32" i="50"/>
  <c r="F32" i="50"/>
  <c r="G29" i="50"/>
  <c r="F29" i="50"/>
  <c r="G26" i="50"/>
  <c r="F26" i="50"/>
  <c r="G23" i="50"/>
  <c r="F23" i="50"/>
  <c r="G20" i="50"/>
  <c r="F20" i="50"/>
  <c r="G17" i="50"/>
  <c r="F17" i="50"/>
  <c r="G14" i="50"/>
  <c r="F14" i="50"/>
  <c r="G10" i="50"/>
  <c r="F10" i="50"/>
  <c r="G9" i="50"/>
  <c r="F9" i="50"/>
  <c r="S136" i="30" l="1"/>
  <c r="M136" i="30"/>
  <c r="J136" i="30"/>
  <c r="K136" i="30"/>
  <c r="L137" i="30"/>
  <c r="R136" i="30"/>
  <c r="Y136" i="30"/>
  <c r="O136" i="30"/>
  <c r="M138" i="30"/>
  <c r="K137" i="30"/>
  <c r="Y138" i="30"/>
  <c r="K138" i="30"/>
  <c r="S137" i="30"/>
  <c r="J137" i="30"/>
  <c r="J138" i="30"/>
  <c r="R137" i="30"/>
  <c r="Y137" i="30"/>
  <c r="O137" i="30"/>
  <c r="S138" i="30"/>
  <c r="O138" i="30"/>
  <c r="K139" i="30"/>
  <c r="R138" i="30"/>
  <c r="R140" i="30"/>
  <c r="K140" i="30"/>
  <c r="S139" i="30"/>
  <c r="J139" i="30"/>
  <c r="R139" i="30"/>
  <c r="Y139" i="30"/>
  <c r="O139" i="30"/>
  <c r="M139" i="30"/>
  <c r="S140" i="30"/>
  <c r="J140" i="30"/>
  <c r="Y140" i="30"/>
  <c r="O140" i="30"/>
  <c r="M140" i="30"/>
  <c r="T140" i="30" l="1"/>
  <c r="T139" i="30"/>
  <c r="T138" i="30"/>
  <c r="T137" i="30"/>
  <c r="T136" i="30"/>
  <c r="AC136" i="30"/>
  <c r="Q136" i="30"/>
  <c r="AC139" i="30"/>
  <c r="Q139" i="30"/>
  <c r="AC138" i="30"/>
  <c r="Q138" i="30"/>
  <c r="AC140" i="30"/>
  <c r="Q140" i="30"/>
  <c r="AC137" i="30"/>
  <c r="Q137" i="30"/>
  <c r="X136" i="30" l="1"/>
  <c r="AB136" i="30"/>
  <c r="X137" i="30"/>
  <c r="AB137" i="30"/>
  <c r="X138" i="30"/>
  <c r="AB138" i="30"/>
  <c r="X139" i="30"/>
  <c r="AB139" i="30"/>
  <c r="X140" i="30"/>
  <c r="AB140" i="30"/>
  <c r="Z140" i="30"/>
  <c r="V140" i="30"/>
  <c r="AA140" i="23" s="1"/>
  <c r="P140" i="30"/>
  <c r="P139" i="30"/>
  <c r="V139" i="30"/>
  <c r="AA139" i="23" s="1"/>
  <c r="Z139" i="30"/>
  <c r="P138" i="30"/>
  <c r="V138" i="30"/>
  <c r="AA138" i="23" s="1"/>
  <c r="Z138" i="30"/>
  <c r="P137" i="30"/>
  <c r="V137" i="30"/>
  <c r="AA137" i="23" s="1"/>
  <c r="Z137" i="30"/>
  <c r="P136" i="30"/>
  <c r="V136" i="30"/>
  <c r="AA135" i="23" s="1"/>
  <c r="Z136" i="30"/>
  <c r="AB30" i="38"/>
  <c r="Z30" i="38"/>
  <c r="AB29" i="38"/>
  <c r="Z29" i="38"/>
  <c r="AB28" i="38"/>
  <c r="Z28" i="38"/>
  <c r="AB27" i="38"/>
  <c r="Z27" i="38"/>
  <c r="T30" i="38"/>
  <c r="T29" i="38"/>
  <c r="T28" i="38"/>
  <c r="T27" i="38"/>
  <c r="R30" i="38"/>
  <c r="R29" i="38"/>
  <c r="R28" i="38"/>
  <c r="R27" i="38"/>
  <c r="AB120" i="30"/>
  <c r="Z119" i="23"/>
  <c r="F122" i="30"/>
  <c r="G122" i="30"/>
  <c r="H122" i="30"/>
  <c r="I122" i="30"/>
  <c r="W122" i="30"/>
  <c r="Y122" i="30" s="1"/>
  <c r="F123" i="30"/>
  <c r="G123" i="30"/>
  <c r="H123" i="30"/>
  <c r="I123" i="30"/>
  <c r="W123" i="30"/>
  <c r="F124" i="30"/>
  <c r="G124" i="30"/>
  <c r="H124" i="30"/>
  <c r="I124" i="30"/>
  <c r="W124" i="30"/>
  <c r="Y124" i="30" s="1"/>
  <c r="F125" i="30"/>
  <c r="G125" i="30"/>
  <c r="H125" i="30"/>
  <c r="I125" i="30"/>
  <c r="W125" i="30"/>
  <c r="F126" i="30"/>
  <c r="G126" i="30"/>
  <c r="H126" i="30"/>
  <c r="I126" i="30"/>
  <c r="W126" i="30"/>
  <c r="F127" i="30"/>
  <c r="G127" i="30"/>
  <c r="H127" i="30"/>
  <c r="I127" i="30"/>
  <c r="V127" i="30"/>
  <c r="J121" i="56" s="1"/>
  <c r="W127" i="30"/>
  <c r="X127" i="30" s="1"/>
  <c r="K121" i="56" s="1"/>
  <c r="AB127" i="30"/>
  <c r="F128" i="30"/>
  <c r="G128" i="30"/>
  <c r="H128" i="30"/>
  <c r="I128" i="30"/>
  <c r="W128" i="30"/>
  <c r="F129" i="30"/>
  <c r="G129" i="30"/>
  <c r="H129" i="30"/>
  <c r="I129" i="30"/>
  <c r="W129" i="30"/>
  <c r="Y129" i="30" s="1"/>
  <c r="F130" i="30"/>
  <c r="G130" i="30"/>
  <c r="H130" i="30"/>
  <c r="I130" i="30"/>
  <c r="W130" i="30"/>
  <c r="F131" i="30"/>
  <c r="G131" i="30"/>
  <c r="H131" i="30"/>
  <c r="I131" i="30"/>
  <c r="W131" i="30"/>
  <c r="AV25" i="42" s="1"/>
  <c r="AB131" i="30"/>
  <c r="F132" i="30"/>
  <c r="G132" i="30"/>
  <c r="H132" i="30"/>
  <c r="I132" i="30"/>
  <c r="W132" i="30"/>
  <c r="AA119" i="30"/>
  <c r="F120" i="30"/>
  <c r="G120" i="30"/>
  <c r="H120" i="30"/>
  <c r="I120" i="30"/>
  <c r="W120" i="30"/>
  <c r="F121" i="30"/>
  <c r="G121" i="30"/>
  <c r="H121" i="30"/>
  <c r="I121" i="30"/>
  <c r="W121" i="30"/>
  <c r="Y121" i="30" s="1"/>
  <c r="F133" i="30"/>
  <c r="G133" i="30"/>
  <c r="H133" i="30"/>
  <c r="I133" i="30"/>
  <c r="W133" i="30"/>
  <c r="Y133" i="30" s="1"/>
  <c r="F134" i="30"/>
  <c r="G134" i="30"/>
  <c r="H134" i="30"/>
  <c r="I134" i="30"/>
  <c r="W134" i="30"/>
  <c r="D176" i="30"/>
  <c r="F176" i="30"/>
  <c r="G176" i="30"/>
  <c r="H176" i="30"/>
  <c r="I176" i="30"/>
  <c r="V176" i="30"/>
  <c r="W176" i="30"/>
  <c r="X176" i="30" s="1"/>
  <c r="AB176" i="30"/>
  <c r="L121" i="56" l="1"/>
  <c r="S25" i="42"/>
  <c r="T25" i="42" s="1"/>
  <c r="U25" i="42"/>
  <c r="Y125" i="30"/>
  <c r="AA126" i="23"/>
  <c r="Y120" i="30"/>
  <c r="L126" i="30"/>
  <c r="L127" i="30"/>
  <c r="P127" i="30"/>
  <c r="O128" i="30"/>
  <c r="L176" i="30"/>
  <c r="R121" i="30"/>
  <c r="L129" i="30"/>
  <c r="O120" i="30"/>
  <c r="L134" i="30"/>
  <c r="M122" i="30"/>
  <c r="L130" i="30"/>
  <c r="O133" i="30"/>
  <c r="L123" i="30"/>
  <c r="L132" i="30"/>
  <c r="O124" i="30"/>
  <c r="O131" i="30"/>
  <c r="L125" i="30"/>
  <c r="L131" i="30"/>
  <c r="K123" i="30"/>
  <c r="R122" i="30"/>
  <c r="L122" i="30"/>
  <c r="S122" i="30"/>
  <c r="R123" i="30"/>
  <c r="O122" i="30"/>
  <c r="O123" i="30"/>
  <c r="S123" i="30"/>
  <c r="M123" i="30"/>
  <c r="K122" i="30"/>
  <c r="J122" i="30"/>
  <c r="M124" i="30"/>
  <c r="J123" i="30"/>
  <c r="L124" i="30"/>
  <c r="K124" i="30"/>
  <c r="Y123" i="30"/>
  <c r="S126" i="30"/>
  <c r="S124" i="30"/>
  <c r="R124" i="30"/>
  <c r="J124" i="30"/>
  <c r="K125" i="30"/>
  <c r="J125" i="30"/>
  <c r="S125" i="30"/>
  <c r="K126" i="30"/>
  <c r="R125" i="30"/>
  <c r="O125" i="30"/>
  <c r="M128" i="30"/>
  <c r="M125" i="30"/>
  <c r="J126" i="30"/>
  <c r="K127" i="30"/>
  <c r="R126" i="30"/>
  <c r="O126" i="30"/>
  <c r="Y126" i="30"/>
  <c r="M126" i="30"/>
  <c r="L128" i="30"/>
  <c r="J127" i="30"/>
  <c r="K128" i="30"/>
  <c r="S127" i="30"/>
  <c r="J128" i="30"/>
  <c r="R127" i="30"/>
  <c r="O127" i="30"/>
  <c r="Y127" i="30"/>
  <c r="Z127" i="30" s="1"/>
  <c r="K132" i="30"/>
  <c r="M127" i="30"/>
  <c r="M129" i="30"/>
  <c r="K129" i="30"/>
  <c r="S128" i="30"/>
  <c r="J129" i="30"/>
  <c r="R128" i="30"/>
  <c r="K130" i="30"/>
  <c r="Y128" i="30"/>
  <c r="S129" i="30"/>
  <c r="J130" i="30"/>
  <c r="R129" i="30"/>
  <c r="O129" i="30"/>
  <c r="K131" i="30"/>
  <c r="S130" i="30"/>
  <c r="J131" i="30"/>
  <c r="R130" i="30"/>
  <c r="O130" i="30"/>
  <c r="Y130" i="30"/>
  <c r="M130" i="30"/>
  <c r="S131" i="30"/>
  <c r="R131" i="30"/>
  <c r="Y131" i="30"/>
  <c r="M131" i="30"/>
  <c r="J132" i="30"/>
  <c r="S132" i="30"/>
  <c r="R132" i="30"/>
  <c r="O132" i="30"/>
  <c r="Y132" i="30"/>
  <c r="M132" i="30"/>
  <c r="S133" i="30"/>
  <c r="J121" i="30"/>
  <c r="M121" i="30"/>
  <c r="J133" i="30"/>
  <c r="O121" i="30"/>
  <c r="L120" i="30"/>
  <c r="M133" i="30"/>
  <c r="R120" i="30"/>
  <c r="M120" i="30"/>
  <c r="X120" i="30"/>
  <c r="K120" i="30"/>
  <c r="J120" i="30"/>
  <c r="L121" i="30"/>
  <c r="S120" i="30"/>
  <c r="K121" i="30"/>
  <c r="L133" i="30"/>
  <c r="S121" i="30"/>
  <c r="R134" i="30"/>
  <c r="O134" i="30"/>
  <c r="K133" i="30"/>
  <c r="K134" i="30"/>
  <c r="J134" i="30"/>
  <c r="R133" i="30"/>
  <c r="R176" i="30"/>
  <c r="K176" i="30"/>
  <c r="S134" i="30"/>
  <c r="Y134" i="30"/>
  <c r="M134" i="30"/>
  <c r="J176" i="30"/>
  <c r="S176" i="30"/>
  <c r="O176" i="30"/>
  <c r="Y176" i="30"/>
  <c r="Z176" i="30" s="1"/>
  <c r="M176" i="30"/>
  <c r="AA118" i="30"/>
  <c r="AC134" i="30" l="1"/>
  <c r="Q134" i="30"/>
  <c r="AC130" i="30"/>
  <c r="Q130" i="30"/>
  <c r="AC125" i="30"/>
  <c r="Q125" i="30"/>
  <c r="AC133" i="30"/>
  <c r="Q133" i="30"/>
  <c r="AC128" i="30"/>
  <c r="Q128" i="30"/>
  <c r="AC124" i="30"/>
  <c r="Q124" i="30"/>
  <c r="AC127" i="30"/>
  <c r="Q127" i="30"/>
  <c r="AC176" i="30"/>
  <c r="Q176" i="30"/>
  <c r="AC126" i="30"/>
  <c r="Q126" i="30"/>
  <c r="AC129" i="30"/>
  <c r="Q129" i="30"/>
  <c r="AC123" i="30"/>
  <c r="Q123" i="30"/>
  <c r="AC121" i="30"/>
  <c r="Q121" i="30"/>
  <c r="AC132" i="30"/>
  <c r="Q132" i="30"/>
  <c r="AC122" i="30"/>
  <c r="Q122" i="30"/>
  <c r="AC131" i="30"/>
  <c r="Q131" i="30"/>
  <c r="AC120" i="30"/>
  <c r="Q120" i="30"/>
  <c r="T176" i="30"/>
  <c r="P176" i="30" s="1"/>
  <c r="T134" i="30"/>
  <c r="T133" i="30"/>
  <c r="T132" i="30"/>
  <c r="T131" i="30"/>
  <c r="X131" i="30" s="1"/>
  <c r="K122" i="56" s="1"/>
  <c r="T121" i="30"/>
  <c r="T130" i="30"/>
  <c r="T129" i="30"/>
  <c r="AB129" i="30" s="1"/>
  <c r="T128" i="30"/>
  <c r="T126" i="30"/>
  <c r="T125" i="30"/>
  <c r="AB125" i="30" s="1"/>
  <c r="T124" i="30"/>
  <c r="AB124" i="30" s="1"/>
  <c r="T123" i="30"/>
  <c r="T122" i="30"/>
  <c r="AB122" i="30" s="1"/>
  <c r="T120" i="30"/>
  <c r="P120" i="30" s="1"/>
  <c r="AA117" i="30"/>
  <c r="AA116" i="30"/>
  <c r="AA115" i="30"/>
  <c r="AA114" i="30"/>
  <c r="AA113" i="30"/>
  <c r="AA112" i="30"/>
  <c r="AA111" i="30"/>
  <c r="AA110" i="30"/>
  <c r="F110" i="30"/>
  <c r="G110" i="30"/>
  <c r="H110" i="30"/>
  <c r="I110" i="30"/>
  <c r="W110" i="30"/>
  <c r="F111" i="30"/>
  <c r="G111" i="30"/>
  <c r="H111" i="30"/>
  <c r="I111" i="30"/>
  <c r="W111" i="30"/>
  <c r="F112" i="30"/>
  <c r="G112" i="30"/>
  <c r="H112" i="30"/>
  <c r="I112" i="30"/>
  <c r="W112" i="30"/>
  <c r="F113" i="30"/>
  <c r="G113" i="30"/>
  <c r="H113" i="30"/>
  <c r="I113" i="30"/>
  <c r="W113" i="30"/>
  <c r="F114" i="30"/>
  <c r="G114" i="30"/>
  <c r="H114" i="30"/>
  <c r="I114" i="30"/>
  <c r="W114" i="30"/>
  <c r="F115" i="30"/>
  <c r="G115" i="30"/>
  <c r="H115" i="30"/>
  <c r="I115" i="30"/>
  <c r="W115" i="30"/>
  <c r="F116" i="30"/>
  <c r="G116" i="30"/>
  <c r="H116" i="30"/>
  <c r="I116" i="30"/>
  <c r="W116" i="30"/>
  <c r="F117" i="30"/>
  <c r="G117" i="30"/>
  <c r="H117" i="30"/>
  <c r="I117" i="30"/>
  <c r="W117" i="30"/>
  <c r="F118" i="30"/>
  <c r="G118" i="30"/>
  <c r="H118" i="30"/>
  <c r="I118" i="30"/>
  <c r="L118" i="30"/>
  <c r="W118" i="30"/>
  <c r="F119" i="30"/>
  <c r="G119" i="30"/>
  <c r="H119" i="30"/>
  <c r="I119" i="30"/>
  <c r="L119" i="30"/>
  <c r="W119" i="30"/>
  <c r="F135" i="30"/>
  <c r="G135" i="30"/>
  <c r="H135" i="30"/>
  <c r="I135" i="30"/>
  <c r="L135" i="30"/>
  <c r="W135" i="30"/>
  <c r="A174" i="30"/>
  <c r="D174" i="30"/>
  <c r="F174" i="30"/>
  <c r="G174" i="30"/>
  <c r="H174" i="30"/>
  <c r="I174" i="30"/>
  <c r="L174" i="30"/>
  <c r="V174" i="30"/>
  <c r="W174" i="30"/>
  <c r="X174" i="30" s="1"/>
  <c r="AB174" i="30"/>
  <c r="AA109" i="30"/>
  <c r="AA108" i="30"/>
  <c r="AA107" i="30"/>
  <c r="AA106" i="30"/>
  <c r="A175" i="30"/>
  <c r="D175" i="30"/>
  <c r="F175" i="30"/>
  <c r="G175" i="30"/>
  <c r="H175" i="30"/>
  <c r="I175" i="30"/>
  <c r="L175" i="30"/>
  <c r="V175" i="30"/>
  <c r="W175" i="30"/>
  <c r="X175" i="30" s="1"/>
  <c r="AB175" i="30"/>
  <c r="P130" i="30" l="1"/>
  <c r="AB130" i="30"/>
  <c r="V121" i="30"/>
  <c r="AB121" i="30"/>
  <c r="P123" i="30"/>
  <c r="AB123" i="30"/>
  <c r="X132" i="30"/>
  <c r="K123" i="56" s="1"/>
  <c r="AB132" i="30"/>
  <c r="X133" i="30"/>
  <c r="AB133" i="30"/>
  <c r="P126" i="30"/>
  <c r="AB126" i="30"/>
  <c r="X134" i="30"/>
  <c r="AB134" i="30"/>
  <c r="P128" i="30"/>
  <c r="AB128" i="30"/>
  <c r="P134" i="30"/>
  <c r="V134" i="30"/>
  <c r="Z134" i="30"/>
  <c r="P133" i="30"/>
  <c r="V133" i="30"/>
  <c r="Z133" i="30"/>
  <c r="P132" i="30"/>
  <c r="V132" i="30"/>
  <c r="J123" i="56" s="1"/>
  <c r="Z132" i="30"/>
  <c r="P131" i="30"/>
  <c r="V131" i="30"/>
  <c r="J122" i="56" s="1"/>
  <c r="Z131" i="30"/>
  <c r="Z121" i="30"/>
  <c r="X121" i="30"/>
  <c r="P121" i="30"/>
  <c r="M113" i="30"/>
  <c r="L117" i="30"/>
  <c r="X125" i="30"/>
  <c r="P125" i="30"/>
  <c r="X124" i="30"/>
  <c r="P124" i="30"/>
  <c r="L110" i="30"/>
  <c r="L114" i="30"/>
  <c r="L115" i="30"/>
  <c r="V129" i="30"/>
  <c r="P129" i="30"/>
  <c r="L111" i="30"/>
  <c r="Z122" i="30"/>
  <c r="P122" i="30"/>
  <c r="L112" i="30"/>
  <c r="L116" i="30"/>
  <c r="V130" i="30"/>
  <c r="X130" i="30"/>
  <c r="Z130" i="30"/>
  <c r="Z129" i="30"/>
  <c r="X129" i="30"/>
  <c r="V128" i="30"/>
  <c r="X128" i="30"/>
  <c r="Z128" i="30"/>
  <c r="V126" i="30"/>
  <c r="J120" i="56" s="1"/>
  <c r="X126" i="30"/>
  <c r="K120" i="56" s="1"/>
  <c r="Z126" i="30"/>
  <c r="V125" i="30"/>
  <c r="Z125" i="30"/>
  <c r="V124" i="30"/>
  <c r="Z124" i="30"/>
  <c r="V123" i="30"/>
  <c r="X123" i="30"/>
  <c r="Z123" i="30"/>
  <c r="V122" i="30"/>
  <c r="X122" i="30"/>
  <c r="V120" i="30"/>
  <c r="Z120" i="30"/>
  <c r="K110" i="30"/>
  <c r="J110" i="30"/>
  <c r="R110" i="30"/>
  <c r="J112" i="30"/>
  <c r="R111" i="30"/>
  <c r="K111" i="30"/>
  <c r="S110" i="30"/>
  <c r="S112" i="30"/>
  <c r="O110" i="30"/>
  <c r="Y110" i="30"/>
  <c r="J111" i="30"/>
  <c r="M110" i="30"/>
  <c r="S111" i="30"/>
  <c r="O111" i="30"/>
  <c r="Y111" i="30"/>
  <c r="M111" i="30"/>
  <c r="O113" i="30"/>
  <c r="K112" i="30"/>
  <c r="L113" i="30"/>
  <c r="S115" i="30"/>
  <c r="J113" i="30"/>
  <c r="R112" i="30"/>
  <c r="O112" i="30"/>
  <c r="Y112" i="30"/>
  <c r="M112" i="30"/>
  <c r="S114" i="30"/>
  <c r="K113" i="30"/>
  <c r="K114" i="30"/>
  <c r="S113" i="30"/>
  <c r="J114" i="30"/>
  <c r="R113" i="30"/>
  <c r="Y113" i="30"/>
  <c r="K115" i="30"/>
  <c r="J115" i="30"/>
  <c r="R114" i="30"/>
  <c r="S116" i="30"/>
  <c r="O114" i="30"/>
  <c r="Y114" i="30"/>
  <c r="M114" i="30"/>
  <c r="J116" i="30"/>
  <c r="R115" i="30"/>
  <c r="O115" i="30"/>
  <c r="Y115" i="30"/>
  <c r="M115" i="30"/>
  <c r="K116" i="30"/>
  <c r="J117" i="30"/>
  <c r="R116" i="30"/>
  <c r="O116" i="30"/>
  <c r="K117" i="30"/>
  <c r="Y116" i="30"/>
  <c r="R118" i="30"/>
  <c r="M116" i="30"/>
  <c r="K118" i="30"/>
  <c r="S117" i="30"/>
  <c r="R119" i="30"/>
  <c r="J118" i="30"/>
  <c r="R117" i="30"/>
  <c r="O117" i="30"/>
  <c r="Y117" i="30"/>
  <c r="M117" i="30"/>
  <c r="S118" i="30"/>
  <c r="K119" i="30"/>
  <c r="O118" i="30"/>
  <c r="R135" i="30"/>
  <c r="Y118" i="30"/>
  <c r="M118" i="30"/>
  <c r="J119" i="30"/>
  <c r="K135" i="30"/>
  <c r="S119" i="30"/>
  <c r="O119" i="30"/>
  <c r="J135" i="30"/>
  <c r="R174" i="30"/>
  <c r="Y119" i="30"/>
  <c r="M119" i="30"/>
  <c r="K174" i="30"/>
  <c r="S135" i="30"/>
  <c r="O135" i="30"/>
  <c r="Y135" i="30"/>
  <c r="J174" i="30"/>
  <c r="M135" i="30"/>
  <c r="S174" i="30"/>
  <c r="T174" i="30" s="1"/>
  <c r="P174" i="30" s="1"/>
  <c r="O174" i="30"/>
  <c r="Y174" i="30"/>
  <c r="Z174" i="30" s="1"/>
  <c r="M174" i="30"/>
  <c r="K175" i="30"/>
  <c r="J175" i="30"/>
  <c r="S175" i="30"/>
  <c r="T175" i="30" s="1"/>
  <c r="P175" i="30" s="1"/>
  <c r="R175" i="30"/>
  <c r="O175" i="30"/>
  <c r="Y175" i="30"/>
  <c r="Z175" i="30" s="1"/>
  <c r="M175" i="30"/>
  <c r="F105" i="30"/>
  <c r="F106" i="30"/>
  <c r="F107" i="30"/>
  <c r="F108" i="30"/>
  <c r="F109" i="30"/>
  <c r="G106" i="30"/>
  <c r="G107" i="30"/>
  <c r="G108" i="30"/>
  <c r="G109" i="30"/>
  <c r="H106" i="30"/>
  <c r="H107" i="30"/>
  <c r="H108" i="30"/>
  <c r="H109" i="30"/>
  <c r="I106" i="30"/>
  <c r="I107" i="30"/>
  <c r="I108" i="30"/>
  <c r="I109" i="30"/>
  <c r="J109" i="30"/>
  <c r="W106" i="30"/>
  <c r="W107" i="30"/>
  <c r="Y107" i="30" s="1"/>
  <c r="W108" i="30"/>
  <c r="Y108" i="30" s="1"/>
  <c r="W109" i="30"/>
  <c r="Y109" i="30" s="1"/>
  <c r="AB107" i="30"/>
  <c r="AA54" i="30"/>
  <c r="AA72" i="30"/>
  <c r="AA73" i="30"/>
  <c r="AA70" i="30"/>
  <c r="AA71" i="30"/>
  <c r="AA52" i="30"/>
  <c r="AA69" i="30"/>
  <c r="AA53" i="30"/>
  <c r="AA75" i="30"/>
  <c r="AA4" i="30"/>
  <c r="AA67" i="30"/>
  <c r="AA76" i="30"/>
  <c r="AA82" i="30"/>
  <c r="AA74" i="30"/>
  <c r="AA81" i="30"/>
  <c r="AA85" i="30"/>
  <c r="AA87" i="30"/>
  <c r="AA80" i="30"/>
  <c r="AA83" i="30"/>
  <c r="AA88" i="30"/>
  <c r="AA84" i="30"/>
  <c r="AA89" i="30"/>
  <c r="AA91" i="30"/>
  <c r="AA92" i="30"/>
  <c r="AA90" i="30"/>
  <c r="AA94" i="30"/>
  <c r="AA95" i="30"/>
  <c r="AA96" i="30"/>
  <c r="AA97" i="30"/>
  <c r="AA99" i="30"/>
  <c r="AA5" i="30"/>
  <c r="AA104" i="30"/>
  <c r="F104" i="30"/>
  <c r="G104" i="30"/>
  <c r="H104" i="30"/>
  <c r="I104" i="30"/>
  <c r="W104" i="30"/>
  <c r="J129" i="56" l="1"/>
  <c r="M122" i="56"/>
  <c r="N122" i="56" s="1"/>
  <c r="L123" i="56"/>
  <c r="L120" i="56"/>
  <c r="L122" i="56"/>
  <c r="AA120" i="23"/>
  <c r="T135" i="30"/>
  <c r="X135" i="30" s="1"/>
  <c r="AA123" i="23"/>
  <c r="AA127" i="23"/>
  <c r="AA132" i="23"/>
  <c r="AA119" i="23"/>
  <c r="AA124" i="23"/>
  <c r="AA130" i="23"/>
  <c r="AA121" i="23"/>
  <c r="AA133" i="23"/>
  <c r="AA128" i="23"/>
  <c r="AA125" i="23"/>
  <c r="AA129" i="23"/>
  <c r="AA131" i="23"/>
  <c r="AA122" i="23"/>
  <c r="AC117" i="30"/>
  <c r="Q117" i="30"/>
  <c r="AC115" i="30"/>
  <c r="Q115" i="30"/>
  <c r="AC175" i="30"/>
  <c r="Q175" i="30"/>
  <c r="AC113" i="30"/>
  <c r="Q113" i="30"/>
  <c r="AC110" i="30"/>
  <c r="Q110" i="30"/>
  <c r="AC116" i="30"/>
  <c r="Q116" i="30"/>
  <c r="AC118" i="30"/>
  <c r="Q118" i="30"/>
  <c r="AC112" i="30"/>
  <c r="Q112" i="30"/>
  <c r="AC174" i="30"/>
  <c r="Q174" i="30"/>
  <c r="AC119" i="30"/>
  <c r="Q119" i="30"/>
  <c r="AC111" i="30"/>
  <c r="Q111" i="30"/>
  <c r="AC135" i="30"/>
  <c r="Q135" i="30"/>
  <c r="AC114" i="30"/>
  <c r="Q114" i="30"/>
  <c r="J108" i="30"/>
  <c r="R108" i="30"/>
  <c r="J107" i="30"/>
  <c r="R107" i="30"/>
  <c r="O105" i="30"/>
  <c r="Q105" i="30" s="1"/>
  <c r="R105" i="30"/>
  <c r="L104" i="30"/>
  <c r="R104" i="30"/>
  <c r="T119" i="30"/>
  <c r="P119" i="30" s="1"/>
  <c r="T118" i="30"/>
  <c r="T117" i="30"/>
  <c r="T116" i="30"/>
  <c r="T115" i="30"/>
  <c r="T114" i="30"/>
  <c r="P114" i="30" s="1"/>
  <c r="T112" i="30"/>
  <c r="P112" i="30" s="1"/>
  <c r="T113" i="30"/>
  <c r="T111" i="30"/>
  <c r="P111" i="30" s="1"/>
  <c r="T110" i="30"/>
  <c r="S106" i="30"/>
  <c r="R106" i="30"/>
  <c r="K106" i="30"/>
  <c r="S108" i="30"/>
  <c r="S107" i="30"/>
  <c r="S105" i="30"/>
  <c r="O107" i="30"/>
  <c r="L109" i="30"/>
  <c r="O109" i="30"/>
  <c r="Y106" i="30"/>
  <c r="S109" i="30"/>
  <c r="X107" i="30"/>
  <c r="O108" i="30"/>
  <c r="M106" i="30"/>
  <c r="L107" i="30"/>
  <c r="J106" i="30"/>
  <c r="L108" i="30"/>
  <c r="O106" i="30"/>
  <c r="L106" i="30"/>
  <c r="K109" i="30"/>
  <c r="K108" i="30"/>
  <c r="K107" i="30"/>
  <c r="R109" i="30"/>
  <c r="M109" i="30"/>
  <c r="M108" i="30"/>
  <c r="M107" i="30"/>
  <c r="K104" i="30"/>
  <c r="J104" i="30"/>
  <c r="Y104" i="30"/>
  <c r="S104" i="30"/>
  <c r="O104" i="30"/>
  <c r="M104" i="30"/>
  <c r="Z135" i="30" l="1"/>
  <c r="AB135" i="30"/>
  <c r="V135" i="30"/>
  <c r="AA134" i="23" s="1"/>
  <c r="P135" i="30"/>
  <c r="AC106" i="30"/>
  <c r="Q106" i="30"/>
  <c r="AC109" i="30"/>
  <c r="Q109" i="30"/>
  <c r="AC107" i="30"/>
  <c r="Q107" i="30"/>
  <c r="AC104" i="30"/>
  <c r="Q104" i="30"/>
  <c r="AC108" i="30"/>
  <c r="Q108" i="30"/>
  <c r="X110" i="30"/>
  <c r="K113" i="56" s="1"/>
  <c r="P110" i="30"/>
  <c r="V118" i="30"/>
  <c r="J119" i="56" s="1"/>
  <c r="P118" i="30"/>
  <c r="X117" i="30"/>
  <c r="P117" i="30"/>
  <c r="X113" i="30"/>
  <c r="K115" i="56" s="1"/>
  <c r="P113" i="30"/>
  <c r="X115" i="30"/>
  <c r="P115" i="30"/>
  <c r="X116" i="30"/>
  <c r="P116" i="30"/>
  <c r="T107" i="30"/>
  <c r="T108" i="30"/>
  <c r="T105" i="30"/>
  <c r="V119" i="30"/>
  <c r="AB119" i="30"/>
  <c r="X119" i="30"/>
  <c r="Z119" i="30"/>
  <c r="AB118" i="30"/>
  <c r="Z118" i="30"/>
  <c r="X118" i="30"/>
  <c r="K119" i="56" s="1"/>
  <c r="V114" i="30"/>
  <c r="J116" i="56" s="1"/>
  <c r="X114" i="30"/>
  <c r="K116" i="56" s="1"/>
  <c r="AB114" i="30"/>
  <c r="V112" i="30"/>
  <c r="J118" i="56" s="1"/>
  <c r="X112" i="30"/>
  <c r="K118" i="56" s="1"/>
  <c r="V111" i="30"/>
  <c r="J114" i="56" s="1"/>
  <c r="X111" i="30"/>
  <c r="K114" i="56" s="1"/>
  <c r="V117" i="30"/>
  <c r="AB117" i="30"/>
  <c r="Z117" i="30"/>
  <c r="V116" i="30"/>
  <c r="AB116" i="30"/>
  <c r="Z116" i="30"/>
  <c r="V115" i="30"/>
  <c r="AB115" i="30"/>
  <c r="Z115" i="30"/>
  <c r="Z114" i="30"/>
  <c r="V113" i="30"/>
  <c r="J115" i="56" s="1"/>
  <c r="AB113" i="30"/>
  <c r="Z113" i="30"/>
  <c r="Z112" i="30"/>
  <c r="AB112" i="30"/>
  <c r="Z111" i="30"/>
  <c r="AB111" i="30"/>
  <c r="V110" i="30"/>
  <c r="J113" i="56" s="1"/>
  <c r="AB110" i="30"/>
  <c r="Z110" i="30"/>
  <c r="T106" i="30"/>
  <c r="T109" i="30"/>
  <c r="P109" i="30" s="1"/>
  <c r="T104" i="30"/>
  <c r="AC177" i="30"/>
  <c r="AC105" i="30"/>
  <c r="AA177" i="30"/>
  <c r="AB177" i="30" s="1"/>
  <c r="AA105" i="30"/>
  <c r="AA103" i="30"/>
  <c r="AB103" i="30" s="1"/>
  <c r="AA102" i="30"/>
  <c r="AB102" i="30" s="1"/>
  <c r="W177" i="30"/>
  <c r="X177" i="30" s="1"/>
  <c r="W105" i="30"/>
  <c r="W103" i="30"/>
  <c r="X103" i="30" s="1"/>
  <c r="K100" i="56" s="1"/>
  <c r="W102" i="30"/>
  <c r="X102" i="30" s="1"/>
  <c r="AA93" i="30"/>
  <c r="AA100" i="30"/>
  <c r="AA98" i="30"/>
  <c r="AA86" i="30"/>
  <c r="AA78" i="30"/>
  <c r="AA101" i="30"/>
  <c r="W101" i="30"/>
  <c r="L115" i="56" l="1"/>
  <c r="L119" i="56"/>
  <c r="L118" i="56"/>
  <c r="L116" i="56"/>
  <c r="L113" i="56"/>
  <c r="K76" i="56"/>
  <c r="K108" i="56"/>
  <c r="L114" i="56"/>
  <c r="AA116" i="23"/>
  <c r="AA114" i="23"/>
  <c r="AA110" i="23"/>
  <c r="AA117" i="23"/>
  <c r="AA111" i="23"/>
  <c r="AA115" i="23"/>
  <c r="AA112" i="23"/>
  <c r="AA118" i="23"/>
  <c r="AA109" i="23"/>
  <c r="AA113" i="23"/>
  <c r="V108" i="30"/>
  <c r="J111" i="56" s="1"/>
  <c r="P108" i="30"/>
  <c r="V107" i="30"/>
  <c r="P107" i="30"/>
  <c r="X104" i="30"/>
  <c r="K109" i="56" s="1"/>
  <c r="P104" i="30"/>
  <c r="V105" i="30"/>
  <c r="J117" i="56" s="1"/>
  <c r="M117" i="56" s="1"/>
  <c r="P105" i="30"/>
  <c r="X106" i="30"/>
  <c r="K110" i="56" s="1"/>
  <c r="P106" i="30"/>
  <c r="Z107" i="30"/>
  <c r="AB108" i="30"/>
  <c r="Z108" i="30"/>
  <c r="X108" i="30"/>
  <c r="K111" i="56" s="1"/>
  <c r="AB105" i="30"/>
  <c r="X105" i="30"/>
  <c r="K117" i="56" s="1"/>
  <c r="AB109" i="30"/>
  <c r="X109" i="30"/>
  <c r="K112" i="56" s="1"/>
  <c r="V106" i="30"/>
  <c r="J110" i="56" s="1"/>
  <c r="AB106" i="30"/>
  <c r="Z106" i="30"/>
  <c r="V109" i="30"/>
  <c r="J112" i="56" s="1"/>
  <c r="Z109" i="30"/>
  <c r="V104" i="30"/>
  <c r="J109" i="56" s="1"/>
  <c r="AB104" i="30"/>
  <c r="Z104" i="30"/>
  <c r="Y177" i="30"/>
  <c r="Z177" i="30" s="1"/>
  <c r="Y105" i="30"/>
  <c r="Z105" i="30" s="1"/>
  <c r="Y103" i="30"/>
  <c r="Y102" i="30"/>
  <c r="Z102" i="30" s="1"/>
  <c r="V177" i="30"/>
  <c r="V102" i="30"/>
  <c r="J108" i="56" s="1"/>
  <c r="U101" i="30"/>
  <c r="U99" i="30"/>
  <c r="Z98" i="23" s="1"/>
  <c r="P15" i="30"/>
  <c r="P78" i="30"/>
  <c r="P86" i="30"/>
  <c r="P98" i="30"/>
  <c r="P100" i="30"/>
  <c r="P103" i="30"/>
  <c r="G101" i="30"/>
  <c r="H101" i="30"/>
  <c r="I101" i="30"/>
  <c r="G102" i="30"/>
  <c r="H102" i="30"/>
  <c r="I102" i="30"/>
  <c r="G103" i="30"/>
  <c r="H103" i="30"/>
  <c r="I103" i="30"/>
  <c r="F101" i="30"/>
  <c r="F102" i="30"/>
  <c r="A4" i="23"/>
  <c r="E104" i="56" s="1"/>
  <c r="A76" i="23"/>
  <c r="A85" i="23"/>
  <c r="A92" i="23"/>
  <c r="A75" i="23"/>
  <c r="E106" i="56" s="1"/>
  <c r="A100" i="23"/>
  <c r="A101" i="23"/>
  <c r="A102" i="23"/>
  <c r="A22" i="42"/>
  <c r="M112" i="56" l="1"/>
  <c r="N112" i="56" s="1"/>
  <c r="L117" i="56"/>
  <c r="N117" i="56"/>
  <c r="L111" i="56"/>
  <c r="L108" i="56"/>
  <c r="L109" i="56"/>
  <c r="L112" i="56"/>
  <c r="Y101" i="30"/>
  <c r="Z100" i="23"/>
  <c r="A103" i="30"/>
  <c r="E100" i="56"/>
  <c r="A102" i="30"/>
  <c r="E76" i="56"/>
  <c r="A101" i="30"/>
  <c r="E75" i="56"/>
  <c r="A78" i="30"/>
  <c r="E93" i="56"/>
  <c r="A5" i="30"/>
  <c r="A77" i="30"/>
  <c r="A93" i="30"/>
  <c r="E95" i="56"/>
  <c r="A86" i="30"/>
  <c r="E92" i="56"/>
  <c r="AA105" i="23"/>
  <c r="AA106" i="23"/>
  <c r="AA107" i="23"/>
  <c r="AA103" i="23"/>
  <c r="AA104" i="23"/>
  <c r="AA108" i="23"/>
  <c r="AA101" i="23"/>
  <c r="J76" i="56"/>
  <c r="L76" i="56" s="1"/>
  <c r="J101" i="30"/>
  <c r="J102" i="30"/>
  <c r="P102" i="30"/>
  <c r="K103" i="30"/>
  <c r="R103" i="30"/>
  <c r="R101" i="30"/>
  <c r="O101" i="30"/>
  <c r="M103" i="30"/>
  <c r="L103" i="30"/>
  <c r="S101" i="30"/>
  <c r="S103" i="30"/>
  <c r="V103" i="30" s="1"/>
  <c r="L102" i="30"/>
  <c r="O103" i="30"/>
  <c r="K102" i="30"/>
  <c r="S102" i="30"/>
  <c r="M101" i="30"/>
  <c r="R102" i="30"/>
  <c r="L101" i="30"/>
  <c r="O102" i="30"/>
  <c r="K101" i="30"/>
  <c r="J103" i="30"/>
  <c r="M102" i="30"/>
  <c r="F4" i="23"/>
  <c r="L14" i="30"/>
  <c r="AA58" i="30"/>
  <c r="W58" i="30"/>
  <c r="Y58" i="30" s="1"/>
  <c r="J58" i="30"/>
  <c r="I58" i="30"/>
  <c r="H58" i="30"/>
  <c r="G58" i="30"/>
  <c r="F58" i="30"/>
  <c r="AA57" i="30"/>
  <c r="W57" i="30"/>
  <c r="Y57" i="30" s="1"/>
  <c r="S57" i="30"/>
  <c r="I57" i="30"/>
  <c r="H57" i="30"/>
  <c r="G57" i="30"/>
  <c r="F57" i="30"/>
  <c r="AA14" i="30"/>
  <c r="AB14" i="30" s="1"/>
  <c r="W14" i="30"/>
  <c r="Y14" i="30" s="1"/>
  <c r="I14" i="30"/>
  <c r="H14" i="30"/>
  <c r="G14" i="30"/>
  <c r="F14" i="30"/>
  <c r="AA15" i="30"/>
  <c r="AB15" i="30" s="1"/>
  <c r="W15" i="30"/>
  <c r="Y15" i="30" s="1"/>
  <c r="O15" i="30"/>
  <c r="Q15" i="30" s="1"/>
  <c r="I15" i="30"/>
  <c r="H15" i="30"/>
  <c r="G15" i="30"/>
  <c r="F15" i="30"/>
  <c r="AA68" i="30"/>
  <c r="W68" i="30"/>
  <c r="Y68" i="30" s="1"/>
  <c r="I68" i="30"/>
  <c r="H68" i="30"/>
  <c r="G68" i="30"/>
  <c r="F68" i="30"/>
  <c r="U90" i="30"/>
  <c r="Z89" i="23" s="1"/>
  <c r="U89" i="30"/>
  <c r="Z88" i="23" s="1"/>
  <c r="U88" i="30"/>
  <c r="Z87" i="23" s="1"/>
  <c r="Z78" i="23"/>
  <c r="U87" i="30"/>
  <c r="Z86" i="23" s="1"/>
  <c r="U85" i="30"/>
  <c r="Z84" i="23" s="1"/>
  <c r="U74" i="30"/>
  <c r="AA12" i="30"/>
  <c r="P99" i="30"/>
  <c r="F73" i="23"/>
  <c r="F3" i="23"/>
  <c r="F65" i="23"/>
  <c r="F74" i="23"/>
  <c r="F53" i="23"/>
  <c r="F80" i="23"/>
  <c r="F72" i="23"/>
  <c r="F79" i="23"/>
  <c r="F82" i="23"/>
  <c r="F84" i="23"/>
  <c r="F86" i="23"/>
  <c r="F78" i="23"/>
  <c r="F81" i="23"/>
  <c r="F87" i="23"/>
  <c r="F83" i="23"/>
  <c r="F88" i="23"/>
  <c r="F90" i="23"/>
  <c r="F91" i="23"/>
  <c r="F89" i="23"/>
  <c r="F93" i="23"/>
  <c r="F94" i="23"/>
  <c r="F95" i="23"/>
  <c r="F96" i="23"/>
  <c r="F98" i="23"/>
  <c r="F5" i="23"/>
  <c r="F6" i="23"/>
  <c r="F7" i="23"/>
  <c r="F8" i="23"/>
  <c r="F9" i="23"/>
  <c r="F10" i="23"/>
  <c r="F11" i="23"/>
  <c r="F12" i="23"/>
  <c r="F13" i="23"/>
  <c r="F14" i="23"/>
  <c r="F15" i="23"/>
  <c r="F16" i="23"/>
  <c r="F17" i="23"/>
  <c r="F18" i="23"/>
  <c r="F19" i="23"/>
  <c r="F20" i="23"/>
  <c r="F21" i="23"/>
  <c r="F22" i="23"/>
  <c r="F23" i="23"/>
  <c r="F24" i="23"/>
  <c r="F25" i="23"/>
  <c r="F26" i="23"/>
  <c r="F27" i="23"/>
  <c r="F28" i="23"/>
  <c r="F29" i="23"/>
  <c r="F30" i="23"/>
  <c r="F31" i="23"/>
  <c r="F32" i="23"/>
  <c r="F35" i="23"/>
  <c r="F36" i="23"/>
  <c r="F38" i="23"/>
  <c r="F37" i="23"/>
  <c r="F39" i="23"/>
  <c r="F41" i="23"/>
  <c r="F40" i="23"/>
  <c r="F34" i="23"/>
  <c r="F42" i="23"/>
  <c r="F43" i="23"/>
  <c r="F44" i="23"/>
  <c r="F45" i="23"/>
  <c r="F46" i="23"/>
  <c r="F47" i="23"/>
  <c r="F48" i="23"/>
  <c r="F50" i="23"/>
  <c r="F54" i="23"/>
  <c r="F55" i="23"/>
  <c r="F56" i="23"/>
  <c r="F57" i="23"/>
  <c r="F58" i="23"/>
  <c r="F59" i="23"/>
  <c r="F60" i="23"/>
  <c r="F61" i="23"/>
  <c r="F62" i="23"/>
  <c r="F63" i="23"/>
  <c r="F64" i="23"/>
  <c r="F66" i="23"/>
  <c r="F2" i="23"/>
  <c r="F33" i="23"/>
  <c r="F49" i="23"/>
  <c r="F70" i="23"/>
  <c r="F71" i="23"/>
  <c r="F68" i="23"/>
  <c r="F69" i="23"/>
  <c r="F51" i="23"/>
  <c r="F67" i="23"/>
  <c r="F77" i="23"/>
  <c r="F52" i="23"/>
  <c r="P40" i="50" l="1"/>
  <c r="Z72" i="23"/>
  <c r="U178" i="30"/>
  <c r="AA102" i="23"/>
  <c r="J100" i="56"/>
  <c r="AC101" i="30"/>
  <c r="Q101" i="30"/>
  <c r="AC103" i="30"/>
  <c r="Q103" i="30"/>
  <c r="AC102" i="30"/>
  <c r="Q102" i="30"/>
  <c r="M5" i="30"/>
  <c r="M95" i="30"/>
  <c r="M97" i="30"/>
  <c r="M96" i="30"/>
  <c r="M68" i="30"/>
  <c r="M99" i="30"/>
  <c r="R99" i="30"/>
  <c r="Z103" i="30"/>
  <c r="T101" i="30"/>
  <c r="P101" i="30" s="1"/>
  <c r="R14" i="30"/>
  <c r="J68" i="30"/>
  <c r="R15" i="30"/>
  <c r="O68" i="30"/>
  <c r="M15" i="30"/>
  <c r="K15" i="30"/>
  <c r="J57" i="30"/>
  <c r="L15" i="30"/>
  <c r="M57" i="30"/>
  <c r="K58" i="30"/>
  <c r="L68" i="30"/>
  <c r="S14" i="30"/>
  <c r="AC15" i="30"/>
  <c r="R68" i="30"/>
  <c r="S15" i="30"/>
  <c r="J14" i="30"/>
  <c r="K57" i="30"/>
  <c r="L58" i="30"/>
  <c r="S68" i="30"/>
  <c r="J15" i="30"/>
  <c r="K14" i="30"/>
  <c r="L57" i="30"/>
  <c r="M58" i="30"/>
  <c r="K68" i="30"/>
  <c r="M14" i="30"/>
  <c r="O58" i="30"/>
  <c r="O57" i="30"/>
  <c r="R58" i="30"/>
  <c r="O14" i="30"/>
  <c r="R57" i="30"/>
  <c r="S58" i="30"/>
  <c r="L99" i="30"/>
  <c r="L97" i="30"/>
  <c r="L5" i="30"/>
  <c r="L95" i="30"/>
  <c r="L96" i="30"/>
  <c r="AH94" i="23"/>
  <c r="P84" i="30"/>
  <c r="P80" i="30"/>
  <c r="P81" i="30"/>
  <c r="P82" i="30"/>
  <c r="P67" i="30"/>
  <c r="L61" i="30"/>
  <c r="L31" i="30"/>
  <c r="AH93" i="23"/>
  <c r="L100" i="56" l="1"/>
  <c r="AC14" i="30"/>
  <c r="Q14" i="30"/>
  <c r="AC68" i="30"/>
  <c r="Q68" i="30"/>
  <c r="AC57" i="30"/>
  <c r="Q57" i="30"/>
  <c r="AC58" i="30"/>
  <c r="Q58" i="30"/>
  <c r="L59" i="30"/>
  <c r="P59" i="30"/>
  <c r="L11" i="30"/>
  <c r="L12" i="30"/>
  <c r="L22" i="30"/>
  <c r="L30" i="30"/>
  <c r="L41" i="30"/>
  <c r="L47" i="30"/>
  <c r="L50" i="30"/>
  <c r="L20" i="30"/>
  <c r="L3" i="30"/>
  <c r="L39" i="30"/>
  <c r="L13" i="30"/>
  <c r="L23" i="30"/>
  <c r="L32" i="30"/>
  <c r="L40" i="30"/>
  <c r="L49" i="30"/>
  <c r="L64" i="30"/>
  <c r="L72" i="30"/>
  <c r="L75" i="30"/>
  <c r="L10" i="30"/>
  <c r="L60" i="30"/>
  <c r="L16" i="30"/>
  <c r="L24" i="30"/>
  <c r="P24" i="30"/>
  <c r="L42" i="30"/>
  <c r="L48" i="30"/>
  <c r="L63" i="30"/>
  <c r="L73" i="30"/>
  <c r="L38" i="30"/>
  <c r="L29" i="30"/>
  <c r="L65" i="30"/>
  <c r="L28" i="30"/>
  <c r="L46" i="30"/>
  <c r="L7" i="30"/>
  <c r="L33" i="30"/>
  <c r="L51" i="30"/>
  <c r="L8" i="30"/>
  <c r="L18" i="30"/>
  <c r="L26" i="30"/>
  <c r="L34" i="30"/>
  <c r="L43" i="30"/>
  <c r="L55" i="30"/>
  <c r="L62" i="30"/>
  <c r="L71" i="30"/>
  <c r="L45" i="30"/>
  <c r="L21" i="30"/>
  <c r="L36" i="30"/>
  <c r="L25" i="30"/>
  <c r="L37" i="30"/>
  <c r="P37" i="30"/>
  <c r="L70" i="30"/>
  <c r="P70" i="30"/>
  <c r="L9" i="30"/>
  <c r="L19" i="30"/>
  <c r="L27" i="30"/>
  <c r="L35" i="30"/>
  <c r="L44" i="30"/>
  <c r="L56" i="30"/>
  <c r="L66" i="30"/>
  <c r="L52" i="30"/>
  <c r="V101" i="30"/>
  <c r="J107" i="56" s="1"/>
  <c r="X101" i="30"/>
  <c r="AB101" i="30"/>
  <c r="Z101" i="30"/>
  <c r="L17" i="30"/>
  <c r="M67" i="30"/>
  <c r="L67" i="30"/>
  <c r="M84" i="30"/>
  <c r="L84" i="30"/>
  <c r="M94" i="30"/>
  <c r="L94" i="30"/>
  <c r="M76" i="30"/>
  <c r="L76" i="30"/>
  <c r="M91" i="30"/>
  <c r="L91" i="30"/>
  <c r="M79" i="30"/>
  <c r="L79" i="30"/>
  <c r="M89" i="30"/>
  <c r="L89" i="30"/>
  <c r="M54" i="30"/>
  <c r="L54" i="30"/>
  <c r="M92" i="30"/>
  <c r="L92" i="30"/>
  <c r="M82" i="30"/>
  <c r="L82" i="30"/>
  <c r="M90" i="30"/>
  <c r="L90" i="30"/>
  <c r="M74" i="30"/>
  <c r="L74" i="30"/>
  <c r="M88" i="30"/>
  <c r="L88" i="30"/>
  <c r="M81" i="30"/>
  <c r="L81" i="30"/>
  <c r="M69" i="30"/>
  <c r="L69" i="30"/>
  <c r="M85" i="30"/>
  <c r="L85" i="30"/>
  <c r="M87" i="30"/>
  <c r="L87" i="30"/>
  <c r="M53" i="30"/>
  <c r="L53" i="30"/>
  <c r="M80" i="30"/>
  <c r="L80" i="30"/>
  <c r="M83" i="30"/>
  <c r="L83" i="30"/>
  <c r="M75" i="30"/>
  <c r="K75" i="30"/>
  <c r="F85" i="30"/>
  <c r="F87" i="30"/>
  <c r="F80" i="30"/>
  <c r="F83" i="30"/>
  <c r="F88" i="30"/>
  <c r="F84" i="30"/>
  <c r="F89" i="30"/>
  <c r="F91" i="30"/>
  <c r="F92" i="30"/>
  <c r="F90" i="30"/>
  <c r="F94" i="30"/>
  <c r="G81" i="30"/>
  <c r="G85" i="30"/>
  <c r="G87" i="30"/>
  <c r="G80" i="30"/>
  <c r="G83" i="30"/>
  <c r="G88" i="30"/>
  <c r="G84" i="30"/>
  <c r="G89" i="30"/>
  <c r="G91" i="30"/>
  <c r="G92" i="30"/>
  <c r="G90" i="30"/>
  <c r="G94" i="30"/>
  <c r="H81" i="30"/>
  <c r="H85" i="30"/>
  <c r="H87" i="30"/>
  <c r="H80" i="30"/>
  <c r="H83" i="30"/>
  <c r="H88" i="30"/>
  <c r="H84" i="30"/>
  <c r="H89" i="30"/>
  <c r="H91" i="30"/>
  <c r="H92" i="30"/>
  <c r="H90" i="30"/>
  <c r="H94" i="30"/>
  <c r="I81" i="30"/>
  <c r="I85" i="30"/>
  <c r="I87" i="30"/>
  <c r="I80" i="30"/>
  <c r="I83" i="30"/>
  <c r="I88" i="30"/>
  <c r="I84" i="30"/>
  <c r="I89" i="30"/>
  <c r="I91" i="30"/>
  <c r="I92" i="30"/>
  <c r="I90" i="30"/>
  <c r="I94" i="30"/>
  <c r="K85" i="30"/>
  <c r="J87" i="30"/>
  <c r="R80" i="30"/>
  <c r="K83" i="30"/>
  <c r="K88" i="30"/>
  <c r="K84" i="30"/>
  <c r="J90" i="30"/>
  <c r="R94" i="30"/>
  <c r="W81" i="30"/>
  <c r="W85" i="30"/>
  <c r="Y85" i="30" s="1"/>
  <c r="W87" i="30"/>
  <c r="W80" i="30"/>
  <c r="X80" i="30" s="1"/>
  <c r="K91" i="56" s="1"/>
  <c r="W83" i="30"/>
  <c r="W88" i="30"/>
  <c r="Y88" i="30" s="1"/>
  <c r="W84" i="30"/>
  <c r="Y84" i="30" s="1"/>
  <c r="W89" i="30"/>
  <c r="W91" i="30"/>
  <c r="Y91" i="30" s="1"/>
  <c r="W92" i="30"/>
  <c r="Y92" i="30" s="1"/>
  <c r="W90" i="30"/>
  <c r="Y90" i="30" s="1"/>
  <c r="W94" i="30"/>
  <c r="X94" i="30" s="1"/>
  <c r="K101" i="56" s="1"/>
  <c r="L101" i="56" s="1"/>
  <c r="AB81" i="30"/>
  <c r="AB80" i="30"/>
  <c r="AB84" i="30"/>
  <c r="AB94" i="30"/>
  <c r="F95" i="30"/>
  <c r="F96" i="30"/>
  <c r="F97" i="30"/>
  <c r="F99" i="30"/>
  <c r="F5" i="30"/>
  <c r="G95" i="30"/>
  <c r="G96" i="30"/>
  <c r="G97" i="30"/>
  <c r="G99" i="30"/>
  <c r="G5" i="30"/>
  <c r="H95" i="30"/>
  <c r="H96" i="30"/>
  <c r="H97" i="30"/>
  <c r="H99" i="30"/>
  <c r="H5" i="30"/>
  <c r="I95" i="30"/>
  <c r="I96" i="30"/>
  <c r="I97" i="30"/>
  <c r="I99" i="30"/>
  <c r="I5" i="30"/>
  <c r="J95" i="30"/>
  <c r="J96" i="30"/>
  <c r="J97" i="30"/>
  <c r="J99" i="30"/>
  <c r="J5" i="30"/>
  <c r="V99" i="30"/>
  <c r="W95" i="30"/>
  <c r="Y95" i="30" s="1"/>
  <c r="W96" i="30"/>
  <c r="Y96" i="30" s="1"/>
  <c r="W97" i="30"/>
  <c r="Y97" i="30" s="1"/>
  <c r="W99" i="30"/>
  <c r="Y99" i="30" s="1"/>
  <c r="Z99" i="30" s="1"/>
  <c r="W5" i="30"/>
  <c r="Y5" i="30" s="1"/>
  <c r="AB99" i="30"/>
  <c r="AB5" i="30"/>
  <c r="AB54" i="30"/>
  <c r="W54" i="30"/>
  <c r="R54" i="30"/>
  <c r="T54" i="30" s="1"/>
  <c r="V54" i="30" s="1"/>
  <c r="O54" i="30"/>
  <c r="Q54" i="30" s="1"/>
  <c r="K54" i="30"/>
  <c r="J54" i="30"/>
  <c r="I54" i="30"/>
  <c r="H54" i="30"/>
  <c r="G54" i="30"/>
  <c r="F54" i="30"/>
  <c r="M107" i="56" l="1"/>
  <c r="N107" i="56" s="1"/>
  <c r="K75" i="56"/>
  <c r="K107" i="56"/>
  <c r="L107" i="56" s="1"/>
  <c r="X81" i="30"/>
  <c r="K94" i="56" s="1"/>
  <c r="AV18" i="42"/>
  <c r="AA98" i="23"/>
  <c r="J97" i="56"/>
  <c r="AA53" i="23"/>
  <c r="J89" i="56"/>
  <c r="AA100" i="23"/>
  <c r="J75" i="56"/>
  <c r="P54" i="30"/>
  <c r="X54" i="30"/>
  <c r="K89" i="56" s="1"/>
  <c r="S97" i="30"/>
  <c r="Y87" i="30"/>
  <c r="O89" i="30"/>
  <c r="R97" i="30"/>
  <c r="O97" i="30"/>
  <c r="R92" i="30"/>
  <c r="R85" i="30"/>
  <c r="O92" i="30"/>
  <c r="Y83" i="30"/>
  <c r="O91" i="30"/>
  <c r="S5" i="30"/>
  <c r="J91" i="30"/>
  <c r="O5" i="30"/>
  <c r="J81" i="30"/>
  <c r="S91" i="30"/>
  <c r="Y81" i="30"/>
  <c r="X5" i="30"/>
  <c r="X99" i="30"/>
  <c r="K97" i="56" s="1"/>
  <c r="Y80" i="30"/>
  <c r="R91" i="30"/>
  <c r="O81" i="30"/>
  <c r="J92" i="30"/>
  <c r="Y94" i="30"/>
  <c r="S85" i="30"/>
  <c r="Y89" i="30"/>
  <c r="O85" i="30"/>
  <c r="R90" i="30"/>
  <c r="O90" i="30"/>
  <c r="K94" i="30"/>
  <c r="J89" i="30"/>
  <c r="K90" i="30"/>
  <c r="J85" i="30"/>
  <c r="S99" i="30"/>
  <c r="O99" i="30"/>
  <c r="S92" i="30"/>
  <c r="K92" i="30"/>
  <c r="K80" i="30"/>
  <c r="R84" i="30"/>
  <c r="O96" i="30"/>
  <c r="S84" i="30"/>
  <c r="R88" i="30"/>
  <c r="K87" i="30"/>
  <c r="O84" i="30"/>
  <c r="S88" i="30"/>
  <c r="R87" i="30"/>
  <c r="O87" i="30"/>
  <c r="R96" i="30"/>
  <c r="S96" i="30"/>
  <c r="R95" i="30"/>
  <c r="S94" i="30"/>
  <c r="S80" i="30"/>
  <c r="O88" i="30"/>
  <c r="J84" i="30"/>
  <c r="O95" i="30"/>
  <c r="S95" i="30"/>
  <c r="X84" i="30"/>
  <c r="K99" i="56" s="1"/>
  <c r="S90" i="30"/>
  <c r="S87" i="30"/>
  <c r="R89" i="30"/>
  <c r="R81" i="30"/>
  <c r="O83" i="30"/>
  <c r="K91" i="30"/>
  <c r="J88" i="30"/>
  <c r="S83" i="30"/>
  <c r="O94" i="30"/>
  <c r="O80" i="30"/>
  <c r="K89" i="30"/>
  <c r="K81" i="30"/>
  <c r="J83" i="30"/>
  <c r="J94" i="30"/>
  <c r="J80" i="30"/>
  <c r="R5" i="30"/>
  <c r="S89" i="30"/>
  <c r="S81" i="30"/>
  <c r="R83" i="30"/>
  <c r="K5" i="30"/>
  <c r="K99" i="30"/>
  <c r="K97" i="30"/>
  <c r="K96" i="30"/>
  <c r="K95" i="30"/>
  <c r="Y54" i="30"/>
  <c r="Z54" i="30" s="1"/>
  <c r="AC54" i="30"/>
  <c r="F67" i="30"/>
  <c r="F76" i="30"/>
  <c r="F82" i="30"/>
  <c r="F74" i="30"/>
  <c r="F78" i="30"/>
  <c r="F98" i="30"/>
  <c r="F100" i="30"/>
  <c r="F93" i="30"/>
  <c r="G67" i="30"/>
  <c r="G76" i="30"/>
  <c r="G82" i="30"/>
  <c r="G74" i="30"/>
  <c r="G78" i="30"/>
  <c r="G86" i="30"/>
  <c r="G98" i="30"/>
  <c r="G100" i="30"/>
  <c r="G93" i="30"/>
  <c r="H67" i="30"/>
  <c r="H76" i="30"/>
  <c r="H82" i="30"/>
  <c r="H74" i="30"/>
  <c r="H78" i="30"/>
  <c r="H86" i="30"/>
  <c r="H98" i="30"/>
  <c r="H100" i="30"/>
  <c r="H93" i="30"/>
  <c r="I67" i="30"/>
  <c r="I76" i="30"/>
  <c r="I82" i="30"/>
  <c r="I74" i="30"/>
  <c r="I78" i="30"/>
  <c r="I86" i="30"/>
  <c r="I98" i="30"/>
  <c r="I100" i="30"/>
  <c r="I93" i="30"/>
  <c r="J76" i="30"/>
  <c r="J82" i="30"/>
  <c r="L98" i="30"/>
  <c r="V78" i="30"/>
  <c r="V86" i="30"/>
  <c r="V98" i="30"/>
  <c r="J105" i="56" s="1"/>
  <c r="V100" i="30"/>
  <c r="W67" i="30"/>
  <c r="X67" i="30" s="1"/>
  <c r="K64" i="56" s="1"/>
  <c r="W76" i="30"/>
  <c r="Y76" i="30" s="1"/>
  <c r="W82" i="30"/>
  <c r="Y82" i="30" s="1"/>
  <c r="W74" i="30"/>
  <c r="W78" i="30"/>
  <c r="X78" i="30" s="1"/>
  <c r="K93" i="56" s="1"/>
  <c r="W86" i="30"/>
  <c r="Y86" i="30" s="1"/>
  <c r="Z86" i="30" s="1"/>
  <c r="W98" i="30"/>
  <c r="Y98" i="30" s="1"/>
  <c r="Z98" i="30" s="1"/>
  <c r="W100" i="30"/>
  <c r="Y100" i="30" s="1"/>
  <c r="Z100" i="30" s="1"/>
  <c r="W93" i="30"/>
  <c r="Y93" i="30" s="1"/>
  <c r="AB67" i="30"/>
  <c r="AB82" i="30"/>
  <c r="AB74" i="30"/>
  <c r="AB78" i="30"/>
  <c r="AB86" i="30"/>
  <c r="AB98" i="30"/>
  <c r="AB100" i="30"/>
  <c r="AH79" i="23"/>
  <c r="W12" i="30"/>
  <c r="AH73" i="23"/>
  <c r="AI73" i="23"/>
  <c r="F53" i="30"/>
  <c r="F75" i="30"/>
  <c r="G53" i="30"/>
  <c r="G75" i="30"/>
  <c r="H53" i="30"/>
  <c r="H75" i="30"/>
  <c r="I53" i="30"/>
  <c r="I75" i="30"/>
  <c r="J53" i="30"/>
  <c r="J75" i="30"/>
  <c r="W53" i="30"/>
  <c r="Y53" i="30" s="1"/>
  <c r="W75" i="30"/>
  <c r="Y75" i="30" s="1"/>
  <c r="F4" i="30"/>
  <c r="G4" i="30"/>
  <c r="H4" i="30"/>
  <c r="I4" i="30"/>
  <c r="W4" i="30"/>
  <c r="Y4" i="30" s="1"/>
  <c r="AB4" i="30"/>
  <c r="F72" i="30"/>
  <c r="F73" i="30"/>
  <c r="G72" i="30"/>
  <c r="G73" i="30"/>
  <c r="H72" i="30"/>
  <c r="H73" i="30"/>
  <c r="I72" i="30"/>
  <c r="I73" i="30"/>
  <c r="W72" i="30"/>
  <c r="W73" i="30"/>
  <c r="F70" i="30"/>
  <c r="F71" i="30"/>
  <c r="G70" i="30"/>
  <c r="G71" i="30"/>
  <c r="H70" i="30"/>
  <c r="H71" i="30"/>
  <c r="I70" i="30"/>
  <c r="I71" i="30"/>
  <c r="K71" i="30"/>
  <c r="W70" i="30"/>
  <c r="W71" i="30"/>
  <c r="AB70" i="30"/>
  <c r="F52" i="30"/>
  <c r="F69" i="30"/>
  <c r="G52" i="30"/>
  <c r="G69" i="30"/>
  <c r="H52" i="30"/>
  <c r="H69" i="30"/>
  <c r="I52" i="30"/>
  <c r="I69" i="30"/>
  <c r="J52" i="30"/>
  <c r="J69" i="30"/>
  <c r="W52" i="30"/>
  <c r="W69" i="30"/>
  <c r="S18" i="42" l="1"/>
  <c r="T18" i="42" s="1"/>
  <c r="U18" i="42"/>
  <c r="AA76" i="23"/>
  <c r="J93" i="56"/>
  <c r="AA99" i="23"/>
  <c r="J98" i="56"/>
  <c r="L89" i="56"/>
  <c r="AA85" i="23"/>
  <c r="J92" i="56"/>
  <c r="L97" i="56"/>
  <c r="AA97" i="23"/>
  <c r="L75" i="56"/>
  <c r="AC87" i="30"/>
  <c r="Q87" i="30"/>
  <c r="AC83" i="30"/>
  <c r="Q83" i="30"/>
  <c r="AC81" i="30"/>
  <c r="Q81" i="30"/>
  <c r="AC5" i="30"/>
  <c r="Q5" i="30"/>
  <c r="AC97" i="30"/>
  <c r="Q97" i="30"/>
  <c r="AC88" i="30"/>
  <c r="Q88" i="30"/>
  <c r="AC90" i="30"/>
  <c r="Q90" i="30"/>
  <c r="AC84" i="30"/>
  <c r="Q84" i="30"/>
  <c r="AC89" i="30"/>
  <c r="Q89" i="30"/>
  <c r="AC95" i="30"/>
  <c r="Q95" i="30"/>
  <c r="AC80" i="30"/>
  <c r="Q80" i="30"/>
  <c r="AC99" i="30"/>
  <c r="Q99" i="30"/>
  <c r="AC85" i="30"/>
  <c r="Q85" i="30"/>
  <c r="AC91" i="30"/>
  <c r="Q91" i="30"/>
  <c r="AC94" i="30"/>
  <c r="Q94" i="30"/>
  <c r="AC92" i="30"/>
  <c r="Q92" i="30"/>
  <c r="AC96" i="30"/>
  <c r="Q96" i="30"/>
  <c r="V80" i="30"/>
  <c r="Z80" i="30"/>
  <c r="J93" i="30"/>
  <c r="L93" i="30"/>
  <c r="M86" i="30"/>
  <c r="L86" i="30"/>
  <c r="J100" i="30"/>
  <c r="L100" i="30"/>
  <c r="M78" i="30"/>
  <c r="L78" i="30"/>
  <c r="T5" i="30"/>
  <c r="P5" i="30" s="1"/>
  <c r="T97" i="30"/>
  <c r="P97" i="30" s="1"/>
  <c r="T90" i="30"/>
  <c r="P90" i="30" s="1"/>
  <c r="V81" i="30"/>
  <c r="R67" i="30"/>
  <c r="X86" i="30"/>
  <c r="K92" i="56" s="1"/>
  <c r="R76" i="30"/>
  <c r="S78" i="30"/>
  <c r="S86" i="30"/>
  <c r="Y67" i="30"/>
  <c r="S74" i="30"/>
  <c r="X98" i="30"/>
  <c r="O82" i="30"/>
  <c r="S82" i="30"/>
  <c r="R74" i="30"/>
  <c r="O74" i="30"/>
  <c r="R82" i="30"/>
  <c r="S76" i="30"/>
  <c r="O93" i="30"/>
  <c r="M93" i="30"/>
  <c r="K74" i="30"/>
  <c r="Y78" i="30"/>
  <c r="Z78" i="30" s="1"/>
  <c r="X82" i="30"/>
  <c r="K65" i="56" s="1"/>
  <c r="O100" i="30"/>
  <c r="M100" i="30"/>
  <c r="K82" i="30"/>
  <c r="K93" i="30"/>
  <c r="R93" i="30"/>
  <c r="S93" i="30"/>
  <c r="R100" i="30"/>
  <c r="S100" i="30"/>
  <c r="R98" i="30"/>
  <c r="S98" i="30"/>
  <c r="X100" i="30"/>
  <c r="K98" i="56" s="1"/>
  <c r="O76" i="30"/>
  <c r="K100" i="30"/>
  <c r="K76" i="30"/>
  <c r="J74" i="30"/>
  <c r="R86" i="30"/>
  <c r="Y74" i="30"/>
  <c r="R78" i="30"/>
  <c r="O98" i="30"/>
  <c r="O67" i="30"/>
  <c r="K98" i="30"/>
  <c r="K67" i="30"/>
  <c r="O86" i="30"/>
  <c r="K86" i="30"/>
  <c r="O78" i="30"/>
  <c r="K78" i="30"/>
  <c r="J98" i="30"/>
  <c r="J67" i="30"/>
  <c r="J86" i="30"/>
  <c r="J78" i="30"/>
  <c r="M98" i="30"/>
  <c r="X4" i="30"/>
  <c r="K72" i="56" s="1"/>
  <c r="AC75" i="30"/>
  <c r="O53" i="30"/>
  <c r="S53" i="30"/>
  <c r="K53" i="30"/>
  <c r="S75" i="30"/>
  <c r="R75" i="30"/>
  <c r="R53" i="30"/>
  <c r="O71" i="30"/>
  <c r="O70" i="30"/>
  <c r="O73" i="30"/>
  <c r="O72" i="30"/>
  <c r="O69" i="30"/>
  <c r="R71" i="30"/>
  <c r="K70" i="30"/>
  <c r="J71" i="30"/>
  <c r="J70" i="30"/>
  <c r="S70" i="30"/>
  <c r="R70" i="30"/>
  <c r="M72" i="30"/>
  <c r="M73" i="30"/>
  <c r="Y69" i="30"/>
  <c r="Y52" i="30"/>
  <c r="S73" i="30"/>
  <c r="K73" i="30"/>
  <c r="S72" i="30"/>
  <c r="K72" i="30"/>
  <c r="Y71" i="30"/>
  <c r="Y70" i="30"/>
  <c r="Y73" i="30"/>
  <c r="R73" i="30"/>
  <c r="J73" i="30"/>
  <c r="Y72" i="30"/>
  <c r="R72" i="30"/>
  <c r="J72" i="30"/>
  <c r="K69" i="30"/>
  <c r="M71" i="30"/>
  <c r="S69" i="30"/>
  <c r="M70" i="30"/>
  <c r="S52" i="30"/>
  <c r="R69" i="30"/>
  <c r="R52" i="30"/>
  <c r="S71" i="30"/>
  <c r="O52" i="30"/>
  <c r="M52" i="30"/>
  <c r="K52" i="30"/>
  <c r="AN68" i="28"/>
  <c r="AN69" i="28"/>
  <c r="AN70" i="28"/>
  <c r="AN71" i="28"/>
  <c r="AN72" i="28"/>
  <c r="AN73" i="28"/>
  <c r="AN74" i="28"/>
  <c r="AN75" i="28"/>
  <c r="AN76" i="28"/>
  <c r="AN77" i="28"/>
  <c r="AN78" i="28"/>
  <c r="AN79" i="28"/>
  <c r="AN80" i="28"/>
  <c r="AN81" i="28"/>
  <c r="AN82" i="28"/>
  <c r="AN83" i="28"/>
  <c r="AN84" i="28"/>
  <c r="AN85" i="28"/>
  <c r="AN86" i="28"/>
  <c r="AN87" i="28"/>
  <c r="AN88" i="28"/>
  <c r="AN89" i="28"/>
  <c r="AN90" i="28"/>
  <c r="AN91" i="28"/>
  <c r="AN92" i="28"/>
  <c r="AN93" i="28"/>
  <c r="AN94" i="28"/>
  <c r="AN95" i="28"/>
  <c r="AN96" i="28"/>
  <c r="AN97" i="28"/>
  <c r="AN98" i="28"/>
  <c r="AN99" i="28"/>
  <c r="AN100" i="28"/>
  <c r="AN101" i="28"/>
  <c r="AN102" i="28"/>
  <c r="AN103" i="28"/>
  <c r="AN104" i="28"/>
  <c r="AN105" i="28"/>
  <c r="AN106" i="28"/>
  <c r="AN107" i="28"/>
  <c r="AN108" i="28"/>
  <c r="AN109" i="28"/>
  <c r="AN110" i="28"/>
  <c r="AN111" i="28"/>
  <c r="AN112" i="28"/>
  <c r="AN113" i="28"/>
  <c r="AN114" i="28"/>
  <c r="AN115" i="28"/>
  <c r="AN116" i="28"/>
  <c r="AN117" i="28"/>
  <c r="AN118" i="28"/>
  <c r="AN119" i="28"/>
  <c r="AN120" i="28"/>
  <c r="AN121" i="28"/>
  <c r="AN122" i="28"/>
  <c r="AN123" i="28"/>
  <c r="AN124" i="28"/>
  <c r="AN125" i="28"/>
  <c r="AN126" i="28"/>
  <c r="AN127" i="28"/>
  <c r="AN128" i="28"/>
  <c r="AN129" i="28"/>
  <c r="AN130" i="28"/>
  <c r="AN131" i="28"/>
  <c r="AN132" i="28"/>
  <c r="AN133" i="28"/>
  <c r="AN134" i="28"/>
  <c r="AN135" i="28"/>
  <c r="AN136" i="28"/>
  <c r="AN137" i="28"/>
  <c r="AN138" i="28"/>
  <c r="AN139" i="28"/>
  <c r="AN140" i="28"/>
  <c r="AN141" i="28"/>
  <c r="AN142" i="28"/>
  <c r="AN143" i="28"/>
  <c r="AN144" i="28"/>
  <c r="AN145" i="28"/>
  <c r="AN146" i="28"/>
  <c r="AN147" i="28"/>
  <c r="AN148" i="28"/>
  <c r="AN149" i="28"/>
  <c r="AN150" i="28"/>
  <c r="AN151" i="28"/>
  <c r="AN152" i="28"/>
  <c r="AN153" i="28"/>
  <c r="AN154" i="28"/>
  <c r="AN155" i="28"/>
  <c r="AN156" i="28"/>
  <c r="AN157" i="28"/>
  <c r="AN158" i="28"/>
  <c r="AN159" i="28"/>
  <c r="AN160" i="28"/>
  <c r="AN161" i="28"/>
  <c r="AN162" i="28"/>
  <c r="AN163" i="28"/>
  <c r="AN164" i="28"/>
  <c r="AN165" i="28"/>
  <c r="AN166" i="28"/>
  <c r="AN167" i="28"/>
  <c r="AN168" i="28"/>
  <c r="AN169" i="28"/>
  <c r="AN170" i="28"/>
  <c r="AN171" i="28"/>
  <c r="AN172" i="28"/>
  <c r="AN173" i="28"/>
  <c r="AN174" i="28"/>
  <c r="AN175" i="28"/>
  <c r="AN176" i="28"/>
  <c r="AN177" i="28"/>
  <c r="AN178" i="28"/>
  <c r="AN179" i="28"/>
  <c r="AN180" i="28"/>
  <c r="AN181" i="28"/>
  <c r="AN182" i="28"/>
  <c r="AN183" i="28"/>
  <c r="AN184" i="28"/>
  <c r="AN185" i="28"/>
  <c r="AN186" i="28"/>
  <c r="AN187" i="28"/>
  <c r="AN188" i="28"/>
  <c r="AN189" i="28"/>
  <c r="AN190" i="28"/>
  <c r="AN191" i="28"/>
  <c r="AN192" i="28"/>
  <c r="AN193" i="28"/>
  <c r="AN194" i="28"/>
  <c r="AN195" i="28"/>
  <c r="AN196" i="28"/>
  <c r="AN197" i="28"/>
  <c r="AN198" i="28"/>
  <c r="AN199" i="28"/>
  <c r="AN200" i="28"/>
  <c r="AN201" i="28"/>
  <c r="AN202" i="28"/>
  <c r="AN203" i="28"/>
  <c r="AN204" i="28"/>
  <c r="AN205" i="28"/>
  <c r="AN206" i="28"/>
  <c r="AN207" i="28"/>
  <c r="AN208" i="28"/>
  <c r="AN209" i="28"/>
  <c r="AN210" i="28"/>
  <c r="AN211" i="28"/>
  <c r="AN212" i="28"/>
  <c r="AN213" i="28"/>
  <c r="AN214" i="28"/>
  <c r="AN215" i="28"/>
  <c r="AN216" i="28"/>
  <c r="AN217" i="28"/>
  <c r="AN218" i="28"/>
  <c r="AN219" i="28"/>
  <c r="AN220" i="28"/>
  <c r="AN221" i="28"/>
  <c r="AN222" i="28"/>
  <c r="AN223" i="28"/>
  <c r="AN224" i="28"/>
  <c r="AN225" i="28"/>
  <c r="AN226" i="28"/>
  <c r="AN227" i="28"/>
  <c r="AN228" i="28"/>
  <c r="AN229" i="28"/>
  <c r="AN230" i="28"/>
  <c r="AN231" i="28"/>
  <c r="AN232" i="28"/>
  <c r="AN233" i="28"/>
  <c r="AN234" i="28"/>
  <c r="AN235" i="28"/>
  <c r="AN236" i="28"/>
  <c r="AN237" i="28"/>
  <c r="AN238" i="28"/>
  <c r="AN239" i="28"/>
  <c r="AN240" i="28"/>
  <c r="AN241" i="28"/>
  <c r="AN242" i="28"/>
  <c r="AN243" i="28"/>
  <c r="AN244" i="28"/>
  <c r="AN245" i="28"/>
  <c r="AN246" i="28"/>
  <c r="AN247" i="28"/>
  <c r="AN248" i="28"/>
  <c r="AN249" i="28"/>
  <c r="AN250" i="28"/>
  <c r="AN251" i="28"/>
  <c r="AN252" i="28"/>
  <c r="AN253" i="28"/>
  <c r="AN254" i="28"/>
  <c r="AN255" i="28"/>
  <c r="AN256" i="28"/>
  <c r="AN257" i="28"/>
  <c r="AN258" i="28"/>
  <c r="AN259" i="28"/>
  <c r="AN260" i="28"/>
  <c r="AN261" i="28"/>
  <c r="AN262" i="28"/>
  <c r="AN263" i="28"/>
  <c r="AN264" i="28"/>
  <c r="AN265" i="28"/>
  <c r="AN266" i="28"/>
  <c r="AN267" i="28"/>
  <c r="AN268" i="28"/>
  <c r="AN269" i="28"/>
  <c r="AN270" i="28"/>
  <c r="AN271" i="28"/>
  <c r="AN272" i="28"/>
  <c r="AN273" i="28"/>
  <c r="AN274" i="28"/>
  <c r="AN275" i="28"/>
  <c r="AN276" i="28"/>
  <c r="AN277" i="28"/>
  <c r="AN278" i="28"/>
  <c r="AN279" i="28"/>
  <c r="AN280" i="28"/>
  <c r="AN281" i="28"/>
  <c r="AN282" i="28"/>
  <c r="AN283" i="28"/>
  <c r="AN284" i="28"/>
  <c r="AN285" i="28"/>
  <c r="AN286" i="28"/>
  <c r="AN287" i="28"/>
  <c r="AN288" i="28"/>
  <c r="AN289" i="28"/>
  <c r="AN290" i="28"/>
  <c r="AN291" i="28"/>
  <c r="AN292" i="28"/>
  <c r="AN293" i="28"/>
  <c r="AN294" i="28"/>
  <c r="AN295" i="28"/>
  <c r="AN296" i="28"/>
  <c r="AN297" i="28"/>
  <c r="AN298" i="28"/>
  <c r="AN299" i="28"/>
  <c r="AN300" i="28"/>
  <c r="AN301" i="28"/>
  <c r="AN302" i="28"/>
  <c r="AN303" i="28"/>
  <c r="AN304" i="28"/>
  <c r="AN305" i="28"/>
  <c r="AN306" i="28"/>
  <c r="AN307" i="28"/>
  <c r="AN308" i="28"/>
  <c r="AN309" i="28"/>
  <c r="AN310" i="28"/>
  <c r="AN311" i="28"/>
  <c r="AN312" i="28"/>
  <c r="AN313" i="28"/>
  <c r="AN314" i="28"/>
  <c r="AN315" i="28"/>
  <c r="AN316" i="28"/>
  <c r="AN317" i="28"/>
  <c r="AN318" i="28"/>
  <c r="AN319" i="28"/>
  <c r="AN320" i="28"/>
  <c r="AN321" i="28"/>
  <c r="AN322" i="28"/>
  <c r="AN323" i="28"/>
  <c r="AN324" i="28"/>
  <c r="AN325" i="28"/>
  <c r="AN326" i="28"/>
  <c r="AN327" i="28"/>
  <c r="AN328" i="28"/>
  <c r="AN329" i="28"/>
  <c r="AN330" i="28"/>
  <c r="AN331" i="28"/>
  <c r="AN332" i="28"/>
  <c r="AN333" i="28"/>
  <c r="AN334" i="28"/>
  <c r="AN335" i="28"/>
  <c r="AN336" i="28"/>
  <c r="AN337" i="28"/>
  <c r="AN338" i="28"/>
  <c r="AN339" i="28"/>
  <c r="AN340" i="28"/>
  <c r="AN341" i="28"/>
  <c r="AN342" i="28"/>
  <c r="AN343" i="28"/>
  <c r="AN344" i="28"/>
  <c r="AN345" i="28"/>
  <c r="AN346" i="28"/>
  <c r="AN347" i="28"/>
  <c r="AN348" i="28"/>
  <c r="AN349" i="28"/>
  <c r="AN350" i="28"/>
  <c r="AN351" i="28"/>
  <c r="AN352" i="28"/>
  <c r="AN353" i="28"/>
  <c r="AN354" i="28"/>
  <c r="AN355" i="28"/>
  <c r="AN356" i="28"/>
  <c r="AN357" i="28"/>
  <c r="AN358" i="28"/>
  <c r="AN359" i="28"/>
  <c r="AN360" i="28"/>
  <c r="AN361" i="28"/>
  <c r="AN362" i="28"/>
  <c r="AN363" i="28"/>
  <c r="AN364" i="28"/>
  <c r="AN365" i="28"/>
  <c r="AN366" i="28"/>
  <c r="AN367" i="28"/>
  <c r="AN368" i="28"/>
  <c r="AN369" i="28"/>
  <c r="AN370" i="28"/>
  <c r="AN371" i="28"/>
  <c r="AN372" i="28"/>
  <c r="AN373" i="28"/>
  <c r="AN374" i="28"/>
  <c r="AN375" i="28"/>
  <c r="AN376" i="28"/>
  <c r="AN377" i="28"/>
  <c r="R134" i="28"/>
  <c r="R133" i="28"/>
  <c r="R132" i="28"/>
  <c r="R131" i="28"/>
  <c r="R130" i="28"/>
  <c r="R129" i="28"/>
  <c r="R128" i="28"/>
  <c r="R127" i="28"/>
  <c r="R126" i="28"/>
  <c r="R125" i="28"/>
  <c r="R124" i="28"/>
  <c r="R123" i="28"/>
  <c r="F77" i="30"/>
  <c r="G77" i="30"/>
  <c r="H77" i="30"/>
  <c r="I77" i="30"/>
  <c r="W77" i="30"/>
  <c r="AA77" i="30"/>
  <c r="L92" i="56" l="1"/>
  <c r="AA79" i="23"/>
  <c r="J94" i="56"/>
  <c r="L94" i="56" s="1"/>
  <c r="L98" i="56"/>
  <c r="L93" i="56"/>
  <c r="AA78" i="23"/>
  <c r="J91" i="56"/>
  <c r="L91" i="56" s="1"/>
  <c r="AC98" i="30"/>
  <c r="Q98" i="30"/>
  <c r="AC76" i="30"/>
  <c r="Q76" i="30"/>
  <c r="AC71" i="30"/>
  <c r="Q71" i="30"/>
  <c r="AC67" i="30"/>
  <c r="Q67" i="30"/>
  <c r="AC69" i="30"/>
  <c r="Q69" i="30"/>
  <c r="AC78" i="30"/>
  <c r="Q78" i="30"/>
  <c r="AC100" i="30"/>
  <c r="Q100" i="30"/>
  <c r="AC74" i="30"/>
  <c r="Q74" i="30"/>
  <c r="AC52" i="30"/>
  <c r="Q52" i="30"/>
  <c r="AC72" i="30"/>
  <c r="Q72" i="30"/>
  <c r="AC93" i="30"/>
  <c r="Q93" i="30"/>
  <c r="AC73" i="30"/>
  <c r="Q73" i="30"/>
  <c r="AC86" i="30"/>
  <c r="Q86" i="30"/>
  <c r="AC53" i="30"/>
  <c r="Q53" i="30"/>
  <c r="AC70" i="30"/>
  <c r="Q70" i="30"/>
  <c r="AC82" i="30"/>
  <c r="Q82" i="30"/>
  <c r="V97" i="30"/>
  <c r="AB97" i="30"/>
  <c r="X90" i="30"/>
  <c r="K83" i="56" s="1"/>
  <c r="AB90" i="30"/>
  <c r="V5" i="30"/>
  <c r="Z5" i="30"/>
  <c r="Z97" i="30"/>
  <c r="X97" i="30"/>
  <c r="K96" i="56" s="1"/>
  <c r="V90" i="30"/>
  <c r="Z90" i="30"/>
  <c r="V84" i="30"/>
  <c r="Z84" i="30"/>
  <c r="Z81" i="30"/>
  <c r="K77" i="30"/>
  <c r="L77" i="30"/>
  <c r="T74" i="30"/>
  <c r="P74" i="30" s="1"/>
  <c r="V67" i="30"/>
  <c r="T69" i="30"/>
  <c r="T52" i="30"/>
  <c r="T71" i="30"/>
  <c r="T73" i="30"/>
  <c r="S77" i="30"/>
  <c r="J77" i="30"/>
  <c r="R77" i="30"/>
  <c r="O77" i="30"/>
  <c r="Y77" i="30"/>
  <c r="M77" i="30"/>
  <c r="AA83" i="23" l="1"/>
  <c r="J99" i="56"/>
  <c r="AA96" i="23"/>
  <c r="J96" i="56"/>
  <c r="L96" i="56" s="1"/>
  <c r="AA4" i="23"/>
  <c r="AA65" i="23"/>
  <c r="J64" i="56"/>
  <c r="AA89" i="23"/>
  <c r="J83" i="56"/>
  <c r="L83" i="56" s="1"/>
  <c r="AC77" i="30"/>
  <c r="Q77" i="30"/>
  <c r="AB73" i="30"/>
  <c r="P73" i="30"/>
  <c r="AB52" i="30"/>
  <c r="P52" i="30"/>
  <c r="AB69" i="30"/>
  <c r="P69" i="30"/>
  <c r="AB71" i="30"/>
  <c r="P71" i="30"/>
  <c r="V74" i="30"/>
  <c r="X74" i="30"/>
  <c r="K90" i="56" s="1"/>
  <c r="V71" i="30"/>
  <c r="X71" i="30"/>
  <c r="K70" i="56" s="1"/>
  <c r="V69" i="30"/>
  <c r="X69" i="30"/>
  <c r="K69" i="56" s="1"/>
  <c r="V52" i="30"/>
  <c r="X52" i="30"/>
  <c r="K68" i="56" s="1"/>
  <c r="V73" i="30"/>
  <c r="X73" i="30"/>
  <c r="Z74" i="30"/>
  <c r="V82" i="30"/>
  <c r="Z82" i="30"/>
  <c r="Z67" i="30"/>
  <c r="Z69" i="30"/>
  <c r="Z52" i="30"/>
  <c r="Z71" i="30"/>
  <c r="Z73" i="30"/>
  <c r="AA36" i="30"/>
  <c r="AA50" i="30"/>
  <c r="AA79" i="30"/>
  <c r="W3" i="30"/>
  <c r="W36" i="30"/>
  <c r="W50" i="30"/>
  <c r="W79" i="30"/>
  <c r="AA3" i="30"/>
  <c r="AA66" i="30"/>
  <c r="AV16" i="42" l="1"/>
  <c r="AV28" i="42"/>
  <c r="K81" i="56"/>
  <c r="AA72" i="23"/>
  <c r="J90" i="56"/>
  <c r="L99" i="56"/>
  <c r="AA67" i="23"/>
  <c r="J69" i="56"/>
  <c r="L69" i="56" s="1"/>
  <c r="AA80" i="23"/>
  <c r="J65" i="56"/>
  <c r="L65" i="56" s="1"/>
  <c r="AA69" i="23"/>
  <c r="J70" i="56"/>
  <c r="L70" i="56" s="1"/>
  <c r="AA71" i="23"/>
  <c r="J81" i="56"/>
  <c r="L64" i="56"/>
  <c r="AA51" i="23"/>
  <c r="J68" i="56"/>
  <c r="Y50" i="30"/>
  <c r="Y79" i="30"/>
  <c r="Y3" i="30"/>
  <c r="Y36" i="30"/>
  <c r="AA62" i="30"/>
  <c r="F62" i="30"/>
  <c r="G62" i="30"/>
  <c r="H62" i="30"/>
  <c r="I62" i="30"/>
  <c r="K62" i="30"/>
  <c r="W62" i="30"/>
  <c r="S28" i="42" l="1"/>
  <c r="T28" i="42" s="1"/>
  <c r="U28" i="42"/>
  <c r="L81" i="56"/>
  <c r="L90" i="56"/>
  <c r="L68" i="56"/>
  <c r="J62" i="30"/>
  <c r="S62" i="30"/>
  <c r="R62" i="30"/>
  <c r="O62" i="30"/>
  <c r="Y62" i="30"/>
  <c r="M62" i="30"/>
  <c r="F66" i="30"/>
  <c r="G66" i="30"/>
  <c r="H66" i="30"/>
  <c r="I66" i="30"/>
  <c r="O66" i="30"/>
  <c r="Q66" i="30" s="1"/>
  <c r="W66" i="30"/>
  <c r="AC62" i="30" l="1"/>
  <c r="Q62" i="30"/>
  <c r="T62" i="30"/>
  <c r="AC66" i="30"/>
  <c r="K66" i="30"/>
  <c r="Y66" i="30"/>
  <c r="R66" i="30"/>
  <c r="J66" i="30"/>
  <c r="M66" i="30"/>
  <c r="S66" i="30"/>
  <c r="E13" i="42"/>
  <c r="F13" i="42"/>
  <c r="G13" i="42"/>
  <c r="H13" i="42"/>
  <c r="I13" i="42"/>
  <c r="J13" i="42"/>
  <c r="K13" i="42"/>
  <c r="L13" i="42"/>
  <c r="N13" i="42"/>
  <c r="X62" i="30" l="1"/>
  <c r="K44" i="56" s="1"/>
  <c r="P62" i="30"/>
  <c r="V62" i="30"/>
  <c r="AB62" i="30"/>
  <c r="Z62" i="30"/>
  <c r="AA49" i="30"/>
  <c r="AI60" i="23"/>
  <c r="AH60" i="23"/>
  <c r="N15" i="42"/>
  <c r="L15" i="42"/>
  <c r="K15" i="42"/>
  <c r="J15" i="42"/>
  <c r="I15" i="42"/>
  <c r="H15" i="42"/>
  <c r="G15" i="42"/>
  <c r="F15" i="42"/>
  <c r="E15" i="42"/>
  <c r="N14" i="42"/>
  <c r="L14" i="42"/>
  <c r="K14" i="42"/>
  <c r="J14" i="42"/>
  <c r="I14" i="42"/>
  <c r="H14" i="42"/>
  <c r="G14" i="42"/>
  <c r="F14" i="42"/>
  <c r="E14" i="42"/>
  <c r="L12" i="42"/>
  <c r="K12" i="42"/>
  <c r="J12" i="42"/>
  <c r="I12" i="42"/>
  <c r="H12" i="42"/>
  <c r="G12" i="42"/>
  <c r="F12" i="42"/>
  <c r="E12" i="42"/>
  <c r="N11" i="42"/>
  <c r="L11" i="42"/>
  <c r="K11" i="42"/>
  <c r="J11" i="42"/>
  <c r="I11" i="42"/>
  <c r="H11" i="42"/>
  <c r="G11" i="42"/>
  <c r="F11" i="42"/>
  <c r="E11" i="42"/>
  <c r="N10" i="42"/>
  <c r="A37" i="42"/>
  <c r="D37" i="42"/>
  <c r="E16" i="42"/>
  <c r="E19" i="42"/>
  <c r="E37" i="42"/>
  <c r="F16" i="42"/>
  <c r="F19" i="42"/>
  <c r="F37" i="42"/>
  <c r="G16" i="42"/>
  <c r="G19" i="42"/>
  <c r="G37" i="42"/>
  <c r="H16" i="42"/>
  <c r="H19" i="42"/>
  <c r="H37" i="42"/>
  <c r="I16" i="42"/>
  <c r="I19" i="42"/>
  <c r="I37" i="42"/>
  <c r="J16" i="42"/>
  <c r="J19" i="42"/>
  <c r="J37" i="42"/>
  <c r="K16" i="42"/>
  <c r="K19" i="42"/>
  <c r="K37" i="42"/>
  <c r="L16" i="42"/>
  <c r="L19" i="42"/>
  <c r="L37" i="42"/>
  <c r="N16" i="42"/>
  <c r="N19" i="42"/>
  <c r="N37" i="42"/>
  <c r="O37" i="42"/>
  <c r="P37" i="42"/>
  <c r="S37" i="42"/>
  <c r="AA60" i="23" l="1"/>
  <c r="J44" i="56"/>
  <c r="S16" i="42"/>
  <c r="U37" i="42"/>
  <c r="AA65" i="30"/>
  <c r="W65" i="30"/>
  <c r="J65" i="30"/>
  <c r="I65" i="30"/>
  <c r="H65" i="30"/>
  <c r="G65" i="30"/>
  <c r="F65" i="30"/>
  <c r="AA63" i="30"/>
  <c r="W63" i="30"/>
  <c r="Y63" i="30" s="1"/>
  <c r="J63" i="30"/>
  <c r="I63" i="30"/>
  <c r="H63" i="30"/>
  <c r="G63" i="30"/>
  <c r="F63" i="30"/>
  <c r="AA64" i="30"/>
  <c r="W64" i="30"/>
  <c r="Y64" i="30" s="1"/>
  <c r="J64" i="30"/>
  <c r="I64" i="30"/>
  <c r="H64" i="30"/>
  <c r="G64" i="30"/>
  <c r="F64" i="30"/>
  <c r="AA61" i="30"/>
  <c r="W61" i="30"/>
  <c r="AV15" i="42" s="1"/>
  <c r="J61" i="30"/>
  <c r="I61" i="30"/>
  <c r="H61" i="30"/>
  <c r="G61" i="30"/>
  <c r="F61" i="30"/>
  <c r="AA60" i="30"/>
  <c r="W60" i="30"/>
  <c r="J60" i="30"/>
  <c r="I60" i="30"/>
  <c r="H60" i="30"/>
  <c r="G60" i="30"/>
  <c r="F60" i="30"/>
  <c r="AA59" i="30"/>
  <c r="W59" i="30"/>
  <c r="Y59" i="30" s="1"/>
  <c r="J59" i="30"/>
  <c r="I59" i="30"/>
  <c r="H59" i="30"/>
  <c r="G59" i="30"/>
  <c r="F59" i="30"/>
  <c r="AA56" i="30"/>
  <c r="W56" i="30"/>
  <c r="J56" i="30"/>
  <c r="I56" i="30"/>
  <c r="H56" i="30"/>
  <c r="G56" i="30"/>
  <c r="F56" i="30"/>
  <c r="AA55" i="30"/>
  <c r="W55" i="30"/>
  <c r="Y55" i="30" s="1"/>
  <c r="J55" i="30"/>
  <c r="I55" i="30"/>
  <c r="H55" i="30"/>
  <c r="G55" i="30"/>
  <c r="F55" i="30"/>
  <c r="AA51" i="30"/>
  <c r="W51" i="30"/>
  <c r="Y51" i="30" s="1"/>
  <c r="J51" i="30"/>
  <c r="I51" i="30"/>
  <c r="H51" i="30"/>
  <c r="G51" i="30"/>
  <c r="F51" i="30"/>
  <c r="AA48" i="30"/>
  <c r="W48" i="30"/>
  <c r="Y48" i="30" s="1"/>
  <c r="J48" i="30"/>
  <c r="I48" i="30"/>
  <c r="H48" i="30"/>
  <c r="G48" i="30"/>
  <c r="F48" i="30"/>
  <c r="F3" i="30"/>
  <c r="F36" i="30"/>
  <c r="F50" i="30"/>
  <c r="F79" i="30"/>
  <c r="G3" i="30"/>
  <c r="G36" i="30"/>
  <c r="G50" i="30"/>
  <c r="G79" i="30"/>
  <c r="H3" i="30"/>
  <c r="H36" i="30"/>
  <c r="H50" i="30"/>
  <c r="H79" i="30"/>
  <c r="I3" i="30"/>
  <c r="I36" i="30"/>
  <c r="I50" i="30"/>
  <c r="I79" i="30"/>
  <c r="J36" i="30"/>
  <c r="J50" i="30"/>
  <c r="J79" i="30"/>
  <c r="L44" i="56" l="1"/>
  <c r="J3" i="30"/>
  <c r="K3" i="30"/>
  <c r="T16" i="42"/>
  <c r="U16" i="42"/>
  <c r="Y60" i="30"/>
  <c r="Y61" i="30"/>
  <c r="M59" i="30"/>
  <c r="Y56" i="30"/>
  <c r="K64" i="30"/>
  <c r="K56" i="30"/>
  <c r="K60" i="30"/>
  <c r="M64" i="30"/>
  <c r="Y65" i="30"/>
  <c r="M60" i="30"/>
  <c r="K51" i="30"/>
  <c r="K61" i="30"/>
  <c r="K65" i="30"/>
  <c r="M51" i="30"/>
  <c r="M61" i="30"/>
  <c r="M65" i="30"/>
  <c r="K48" i="30"/>
  <c r="M56" i="30"/>
  <c r="K63" i="30"/>
  <c r="M48" i="30"/>
  <c r="K59" i="30"/>
  <c r="M63" i="30"/>
  <c r="K55" i="30"/>
  <c r="M55" i="30"/>
  <c r="O48" i="30"/>
  <c r="O51" i="30"/>
  <c r="O55" i="30"/>
  <c r="O56" i="30"/>
  <c r="O59" i="30"/>
  <c r="O60" i="30"/>
  <c r="O61" i="30"/>
  <c r="O64" i="30"/>
  <c r="O63" i="30"/>
  <c r="O65" i="30"/>
  <c r="R48" i="30"/>
  <c r="R51" i="30"/>
  <c r="R55" i="30"/>
  <c r="R56" i="30"/>
  <c r="R59" i="30"/>
  <c r="R60" i="30"/>
  <c r="R61" i="30"/>
  <c r="R64" i="30"/>
  <c r="R63" i="30"/>
  <c r="R65" i="30"/>
  <c r="S48" i="30"/>
  <c r="S55" i="30"/>
  <c r="S56" i="30"/>
  <c r="S60" i="30"/>
  <c r="S61" i="30"/>
  <c r="S64" i="30"/>
  <c r="S63" i="30"/>
  <c r="S65" i="30"/>
  <c r="S51" i="30"/>
  <c r="S59" i="30"/>
  <c r="R79" i="30"/>
  <c r="R3" i="30"/>
  <c r="S79" i="30"/>
  <c r="O79" i="30"/>
  <c r="S50" i="30"/>
  <c r="R50" i="30"/>
  <c r="R36" i="30"/>
  <c r="S36" i="30"/>
  <c r="O50" i="30"/>
  <c r="S3" i="30"/>
  <c r="O36" i="30"/>
  <c r="O3" i="30"/>
  <c r="K79" i="30"/>
  <c r="M50" i="30"/>
  <c r="K50" i="30"/>
  <c r="M36" i="30"/>
  <c r="K36" i="30"/>
  <c r="M3" i="30"/>
  <c r="F49" i="30"/>
  <c r="G49" i="30"/>
  <c r="H49" i="30"/>
  <c r="I49" i="30"/>
  <c r="J49" i="30"/>
  <c r="W49" i="30"/>
  <c r="Y49" i="30" s="1"/>
  <c r="Q3" i="30" l="1"/>
  <c r="AC55" i="30"/>
  <c r="Q55" i="30"/>
  <c r="AC56" i="30"/>
  <c r="Q56" i="30"/>
  <c r="AC79" i="30"/>
  <c r="Q79" i="30"/>
  <c r="AC65" i="30"/>
  <c r="Q65" i="30"/>
  <c r="AC51" i="30"/>
  <c r="Q51" i="30"/>
  <c r="AC36" i="30"/>
  <c r="Q36" i="30"/>
  <c r="AC63" i="30"/>
  <c r="Q63" i="30"/>
  <c r="AC48" i="30"/>
  <c r="Q48" i="30"/>
  <c r="AC64" i="30"/>
  <c r="Q64" i="30"/>
  <c r="AC50" i="30"/>
  <c r="Q50" i="30"/>
  <c r="AC61" i="30"/>
  <c r="Q61" i="30"/>
  <c r="AC60" i="30"/>
  <c r="Q60" i="30"/>
  <c r="AC59" i="30"/>
  <c r="Q59" i="30"/>
  <c r="AC3" i="30"/>
  <c r="T56" i="30"/>
  <c r="P56" i="30" s="1"/>
  <c r="T65" i="30"/>
  <c r="P65" i="30" s="1"/>
  <c r="T48" i="30"/>
  <c r="P48" i="30" s="1"/>
  <c r="O49" i="30"/>
  <c r="R49" i="30"/>
  <c r="S49" i="30"/>
  <c r="M49" i="30"/>
  <c r="K49" i="30"/>
  <c r="AA46" i="30"/>
  <c r="AA47" i="30"/>
  <c r="AA31" i="30"/>
  <c r="W31" i="30"/>
  <c r="Y31" i="30" s="1"/>
  <c r="O31" i="30"/>
  <c r="Q31" i="30" s="1"/>
  <c r="I31" i="30"/>
  <c r="H31" i="30"/>
  <c r="G31" i="30"/>
  <c r="F31" i="30"/>
  <c r="AC49" i="30" l="1"/>
  <c r="Q49" i="30"/>
  <c r="V48" i="30"/>
  <c r="X48" i="30"/>
  <c r="K41" i="56" s="1"/>
  <c r="V65" i="30"/>
  <c r="X65" i="30"/>
  <c r="K46" i="56" s="1"/>
  <c r="AB56" i="30"/>
  <c r="X56" i="30"/>
  <c r="K43" i="56" s="1"/>
  <c r="V56" i="30"/>
  <c r="Z56" i="30"/>
  <c r="AB48" i="30"/>
  <c r="Z48" i="30"/>
  <c r="AB65" i="30"/>
  <c r="Z65" i="30"/>
  <c r="AC31" i="30"/>
  <c r="K31" i="30"/>
  <c r="R31" i="30"/>
  <c r="S31" i="30"/>
  <c r="J31" i="30"/>
  <c r="M31" i="30"/>
  <c r="AA63" i="23" l="1"/>
  <c r="J46" i="56"/>
  <c r="L46" i="56" s="1"/>
  <c r="AA47" i="23"/>
  <c r="J41" i="56"/>
  <c r="AA55" i="23"/>
  <c r="J43" i="56"/>
  <c r="L43" i="56" s="1"/>
  <c r="T31" i="30"/>
  <c r="P31" i="30" s="1"/>
  <c r="L41" i="56" l="1"/>
  <c r="AB31" i="30"/>
  <c r="X31" i="30"/>
  <c r="V31" i="30"/>
  <c r="Z31" i="30"/>
  <c r="L3" i="42"/>
  <c r="L4" i="42"/>
  <c r="L5" i="42"/>
  <c r="L6" i="42"/>
  <c r="L7" i="42"/>
  <c r="L8" i="42"/>
  <c r="L9" i="42"/>
  <c r="L10" i="42"/>
  <c r="N3" i="42" l="1"/>
  <c r="N4" i="42"/>
  <c r="N5" i="42"/>
  <c r="N6" i="42"/>
  <c r="N7" i="42"/>
  <c r="N8" i="42"/>
  <c r="N9" i="42"/>
  <c r="K3" i="42"/>
  <c r="K4" i="42"/>
  <c r="K5" i="42"/>
  <c r="K6" i="42"/>
  <c r="K7" i="42"/>
  <c r="K8" i="42"/>
  <c r="K9" i="42"/>
  <c r="K10" i="42"/>
  <c r="J3" i="42"/>
  <c r="J4" i="42"/>
  <c r="J5" i="42"/>
  <c r="J6" i="42"/>
  <c r="J7" i="42"/>
  <c r="J8" i="42"/>
  <c r="J9" i="42"/>
  <c r="J10" i="42"/>
  <c r="I10" i="42"/>
  <c r="I9" i="42"/>
  <c r="I8" i="42"/>
  <c r="I7" i="42"/>
  <c r="I6" i="42"/>
  <c r="I5" i="42"/>
  <c r="I4" i="42"/>
  <c r="I3" i="42"/>
  <c r="H3" i="42"/>
  <c r="H4" i="42"/>
  <c r="H5" i="42"/>
  <c r="H6" i="42"/>
  <c r="H7" i="42"/>
  <c r="H8" i="42"/>
  <c r="H9" i="42"/>
  <c r="H10" i="42"/>
  <c r="G3" i="42"/>
  <c r="G4" i="42"/>
  <c r="G5" i="42"/>
  <c r="G6" i="42"/>
  <c r="G7" i="42"/>
  <c r="G8" i="42"/>
  <c r="G9" i="42"/>
  <c r="G10" i="42"/>
  <c r="F3" i="42"/>
  <c r="F4" i="42"/>
  <c r="F5" i="42"/>
  <c r="F6" i="42"/>
  <c r="F7" i="42"/>
  <c r="F8" i="42"/>
  <c r="F9" i="42"/>
  <c r="F10" i="42"/>
  <c r="E3" i="42"/>
  <c r="E4" i="42"/>
  <c r="E5" i="42"/>
  <c r="E6" i="42"/>
  <c r="E7" i="42"/>
  <c r="E8" i="42"/>
  <c r="E9" i="42"/>
  <c r="E10" i="42"/>
  <c r="F7" i="30"/>
  <c r="F8" i="30"/>
  <c r="F9" i="30"/>
  <c r="F10" i="30"/>
  <c r="F11" i="30"/>
  <c r="F12" i="30"/>
  <c r="F13" i="30"/>
  <c r="F16" i="30"/>
  <c r="F17" i="30"/>
  <c r="F18" i="30"/>
  <c r="F19" i="30"/>
  <c r="F20" i="30"/>
  <c r="F21" i="30"/>
  <c r="F22" i="30"/>
  <c r="F23" i="30"/>
  <c r="F24" i="30"/>
  <c r="F25" i="30"/>
  <c r="F26" i="30"/>
  <c r="F27" i="30"/>
  <c r="F28" i="30"/>
  <c r="F29" i="30"/>
  <c r="F30" i="30"/>
  <c r="F32" i="30"/>
  <c r="F33" i="30"/>
  <c r="F34" i="30"/>
  <c r="F35" i="30"/>
  <c r="F38" i="30"/>
  <c r="F39" i="30"/>
  <c r="F41" i="30"/>
  <c r="F40" i="30"/>
  <c r="F42" i="30"/>
  <c r="F37" i="30"/>
  <c r="F43" i="30"/>
  <c r="F44" i="30"/>
  <c r="F45" i="30"/>
  <c r="F46" i="30"/>
  <c r="F47" i="30"/>
  <c r="I7" i="30"/>
  <c r="I8" i="30"/>
  <c r="I9" i="30"/>
  <c r="I10" i="30"/>
  <c r="I11" i="30"/>
  <c r="I12" i="30"/>
  <c r="I13" i="30"/>
  <c r="I16" i="30"/>
  <c r="I17" i="30"/>
  <c r="I18" i="30"/>
  <c r="I19" i="30"/>
  <c r="I20" i="30"/>
  <c r="I21" i="30"/>
  <c r="I22" i="30"/>
  <c r="I23" i="30"/>
  <c r="I24" i="30"/>
  <c r="I25" i="30"/>
  <c r="I26" i="30"/>
  <c r="I27" i="30"/>
  <c r="I28" i="30"/>
  <c r="I29" i="30"/>
  <c r="I30" i="30"/>
  <c r="I32" i="30"/>
  <c r="I33" i="30"/>
  <c r="I34" i="30"/>
  <c r="I35" i="30"/>
  <c r="I38" i="30"/>
  <c r="I39" i="30"/>
  <c r="I41" i="30"/>
  <c r="I40" i="30"/>
  <c r="I42" i="30"/>
  <c r="I37" i="30"/>
  <c r="I43" i="30"/>
  <c r="I44" i="30"/>
  <c r="I45" i="30"/>
  <c r="I46" i="30"/>
  <c r="I47" i="30"/>
  <c r="H7" i="30"/>
  <c r="H8" i="30"/>
  <c r="H9" i="30"/>
  <c r="H10" i="30"/>
  <c r="H11" i="30"/>
  <c r="H12" i="30"/>
  <c r="H13" i="30"/>
  <c r="H16" i="30"/>
  <c r="H17" i="30"/>
  <c r="H18" i="30"/>
  <c r="H19" i="30"/>
  <c r="H20" i="30"/>
  <c r="H21" i="30"/>
  <c r="H22" i="30"/>
  <c r="H23" i="30"/>
  <c r="H24" i="30"/>
  <c r="H25" i="30"/>
  <c r="H26" i="30"/>
  <c r="H27" i="30"/>
  <c r="H28" i="30"/>
  <c r="H29" i="30"/>
  <c r="H30" i="30"/>
  <c r="H32" i="30"/>
  <c r="H33" i="30"/>
  <c r="H34" i="30"/>
  <c r="H35" i="30"/>
  <c r="H38" i="30"/>
  <c r="H39" i="30"/>
  <c r="H41" i="30"/>
  <c r="H40" i="30"/>
  <c r="H42" i="30"/>
  <c r="H37" i="30"/>
  <c r="H43" i="30"/>
  <c r="H44" i="30"/>
  <c r="H45" i="30"/>
  <c r="H46" i="30"/>
  <c r="H47" i="30"/>
  <c r="G7" i="30"/>
  <c r="G8" i="30"/>
  <c r="G9" i="30"/>
  <c r="G10" i="30"/>
  <c r="G11" i="30"/>
  <c r="G12" i="30"/>
  <c r="G13" i="30"/>
  <c r="G16" i="30"/>
  <c r="G17" i="30"/>
  <c r="G18" i="30"/>
  <c r="G19" i="30"/>
  <c r="G20" i="30"/>
  <c r="G21" i="30"/>
  <c r="G22" i="30"/>
  <c r="G23" i="30"/>
  <c r="G24" i="30"/>
  <c r="G25" i="30"/>
  <c r="G26" i="30"/>
  <c r="G27" i="30"/>
  <c r="G28" i="30"/>
  <c r="G29" i="30"/>
  <c r="G30" i="30"/>
  <c r="G32" i="30"/>
  <c r="G33" i="30"/>
  <c r="G34" i="30"/>
  <c r="G35" i="30"/>
  <c r="G38" i="30"/>
  <c r="G39" i="30"/>
  <c r="G41" i="30"/>
  <c r="G40" i="30"/>
  <c r="G42" i="30"/>
  <c r="G37" i="30"/>
  <c r="G43" i="30"/>
  <c r="G44" i="30"/>
  <c r="G45" i="30"/>
  <c r="G46" i="30"/>
  <c r="G47" i="30"/>
  <c r="AI2" i="28"/>
  <c r="AI3" i="28"/>
  <c r="AI4" i="28"/>
  <c r="AI5" i="28"/>
  <c r="AI6" i="28"/>
  <c r="AI7" i="28"/>
  <c r="AI8" i="28"/>
  <c r="AI9" i="28"/>
  <c r="AI10" i="28"/>
  <c r="AI11" i="28"/>
  <c r="AI12" i="28"/>
  <c r="AI13" i="28"/>
  <c r="AI14" i="28"/>
  <c r="AI15" i="28"/>
  <c r="AI16" i="28"/>
  <c r="AI17" i="28"/>
  <c r="AI18" i="28"/>
  <c r="AI19" i="28"/>
  <c r="AI20" i="28"/>
  <c r="AI21" i="28"/>
  <c r="AI22" i="28"/>
  <c r="AI23" i="28"/>
  <c r="AI24" i="28"/>
  <c r="AI25" i="28"/>
  <c r="AI26" i="28"/>
  <c r="AI27" i="28"/>
  <c r="AI28" i="28"/>
  <c r="AI29" i="28"/>
  <c r="AI30" i="28"/>
  <c r="AI31" i="28"/>
  <c r="AI32" i="28"/>
  <c r="AI33" i="28"/>
  <c r="AI34" i="28"/>
  <c r="AI35" i="28"/>
  <c r="AI36" i="28"/>
  <c r="AI37" i="28"/>
  <c r="AI38" i="28"/>
  <c r="AI39" i="28"/>
  <c r="AI40" i="28"/>
  <c r="AI41" i="28"/>
  <c r="AI42" i="28"/>
  <c r="AI43" i="28"/>
  <c r="AI44" i="28"/>
  <c r="AI45" i="28"/>
  <c r="AI46" i="28"/>
  <c r="AI47" i="28"/>
  <c r="AI48" i="28"/>
  <c r="AI49" i="28"/>
  <c r="AI50" i="28"/>
  <c r="AI51" i="28"/>
  <c r="AI52" i="28"/>
  <c r="AI53" i="28"/>
  <c r="AI54" i="28"/>
  <c r="AI55" i="28"/>
  <c r="AI56" i="28"/>
  <c r="AI57" i="28"/>
  <c r="AI58" i="28"/>
  <c r="AI59" i="28"/>
  <c r="AI60" i="28"/>
  <c r="AI61" i="28"/>
  <c r="AI62" i="28"/>
  <c r="AI63" i="28"/>
  <c r="AI64" i="28"/>
  <c r="AI65" i="28"/>
  <c r="AI66" i="28"/>
  <c r="AI67" i="28"/>
  <c r="AI68" i="28"/>
  <c r="AI69" i="28"/>
  <c r="AI70" i="28"/>
  <c r="AI71" i="28"/>
  <c r="AI72" i="28"/>
  <c r="AI73" i="28"/>
  <c r="AI74" i="28"/>
  <c r="AI75" i="28"/>
  <c r="AI76" i="28"/>
  <c r="AI77" i="28"/>
  <c r="AI78" i="28"/>
  <c r="AI79" i="28"/>
  <c r="AI80" i="28"/>
  <c r="AI81" i="28"/>
  <c r="AI82" i="28"/>
  <c r="AI83" i="28"/>
  <c r="AI84" i="28"/>
  <c r="AI85" i="28"/>
  <c r="AI86" i="28"/>
  <c r="AI87" i="28"/>
  <c r="AI88" i="28"/>
  <c r="AI89" i="28"/>
  <c r="AI90" i="28"/>
  <c r="AI91" i="28"/>
  <c r="AI92" i="28"/>
  <c r="AI93" i="28"/>
  <c r="AI94" i="28"/>
  <c r="AI95" i="28"/>
  <c r="AI96" i="28"/>
  <c r="AI97" i="28"/>
  <c r="AI98" i="28"/>
  <c r="AI99" i="28"/>
  <c r="AI100" i="28"/>
  <c r="AI101" i="28"/>
  <c r="AI102" i="28"/>
  <c r="AI103" i="28"/>
  <c r="AI104" i="28"/>
  <c r="AI105" i="28"/>
  <c r="AI106" i="28"/>
  <c r="AI107" i="28"/>
  <c r="AI108" i="28"/>
  <c r="AI109" i="28"/>
  <c r="AI110" i="28"/>
  <c r="AI111" i="28"/>
  <c r="AI112" i="28"/>
  <c r="AI113" i="28"/>
  <c r="AI114" i="28"/>
  <c r="AI115" i="28"/>
  <c r="AI116" i="28"/>
  <c r="AI117" i="28"/>
  <c r="AI118" i="28"/>
  <c r="AI119" i="28"/>
  <c r="AI120" i="28"/>
  <c r="AI121" i="28"/>
  <c r="AI122" i="28"/>
  <c r="AI123" i="28"/>
  <c r="AI124" i="28"/>
  <c r="AI125" i="28"/>
  <c r="AI126" i="28"/>
  <c r="AI127" i="28"/>
  <c r="AI128" i="28"/>
  <c r="AI129" i="28"/>
  <c r="AI130" i="28"/>
  <c r="AI131" i="28"/>
  <c r="AI132" i="28"/>
  <c r="AI133" i="28"/>
  <c r="AI134" i="28"/>
  <c r="AI135" i="28"/>
  <c r="AI136" i="28"/>
  <c r="AI137" i="28"/>
  <c r="AI138" i="28"/>
  <c r="AI139" i="28"/>
  <c r="AI140" i="28"/>
  <c r="AI141" i="28"/>
  <c r="AI142" i="28"/>
  <c r="AI143" i="28"/>
  <c r="AI144" i="28"/>
  <c r="AI145" i="28"/>
  <c r="AI146" i="28"/>
  <c r="AI147" i="28"/>
  <c r="AI148" i="28"/>
  <c r="AI149" i="28"/>
  <c r="AI150" i="28"/>
  <c r="AI151" i="28"/>
  <c r="AI152" i="28"/>
  <c r="AI153" i="28"/>
  <c r="AI154" i="28"/>
  <c r="AI155" i="28"/>
  <c r="AI156" i="28"/>
  <c r="AI157" i="28"/>
  <c r="AI158" i="28"/>
  <c r="AI159" i="28"/>
  <c r="AI160" i="28"/>
  <c r="AI161" i="28"/>
  <c r="AI162" i="28"/>
  <c r="AI163" i="28"/>
  <c r="AI164" i="28"/>
  <c r="AI165" i="28"/>
  <c r="AI166" i="28"/>
  <c r="AI167" i="28"/>
  <c r="AI168" i="28"/>
  <c r="AI169" i="28"/>
  <c r="AI170" i="28"/>
  <c r="AI171" i="28"/>
  <c r="AI172" i="28"/>
  <c r="AJ172" i="28" s="1"/>
  <c r="AI173" i="28"/>
  <c r="AJ173" i="28" s="1"/>
  <c r="AI174" i="28"/>
  <c r="AJ174" i="28" s="1"/>
  <c r="AI175" i="28"/>
  <c r="AJ175" i="28" s="1"/>
  <c r="AI176" i="28"/>
  <c r="AJ176" i="28" s="1"/>
  <c r="AI177" i="28"/>
  <c r="AJ177" i="28" s="1"/>
  <c r="AI178" i="28"/>
  <c r="AJ178" i="28" s="1"/>
  <c r="AI179" i="28"/>
  <c r="AJ179" i="28" s="1"/>
  <c r="AI180" i="28"/>
  <c r="AJ180" i="28" s="1"/>
  <c r="AI181" i="28"/>
  <c r="AJ181" i="28" s="1"/>
  <c r="AI182" i="28"/>
  <c r="AJ182" i="28" s="1"/>
  <c r="AI183" i="28"/>
  <c r="AJ183" i="28" s="1"/>
  <c r="AI184" i="28"/>
  <c r="AJ184" i="28" s="1"/>
  <c r="AI185" i="28"/>
  <c r="AJ185" i="28" s="1"/>
  <c r="AI186" i="28"/>
  <c r="AJ186" i="28" s="1"/>
  <c r="AI187" i="28"/>
  <c r="AJ187" i="28" s="1"/>
  <c r="AI188" i="28"/>
  <c r="AJ188" i="28" s="1"/>
  <c r="AI189" i="28"/>
  <c r="AJ189" i="28" s="1"/>
  <c r="AI190" i="28"/>
  <c r="AJ190" i="28" s="1"/>
  <c r="AI191" i="28"/>
  <c r="AJ191" i="28" s="1"/>
  <c r="AI192" i="28"/>
  <c r="AJ192" i="28" s="1"/>
  <c r="AI193" i="28"/>
  <c r="AJ193" i="28" s="1"/>
  <c r="AI194" i="28"/>
  <c r="AJ194" i="28" s="1"/>
  <c r="AI195" i="28"/>
  <c r="AJ195" i="28" s="1"/>
  <c r="AI196" i="28"/>
  <c r="AJ196" i="28" s="1"/>
  <c r="AI197" i="28"/>
  <c r="AJ197" i="28" s="1"/>
  <c r="AI198" i="28"/>
  <c r="AJ198" i="28" s="1"/>
  <c r="AI199" i="28"/>
  <c r="AJ199" i="28" s="1"/>
  <c r="AI200" i="28"/>
  <c r="AJ200" i="28" s="1"/>
  <c r="AI201" i="28"/>
  <c r="AJ201" i="28" s="1"/>
  <c r="AI202" i="28"/>
  <c r="AJ202" i="28" s="1"/>
  <c r="AI203" i="28"/>
  <c r="AJ203" i="28" s="1"/>
  <c r="AI204" i="28"/>
  <c r="AJ204" i="28" s="1"/>
  <c r="AI205" i="28"/>
  <c r="AJ205" i="28" s="1"/>
  <c r="AI206" i="28"/>
  <c r="AJ206" i="28" s="1"/>
  <c r="AI207" i="28"/>
  <c r="AJ207" i="28" s="1"/>
  <c r="AI208" i="28"/>
  <c r="AJ208" i="28" s="1"/>
  <c r="AI209" i="28"/>
  <c r="AJ209" i="28" s="1"/>
  <c r="AI210" i="28"/>
  <c r="AJ210" i="28" s="1"/>
  <c r="AI211" i="28"/>
  <c r="AJ211" i="28" s="1"/>
  <c r="AI212" i="28"/>
  <c r="AJ212" i="28" s="1"/>
  <c r="AI213" i="28"/>
  <c r="AJ213" i="28" s="1"/>
  <c r="AI214" i="28"/>
  <c r="AJ214" i="28" s="1"/>
  <c r="AI215" i="28"/>
  <c r="AJ215" i="28" s="1"/>
  <c r="AI216" i="28"/>
  <c r="AJ216" i="28" s="1"/>
  <c r="AI217" i="28"/>
  <c r="AJ217" i="28" s="1"/>
  <c r="AI218" i="28"/>
  <c r="AJ218" i="28" s="1"/>
  <c r="AI219" i="28"/>
  <c r="AJ219" i="28" s="1"/>
  <c r="AI220" i="28"/>
  <c r="AJ220" i="28" s="1"/>
  <c r="AI221" i="28"/>
  <c r="AJ221" i="28" s="1"/>
  <c r="AI222" i="28"/>
  <c r="AJ222" i="28" s="1"/>
  <c r="AI223" i="28"/>
  <c r="AJ223" i="28" s="1"/>
  <c r="AI224" i="28"/>
  <c r="AJ224" i="28" s="1"/>
  <c r="AI225" i="28"/>
  <c r="AJ225" i="28" s="1"/>
  <c r="AI226" i="28"/>
  <c r="AJ226" i="28" s="1"/>
  <c r="AI227" i="28"/>
  <c r="AJ227" i="28" s="1"/>
  <c r="AI228" i="28"/>
  <c r="AJ228" i="28" s="1"/>
  <c r="AI229" i="28"/>
  <c r="AJ229" i="28" s="1"/>
  <c r="AI230" i="28"/>
  <c r="AJ230" i="28" s="1"/>
  <c r="AI231" i="28"/>
  <c r="AJ231" i="28" s="1"/>
  <c r="AI232" i="28"/>
  <c r="AJ232" i="28" s="1"/>
  <c r="AI233" i="28"/>
  <c r="AJ233" i="28" s="1"/>
  <c r="AI234" i="28"/>
  <c r="AJ234" i="28" s="1"/>
  <c r="AI235" i="28"/>
  <c r="AJ235" i="28" s="1"/>
  <c r="AI236" i="28"/>
  <c r="AJ236" i="28" s="1"/>
  <c r="AI237" i="28"/>
  <c r="AJ237" i="28" s="1"/>
  <c r="AI238" i="28"/>
  <c r="AJ238" i="28" s="1"/>
  <c r="AI239" i="28"/>
  <c r="AJ239" i="28" s="1"/>
  <c r="AI240" i="28"/>
  <c r="AJ240" i="28" s="1"/>
  <c r="AI241" i="28"/>
  <c r="AJ241" i="28" s="1"/>
  <c r="AI242" i="28"/>
  <c r="AJ242" i="28" s="1"/>
  <c r="AI243" i="28"/>
  <c r="AJ243" i="28" s="1"/>
  <c r="AI244" i="28"/>
  <c r="AJ244" i="28" s="1"/>
  <c r="AI245" i="28"/>
  <c r="AJ245" i="28" s="1"/>
  <c r="AI246" i="28"/>
  <c r="AJ246" i="28" s="1"/>
  <c r="AI247" i="28"/>
  <c r="AJ247" i="28" s="1"/>
  <c r="AI248" i="28"/>
  <c r="AJ248" i="28" s="1"/>
  <c r="AI249" i="28"/>
  <c r="AJ249" i="28" s="1"/>
  <c r="AI250" i="28"/>
  <c r="AJ250" i="28" s="1"/>
  <c r="AI251" i="28"/>
  <c r="AJ251" i="28" s="1"/>
  <c r="AI252" i="28"/>
  <c r="AJ252" i="28" s="1"/>
  <c r="AI253" i="28"/>
  <c r="AJ253" i="28" s="1"/>
  <c r="AI254" i="28"/>
  <c r="AJ254" i="28" s="1"/>
  <c r="AI255" i="28"/>
  <c r="AJ255" i="28" s="1"/>
  <c r="AI256" i="28"/>
  <c r="AJ256" i="28" s="1"/>
  <c r="AI257" i="28"/>
  <c r="AJ257" i="28" s="1"/>
  <c r="AI258" i="28"/>
  <c r="AJ258" i="28" s="1"/>
  <c r="AI259" i="28"/>
  <c r="AJ259" i="28" s="1"/>
  <c r="AI260" i="28"/>
  <c r="AJ260" i="28" s="1"/>
  <c r="AI261" i="28"/>
  <c r="AJ261" i="28" s="1"/>
  <c r="AI262" i="28"/>
  <c r="AJ262" i="28" s="1"/>
  <c r="AI263" i="28"/>
  <c r="AJ263" i="28" s="1"/>
  <c r="AI264" i="28"/>
  <c r="AJ264" i="28" s="1"/>
  <c r="AI265" i="28"/>
  <c r="AJ265" i="28" s="1"/>
  <c r="AI266" i="28"/>
  <c r="AJ266" i="28" s="1"/>
  <c r="AI267" i="28"/>
  <c r="AJ267" i="28" s="1"/>
  <c r="AI268" i="28"/>
  <c r="AJ268" i="28" s="1"/>
  <c r="AI269" i="28"/>
  <c r="AJ269" i="28" s="1"/>
  <c r="AI270" i="28"/>
  <c r="AJ270" i="28" s="1"/>
  <c r="AI271" i="28"/>
  <c r="AJ271" i="28" s="1"/>
  <c r="AI272" i="28"/>
  <c r="AJ272" i="28" s="1"/>
  <c r="AI273" i="28"/>
  <c r="AJ273" i="28" s="1"/>
  <c r="AI274" i="28"/>
  <c r="AJ274" i="28" s="1"/>
  <c r="AI275" i="28"/>
  <c r="AJ275" i="28" s="1"/>
  <c r="AI276" i="28"/>
  <c r="AJ276" i="28" s="1"/>
  <c r="AI277" i="28"/>
  <c r="AJ277" i="28" s="1"/>
  <c r="AI278" i="28"/>
  <c r="AJ278" i="28" s="1"/>
  <c r="AI279" i="28"/>
  <c r="AJ279" i="28" s="1"/>
  <c r="AI280" i="28"/>
  <c r="AJ280" i="28" s="1"/>
  <c r="AI281" i="28"/>
  <c r="AJ281" i="28" s="1"/>
  <c r="AI282" i="28"/>
  <c r="AJ282" i="28" s="1"/>
  <c r="AI283" i="28"/>
  <c r="AJ283" i="28" s="1"/>
  <c r="AI284" i="28"/>
  <c r="AJ284" i="28" s="1"/>
  <c r="AI285" i="28"/>
  <c r="AJ285" i="28" s="1"/>
  <c r="AI286" i="28"/>
  <c r="AJ286" i="28" s="1"/>
  <c r="AI287" i="28"/>
  <c r="AJ287" i="28" s="1"/>
  <c r="AI288" i="28"/>
  <c r="AJ288" i="28" s="1"/>
  <c r="AI289" i="28"/>
  <c r="AJ289" i="28" s="1"/>
  <c r="AI290" i="28"/>
  <c r="AJ290" i="28" s="1"/>
  <c r="AI291" i="28"/>
  <c r="AJ291" i="28" s="1"/>
  <c r="AI292" i="28"/>
  <c r="AJ292" i="28" s="1"/>
  <c r="AI293" i="28"/>
  <c r="AJ293" i="28" s="1"/>
  <c r="AI294" i="28"/>
  <c r="AJ294" i="28" s="1"/>
  <c r="AI295" i="28"/>
  <c r="AJ295" i="28" s="1"/>
  <c r="AI296" i="28"/>
  <c r="AJ296" i="28" s="1"/>
  <c r="AI297" i="28"/>
  <c r="AJ297" i="28" s="1"/>
  <c r="AI298" i="28"/>
  <c r="AJ298" i="28" s="1"/>
  <c r="AI299" i="28"/>
  <c r="AJ299" i="28" s="1"/>
  <c r="AI300" i="28"/>
  <c r="AJ300" i="28" s="1"/>
  <c r="AI301" i="28"/>
  <c r="AJ301" i="28" s="1"/>
  <c r="AI302" i="28"/>
  <c r="AJ302" i="28" s="1"/>
  <c r="AI303" i="28"/>
  <c r="AJ303" i="28" s="1"/>
  <c r="AI304" i="28"/>
  <c r="AJ304" i="28" s="1"/>
  <c r="AI305" i="28"/>
  <c r="AJ305" i="28" s="1"/>
  <c r="AI306" i="28"/>
  <c r="AJ306" i="28" s="1"/>
  <c r="AI307" i="28"/>
  <c r="AJ307" i="28" s="1"/>
  <c r="AI308" i="28"/>
  <c r="AJ308" i="28" s="1"/>
  <c r="AI309" i="28"/>
  <c r="AJ309" i="28" s="1"/>
  <c r="AI310" i="28"/>
  <c r="AJ310" i="28" s="1"/>
  <c r="AI311" i="28"/>
  <c r="AJ311" i="28" s="1"/>
  <c r="AI312" i="28"/>
  <c r="AJ312" i="28" s="1"/>
  <c r="AI313" i="28"/>
  <c r="AJ313" i="28" s="1"/>
  <c r="AI314" i="28"/>
  <c r="AJ314" i="28" s="1"/>
  <c r="AI315" i="28"/>
  <c r="AJ315" i="28" s="1"/>
  <c r="AI316" i="28"/>
  <c r="AJ316" i="28" s="1"/>
  <c r="AI317" i="28"/>
  <c r="AJ317" i="28" s="1"/>
  <c r="AI318" i="28"/>
  <c r="AJ318" i="28" s="1"/>
  <c r="AI319" i="28"/>
  <c r="AJ319" i="28" s="1"/>
  <c r="AI320" i="28"/>
  <c r="AJ320" i="28" s="1"/>
  <c r="AI321" i="28"/>
  <c r="AJ321" i="28" s="1"/>
  <c r="AI322" i="28"/>
  <c r="AJ322" i="28" s="1"/>
  <c r="AI323" i="28"/>
  <c r="AJ323" i="28" s="1"/>
  <c r="AI324" i="28"/>
  <c r="AJ324" i="28" s="1"/>
  <c r="AI325" i="28"/>
  <c r="AJ325" i="28" s="1"/>
  <c r="AI326" i="28"/>
  <c r="AJ326" i="28" s="1"/>
  <c r="AI327" i="28"/>
  <c r="AJ327" i="28" s="1"/>
  <c r="AI328" i="28"/>
  <c r="AJ328" i="28" s="1"/>
  <c r="AI329" i="28"/>
  <c r="AJ329" i="28" s="1"/>
  <c r="AI330" i="28"/>
  <c r="AJ330" i="28" s="1"/>
  <c r="AI331" i="28"/>
  <c r="AJ331" i="28" s="1"/>
  <c r="AI332" i="28"/>
  <c r="AJ332" i="28" s="1"/>
  <c r="AI333" i="28"/>
  <c r="AJ333" i="28" s="1"/>
  <c r="AI334" i="28"/>
  <c r="AJ334" i="28" s="1"/>
  <c r="AI335" i="28"/>
  <c r="AJ335" i="28" s="1"/>
  <c r="AI336" i="28"/>
  <c r="AJ336" i="28" s="1"/>
  <c r="AI337" i="28"/>
  <c r="AJ337" i="28" s="1"/>
  <c r="AI338" i="28"/>
  <c r="AJ338" i="28" s="1"/>
  <c r="AI339" i="28"/>
  <c r="AJ339" i="28" s="1"/>
  <c r="AI340" i="28"/>
  <c r="AJ340" i="28" s="1"/>
  <c r="AI341" i="28"/>
  <c r="AJ341" i="28" s="1"/>
  <c r="AI342" i="28"/>
  <c r="AJ342" i="28" s="1"/>
  <c r="AI343" i="28"/>
  <c r="AJ343" i="28" s="1"/>
  <c r="AI344" i="28"/>
  <c r="AJ344" i="28" s="1"/>
  <c r="AI345" i="28"/>
  <c r="AJ345" i="28" s="1"/>
  <c r="AI346" i="28"/>
  <c r="AJ346" i="28" s="1"/>
  <c r="AI347" i="28"/>
  <c r="AJ347" i="28" s="1"/>
  <c r="AI348" i="28"/>
  <c r="AJ348" i="28" s="1"/>
  <c r="AI349" i="28"/>
  <c r="AJ349" i="28" s="1"/>
  <c r="AI350" i="28"/>
  <c r="AJ350" i="28" s="1"/>
  <c r="AI351" i="28"/>
  <c r="AJ351" i="28" s="1"/>
  <c r="AI352" i="28"/>
  <c r="AJ352" i="28" s="1"/>
  <c r="AI353" i="28"/>
  <c r="AJ353" i="28" s="1"/>
  <c r="AI354" i="28"/>
  <c r="AJ354" i="28" s="1"/>
  <c r="AI355" i="28"/>
  <c r="AJ355" i="28" s="1"/>
  <c r="AI356" i="28"/>
  <c r="AJ356" i="28" s="1"/>
  <c r="AI357" i="28"/>
  <c r="AJ357" i="28" s="1"/>
  <c r="AI358" i="28"/>
  <c r="AJ358" i="28" s="1"/>
  <c r="AI359" i="28"/>
  <c r="AJ359" i="28" s="1"/>
  <c r="AI360" i="28"/>
  <c r="AJ360" i="28" s="1"/>
  <c r="AI361" i="28"/>
  <c r="AJ361" i="28" s="1"/>
  <c r="AI362" i="28"/>
  <c r="AJ362" i="28" s="1"/>
  <c r="AI363" i="28"/>
  <c r="AJ363" i="28" s="1"/>
  <c r="AI364" i="28"/>
  <c r="AJ364" i="28" s="1"/>
  <c r="AI365" i="28"/>
  <c r="AJ365" i="28" s="1"/>
  <c r="AI366" i="28"/>
  <c r="AJ366" i="28" s="1"/>
  <c r="AI367" i="28"/>
  <c r="AJ367" i="28" s="1"/>
  <c r="AI368" i="28"/>
  <c r="AJ368" i="28" s="1"/>
  <c r="AI369" i="28"/>
  <c r="AJ369" i="28" s="1"/>
  <c r="AI370" i="28"/>
  <c r="AJ370" i="28" s="1"/>
  <c r="AI371" i="28"/>
  <c r="AJ371" i="28" s="1"/>
  <c r="AI372" i="28"/>
  <c r="AJ372" i="28" s="1"/>
  <c r="AI373" i="28"/>
  <c r="AJ373" i="28" s="1"/>
  <c r="AI374" i="28"/>
  <c r="AJ374" i="28" s="1"/>
  <c r="AI375" i="28"/>
  <c r="AJ375" i="28" s="1"/>
  <c r="AI376" i="28"/>
  <c r="AJ376" i="28" s="1"/>
  <c r="AI377" i="28"/>
  <c r="AJ377" i="28" s="1"/>
  <c r="AI378" i="28"/>
  <c r="AJ378" i="28" s="1"/>
  <c r="AI379" i="28"/>
  <c r="AJ379" i="28" s="1"/>
  <c r="AI380" i="28"/>
  <c r="AJ380" i="28" s="1"/>
  <c r="AI381" i="28"/>
  <c r="AJ381" i="28" s="1"/>
  <c r="AI382" i="28"/>
  <c r="AJ382" i="28" s="1"/>
  <c r="AI383" i="28"/>
  <c r="AJ383" i="28" s="1"/>
  <c r="AI384" i="28"/>
  <c r="AJ384" i="28" s="1"/>
  <c r="AI385" i="28"/>
  <c r="AJ385" i="28" s="1"/>
  <c r="AI386" i="28"/>
  <c r="AJ386" i="28" s="1"/>
  <c r="AI387" i="28"/>
  <c r="AJ387" i="28" s="1"/>
  <c r="AI388" i="28"/>
  <c r="AJ388" i="28" s="1"/>
  <c r="AI389" i="28"/>
  <c r="AJ389" i="28" s="1"/>
  <c r="AI390" i="28"/>
  <c r="AJ390" i="28" s="1"/>
  <c r="AI391" i="28"/>
  <c r="AJ391" i="28" s="1"/>
  <c r="AI392" i="28"/>
  <c r="AJ392" i="28" s="1"/>
  <c r="AI393" i="28"/>
  <c r="AJ393" i="28" s="1"/>
  <c r="AI394" i="28"/>
  <c r="AJ394" i="28" s="1"/>
  <c r="AI395" i="28"/>
  <c r="AJ395" i="28" s="1"/>
  <c r="AI396" i="28"/>
  <c r="AJ396" i="28" s="1"/>
  <c r="AI397" i="28"/>
  <c r="AJ397" i="28" s="1"/>
  <c r="AI398" i="28"/>
  <c r="AJ398" i="28" s="1"/>
  <c r="AI399" i="28"/>
  <c r="AJ399" i="28" s="1"/>
  <c r="AI400" i="28"/>
  <c r="AJ400" i="28" s="1"/>
  <c r="AI401" i="28"/>
  <c r="AJ401" i="28" s="1"/>
  <c r="AI402" i="28"/>
  <c r="AJ402" i="28" s="1"/>
  <c r="AI403" i="28"/>
  <c r="AJ403" i="28" s="1"/>
  <c r="AI404" i="28"/>
  <c r="AJ404" i="28" s="1"/>
  <c r="AI405" i="28"/>
  <c r="AJ405" i="28" s="1"/>
  <c r="AI406" i="28"/>
  <c r="AJ406" i="28" s="1"/>
  <c r="AI407" i="28"/>
  <c r="AJ407" i="28" s="1"/>
  <c r="AI408" i="28"/>
  <c r="AJ408" i="28" s="1"/>
  <c r="AI409" i="28"/>
  <c r="AJ409" i="28" s="1"/>
  <c r="AI410" i="28"/>
  <c r="AJ410" i="28" s="1"/>
  <c r="AI411" i="28"/>
  <c r="AJ411" i="28" s="1"/>
  <c r="AI412" i="28"/>
  <c r="AJ412" i="28" s="1"/>
  <c r="AI413" i="28"/>
  <c r="AJ413" i="28" s="1"/>
  <c r="AI414" i="28"/>
  <c r="AJ414" i="28" s="1"/>
  <c r="AI415" i="28"/>
  <c r="AJ415" i="28" s="1"/>
  <c r="AI416" i="28"/>
  <c r="AJ416" i="28" s="1"/>
  <c r="AI417" i="28"/>
  <c r="AJ417" i="28" s="1"/>
  <c r="AI418" i="28"/>
  <c r="AJ418" i="28" s="1"/>
  <c r="AI419" i="28"/>
  <c r="AJ419" i="28" s="1"/>
  <c r="AI420" i="28"/>
  <c r="AJ420" i="28" s="1"/>
  <c r="AI421" i="28"/>
  <c r="AJ421" i="28" s="1"/>
  <c r="AI422" i="28"/>
  <c r="AJ422" i="28" s="1"/>
  <c r="AI423" i="28"/>
  <c r="AJ423" i="28" s="1"/>
  <c r="AI424" i="28"/>
  <c r="AJ424" i="28" s="1"/>
  <c r="AI425" i="28"/>
  <c r="AJ425" i="28" s="1"/>
  <c r="AI426" i="28"/>
  <c r="AJ426" i="28" s="1"/>
  <c r="AI427" i="28"/>
  <c r="AJ427" i="28" s="1"/>
  <c r="AI428" i="28"/>
  <c r="AJ428" i="28" s="1"/>
  <c r="AI429" i="28"/>
  <c r="AJ429" i="28" s="1"/>
  <c r="AI430" i="28"/>
  <c r="AJ430" i="28" s="1"/>
  <c r="AI431" i="28"/>
  <c r="AJ431" i="28" s="1"/>
  <c r="AI432" i="28"/>
  <c r="AJ432" i="28" s="1"/>
  <c r="AI433" i="28"/>
  <c r="AJ433" i="28" s="1"/>
  <c r="AI434" i="28"/>
  <c r="AJ434" i="28" s="1"/>
  <c r="AI435" i="28"/>
  <c r="AJ435" i="28" s="1"/>
  <c r="AI436" i="28"/>
  <c r="AJ436" i="28" s="1"/>
  <c r="AI437" i="28"/>
  <c r="AJ437" i="28" s="1"/>
  <c r="AI438" i="28"/>
  <c r="AJ438" i="28" s="1"/>
  <c r="AI439" i="28"/>
  <c r="AJ439" i="28" s="1"/>
  <c r="AI440" i="28"/>
  <c r="AJ440" i="28" s="1"/>
  <c r="AI441" i="28"/>
  <c r="AJ441" i="28" s="1"/>
  <c r="AI442" i="28"/>
  <c r="AJ442" i="28" s="1"/>
  <c r="AI443" i="28"/>
  <c r="AJ443" i="28" s="1"/>
  <c r="AI444" i="28"/>
  <c r="AJ444" i="28" s="1"/>
  <c r="AI445" i="28"/>
  <c r="AJ445" i="28" s="1"/>
  <c r="AI446" i="28"/>
  <c r="AJ446" i="28" s="1"/>
  <c r="AI447" i="28"/>
  <c r="AJ447" i="28" s="1"/>
  <c r="AI448" i="28"/>
  <c r="AJ448" i="28" s="1"/>
  <c r="AI449" i="28"/>
  <c r="AJ449" i="28" s="1"/>
  <c r="AI450" i="28"/>
  <c r="AJ450" i="28" s="1"/>
  <c r="AI451" i="28"/>
  <c r="AJ451" i="28" s="1"/>
  <c r="AI452" i="28"/>
  <c r="AJ452" i="28" s="1"/>
  <c r="AI453" i="28"/>
  <c r="AJ453" i="28" s="1"/>
  <c r="AI454" i="28"/>
  <c r="AJ454" i="28" s="1"/>
  <c r="AI455" i="28"/>
  <c r="AJ455" i="28" s="1"/>
  <c r="AI456" i="28"/>
  <c r="AJ456" i="28" s="1"/>
  <c r="AI457" i="28"/>
  <c r="AJ457" i="28" s="1"/>
  <c r="AI458" i="28"/>
  <c r="AJ458" i="28" s="1"/>
  <c r="AI459" i="28"/>
  <c r="AJ459" i="28" s="1"/>
  <c r="AI460" i="28"/>
  <c r="AJ460" i="28" s="1"/>
  <c r="AI461" i="28"/>
  <c r="AJ461" i="28" s="1"/>
  <c r="AI462" i="28"/>
  <c r="AJ462" i="28" s="1"/>
  <c r="AI463" i="28"/>
  <c r="AJ463" i="28" s="1"/>
  <c r="AI464" i="28"/>
  <c r="AJ464" i="28" s="1"/>
  <c r="AI465" i="28"/>
  <c r="AJ465" i="28" s="1"/>
  <c r="AI466" i="28"/>
  <c r="AJ466" i="28" s="1"/>
  <c r="AI467" i="28"/>
  <c r="AJ467" i="28" s="1"/>
  <c r="AI468" i="28"/>
  <c r="AJ468" i="28" s="1"/>
  <c r="AI469" i="28"/>
  <c r="AJ469" i="28" s="1"/>
  <c r="AI470" i="28"/>
  <c r="AJ470" i="28" s="1"/>
  <c r="AI471" i="28"/>
  <c r="AJ471" i="28" s="1"/>
  <c r="AI472" i="28"/>
  <c r="AJ472" i="28" s="1"/>
  <c r="AI473" i="28"/>
  <c r="AJ473" i="28" s="1"/>
  <c r="AI474" i="28"/>
  <c r="AJ474" i="28" s="1"/>
  <c r="AI475" i="28"/>
  <c r="AJ475" i="28" s="1"/>
  <c r="AI476" i="28"/>
  <c r="AJ476" i="28" s="1"/>
  <c r="AI477" i="28"/>
  <c r="AJ477" i="28" s="1"/>
  <c r="AI478" i="28"/>
  <c r="AJ478" i="28" s="1"/>
  <c r="AI479" i="28"/>
  <c r="AJ479" i="28" s="1"/>
  <c r="AI480" i="28"/>
  <c r="AJ480" i="28" s="1"/>
  <c r="AI481" i="28"/>
  <c r="AJ481" i="28" s="1"/>
  <c r="AI482" i="28"/>
  <c r="AJ482" i="28" s="1"/>
  <c r="AI483" i="28"/>
  <c r="AJ483" i="28" s="1"/>
  <c r="AI484" i="28"/>
  <c r="AJ484" i="28" s="1"/>
  <c r="AI485" i="28"/>
  <c r="AJ485" i="28" s="1"/>
  <c r="AI486" i="28"/>
  <c r="AJ486" i="28" s="1"/>
  <c r="AI487" i="28"/>
  <c r="AJ487" i="28" s="1"/>
  <c r="AI488" i="28"/>
  <c r="AJ488" i="28" s="1"/>
  <c r="AI489" i="28"/>
  <c r="AJ489" i="28" s="1"/>
  <c r="AI490" i="28"/>
  <c r="AJ490" i="28" s="1"/>
  <c r="AI491" i="28"/>
  <c r="AJ491" i="28" s="1"/>
  <c r="AI492" i="28"/>
  <c r="AJ492" i="28" s="1"/>
  <c r="AI493" i="28"/>
  <c r="AJ493" i="28" s="1"/>
  <c r="AI494" i="28"/>
  <c r="AJ494" i="28" s="1"/>
  <c r="AI495" i="28"/>
  <c r="AJ495" i="28" s="1"/>
  <c r="AI496" i="28"/>
  <c r="AJ496" i="28" s="1"/>
  <c r="AI497" i="28"/>
  <c r="AJ497" i="28" s="1"/>
  <c r="AI498" i="28"/>
  <c r="AJ498" i="28" s="1"/>
  <c r="AI499" i="28"/>
  <c r="AJ499" i="28" s="1"/>
  <c r="AI500" i="28"/>
  <c r="AJ500" i="28" s="1"/>
  <c r="AI501" i="28"/>
  <c r="AJ501" i="28" s="1"/>
  <c r="AI502" i="28"/>
  <c r="AJ502" i="28" s="1"/>
  <c r="AI503" i="28"/>
  <c r="AJ503" i="28" s="1"/>
  <c r="AI504" i="28"/>
  <c r="AJ504" i="28" s="1"/>
  <c r="AI505" i="28"/>
  <c r="AJ505" i="28" s="1"/>
  <c r="AI506" i="28"/>
  <c r="AJ506" i="28" s="1"/>
  <c r="AI507" i="28"/>
  <c r="AJ507" i="28" s="1"/>
  <c r="AI508" i="28"/>
  <c r="AJ508" i="28" s="1"/>
  <c r="AI509" i="28"/>
  <c r="AJ509" i="28" s="1"/>
  <c r="AI510" i="28"/>
  <c r="AJ510" i="28" s="1"/>
  <c r="AI511" i="28"/>
  <c r="AJ511" i="28" s="1"/>
  <c r="AI512" i="28"/>
  <c r="AJ512" i="28" s="1"/>
  <c r="AI513" i="28"/>
  <c r="AJ513" i="28" s="1"/>
  <c r="AI514" i="28"/>
  <c r="AJ514" i="28" s="1"/>
  <c r="AI515" i="28"/>
  <c r="AJ515" i="28" s="1"/>
  <c r="AI516" i="28"/>
  <c r="AJ516" i="28" s="1"/>
  <c r="AI517" i="28"/>
  <c r="AJ517" i="28" s="1"/>
  <c r="AI518" i="28"/>
  <c r="AJ518" i="28" s="1"/>
  <c r="AI519" i="28"/>
  <c r="AJ519" i="28" s="1"/>
  <c r="AI520" i="28"/>
  <c r="AJ520" i="28" s="1"/>
  <c r="AI521" i="28"/>
  <c r="AJ521" i="28" s="1"/>
  <c r="AI522" i="28"/>
  <c r="AJ522" i="28" s="1"/>
  <c r="AI523" i="28"/>
  <c r="AJ523" i="28" s="1"/>
  <c r="AI524" i="28"/>
  <c r="AJ524" i="28" s="1"/>
  <c r="AI525" i="28"/>
  <c r="AJ525" i="28" s="1"/>
  <c r="AI526" i="28"/>
  <c r="AJ526" i="28" s="1"/>
  <c r="AI527" i="28"/>
  <c r="AJ527" i="28" s="1"/>
  <c r="AI528" i="28"/>
  <c r="AJ528" i="28" s="1"/>
  <c r="AI529" i="28"/>
  <c r="AJ529" i="28" s="1"/>
  <c r="AI530" i="28"/>
  <c r="AJ530" i="28" s="1"/>
  <c r="AI531" i="28"/>
  <c r="AJ531" i="28" s="1"/>
  <c r="AI532" i="28"/>
  <c r="AJ532" i="28" s="1"/>
  <c r="AI533" i="28"/>
  <c r="AJ533" i="28" s="1"/>
  <c r="AI534" i="28"/>
  <c r="AJ534" i="28" s="1"/>
  <c r="AI535" i="28"/>
  <c r="AJ535" i="28" s="1"/>
  <c r="AI536" i="28"/>
  <c r="AJ536" i="28" s="1"/>
  <c r="AI537" i="28"/>
  <c r="AJ537" i="28" s="1"/>
  <c r="AI538" i="28"/>
  <c r="AJ538" i="28" s="1"/>
  <c r="AI539" i="28"/>
  <c r="AJ539" i="28" s="1"/>
  <c r="AI540" i="28"/>
  <c r="AJ540" i="28" s="1"/>
  <c r="AI541" i="28"/>
  <c r="AJ541" i="28" s="1"/>
  <c r="AI542" i="28"/>
  <c r="AJ542" i="28" s="1"/>
  <c r="AI543" i="28"/>
  <c r="AJ543" i="28" s="1"/>
  <c r="AI544" i="28"/>
  <c r="AJ544" i="28" s="1"/>
  <c r="AI545" i="28"/>
  <c r="AJ545" i="28" s="1"/>
  <c r="AI546" i="28"/>
  <c r="AJ546" i="28" s="1"/>
  <c r="AI547" i="28"/>
  <c r="AJ547" i="28" s="1"/>
  <c r="AI548" i="28"/>
  <c r="AJ548" i="28" s="1"/>
  <c r="AI549" i="28"/>
  <c r="AJ549" i="28" s="1"/>
  <c r="AI550" i="28"/>
  <c r="AJ550" i="28" s="1"/>
  <c r="AI551" i="28"/>
  <c r="AJ551" i="28" s="1"/>
  <c r="AI552" i="28"/>
  <c r="AJ552" i="28" s="1"/>
  <c r="AI553" i="28"/>
  <c r="AJ553" i="28" s="1"/>
  <c r="AI554" i="28"/>
  <c r="AJ554" i="28" s="1"/>
  <c r="AI555" i="28"/>
  <c r="AJ555" i="28" s="1"/>
  <c r="AI556" i="28"/>
  <c r="AJ556" i="28" s="1"/>
  <c r="AI557" i="28"/>
  <c r="AJ557" i="28" s="1"/>
  <c r="AI558" i="28"/>
  <c r="AJ558" i="28" s="1"/>
  <c r="AI559" i="28"/>
  <c r="AJ559" i="28" s="1"/>
  <c r="AI560" i="28"/>
  <c r="AJ560" i="28" s="1"/>
  <c r="AI561" i="28"/>
  <c r="AJ561" i="28" s="1"/>
  <c r="AI562" i="28"/>
  <c r="AJ562" i="28" s="1"/>
  <c r="AI563" i="28"/>
  <c r="AJ563" i="28" s="1"/>
  <c r="AI564" i="28"/>
  <c r="AJ564" i="28" s="1"/>
  <c r="AI565" i="28"/>
  <c r="AJ565" i="28" s="1"/>
  <c r="AI566" i="28"/>
  <c r="AJ566" i="28" s="1"/>
  <c r="AI567" i="28"/>
  <c r="AJ567" i="28" s="1"/>
  <c r="AI568" i="28"/>
  <c r="AJ568" i="28" s="1"/>
  <c r="AI569" i="28"/>
  <c r="AJ569" i="28" s="1"/>
  <c r="AI570" i="28"/>
  <c r="AJ570" i="28" s="1"/>
  <c r="AI571" i="28"/>
  <c r="AJ571" i="28" s="1"/>
  <c r="AI572" i="28"/>
  <c r="AJ572" i="28" s="1"/>
  <c r="AI573" i="28"/>
  <c r="AJ573" i="28" s="1"/>
  <c r="AI574" i="28"/>
  <c r="AJ574" i="28" s="1"/>
  <c r="AI575" i="28"/>
  <c r="AJ575" i="28" s="1"/>
  <c r="AI576" i="28"/>
  <c r="AJ576" i="28" s="1"/>
  <c r="AI577" i="28"/>
  <c r="AJ577" i="28" s="1"/>
  <c r="AI578" i="28"/>
  <c r="AJ578" i="28" s="1"/>
  <c r="AI579" i="28"/>
  <c r="AJ579" i="28" s="1"/>
  <c r="AI580" i="28"/>
  <c r="AJ580" i="28" s="1"/>
  <c r="AI581" i="28"/>
  <c r="AJ581" i="28" s="1"/>
  <c r="AI582" i="28"/>
  <c r="AJ582" i="28" s="1"/>
  <c r="AI583" i="28"/>
  <c r="AJ583" i="28" s="1"/>
  <c r="AI584" i="28"/>
  <c r="AJ584" i="28" s="1"/>
  <c r="AI585" i="28"/>
  <c r="AJ585" i="28" s="1"/>
  <c r="AI586" i="28"/>
  <c r="AJ586" i="28" s="1"/>
  <c r="AI587" i="28"/>
  <c r="AJ587" i="28" s="1"/>
  <c r="AI588" i="28"/>
  <c r="AJ588" i="28" s="1"/>
  <c r="AI589" i="28"/>
  <c r="AJ589" i="28" s="1"/>
  <c r="AI590" i="28"/>
  <c r="AJ590" i="28" s="1"/>
  <c r="AI591" i="28"/>
  <c r="AJ591" i="28" s="1"/>
  <c r="AI592" i="28"/>
  <c r="AJ592" i="28" s="1"/>
  <c r="AI593" i="28"/>
  <c r="AJ593" i="28" s="1"/>
  <c r="AI594" i="28"/>
  <c r="AJ594" i="28" s="1"/>
  <c r="AI595" i="28"/>
  <c r="AJ595" i="28" s="1"/>
  <c r="AI596" i="28"/>
  <c r="AJ596" i="28" s="1"/>
  <c r="AI597" i="28"/>
  <c r="AJ597" i="28" s="1"/>
  <c r="AI598" i="28"/>
  <c r="AJ598" i="28" s="1"/>
  <c r="AI599" i="28"/>
  <c r="AJ599" i="28" s="1"/>
  <c r="AI600" i="28"/>
  <c r="AJ600" i="28" s="1"/>
  <c r="AI601" i="28"/>
  <c r="AJ601" i="28" s="1"/>
  <c r="AI602" i="28"/>
  <c r="AJ602" i="28" s="1"/>
  <c r="AI603" i="28"/>
  <c r="AJ603" i="28" s="1"/>
  <c r="AI604" i="28"/>
  <c r="AJ604" i="28" s="1"/>
  <c r="AI605" i="28"/>
  <c r="AJ605" i="28" s="1"/>
  <c r="AI606" i="28"/>
  <c r="AJ606" i="28" s="1"/>
  <c r="AI607" i="28"/>
  <c r="AJ607" i="28" s="1"/>
  <c r="AI608" i="28"/>
  <c r="AJ608" i="28" s="1"/>
  <c r="AI609" i="28"/>
  <c r="AJ609" i="28" s="1"/>
  <c r="AI610" i="28"/>
  <c r="AJ610" i="28" s="1"/>
  <c r="AI611" i="28"/>
  <c r="AJ611" i="28" s="1"/>
  <c r="AI612" i="28"/>
  <c r="AJ612" i="28" s="1"/>
  <c r="AI613" i="28"/>
  <c r="AJ613" i="28" s="1"/>
  <c r="AI614" i="28"/>
  <c r="AJ614" i="28" s="1"/>
  <c r="AI615" i="28"/>
  <c r="AJ615" i="28" s="1"/>
  <c r="AI616" i="28"/>
  <c r="AJ616" i="28" s="1"/>
  <c r="AI617" i="28"/>
  <c r="AJ617" i="28" s="1"/>
  <c r="AI618" i="28"/>
  <c r="AJ618" i="28" s="1"/>
  <c r="AI619" i="28"/>
  <c r="AJ619" i="28" s="1"/>
  <c r="AI620" i="28"/>
  <c r="AJ620" i="28" s="1"/>
  <c r="AI621" i="28"/>
  <c r="AJ621" i="28" s="1"/>
  <c r="AI622" i="28"/>
  <c r="AJ622" i="28" s="1"/>
  <c r="AI623" i="28"/>
  <c r="AJ623" i="28" s="1"/>
  <c r="AI624" i="28"/>
  <c r="AJ624" i="28" s="1"/>
  <c r="AI625" i="28"/>
  <c r="AJ625" i="28" s="1"/>
  <c r="AI626" i="28"/>
  <c r="AJ626" i="28" s="1"/>
  <c r="AI627" i="28"/>
  <c r="AJ627" i="28" s="1"/>
  <c r="AI628" i="28"/>
  <c r="AJ628" i="28" s="1"/>
  <c r="AI629" i="28"/>
  <c r="AJ629" i="28" s="1"/>
  <c r="AI630" i="28"/>
  <c r="AJ630" i="28" s="1"/>
  <c r="AI631" i="28"/>
  <c r="AJ631" i="28" s="1"/>
  <c r="AI632" i="28"/>
  <c r="AJ632" i="28" s="1"/>
  <c r="AI633" i="28"/>
  <c r="AJ633" i="28" s="1"/>
  <c r="AI634" i="28"/>
  <c r="AJ634" i="28" s="1"/>
  <c r="AI635" i="28"/>
  <c r="AJ635" i="28" s="1"/>
  <c r="AI636" i="28"/>
  <c r="AJ636" i="28" s="1"/>
  <c r="AI637" i="28"/>
  <c r="AJ637" i="28" s="1"/>
  <c r="AI638" i="28"/>
  <c r="AJ638" i="28" s="1"/>
  <c r="AI639" i="28"/>
  <c r="AJ639" i="28" s="1"/>
  <c r="AI640" i="28"/>
  <c r="AJ640" i="28" s="1"/>
  <c r="AI641" i="28"/>
  <c r="AJ641" i="28" s="1"/>
  <c r="AI642" i="28"/>
  <c r="AJ642" i="28" s="1"/>
  <c r="AI643" i="28"/>
  <c r="AJ643" i="28" s="1"/>
  <c r="AI644" i="28"/>
  <c r="AJ644" i="28" s="1"/>
  <c r="AI645" i="28"/>
  <c r="AJ645" i="28" s="1"/>
  <c r="AI646" i="28"/>
  <c r="AJ646" i="28" s="1"/>
  <c r="AI647" i="28"/>
  <c r="AJ647" i="28" s="1"/>
  <c r="AI648" i="28"/>
  <c r="AJ648" i="28" s="1"/>
  <c r="AI649" i="28"/>
  <c r="AJ649" i="28" s="1"/>
  <c r="AI650" i="28"/>
  <c r="AJ650" i="28" s="1"/>
  <c r="AI651" i="28"/>
  <c r="AJ651" i="28" s="1"/>
  <c r="AI652" i="28"/>
  <c r="AJ652" i="28" s="1"/>
  <c r="AI653" i="28"/>
  <c r="AJ653" i="28" s="1"/>
  <c r="AI654" i="28"/>
  <c r="AJ654" i="28" s="1"/>
  <c r="AI655" i="28"/>
  <c r="AJ655" i="28" s="1"/>
  <c r="AI656" i="28"/>
  <c r="AJ656" i="28" s="1"/>
  <c r="AI657" i="28"/>
  <c r="AJ657" i="28" s="1"/>
  <c r="AI658" i="28"/>
  <c r="AJ658" i="28" s="1"/>
  <c r="AI659" i="28"/>
  <c r="AJ659" i="28" s="1"/>
  <c r="AI660" i="28"/>
  <c r="AJ660" i="28" s="1"/>
  <c r="AI661" i="28"/>
  <c r="AJ661" i="28" s="1"/>
  <c r="AI662" i="28"/>
  <c r="AJ662" i="28" s="1"/>
  <c r="AI663" i="28"/>
  <c r="AJ663" i="28" s="1"/>
  <c r="AI664" i="28"/>
  <c r="AJ664" i="28" s="1"/>
  <c r="AI665" i="28"/>
  <c r="AJ665" i="28" s="1"/>
  <c r="AI666" i="28"/>
  <c r="AJ666" i="28" s="1"/>
  <c r="AI667" i="28"/>
  <c r="AJ667" i="28" s="1"/>
  <c r="AI668" i="28"/>
  <c r="AJ668" i="28" s="1"/>
  <c r="AI669" i="28"/>
  <c r="AJ669" i="28" s="1"/>
  <c r="AI670" i="28"/>
  <c r="AJ670" i="28" s="1"/>
  <c r="AI671" i="28"/>
  <c r="AJ671" i="28" s="1"/>
  <c r="AI672" i="28"/>
  <c r="AJ672" i="28" s="1"/>
  <c r="AI673" i="28"/>
  <c r="AJ673" i="28" s="1"/>
  <c r="AI674" i="28"/>
  <c r="AJ674" i="28" s="1"/>
  <c r="AI675" i="28"/>
  <c r="AJ675" i="28" s="1"/>
  <c r="AI676" i="28"/>
  <c r="AJ676" i="28" s="1"/>
  <c r="AI677" i="28"/>
  <c r="AJ677" i="28" s="1"/>
  <c r="AI678" i="28"/>
  <c r="AJ678" i="28" s="1"/>
  <c r="AI679" i="28"/>
  <c r="AJ679" i="28" s="1"/>
  <c r="AI680" i="28"/>
  <c r="AJ680" i="28" s="1"/>
  <c r="AI681" i="28"/>
  <c r="AJ681" i="28" s="1"/>
  <c r="AI682" i="28"/>
  <c r="AJ682" i="28" s="1"/>
  <c r="AI683" i="28"/>
  <c r="AJ683" i="28" s="1"/>
  <c r="AI684" i="28"/>
  <c r="AJ684" i="28" s="1"/>
  <c r="AI685" i="28"/>
  <c r="AJ685" i="28" s="1"/>
  <c r="AI686" i="28"/>
  <c r="AJ686" i="28" s="1"/>
  <c r="AI687" i="28"/>
  <c r="AJ687" i="28" s="1"/>
  <c r="AI688" i="28"/>
  <c r="AJ688" i="28" s="1"/>
  <c r="AI689" i="28"/>
  <c r="AJ689" i="28" s="1"/>
  <c r="AI690" i="28"/>
  <c r="AJ690" i="28" s="1"/>
  <c r="AI691" i="28"/>
  <c r="AJ691" i="28" s="1"/>
  <c r="AI692" i="28"/>
  <c r="AJ692" i="28" s="1"/>
  <c r="AI693" i="28"/>
  <c r="AJ693" i="28" s="1"/>
  <c r="AI694" i="28"/>
  <c r="AJ694" i="28" s="1"/>
  <c r="AI695" i="28"/>
  <c r="AJ695" i="28" s="1"/>
  <c r="AI696" i="28"/>
  <c r="AJ696" i="28" s="1"/>
  <c r="AI697" i="28"/>
  <c r="AJ697" i="28" s="1"/>
  <c r="AI698" i="28"/>
  <c r="AJ698" i="28" s="1"/>
  <c r="AI699" i="28"/>
  <c r="AJ699" i="28" s="1"/>
  <c r="AI700" i="28"/>
  <c r="AJ700" i="28" s="1"/>
  <c r="AI701" i="28"/>
  <c r="AJ701" i="28" s="1"/>
  <c r="AI702" i="28"/>
  <c r="AJ702" i="28" s="1"/>
  <c r="AI703" i="28"/>
  <c r="AJ703" i="28" s="1"/>
  <c r="AI704" i="28"/>
  <c r="AJ704" i="28" s="1"/>
  <c r="AI705" i="28"/>
  <c r="AJ705" i="28" s="1"/>
  <c r="AI706" i="28"/>
  <c r="AJ706" i="28" s="1"/>
  <c r="AI707" i="28"/>
  <c r="AJ707" i="28" s="1"/>
  <c r="AI708" i="28"/>
  <c r="AJ708" i="28" s="1"/>
  <c r="AI709" i="28"/>
  <c r="AJ709" i="28" s="1"/>
  <c r="AI710" i="28"/>
  <c r="AJ710" i="28" s="1"/>
  <c r="AI711" i="28"/>
  <c r="AJ711" i="28" s="1"/>
  <c r="AI712" i="28"/>
  <c r="AJ712" i="28" s="1"/>
  <c r="AI713" i="28"/>
  <c r="AJ713" i="28" s="1"/>
  <c r="AI714" i="28"/>
  <c r="AJ714" i="28" s="1"/>
  <c r="AI715" i="28"/>
  <c r="AJ715" i="28" s="1"/>
  <c r="AI716" i="28"/>
  <c r="AJ716" i="28" s="1"/>
  <c r="AI717" i="28"/>
  <c r="AJ717" i="28" s="1"/>
  <c r="AI718" i="28"/>
  <c r="AJ718" i="28" s="1"/>
  <c r="AI719" i="28"/>
  <c r="AJ719" i="28" s="1"/>
  <c r="AI720" i="28"/>
  <c r="AJ720" i="28" s="1"/>
  <c r="AI721" i="28"/>
  <c r="AJ721" i="28" s="1"/>
  <c r="AI722" i="28"/>
  <c r="AJ722" i="28" s="1"/>
  <c r="AI723" i="28"/>
  <c r="AJ723" i="28" s="1"/>
  <c r="AI724" i="28"/>
  <c r="AJ724" i="28" s="1"/>
  <c r="AI725" i="28"/>
  <c r="AJ725" i="28" s="1"/>
  <c r="AI726" i="28"/>
  <c r="AJ726" i="28" s="1"/>
  <c r="AI727" i="28"/>
  <c r="AJ727" i="28" s="1"/>
  <c r="AI728" i="28"/>
  <c r="AJ728" i="28" s="1"/>
  <c r="AI729" i="28"/>
  <c r="AJ729" i="28" s="1"/>
  <c r="AI730" i="28"/>
  <c r="AJ730" i="28" s="1"/>
  <c r="AI731" i="28"/>
  <c r="AJ731" i="28" s="1"/>
  <c r="AI732" i="28"/>
  <c r="AJ732" i="28" s="1"/>
  <c r="AI733" i="28"/>
  <c r="AJ733" i="28" s="1"/>
  <c r="AI734" i="28"/>
  <c r="AJ734" i="28" s="1"/>
  <c r="AI735" i="28"/>
  <c r="AJ735" i="28" s="1"/>
  <c r="AI736" i="28"/>
  <c r="AJ736" i="28" s="1"/>
  <c r="AI737" i="28"/>
  <c r="AJ737" i="28" s="1"/>
  <c r="AI738" i="28"/>
  <c r="AJ738" i="28" s="1"/>
  <c r="AI739" i="28"/>
  <c r="AJ739" i="28" s="1"/>
  <c r="AI740" i="28"/>
  <c r="AJ740" i="28" s="1"/>
  <c r="AI741" i="28"/>
  <c r="AJ741" i="28" s="1"/>
  <c r="AI742" i="28"/>
  <c r="AJ742" i="28" s="1"/>
  <c r="AI743" i="28"/>
  <c r="AJ743" i="28" s="1"/>
  <c r="AI744" i="28"/>
  <c r="AJ744" i="28" s="1"/>
  <c r="AI745" i="28"/>
  <c r="AJ745" i="28" s="1"/>
  <c r="AI746" i="28"/>
  <c r="AJ746" i="28" s="1"/>
  <c r="AI747" i="28"/>
  <c r="AJ747" i="28" s="1"/>
  <c r="AI748" i="28"/>
  <c r="AJ748" i="28" s="1"/>
  <c r="AI749" i="28"/>
  <c r="AJ749" i="28" s="1"/>
  <c r="AI750" i="28"/>
  <c r="AJ750" i="28" s="1"/>
  <c r="AI751" i="28"/>
  <c r="AJ751" i="28" s="1"/>
  <c r="AI752" i="28"/>
  <c r="AJ752" i="28" s="1"/>
  <c r="AI753" i="28"/>
  <c r="AJ753" i="28" s="1"/>
  <c r="AI754" i="28"/>
  <c r="AJ754" i="28" s="1"/>
  <c r="AI755" i="28"/>
  <c r="AJ755" i="28" s="1"/>
  <c r="AI756" i="28"/>
  <c r="AJ756" i="28" s="1"/>
  <c r="AI757" i="28"/>
  <c r="AJ757" i="28" s="1"/>
  <c r="AI758" i="28"/>
  <c r="AJ758" i="28" s="1"/>
  <c r="AI759" i="28"/>
  <c r="AJ759" i="28" s="1"/>
  <c r="AI760" i="28"/>
  <c r="AJ760" i="28" s="1"/>
  <c r="AI761" i="28"/>
  <c r="AJ761" i="28" s="1"/>
  <c r="AI762" i="28"/>
  <c r="AJ762" i="28" s="1"/>
  <c r="AI763" i="28"/>
  <c r="AJ763" i="28" s="1"/>
  <c r="AI764" i="28"/>
  <c r="AJ764" i="28" s="1"/>
  <c r="AI765" i="28"/>
  <c r="AJ765" i="28" s="1"/>
  <c r="AI766" i="28"/>
  <c r="AJ766" i="28" s="1"/>
  <c r="AI767" i="28"/>
  <c r="AJ767" i="28" s="1"/>
  <c r="AI768" i="28"/>
  <c r="AJ768" i="28" s="1"/>
  <c r="AI769" i="28"/>
  <c r="AJ769" i="28" s="1"/>
  <c r="AI770" i="28"/>
  <c r="AJ770" i="28" s="1"/>
  <c r="AI771" i="28"/>
  <c r="AJ771" i="28" s="1"/>
  <c r="AI772" i="28"/>
  <c r="AJ772" i="28" s="1"/>
  <c r="AI773" i="28"/>
  <c r="AJ773" i="28" s="1"/>
  <c r="AI774" i="28"/>
  <c r="AJ774" i="28" s="1"/>
  <c r="AI775" i="28"/>
  <c r="AJ775" i="28" s="1"/>
  <c r="AI776" i="28"/>
  <c r="AJ776" i="28" s="1"/>
  <c r="AI777" i="28"/>
  <c r="AJ777" i="28" s="1"/>
  <c r="AI778" i="28"/>
  <c r="AJ778" i="28" s="1"/>
  <c r="AI779" i="28"/>
  <c r="AJ779" i="28" s="1"/>
  <c r="AI780" i="28"/>
  <c r="AJ780" i="28" s="1"/>
  <c r="AI781" i="28"/>
  <c r="AJ781" i="28" s="1"/>
  <c r="AI782" i="28"/>
  <c r="AJ782" i="28" s="1"/>
  <c r="AI783" i="28"/>
  <c r="AJ783" i="28" s="1"/>
  <c r="AI784" i="28"/>
  <c r="AJ784" i="28" s="1"/>
  <c r="AI785" i="28"/>
  <c r="AJ785" i="28" s="1"/>
  <c r="AI786" i="28"/>
  <c r="AJ786" i="28" s="1"/>
  <c r="AI787" i="28"/>
  <c r="AJ787" i="28" s="1"/>
  <c r="AI788" i="28"/>
  <c r="AJ788" i="28" s="1"/>
  <c r="AI789" i="28"/>
  <c r="AJ789" i="28" s="1"/>
  <c r="AI790" i="28"/>
  <c r="AJ790" i="28" s="1"/>
  <c r="AI791" i="28"/>
  <c r="AJ791" i="28" s="1"/>
  <c r="AI792" i="28"/>
  <c r="AJ792" i="28" s="1"/>
  <c r="AI793" i="28"/>
  <c r="AJ793" i="28" s="1"/>
  <c r="AI794" i="28"/>
  <c r="AJ794" i="28" s="1"/>
  <c r="AI795" i="28"/>
  <c r="AJ795" i="28" s="1"/>
  <c r="AI796" i="28"/>
  <c r="AJ796" i="28" s="1"/>
  <c r="AI797" i="28"/>
  <c r="AJ797" i="28" s="1"/>
  <c r="AI798" i="28"/>
  <c r="AJ798" i="28" s="1"/>
  <c r="AI799" i="28"/>
  <c r="AJ799" i="28" s="1"/>
  <c r="AI800" i="28"/>
  <c r="AJ800" i="28" s="1"/>
  <c r="AI801" i="28"/>
  <c r="AJ801" i="28" s="1"/>
  <c r="AI802" i="28"/>
  <c r="AJ802" i="28" s="1"/>
  <c r="AI803" i="28"/>
  <c r="AJ803" i="28" s="1"/>
  <c r="AI804" i="28"/>
  <c r="AJ804" i="28" s="1"/>
  <c r="AI805" i="28"/>
  <c r="AJ805" i="28" s="1"/>
  <c r="AI806" i="28"/>
  <c r="AJ806" i="28" s="1"/>
  <c r="AI807" i="28"/>
  <c r="AJ807" i="28" s="1"/>
  <c r="AI808" i="28"/>
  <c r="AJ808" i="28" s="1"/>
  <c r="AI809" i="28"/>
  <c r="AJ809" i="28" s="1"/>
  <c r="AI810" i="28"/>
  <c r="AJ810" i="28" s="1"/>
  <c r="AI811" i="28"/>
  <c r="AJ811" i="28" s="1"/>
  <c r="AI812" i="28"/>
  <c r="AJ812" i="28" s="1"/>
  <c r="AI813" i="28"/>
  <c r="AJ813" i="28" s="1"/>
  <c r="AI814" i="28"/>
  <c r="AJ814" i="28" s="1"/>
  <c r="AI815" i="28"/>
  <c r="AJ815" i="28" s="1"/>
  <c r="AI816" i="28"/>
  <c r="AJ816" i="28" s="1"/>
  <c r="AI817" i="28"/>
  <c r="AJ817" i="28" s="1"/>
  <c r="AI818" i="28"/>
  <c r="AJ818" i="28" s="1"/>
  <c r="AI819" i="28"/>
  <c r="AJ819" i="28" s="1"/>
  <c r="AI820" i="28"/>
  <c r="AJ820" i="28" s="1"/>
  <c r="AI821" i="28"/>
  <c r="AJ821" i="28" s="1"/>
  <c r="AI822" i="28"/>
  <c r="AJ822" i="28" s="1"/>
  <c r="AI823" i="28"/>
  <c r="AJ823" i="28" s="1"/>
  <c r="AI824" i="28"/>
  <c r="AJ824" i="28" s="1"/>
  <c r="AI825" i="28"/>
  <c r="AJ825" i="28" s="1"/>
  <c r="AI826" i="28"/>
  <c r="AJ826" i="28" s="1"/>
  <c r="AI827" i="28"/>
  <c r="AJ827" i="28" s="1"/>
  <c r="AI828" i="28"/>
  <c r="AJ828" i="28" s="1"/>
  <c r="AI829" i="28"/>
  <c r="AJ829" i="28" s="1"/>
  <c r="AI830" i="28"/>
  <c r="AJ830" i="28" s="1"/>
  <c r="AI831" i="28"/>
  <c r="AJ831" i="28" s="1"/>
  <c r="AI832" i="28"/>
  <c r="AJ832" i="28" s="1"/>
  <c r="AI833" i="28"/>
  <c r="AJ833" i="28" s="1"/>
  <c r="AI834" i="28"/>
  <c r="AJ834" i="28" s="1"/>
  <c r="AI835" i="28"/>
  <c r="AJ835" i="28" s="1"/>
  <c r="AI836" i="28"/>
  <c r="AJ836" i="28" s="1"/>
  <c r="AI837" i="28"/>
  <c r="AJ837" i="28" s="1"/>
  <c r="AI838" i="28"/>
  <c r="AJ838" i="28" s="1"/>
  <c r="AI839" i="28"/>
  <c r="AJ839" i="28" s="1"/>
  <c r="AI840" i="28"/>
  <c r="AJ840" i="28" s="1"/>
  <c r="AI841" i="28"/>
  <c r="AJ841" i="28" s="1"/>
  <c r="AI842" i="28"/>
  <c r="AJ842" i="28" s="1"/>
  <c r="AI843" i="28"/>
  <c r="AJ843" i="28" s="1"/>
  <c r="AI844" i="28"/>
  <c r="AJ844" i="28" s="1"/>
  <c r="AI845" i="28"/>
  <c r="AJ845" i="28" s="1"/>
  <c r="AI846" i="28"/>
  <c r="AJ846" i="28" s="1"/>
  <c r="AI847" i="28"/>
  <c r="AJ847" i="28" s="1"/>
  <c r="AI848" i="28"/>
  <c r="AJ848" i="28" s="1"/>
  <c r="AI849" i="28"/>
  <c r="AJ849" i="28" s="1"/>
  <c r="AI850" i="28"/>
  <c r="AJ850" i="28" s="1"/>
  <c r="AI851" i="28"/>
  <c r="AJ851" i="28" s="1"/>
  <c r="AI852" i="28"/>
  <c r="AJ852" i="28" s="1"/>
  <c r="AI853" i="28"/>
  <c r="AJ853" i="28" s="1"/>
  <c r="AI854" i="28"/>
  <c r="AJ854" i="28" s="1"/>
  <c r="AI855" i="28"/>
  <c r="AJ855" i="28" s="1"/>
  <c r="AI856" i="28"/>
  <c r="AJ856" i="28" s="1"/>
  <c r="AI857" i="28"/>
  <c r="AJ857" i="28" s="1"/>
  <c r="AI858" i="28"/>
  <c r="AJ858" i="28" s="1"/>
  <c r="AI859" i="28"/>
  <c r="AJ859" i="28" s="1"/>
  <c r="AI860" i="28"/>
  <c r="AJ860" i="28" s="1"/>
  <c r="AI861" i="28"/>
  <c r="AJ861" i="28" s="1"/>
  <c r="AI862" i="28"/>
  <c r="AJ862" i="28" s="1"/>
  <c r="AI863" i="28"/>
  <c r="AJ863" i="28" s="1"/>
  <c r="AI864" i="28"/>
  <c r="AJ864" i="28" s="1"/>
  <c r="AI865" i="28"/>
  <c r="AJ865" i="28" s="1"/>
  <c r="AI866" i="28"/>
  <c r="AJ866" i="28" s="1"/>
  <c r="AI867" i="28"/>
  <c r="AJ867" i="28" s="1"/>
  <c r="AI868" i="28"/>
  <c r="AJ868" i="28" s="1"/>
  <c r="AI869" i="28"/>
  <c r="AJ869" i="28" s="1"/>
  <c r="AI870" i="28"/>
  <c r="AJ870" i="28" s="1"/>
  <c r="AI871" i="28"/>
  <c r="AJ871" i="28" s="1"/>
  <c r="AI872" i="28"/>
  <c r="AJ872" i="28" s="1"/>
  <c r="AI873" i="28"/>
  <c r="AJ873" i="28" s="1"/>
  <c r="AI874" i="28"/>
  <c r="AJ874" i="28" s="1"/>
  <c r="AI875" i="28"/>
  <c r="AJ875" i="28" s="1"/>
  <c r="AI876" i="28"/>
  <c r="AJ876" i="28" s="1"/>
  <c r="AI877" i="28"/>
  <c r="AJ877" i="28" s="1"/>
  <c r="AI878" i="28"/>
  <c r="AJ878" i="28" s="1"/>
  <c r="AI879" i="28"/>
  <c r="AJ879" i="28" s="1"/>
  <c r="AI880" i="28"/>
  <c r="AJ880" i="28" s="1"/>
  <c r="AI881" i="28"/>
  <c r="AJ881" i="28" s="1"/>
  <c r="AI882" i="28"/>
  <c r="AJ882" i="28" s="1"/>
  <c r="AI883" i="28"/>
  <c r="AJ883" i="28" s="1"/>
  <c r="AI884" i="28"/>
  <c r="AJ884" i="28" s="1"/>
  <c r="AI885" i="28"/>
  <c r="AJ885" i="28" s="1"/>
  <c r="AI886" i="28"/>
  <c r="AJ886" i="28" s="1"/>
  <c r="AI887" i="28"/>
  <c r="AJ887" i="28" s="1"/>
  <c r="AI888" i="28"/>
  <c r="AJ888" i="28" s="1"/>
  <c r="AI889" i="28"/>
  <c r="AJ889" i="28" s="1"/>
  <c r="AI890" i="28"/>
  <c r="AJ890" i="28" s="1"/>
  <c r="AI891" i="28"/>
  <c r="AJ891" i="28" s="1"/>
  <c r="AI892" i="28"/>
  <c r="AJ892" i="28" s="1"/>
  <c r="AI893" i="28"/>
  <c r="AJ893" i="28" s="1"/>
  <c r="AI894" i="28"/>
  <c r="AJ894" i="28" s="1"/>
  <c r="AI895" i="28"/>
  <c r="AJ895" i="28" s="1"/>
  <c r="AI896" i="28"/>
  <c r="AJ896" i="28" s="1"/>
  <c r="AI897" i="28"/>
  <c r="AJ897" i="28" s="1"/>
  <c r="AI898" i="28"/>
  <c r="AJ898" i="28" s="1"/>
  <c r="AI899" i="28"/>
  <c r="AJ899" i="28" s="1"/>
  <c r="AI900" i="28"/>
  <c r="AJ900" i="28" s="1"/>
  <c r="AI901" i="28"/>
  <c r="AJ901" i="28" s="1"/>
  <c r="AI902" i="28"/>
  <c r="AJ902" i="28" s="1"/>
  <c r="AI903" i="28"/>
  <c r="AJ903" i="28" s="1"/>
  <c r="AI904" i="28"/>
  <c r="AJ904" i="28" s="1"/>
  <c r="AI905" i="28"/>
  <c r="AJ905" i="28" s="1"/>
  <c r="AI906" i="28"/>
  <c r="AJ906" i="28" s="1"/>
  <c r="AI907" i="28"/>
  <c r="AJ907" i="28" s="1"/>
  <c r="AI908" i="28"/>
  <c r="AJ908" i="28" s="1"/>
  <c r="AI909" i="28"/>
  <c r="AJ909" i="28" s="1"/>
  <c r="AI910" i="28"/>
  <c r="AJ910" i="28" s="1"/>
  <c r="AI911" i="28"/>
  <c r="AJ911" i="28" s="1"/>
  <c r="AI912" i="28"/>
  <c r="AJ912" i="28" s="1"/>
  <c r="AI913" i="28"/>
  <c r="AJ913" i="28" s="1"/>
  <c r="AI914" i="28"/>
  <c r="AJ914" i="28" s="1"/>
  <c r="AI915" i="28"/>
  <c r="AJ915" i="28" s="1"/>
  <c r="AI916" i="28"/>
  <c r="AJ916" i="28" s="1"/>
  <c r="AI917" i="28"/>
  <c r="AJ917" i="28" s="1"/>
  <c r="AI918" i="28"/>
  <c r="AJ918" i="28" s="1"/>
  <c r="AI919" i="28"/>
  <c r="AJ919" i="28" s="1"/>
  <c r="AI920" i="28"/>
  <c r="AJ920" i="28" s="1"/>
  <c r="AI921" i="28"/>
  <c r="AJ921" i="28" s="1"/>
  <c r="AI922" i="28"/>
  <c r="AJ922" i="28" s="1"/>
  <c r="AI923" i="28"/>
  <c r="AJ923" i="28" s="1"/>
  <c r="AI924" i="28"/>
  <c r="AJ924" i="28" s="1"/>
  <c r="AI925" i="28"/>
  <c r="AJ925" i="28" s="1"/>
  <c r="AI926" i="28"/>
  <c r="AJ926" i="28" s="1"/>
  <c r="AI927" i="28"/>
  <c r="AJ927" i="28" s="1"/>
  <c r="AI928" i="28"/>
  <c r="AJ928" i="28" s="1"/>
  <c r="AI929" i="28"/>
  <c r="AJ929" i="28" s="1"/>
  <c r="AI930" i="28"/>
  <c r="AJ930" i="28" s="1"/>
  <c r="AI931" i="28"/>
  <c r="AJ931" i="28" s="1"/>
  <c r="AI932" i="28"/>
  <c r="AJ932" i="28" s="1"/>
  <c r="AI933" i="28"/>
  <c r="AJ933" i="28" s="1"/>
  <c r="AI934" i="28"/>
  <c r="AJ934" i="28" s="1"/>
  <c r="AI935" i="28"/>
  <c r="AJ935" i="28" s="1"/>
  <c r="AI936" i="28"/>
  <c r="AJ936" i="28" s="1"/>
  <c r="AI937" i="28"/>
  <c r="AJ937" i="28" s="1"/>
  <c r="AI938" i="28"/>
  <c r="AJ938" i="28" s="1"/>
  <c r="AI939" i="28"/>
  <c r="AJ939" i="28" s="1"/>
  <c r="AI940" i="28"/>
  <c r="AJ940" i="28" s="1"/>
  <c r="AI941" i="28"/>
  <c r="AJ941" i="28" s="1"/>
  <c r="AI942" i="28"/>
  <c r="AJ942" i="28" s="1"/>
  <c r="AI943" i="28"/>
  <c r="AJ943" i="28" s="1"/>
  <c r="AI944" i="28"/>
  <c r="AJ944" i="28" s="1"/>
  <c r="AI945" i="28"/>
  <c r="AJ945" i="28" s="1"/>
  <c r="AI946" i="28"/>
  <c r="AJ946" i="28" s="1"/>
  <c r="AI947" i="28"/>
  <c r="AJ947" i="28" s="1"/>
  <c r="AI948" i="28"/>
  <c r="AJ948" i="28" s="1"/>
  <c r="AI949" i="28"/>
  <c r="AJ949" i="28" s="1"/>
  <c r="AI950" i="28"/>
  <c r="AJ950" i="28" s="1"/>
  <c r="AI951" i="28"/>
  <c r="AJ951" i="28" s="1"/>
  <c r="AI952" i="28"/>
  <c r="AJ952" i="28" s="1"/>
  <c r="AI953" i="28"/>
  <c r="AJ953" i="28" s="1"/>
  <c r="AI954" i="28"/>
  <c r="AJ954" i="28" s="1"/>
  <c r="AI955" i="28"/>
  <c r="AJ955" i="28" s="1"/>
  <c r="AI956" i="28"/>
  <c r="AJ956" i="28" s="1"/>
  <c r="AI957" i="28"/>
  <c r="AJ957" i="28" s="1"/>
  <c r="AI958" i="28"/>
  <c r="AJ958" i="28" s="1"/>
  <c r="AI959" i="28"/>
  <c r="AJ959" i="28" s="1"/>
  <c r="AI960" i="28"/>
  <c r="AJ960" i="28" s="1"/>
  <c r="AI961" i="28"/>
  <c r="AJ961" i="28" s="1"/>
  <c r="AI962" i="28"/>
  <c r="AJ962" i="28" s="1"/>
  <c r="AI963" i="28"/>
  <c r="AJ963" i="28" s="1"/>
  <c r="AI964" i="28"/>
  <c r="AJ964" i="28" s="1"/>
  <c r="AI965" i="28"/>
  <c r="AJ965" i="28" s="1"/>
  <c r="AI966" i="28"/>
  <c r="AJ966" i="28" s="1"/>
  <c r="AI967" i="28"/>
  <c r="AJ967" i="28" s="1"/>
  <c r="AI968" i="28"/>
  <c r="AJ968" i="28" s="1"/>
  <c r="AI969" i="28"/>
  <c r="AJ969" i="28" s="1"/>
  <c r="AI970" i="28"/>
  <c r="AJ970" i="28" s="1"/>
  <c r="AI971" i="28"/>
  <c r="AJ971" i="28" s="1"/>
  <c r="AI972" i="28"/>
  <c r="AJ972" i="28" s="1"/>
  <c r="AI973" i="28"/>
  <c r="AJ973" i="28" s="1"/>
  <c r="AI974" i="28"/>
  <c r="AJ974" i="28" s="1"/>
  <c r="AI975" i="28"/>
  <c r="AJ975" i="28" s="1"/>
  <c r="AI976" i="28"/>
  <c r="AJ976" i="28" s="1"/>
  <c r="AI977" i="28"/>
  <c r="AJ977" i="28" s="1"/>
  <c r="AI978" i="28"/>
  <c r="AJ978" i="28" s="1"/>
  <c r="AI979" i="28"/>
  <c r="AJ979" i="28" s="1"/>
  <c r="AI980" i="28"/>
  <c r="AJ980" i="28" s="1"/>
  <c r="AI981" i="28"/>
  <c r="AJ981" i="28" s="1"/>
  <c r="AI982" i="28"/>
  <c r="AJ982" i="28" s="1"/>
  <c r="AI983" i="28"/>
  <c r="AJ983" i="28" s="1"/>
  <c r="AI984" i="28"/>
  <c r="AJ984" i="28" s="1"/>
  <c r="AI985" i="28"/>
  <c r="AJ985" i="28" s="1"/>
  <c r="AI986" i="28"/>
  <c r="AJ986" i="28" s="1"/>
  <c r="AI987" i="28"/>
  <c r="AJ987" i="28" s="1"/>
  <c r="AI988" i="28"/>
  <c r="AJ988" i="28" s="1"/>
  <c r="AI989" i="28"/>
  <c r="AJ989" i="28" s="1"/>
  <c r="AI990" i="28"/>
  <c r="AJ990" i="28" s="1"/>
  <c r="AI991" i="28"/>
  <c r="AJ991" i="28" s="1"/>
  <c r="AI992" i="28"/>
  <c r="AJ992" i="28" s="1"/>
  <c r="AI993" i="28"/>
  <c r="AJ993" i="28" s="1"/>
  <c r="AI994" i="28"/>
  <c r="AJ994" i="28" s="1"/>
  <c r="AI995" i="28"/>
  <c r="AJ995" i="28" s="1"/>
  <c r="AI996" i="28"/>
  <c r="AJ996" i="28" s="1"/>
  <c r="AI997" i="28"/>
  <c r="AJ997" i="28" s="1"/>
  <c r="AI998" i="28"/>
  <c r="AJ998" i="28" s="1"/>
  <c r="AI999" i="28"/>
  <c r="AJ999" i="28" s="1"/>
  <c r="AI1000" i="28"/>
  <c r="AJ1000" i="28" s="1"/>
  <c r="AI1001" i="28"/>
  <c r="AJ1001" i="28" s="1"/>
  <c r="AI1002" i="28"/>
  <c r="AJ1002" i="28" s="1"/>
  <c r="N2" i="28"/>
  <c r="N3" i="28"/>
  <c r="N4" i="28"/>
  <c r="N5" i="28"/>
  <c r="N6" i="28"/>
  <c r="N7" i="28"/>
  <c r="N8" i="28"/>
  <c r="N9" i="28"/>
  <c r="N10" i="28"/>
  <c r="N11" i="28"/>
  <c r="N12" i="28"/>
  <c r="N13" i="28"/>
  <c r="N14" i="28"/>
  <c r="N15" i="28"/>
  <c r="N16" i="28"/>
  <c r="N17" i="28"/>
  <c r="N18" i="28"/>
  <c r="N19" i="28"/>
  <c r="N20" i="28"/>
  <c r="N21" i="28"/>
  <c r="N22" i="28"/>
  <c r="N23" i="28"/>
  <c r="N24" i="28"/>
  <c r="N25" i="28"/>
  <c r="N26" i="28"/>
  <c r="N27" i="28"/>
  <c r="N28" i="28"/>
  <c r="N29" i="28"/>
  <c r="N30" i="28"/>
  <c r="N31" i="28"/>
  <c r="N32" i="28"/>
  <c r="N33" i="28"/>
  <c r="N34" i="28"/>
  <c r="N35" i="28"/>
  <c r="N36" i="28"/>
  <c r="N37" i="28"/>
  <c r="N38" i="28"/>
  <c r="N39" i="28"/>
  <c r="N40" i="28"/>
  <c r="N41" i="28"/>
  <c r="N42" i="28"/>
  <c r="N43" i="28"/>
  <c r="N44" i="28"/>
  <c r="N45" i="28"/>
  <c r="N46" i="28"/>
  <c r="N47" i="28"/>
  <c r="N48" i="28"/>
  <c r="N49" i="28"/>
  <c r="N50" i="28"/>
  <c r="N51" i="28"/>
  <c r="N52" i="28"/>
  <c r="N53" i="28"/>
  <c r="N54" i="28"/>
  <c r="N55" i="28"/>
  <c r="N56" i="28"/>
  <c r="N57" i="28"/>
  <c r="N58" i="28"/>
  <c r="N59" i="28"/>
  <c r="N60" i="28"/>
  <c r="N61" i="28"/>
  <c r="N62" i="28"/>
  <c r="N63" i="28"/>
  <c r="N64" i="28"/>
  <c r="N65" i="28"/>
  <c r="N66" i="28"/>
  <c r="N67" i="28"/>
  <c r="N68" i="28"/>
  <c r="N69" i="28"/>
  <c r="N70" i="28"/>
  <c r="N71" i="28"/>
  <c r="N72" i="28"/>
  <c r="N73" i="28"/>
  <c r="N74" i="28"/>
  <c r="N75" i="28"/>
  <c r="N76" i="28"/>
  <c r="N77" i="28"/>
  <c r="N78" i="28"/>
  <c r="N79" i="28"/>
  <c r="N80" i="28"/>
  <c r="N81" i="28"/>
  <c r="N82" i="28"/>
  <c r="N83" i="28"/>
  <c r="N84" i="28"/>
  <c r="N85" i="28"/>
  <c r="N86" i="28"/>
  <c r="N87" i="28"/>
  <c r="N88" i="28"/>
  <c r="N89" i="28"/>
  <c r="N90" i="28"/>
  <c r="N91" i="28"/>
  <c r="N92" i="28"/>
  <c r="N93" i="28"/>
  <c r="N94" i="28"/>
  <c r="N95" i="28"/>
  <c r="N96" i="28"/>
  <c r="N97" i="28"/>
  <c r="N98" i="28"/>
  <c r="N99" i="28"/>
  <c r="N100" i="28"/>
  <c r="N101" i="28"/>
  <c r="N102" i="28"/>
  <c r="N103" i="28"/>
  <c r="N104" i="28"/>
  <c r="N105" i="28"/>
  <c r="N106" i="28"/>
  <c r="N107" i="28"/>
  <c r="N108" i="28"/>
  <c r="N109" i="28"/>
  <c r="N110" i="28"/>
  <c r="N111" i="28"/>
  <c r="N112" i="28"/>
  <c r="N113" i="28"/>
  <c r="N114" i="28"/>
  <c r="N115" i="28"/>
  <c r="N116" i="28"/>
  <c r="N117" i="28"/>
  <c r="N118" i="28"/>
  <c r="N119" i="28"/>
  <c r="N120" i="28"/>
  <c r="N121" i="28"/>
  <c r="N122" i="28"/>
  <c r="N123" i="28"/>
  <c r="N124" i="28"/>
  <c r="N125" i="28"/>
  <c r="N126" i="28"/>
  <c r="N127" i="28"/>
  <c r="N128" i="28"/>
  <c r="N129" i="28"/>
  <c r="N130" i="28"/>
  <c r="N131" i="28"/>
  <c r="N132" i="28"/>
  <c r="N133" i="28"/>
  <c r="N134" i="28"/>
  <c r="N135" i="28"/>
  <c r="N136" i="28"/>
  <c r="N137" i="28"/>
  <c r="N138" i="28"/>
  <c r="N139" i="28"/>
  <c r="N140" i="28"/>
  <c r="N141" i="28"/>
  <c r="N142" i="28"/>
  <c r="N143" i="28"/>
  <c r="N144" i="28"/>
  <c r="N145" i="28"/>
  <c r="N146" i="28"/>
  <c r="N147" i="28"/>
  <c r="N148" i="28"/>
  <c r="N149" i="28"/>
  <c r="N150" i="28"/>
  <c r="N151" i="28"/>
  <c r="N152" i="28"/>
  <c r="N153" i="28"/>
  <c r="N154" i="28"/>
  <c r="N155" i="28"/>
  <c r="N156" i="28"/>
  <c r="N157" i="28"/>
  <c r="N158" i="28"/>
  <c r="N159" i="28"/>
  <c r="N160" i="28"/>
  <c r="N161" i="28"/>
  <c r="N162" i="28"/>
  <c r="N163" i="28"/>
  <c r="N164" i="28"/>
  <c r="N165" i="28"/>
  <c r="N166" i="28"/>
  <c r="N167" i="28"/>
  <c r="N168" i="28"/>
  <c r="N169" i="28"/>
  <c r="N170" i="28"/>
  <c r="N171" i="28"/>
  <c r="N172" i="28"/>
  <c r="N173" i="28"/>
  <c r="N174" i="28"/>
  <c r="N175" i="28"/>
  <c r="N176" i="28"/>
  <c r="N177" i="28"/>
  <c r="N178" i="28"/>
  <c r="N179" i="28"/>
  <c r="N180" i="28"/>
  <c r="N181" i="28"/>
  <c r="N182" i="28"/>
  <c r="N183" i="28"/>
  <c r="N184" i="28"/>
  <c r="N185" i="28"/>
  <c r="N186" i="28"/>
  <c r="N187" i="28"/>
  <c r="N188" i="28"/>
  <c r="N189" i="28"/>
  <c r="N190" i="28"/>
  <c r="N191" i="28"/>
  <c r="N192" i="28"/>
  <c r="N193" i="28"/>
  <c r="N194" i="28"/>
  <c r="N195" i="28"/>
  <c r="N196" i="28"/>
  <c r="N197" i="28"/>
  <c r="N198" i="28"/>
  <c r="N199" i="28"/>
  <c r="N200" i="28"/>
  <c r="N201" i="28"/>
  <c r="N202" i="28"/>
  <c r="N203" i="28"/>
  <c r="N204" i="28"/>
  <c r="N205" i="28"/>
  <c r="N206" i="28"/>
  <c r="N207" i="28"/>
  <c r="N208" i="28"/>
  <c r="N209" i="28"/>
  <c r="N210" i="28"/>
  <c r="N211" i="28"/>
  <c r="N212" i="28"/>
  <c r="N213" i="28"/>
  <c r="N214" i="28"/>
  <c r="N215" i="28"/>
  <c r="N216" i="28"/>
  <c r="N217" i="28"/>
  <c r="N218" i="28"/>
  <c r="N219" i="28"/>
  <c r="N220" i="28"/>
  <c r="N221" i="28"/>
  <c r="N222" i="28"/>
  <c r="N223" i="28"/>
  <c r="N224" i="28"/>
  <c r="N225" i="28"/>
  <c r="N226" i="28"/>
  <c r="N227" i="28"/>
  <c r="N228" i="28"/>
  <c r="N229" i="28"/>
  <c r="N230" i="28"/>
  <c r="N231" i="28"/>
  <c r="N232" i="28"/>
  <c r="N233" i="28"/>
  <c r="N234" i="28"/>
  <c r="N235" i="28"/>
  <c r="N236" i="28"/>
  <c r="N237" i="28"/>
  <c r="N238" i="28"/>
  <c r="N239" i="28"/>
  <c r="N240" i="28"/>
  <c r="N241" i="28"/>
  <c r="N242" i="28"/>
  <c r="N243" i="28"/>
  <c r="N244" i="28"/>
  <c r="N245" i="28"/>
  <c r="N246" i="28"/>
  <c r="N247" i="28"/>
  <c r="N248" i="28"/>
  <c r="N249" i="28"/>
  <c r="N250" i="28"/>
  <c r="N251" i="28"/>
  <c r="N252" i="28"/>
  <c r="N253" i="28"/>
  <c r="N254" i="28"/>
  <c r="N255" i="28"/>
  <c r="N256" i="28"/>
  <c r="N257" i="28"/>
  <c r="N258" i="28"/>
  <c r="N259" i="28"/>
  <c r="N260" i="28"/>
  <c r="N261" i="28"/>
  <c r="N262" i="28"/>
  <c r="N263" i="28"/>
  <c r="N264" i="28"/>
  <c r="N265" i="28"/>
  <c r="N266" i="28"/>
  <c r="N267" i="28"/>
  <c r="N268" i="28"/>
  <c r="N269" i="28"/>
  <c r="N270" i="28"/>
  <c r="N271" i="28"/>
  <c r="N272" i="28"/>
  <c r="N273" i="28"/>
  <c r="N274" i="28"/>
  <c r="N275" i="28"/>
  <c r="N276" i="28"/>
  <c r="N277" i="28"/>
  <c r="N278" i="28"/>
  <c r="N279" i="28"/>
  <c r="N280" i="28"/>
  <c r="N281" i="28"/>
  <c r="N282" i="28"/>
  <c r="N283" i="28"/>
  <c r="N284" i="28"/>
  <c r="N285" i="28"/>
  <c r="N286" i="28"/>
  <c r="N287" i="28"/>
  <c r="N288" i="28"/>
  <c r="N289" i="28"/>
  <c r="N290" i="28"/>
  <c r="N291" i="28"/>
  <c r="N292" i="28"/>
  <c r="N293" i="28"/>
  <c r="N294" i="28"/>
  <c r="N295" i="28"/>
  <c r="N296" i="28"/>
  <c r="N297" i="28"/>
  <c r="N298" i="28"/>
  <c r="N299" i="28"/>
  <c r="N300" i="28"/>
  <c r="N301" i="28"/>
  <c r="N302" i="28"/>
  <c r="N303" i="28"/>
  <c r="N304" i="28"/>
  <c r="N305" i="28"/>
  <c r="N306" i="28"/>
  <c r="N307" i="28"/>
  <c r="N308" i="28"/>
  <c r="N309" i="28"/>
  <c r="N310" i="28"/>
  <c r="N311" i="28"/>
  <c r="N312" i="28"/>
  <c r="N313" i="28"/>
  <c r="N314" i="28"/>
  <c r="N315" i="28"/>
  <c r="N316" i="28"/>
  <c r="N317" i="28"/>
  <c r="N318" i="28"/>
  <c r="N319" i="28"/>
  <c r="N320" i="28"/>
  <c r="N321" i="28"/>
  <c r="N322" i="28"/>
  <c r="N323" i="28"/>
  <c r="N324" i="28"/>
  <c r="N325" i="28"/>
  <c r="N326" i="28"/>
  <c r="N327" i="28"/>
  <c r="N328" i="28"/>
  <c r="N329" i="28"/>
  <c r="N330" i="28"/>
  <c r="N331" i="28"/>
  <c r="N332" i="28"/>
  <c r="N333" i="28"/>
  <c r="N334" i="28"/>
  <c r="N335" i="28"/>
  <c r="N336" i="28"/>
  <c r="N337" i="28"/>
  <c r="N338" i="28"/>
  <c r="N339" i="28"/>
  <c r="N340" i="28"/>
  <c r="N341" i="28"/>
  <c r="N342" i="28"/>
  <c r="N343" i="28"/>
  <c r="N344" i="28"/>
  <c r="N345" i="28"/>
  <c r="N346" i="28"/>
  <c r="N347" i="28"/>
  <c r="N348" i="28"/>
  <c r="N349" i="28"/>
  <c r="N350" i="28"/>
  <c r="N351" i="28"/>
  <c r="N352" i="28"/>
  <c r="N353" i="28"/>
  <c r="N354" i="28"/>
  <c r="N355" i="28"/>
  <c r="N356" i="28"/>
  <c r="N357" i="28"/>
  <c r="N358" i="28"/>
  <c r="N359" i="28"/>
  <c r="N360" i="28"/>
  <c r="N361" i="28"/>
  <c r="N362" i="28"/>
  <c r="N363" i="28"/>
  <c r="N364" i="28"/>
  <c r="N365" i="28"/>
  <c r="N366" i="28"/>
  <c r="N367" i="28"/>
  <c r="N368" i="28"/>
  <c r="N369" i="28"/>
  <c r="N370" i="28"/>
  <c r="N371" i="28"/>
  <c r="N372" i="28"/>
  <c r="N373" i="28"/>
  <c r="N374" i="28"/>
  <c r="N375" i="28"/>
  <c r="N376" i="28"/>
  <c r="N377" i="28"/>
  <c r="N378" i="28"/>
  <c r="N379" i="28"/>
  <c r="N380" i="28"/>
  <c r="N381" i="28"/>
  <c r="N382" i="28"/>
  <c r="N383" i="28"/>
  <c r="N384" i="28"/>
  <c r="N385" i="28"/>
  <c r="N386" i="28"/>
  <c r="N387" i="28"/>
  <c r="N388" i="28"/>
  <c r="N389" i="28"/>
  <c r="N390" i="28"/>
  <c r="N391" i="28"/>
  <c r="N392" i="28"/>
  <c r="N393" i="28"/>
  <c r="N394" i="28"/>
  <c r="N395" i="28"/>
  <c r="N396" i="28"/>
  <c r="N397" i="28"/>
  <c r="N398" i="28"/>
  <c r="N399" i="28"/>
  <c r="N400" i="28"/>
  <c r="N401" i="28"/>
  <c r="N402" i="28"/>
  <c r="N403" i="28"/>
  <c r="N404" i="28"/>
  <c r="N405" i="28"/>
  <c r="N406" i="28"/>
  <c r="N407" i="28"/>
  <c r="N408" i="28"/>
  <c r="N409" i="28"/>
  <c r="N410" i="28"/>
  <c r="N411" i="28"/>
  <c r="N412" i="28"/>
  <c r="N413" i="28"/>
  <c r="N414" i="28"/>
  <c r="N415" i="28"/>
  <c r="N416" i="28"/>
  <c r="N417" i="28"/>
  <c r="N418" i="28"/>
  <c r="N419" i="28"/>
  <c r="N420" i="28"/>
  <c r="N421" i="28"/>
  <c r="N422" i="28"/>
  <c r="N423" i="28"/>
  <c r="N424" i="28"/>
  <c r="N425" i="28"/>
  <c r="N426" i="28"/>
  <c r="N427" i="28"/>
  <c r="N428" i="28"/>
  <c r="N429" i="28"/>
  <c r="N430" i="28"/>
  <c r="N431" i="28"/>
  <c r="N432" i="28"/>
  <c r="N433" i="28"/>
  <c r="N434" i="28"/>
  <c r="N435" i="28"/>
  <c r="N436" i="28"/>
  <c r="N437" i="28"/>
  <c r="N438" i="28"/>
  <c r="N439" i="28"/>
  <c r="N440" i="28"/>
  <c r="N441" i="28"/>
  <c r="N442" i="28"/>
  <c r="N443" i="28"/>
  <c r="N444" i="28"/>
  <c r="N445" i="28"/>
  <c r="N446" i="28"/>
  <c r="N447" i="28"/>
  <c r="N448" i="28"/>
  <c r="N449" i="28"/>
  <c r="N450" i="28"/>
  <c r="N451" i="28"/>
  <c r="N452" i="28"/>
  <c r="N453" i="28"/>
  <c r="N454" i="28"/>
  <c r="N455" i="28"/>
  <c r="N456" i="28"/>
  <c r="N457" i="28"/>
  <c r="N458" i="28"/>
  <c r="N459" i="28"/>
  <c r="N460" i="28"/>
  <c r="N461" i="28"/>
  <c r="N462" i="28"/>
  <c r="N463" i="28"/>
  <c r="N464" i="28"/>
  <c r="N465" i="28"/>
  <c r="N466" i="28"/>
  <c r="N467" i="28"/>
  <c r="N468" i="28"/>
  <c r="N469" i="28"/>
  <c r="N470" i="28"/>
  <c r="N471" i="28"/>
  <c r="N472" i="28"/>
  <c r="N473" i="28"/>
  <c r="N474" i="28"/>
  <c r="N475" i="28"/>
  <c r="N476" i="28"/>
  <c r="N477" i="28"/>
  <c r="N478" i="28"/>
  <c r="N479" i="28"/>
  <c r="N480" i="28"/>
  <c r="N481" i="28"/>
  <c r="N482" i="28"/>
  <c r="N483" i="28"/>
  <c r="N484" i="28"/>
  <c r="N485" i="28"/>
  <c r="N486" i="28"/>
  <c r="N487" i="28"/>
  <c r="N488" i="28"/>
  <c r="N489" i="28"/>
  <c r="N490" i="28"/>
  <c r="N491" i="28"/>
  <c r="N492" i="28"/>
  <c r="N493" i="28"/>
  <c r="N494" i="28"/>
  <c r="N495" i="28"/>
  <c r="N496" i="28"/>
  <c r="N497" i="28"/>
  <c r="N498" i="28"/>
  <c r="N499" i="28"/>
  <c r="N500" i="28"/>
  <c r="N501" i="28"/>
  <c r="N502" i="28"/>
  <c r="N503" i="28"/>
  <c r="N504" i="28"/>
  <c r="N505" i="28"/>
  <c r="N506" i="28"/>
  <c r="N507" i="28"/>
  <c r="N508" i="28"/>
  <c r="N509" i="28"/>
  <c r="N510" i="28"/>
  <c r="N511" i="28"/>
  <c r="N512" i="28"/>
  <c r="N513" i="28"/>
  <c r="N514" i="28"/>
  <c r="N515" i="28"/>
  <c r="N516" i="28"/>
  <c r="N517" i="28"/>
  <c r="N518" i="28"/>
  <c r="N519" i="28"/>
  <c r="N520" i="28"/>
  <c r="N521" i="28"/>
  <c r="N522" i="28"/>
  <c r="N523" i="28"/>
  <c r="N524" i="28"/>
  <c r="N525" i="28"/>
  <c r="N526" i="28"/>
  <c r="N527" i="28"/>
  <c r="N528" i="28"/>
  <c r="N529" i="28"/>
  <c r="N530" i="28"/>
  <c r="N531" i="28"/>
  <c r="N532" i="28"/>
  <c r="N533" i="28"/>
  <c r="N534" i="28"/>
  <c r="N535" i="28"/>
  <c r="N536" i="28"/>
  <c r="N537" i="28"/>
  <c r="N538" i="28"/>
  <c r="N539" i="28"/>
  <c r="N540" i="28"/>
  <c r="N541" i="28"/>
  <c r="N542" i="28"/>
  <c r="N543" i="28"/>
  <c r="N544" i="28"/>
  <c r="N545" i="28"/>
  <c r="N546" i="28"/>
  <c r="N547" i="28"/>
  <c r="N548" i="28"/>
  <c r="N549" i="28"/>
  <c r="N550" i="28"/>
  <c r="N551" i="28"/>
  <c r="N552" i="28"/>
  <c r="N553" i="28"/>
  <c r="N554" i="28"/>
  <c r="N555" i="28"/>
  <c r="N556" i="28"/>
  <c r="N557" i="28"/>
  <c r="N558" i="28"/>
  <c r="N559" i="28"/>
  <c r="N560" i="28"/>
  <c r="N561" i="28"/>
  <c r="N562" i="28"/>
  <c r="N563" i="28"/>
  <c r="N564" i="28"/>
  <c r="N565" i="28"/>
  <c r="N566" i="28"/>
  <c r="N567" i="28"/>
  <c r="N568" i="28"/>
  <c r="N569" i="28"/>
  <c r="N570" i="28"/>
  <c r="N571" i="28"/>
  <c r="N572" i="28"/>
  <c r="N573" i="28"/>
  <c r="N574" i="28"/>
  <c r="N575" i="28"/>
  <c r="N576" i="28"/>
  <c r="N577" i="28"/>
  <c r="N578" i="28"/>
  <c r="N579" i="28"/>
  <c r="N580" i="28"/>
  <c r="N581" i="28"/>
  <c r="N582" i="28"/>
  <c r="N583" i="28"/>
  <c r="N584" i="28"/>
  <c r="N585" i="28"/>
  <c r="N586" i="28"/>
  <c r="N587" i="28"/>
  <c r="N588" i="28"/>
  <c r="N589" i="28"/>
  <c r="N590" i="28"/>
  <c r="N591" i="28"/>
  <c r="N592" i="28"/>
  <c r="N593" i="28"/>
  <c r="N594" i="28"/>
  <c r="N595" i="28"/>
  <c r="N596" i="28"/>
  <c r="N597" i="28"/>
  <c r="N598" i="28"/>
  <c r="N599" i="28"/>
  <c r="N600" i="28"/>
  <c r="N601" i="28"/>
  <c r="N602" i="28"/>
  <c r="N603" i="28"/>
  <c r="N604" i="28"/>
  <c r="N605" i="28"/>
  <c r="N606" i="28"/>
  <c r="N607" i="28"/>
  <c r="N608" i="28"/>
  <c r="N609" i="28"/>
  <c r="N610" i="28"/>
  <c r="N611" i="28"/>
  <c r="N612" i="28"/>
  <c r="N613" i="28"/>
  <c r="N614" i="28"/>
  <c r="N615" i="28"/>
  <c r="N616" i="28"/>
  <c r="N617" i="28"/>
  <c r="N618" i="28"/>
  <c r="N619" i="28"/>
  <c r="N620" i="28"/>
  <c r="N621" i="28"/>
  <c r="N622" i="28"/>
  <c r="N623" i="28"/>
  <c r="N624" i="28"/>
  <c r="N625" i="28"/>
  <c r="N626" i="28"/>
  <c r="N627" i="28"/>
  <c r="N628" i="28"/>
  <c r="N629" i="28"/>
  <c r="N630" i="28"/>
  <c r="N631" i="28"/>
  <c r="N632" i="28"/>
  <c r="N633" i="28"/>
  <c r="N634" i="28"/>
  <c r="N635" i="28"/>
  <c r="N636" i="28"/>
  <c r="N637" i="28"/>
  <c r="N638" i="28"/>
  <c r="N639" i="28"/>
  <c r="N640" i="28"/>
  <c r="N641" i="28"/>
  <c r="N642" i="28"/>
  <c r="N643" i="28"/>
  <c r="N644" i="28"/>
  <c r="N645" i="28"/>
  <c r="N646" i="28"/>
  <c r="N647" i="28"/>
  <c r="N648" i="28"/>
  <c r="N649" i="28"/>
  <c r="N650" i="28"/>
  <c r="N651" i="28"/>
  <c r="N652" i="28"/>
  <c r="N653" i="28"/>
  <c r="N654" i="28"/>
  <c r="N655" i="28"/>
  <c r="N656" i="28"/>
  <c r="N657" i="28"/>
  <c r="N658" i="28"/>
  <c r="N659" i="28"/>
  <c r="N660" i="28"/>
  <c r="N661" i="28"/>
  <c r="N662" i="28"/>
  <c r="N663" i="28"/>
  <c r="N664" i="28"/>
  <c r="N665" i="28"/>
  <c r="N666" i="28"/>
  <c r="N667" i="28"/>
  <c r="N668" i="28"/>
  <c r="N669" i="28"/>
  <c r="N670" i="28"/>
  <c r="N671" i="28"/>
  <c r="N672" i="28"/>
  <c r="N673" i="28"/>
  <c r="N674" i="28"/>
  <c r="N675" i="28"/>
  <c r="N676" i="28"/>
  <c r="N677" i="28"/>
  <c r="N678" i="28"/>
  <c r="N679" i="28"/>
  <c r="N680" i="28"/>
  <c r="N681" i="28"/>
  <c r="N682" i="28"/>
  <c r="N683" i="28"/>
  <c r="N684" i="28"/>
  <c r="N685" i="28"/>
  <c r="N686" i="28"/>
  <c r="N687" i="28"/>
  <c r="N688" i="28"/>
  <c r="N689" i="28"/>
  <c r="N690" i="28"/>
  <c r="N691" i="28"/>
  <c r="N692" i="28"/>
  <c r="N693" i="28"/>
  <c r="N694" i="28"/>
  <c r="N695" i="28"/>
  <c r="N696" i="28"/>
  <c r="N697" i="28"/>
  <c r="N698" i="28"/>
  <c r="N699" i="28"/>
  <c r="N700" i="28"/>
  <c r="N701" i="28"/>
  <c r="N702" i="28"/>
  <c r="N703" i="28"/>
  <c r="N704" i="28"/>
  <c r="N705" i="28"/>
  <c r="N706" i="28"/>
  <c r="N707" i="28"/>
  <c r="N708" i="28"/>
  <c r="N709" i="28"/>
  <c r="N710" i="28"/>
  <c r="N711" i="28"/>
  <c r="N712" i="28"/>
  <c r="N713" i="28"/>
  <c r="N714" i="28"/>
  <c r="N715" i="28"/>
  <c r="N716" i="28"/>
  <c r="N717" i="28"/>
  <c r="N718" i="28"/>
  <c r="N719" i="28"/>
  <c r="N720" i="28"/>
  <c r="N721" i="28"/>
  <c r="N722" i="28"/>
  <c r="N723" i="28"/>
  <c r="N724" i="28"/>
  <c r="N725" i="28"/>
  <c r="N726" i="28"/>
  <c r="N727" i="28"/>
  <c r="N728" i="28"/>
  <c r="N729" i="28"/>
  <c r="N730" i="28"/>
  <c r="N731" i="28"/>
  <c r="N732" i="28"/>
  <c r="N733" i="28"/>
  <c r="N734" i="28"/>
  <c r="N735" i="28"/>
  <c r="N736" i="28"/>
  <c r="N737" i="28"/>
  <c r="N738" i="28"/>
  <c r="N739" i="28"/>
  <c r="N740" i="28"/>
  <c r="N741" i="28"/>
  <c r="N742" i="28"/>
  <c r="N743" i="28"/>
  <c r="N744" i="28"/>
  <c r="N745" i="28"/>
  <c r="N746" i="28"/>
  <c r="N747" i="28"/>
  <c r="N748" i="28"/>
  <c r="N749" i="28"/>
  <c r="N750" i="28"/>
  <c r="N751" i="28"/>
  <c r="N752" i="28"/>
  <c r="N753" i="28"/>
  <c r="N754" i="28"/>
  <c r="N755" i="28"/>
  <c r="N756" i="28"/>
  <c r="N757" i="28"/>
  <c r="N758" i="28"/>
  <c r="N759" i="28"/>
  <c r="N760" i="28"/>
  <c r="N761" i="28"/>
  <c r="N762" i="28"/>
  <c r="N763" i="28"/>
  <c r="N764" i="28"/>
  <c r="N765" i="28"/>
  <c r="N766" i="28"/>
  <c r="N767" i="28"/>
  <c r="N768" i="28"/>
  <c r="N769" i="28"/>
  <c r="N770" i="28"/>
  <c r="N771" i="28"/>
  <c r="N772" i="28"/>
  <c r="N773" i="28"/>
  <c r="N774" i="28"/>
  <c r="N775" i="28"/>
  <c r="N776" i="28"/>
  <c r="N777" i="28"/>
  <c r="N778" i="28"/>
  <c r="N779" i="28"/>
  <c r="N780" i="28"/>
  <c r="N781" i="28"/>
  <c r="N782" i="28"/>
  <c r="N783" i="28"/>
  <c r="N784" i="28"/>
  <c r="N785" i="28"/>
  <c r="N786" i="28"/>
  <c r="N787" i="28"/>
  <c r="N788" i="28"/>
  <c r="N789" i="28"/>
  <c r="N790" i="28"/>
  <c r="N791" i="28"/>
  <c r="N792" i="28"/>
  <c r="N793" i="28"/>
  <c r="N794" i="28"/>
  <c r="N795" i="28"/>
  <c r="N796" i="28"/>
  <c r="N797" i="28"/>
  <c r="N798" i="28"/>
  <c r="N799" i="28"/>
  <c r="N800" i="28"/>
  <c r="N801" i="28"/>
  <c r="N802" i="28"/>
  <c r="N803" i="28"/>
  <c r="N804" i="28"/>
  <c r="N805" i="28"/>
  <c r="N806" i="28"/>
  <c r="N807" i="28"/>
  <c r="N808" i="28"/>
  <c r="N809" i="28"/>
  <c r="N810" i="28"/>
  <c r="N811" i="28"/>
  <c r="N812" i="28"/>
  <c r="N813" i="28"/>
  <c r="N814" i="28"/>
  <c r="N815" i="28"/>
  <c r="N816" i="28"/>
  <c r="N817" i="28"/>
  <c r="N818" i="28"/>
  <c r="N819" i="28"/>
  <c r="N820" i="28"/>
  <c r="N821" i="28"/>
  <c r="N822" i="28"/>
  <c r="N823" i="28"/>
  <c r="N824" i="28"/>
  <c r="N825" i="28"/>
  <c r="N826" i="28"/>
  <c r="N827" i="28"/>
  <c r="N828" i="28"/>
  <c r="N829" i="28"/>
  <c r="N830" i="28"/>
  <c r="N831" i="28"/>
  <c r="N832" i="28"/>
  <c r="N833" i="28"/>
  <c r="N834" i="28"/>
  <c r="N835" i="28"/>
  <c r="N836" i="28"/>
  <c r="N837" i="28"/>
  <c r="N838" i="28"/>
  <c r="N839" i="28"/>
  <c r="N840" i="28"/>
  <c r="N841" i="28"/>
  <c r="N842" i="28"/>
  <c r="N843" i="28"/>
  <c r="N844" i="28"/>
  <c r="N845" i="28"/>
  <c r="N846" i="28"/>
  <c r="N847" i="28"/>
  <c r="N848" i="28"/>
  <c r="N849" i="28"/>
  <c r="N850" i="28"/>
  <c r="N851" i="28"/>
  <c r="N852" i="28"/>
  <c r="N853" i="28"/>
  <c r="N854" i="28"/>
  <c r="N855" i="28"/>
  <c r="N856" i="28"/>
  <c r="N857" i="28"/>
  <c r="N858" i="28"/>
  <c r="N859" i="28"/>
  <c r="N860" i="28"/>
  <c r="N861" i="28"/>
  <c r="N862" i="28"/>
  <c r="N863" i="28"/>
  <c r="N864" i="28"/>
  <c r="N865" i="28"/>
  <c r="N866" i="28"/>
  <c r="N867" i="28"/>
  <c r="N868" i="28"/>
  <c r="N869" i="28"/>
  <c r="N870" i="28"/>
  <c r="N871" i="28"/>
  <c r="N872" i="28"/>
  <c r="N873" i="28"/>
  <c r="N874" i="28"/>
  <c r="N875" i="28"/>
  <c r="N876" i="28"/>
  <c r="N877" i="28"/>
  <c r="N878" i="28"/>
  <c r="N879" i="28"/>
  <c r="N880" i="28"/>
  <c r="N881" i="28"/>
  <c r="N882" i="28"/>
  <c r="N883" i="28"/>
  <c r="N884" i="28"/>
  <c r="N885" i="28"/>
  <c r="N886" i="28"/>
  <c r="N887" i="28"/>
  <c r="N888" i="28"/>
  <c r="N889" i="28"/>
  <c r="N890" i="28"/>
  <c r="N891" i="28"/>
  <c r="N892" i="28"/>
  <c r="N893" i="28"/>
  <c r="N894" i="28"/>
  <c r="N895" i="28"/>
  <c r="N896" i="28"/>
  <c r="N897" i="28"/>
  <c r="N898" i="28"/>
  <c r="N899" i="28"/>
  <c r="N900" i="28"/>
  <c r="N901" i="28"/>
  <c r="N902" i="28"/>
  <c r="N903" i="28"/>
  <c r="N904" i="28"/>
  <c r="N905" i="28"/>
  <c r="N906" i="28"/>
  <c r="N907" i="28"/>
  <c r="N908" i="28"/>
  <c r="N909" i="28"/>
  <c r="N910" i="28"/>
  <c r="N911" i="28"/>
  <c r="N912" i="28"/>
  <c r="N913" i="28"/>
  <c r="N914" i="28"/>
  <c r="N915" i="28"/>
  <c r="N916" i="28"/>
  <c r="N917" i="28"/>
  <c r="N918" i="28"/>
  <c r="N919" i="28"/>
  <c r="N920" i="28"/>
  <c r="N921" i="28"/>
  <c r="N922" i="28"/>
  <c r="N923" i="28"/>
  <c r="N924" i="28"/>
  <c r="N925" i="28"/>
  <c r="N926" i="28"/>
  <c r="N927" i="28"/>
  <c r="N928" i="28"/>
  <c r="N929" i="28"/>
  <c r="N930" i="28"/>
  <c r="N931" i="28"/>
  <c r="N932" i="28"/>
  <c r="N933" i="28"/>
  <c r="N934" i="28"/>
  <c r="N935" i="28"/>
  <c r="N936" i="28"/>
  <c r="N937" i="28"/>
  <c r="N938" i="28"/>
  <c r="N939" i="28"/>
  <c r="N940" i="28"/>
  <c r="N941" i="28"/>
  <c r="N942" i="28"/>
  <c r="N943" i="28"/>
  <c r="N944" i="28"/>
  <c r="N945" i="28"/>
  <c r="N946" i="28"/>
  <c r="N947" i="28"/>
  <c r="N948" i="28"/>
  <c r="N949" i="28"/>
  <c r="N950" i="28"/>
  <c r="N951" i="28"/>
  <c r="N952" i="28"/>
  <c r="N953" i="28"/>
  <c r="N954" i="28"/>
  <c r="N955" i="28"/>
  <c r="N956" i="28"/>
  <c r="N957" i="28"/>
  <c r="N958" i="28"/>
  <c r="N959" i="28"/>
  <c r="N960" i="28"/>
  <c r="N961" i="28"/>
  <c r="N962" i="28"/>
  <c r="N963" i="28"/>
  <c r="N964" i="28"/>
  <c r="N965" i="28"/>
  <c r="N966" i="28"/>
  <c r="N967" i="28"/>
  <c r="N968" i="28"/>
  <c r="N969" i="28"/>
  <c r="N970" i="28"/>
  <c r="N971" i="28"/>
  <c r="N972" i="28"/>
  <c r="N973" i="28"/>
  <c r="N974" i="28"/>
  <c r="N975" i="28"/>
  <c r="N976" i="28"/>
  <c r="N977" i="28"/>
  <c r="N978" i="28"/>
  <c r="N979" i="28"/>
  <c r="N980" i="28"/>
  <c r="N981" i="28"/>
  <c r="N982" i="28"/>
  <c r="N983" i="28"/>
  <c r="N984" i="28"/>
  <c r="N985" i="28"/>
  <c r="N986" i="28"/>
  <c r="N987" i="28"/>
  <c r="N988" i="28"/>
  <c r="N989" i="28"/>
  <c r="N990" i="28"/>
  <c r="N991" i="28"/>
  <c r="N992" i="28"/>
  <c r="N993" i="28"/>
  <c r="N994" i="28"/>
  <c r="N995" i="28"/>
  <c r="N996" i="28"/>
  <c r="N997" i="28"/>
  <c r="N998" i="28"/>
  <c r="N999" i="28"/>
  <c r="N1000" i="28"/>
  <c r="N1001" i="28"/>
  <c r="M2" i="28"/>
  <c r="M3" i="28"/>
  <c r="M4" i="28"/>
  <c r="M5" i="28"/>
  <c r="M6" i="28"/>
  <c r="M7" i="28"/>
  <c r="M8" i="28"/>
  <c r="M9" i="28"/>
  <c r="M10" i="28"/>
  <c r="M11" i="28"/>
  <c r="M12" i="28"/>
  <c r="M13" i="28"/>
  <c r="M14" i="28"/>
  <c r="M15" i="28"/>
  <c r="M16" i="28"/>
  <c r="M17" i="28"/>
  <c r="M18" i="28"/>
  <c r="M19" i="28"/>
  <c r="M20" i="28"/>
  <c r="M21" i="28"/>
  <c r="M22" i="28"/>
  <c r="M23" i="28"/>
  <c r="M24" i="28"/>
  <c r="M25" i="28"/>
  <c r="M26" i="28"/>
  <c r="M27" i="28"/>
  <c r="M28" i="28"/>
  <c r="M29" i="28"/>
  <c r="M30" i="28"/>
  <c r="M31" i="28"/>
  <c r="M32" i="28"/>
  <c r="M33" i="28"/>
  <c r="M34" i="28"/>
  <c r="M35" i="28"/>
  <c r="M36" i="28"/>
  <c r="M37" i="28"/>
  <c r="M38" i="28"/>
  <c r="M39" i="28"/>
  <c r="M40" i="28"/>
  <c r="M41" i="28"/>
  <c r="M42" i="28"/>
  <c r="M43" i="28"/>
  <c r="M44" i="28"/>
  <c r="M45" i="28"/>
  <c r="M46" i="28"/>
  <c r="M47" i="28"/>
  <c r="M48" i="28"/>
  <c r="M49" i="28"/>
  <c r="M50" i="28"/>
  <c r="M51" i="28"/>
  <c r="M52" i="28"/>
  <c r="M53" i="28"/>
  <c r="M54" i="28"/>
  <c r="M55" i="28"/>
  <c r="M56" i="28"/>
  <c r="M57" i="28"/>
  <c r="M58" i="28"/>
  <c r="M59" i="28"/>
  <c r="M60" i="28"/>
  <c r="M61" i="28"/>
  <c r="M62" i="28"/>
  <c r="M63" i="28"/>
  <c r="M64" i="28"/>
  <c r="M65" i="28"/>
  <c r="M66" i="28"/>
  <c r="M67" i="28"/>
  <c r="M68" i="28"/>
  <c r="M69" i="28"/>
  <c r="M70" i="28"/>
  <c r="M71" i="28"/>
  <c r="M72" i="28"/>
  <c r="M73" i="28"/>
  <c r="M74" i="28"/>
  <c r="M75" i="28"/>
  <c r="M76" i="28"/>
  <c r="M77" i="28"/>
  <c r="M78" i="28"/>
  <c r="M79" i="28"/>
  <c r="M80" i="28"/>
  <c r="M81" i="28"/>
  <c r="M82" i="28"/>
  <c r="M83" i="28"/>
  <c r="M84" i="28"/>
  <c r="M85" i="28"/>
  <c r="M86" i="28"/>
  <c r="M87" i="28"/>
  <c r="M88" i="28"/>
  <c r="M89" i="28"/>
  <c r="M90" i="28"/>
  <c r="M91" i="28"/>
  <c r="M92" i="28"/>
  <c r="M93" i="28"/>
  <c r="M94" i="28"/>
  <c r="M95" i="28"/>
  <c r="M96" i="28"/>
  <c r="M97" i="28"/>
  <c r="M98" i="28"/>
  <c r="M99" i="28"/>
  <c r="M100" i="28"/>
  <c r="M101" i="28"/>
  <c r="M102" i="28"/>
  <c r="M103" i="28"/>
  <c r="M104" i="28"/>
  <c r="M105" i="28"/>
  <c r="M106" i="28"/>
  <c r="M107" i="28"/>
  <c r="M108" i="28"/>
  <c r="M109" i="28"/>
  <c r="M110" i="28"/>
  <c r="M111" i="28"/>
  <c r="M112" i="28"/>
  <c r="M113" i="28"/>
  <c r="M114" i="28"/>
  <c r="M115" i="28"/>
  <c r="M116" i="28"/>
  <c r="M117" i="28"/>
  <c r="M118" i="28"/>
  <c r="M119" i="28"/>
  <c r="M120" i="28"/>
  <c r="M121" i="28"/>
  <c r="M122" i="28"/>
  <c r="M123" i="28"/>
  <c r="M124" i="28"/>
  <c r="M125" i="28"/>
  <c r="M126" i="28"/>
  <c r="M127" i="28"/>
  <c r="M128" i="28"/>
  <c r="M129" i="28"/>
  <c r="M130" i="28"/>
  <c r="M131" i="28"/>
  <c r="M132" i="28"/>
  <c r="M133" i="28"/>
  <c r="M134" i="28"/>
  <c r="M135" i="28"/>
  <c r="M136" i="28"/>
  <c r="M137" i="28"/>
  <c r="M138" i="28"/>
  <c r="M139" i="28"/>
  <c r="M140" i="28"/>
  <c r="M141" i="28"/>
  <c r="M142" i="28"/>
  <c r="M143" i="28"/>
  <c r="M144" i="28"/>
  <c r="M145" i="28"/>
  <c r="M146" i="28"/>
  <c r="M147" i="28"/>
  <c r="M148" i="28"/>
  <c r="M149" i="28"/>
  <c r="M150" i="28"/>
  <c r="M151" i="28"/>
  <c r="M152" i="28"/>
  <c r="M153" i="28"/>
  <c r="M154" i="28"/>
  <c r="M155" i="28"/>
  <c r="M156" i="28"/>
  <c r="M157" i="28"/>
  <c r="M158" i="28"/>
  <c r="M159" i="28"/>
  <c r="M160" i="28"/>
  <c r="M161" i="28"/>
  <c r="M162" i="28"/>
  <c r="M163" i="28"/>
  <c r="M164" i="28"/>
  <c r="M165" i="28"/>
  <c r="M166" i="28"/>
  <c r="M167" i="28"/>
  <c r="M168" i="28"/>
  <c r="M169" i="28"/>
  <c r="M170" i="28"/>
  <c r="M171" i="28"/>
  <c r="M172" i="28"/>
  <c r="M173" i="28"/>
  <c r="M174" i="28"/>
  <c r="M175" i="28"/>
  <c r="M176" i="28"/>
  <c r="M177" i="28"/>
  <c r="M178" i="28"/>
  <c r="M179" i="28"/>
  <c r="M180" i="28"/>
  <c r="M181" i="28"/>
  <c r="M182" i="28"/>
  <c r="M183" i="28"/>
  <c r="M184" i="28"/>
  <c r="M185" i="28"/>
  <c r="M186" i="28"/>
  <c r="M187" i="28"/>
  <c r="M188" i="28"/>
  <c r="M189" i="28"/>
  <c r="M190" i="28"/>
  <c r="M191" i="28"/>
  <c r="M192" i="28"/>
  <c r="M193" i="28"/>
  <c r="M194" i="28"/>
  <c r="M195" i="28"/>
  <c r="M196" i="28"/>
  <c r="M197" i="28"/>
  <c r="M198" i="28"/>
  <c r="M199" i="28"/>
  <c r="M200" i="28"/>
  <c r="M201" i="28"/>
  <c r="M202" i="28"/>
  <c r="M203" i="28"/>
  <c r="M204" i="28"/>
  <c r="M205" i="28"/>
  <c r="M206" i="28"/>
  <c r="M207" i="28"/>
  <c r="M208" i="28"/>
  <c r="M209" i="28"/>
  <c r="M210" i="28"/>
  <c r="M211" i="28"/>
  <c r="M212" i="28"/>
  <c r="M213" i="28"/>
  <c r="M214" i="28"/>
  <c r="M215" i="28"/>
  <c r="M216" i="28"/>
  <c r="M217" i="28"/>
  <c r="M218" i="28"/>
  <c r="M219" i="28"/>
  <c r="M220" i="28"/>
  <c r="M221" i="28"/>
  <c r="M222" i="28"/>
  <c r="M223" i="28"/>
  <c r="M224" i="28"/>
  <c r="M225" i="28"/>
  <c r="M226" i="28"/>
  <c r="M227" i="28"/>
  <c r="M228" i="28"/>
  <c r="M229" i="28"/>
  <c r="M230" i="28"/>
  <c r="M231" i="28"/>
  <c r="M232" i="28"/>
  <c r="M233" i="28"/>
  <c r="M234" i="28"/>
  <c r="M235" i="28"/>
  <c r="M236" i="28"/>
  <c r="M237" i="28"/>
  <c r="M238" i="28"/>
  <c r="M239" i="28"/>
  <c r="M240" i="28"/>
  <c r="M241" i="28"/>
  <c r="M242" i="28"/>
  <c r="M243" i="28"/>
  <c r="M244" i="28"/>
  <c r="M245" i="28"/>
  <c r="M246" i="28"/>
  <c r="M247" i="28"/>
  <c r="M248" i="28"/>
  <c r="M249" i="28"/>
  <c r="M250" i="28"/>
  <c r="M251" i="28"/>
  <c r="M252" i="28"/>
  <c r="M253" i="28"/>
  <c r="M254" i="28"/>
  <c r="M255" i="28"/>
  <c r="M256" i="28"/>
  <c r="M257" i="28"/>
  <c r="M258" i="28"/>
  <c r="M259" i="28"/>
  <c r="M260" i="28"/>
  <c r="M261" i="28"/>
  <c r="M262" i="28"/>
  <c r="M263" i="28"/>
  <c r="M264" i="28"/>
  <c r="M265" i="28"/>
  <c r="M266" i="28"/>
  <c r="M267" i="28"/>
  <c r="M268" i="28"/>
  <c r="M269" i="28"/>
  <c r="M270" i="28"/>
  <c r="M271" i="28"/>
  <c r="M272" i="28"/>
  <c r="M273" i="28"/>
  <c r="M274" i="28"/>
  <c r="M275" i="28"/>
  <c r="M276" i="28"/>
  <c r="M277" i="28"/>
  <c r="M278" i="28"/>
  <c r="M279" i="28"/>
  <c r="M280" i="28"/>
  <c r="M281" i="28"/>
  <c r="M282" i="28"/>
  <c r="M283" i="28"/>
  <c r="M284" i="28"/>
  <c r="M285" i="28"/>
  <c r="M286" i="28"/>
  <c r="M287" i="28"/>
  <c r="M288" i="28"/>
  <c r="M289" i="28"/>
  <c r="M290" i="28"/>
  <c r="M291" i="28"/>
  <c r="M292" i="28"/>
  <c r="M293" i="28"/>
  <c r="M294" i="28"/>
  <c r="M295" i="28"/>
  <c r="M296" i="28"/>
  <c r="M297" i="28"/>
  <c r="M298" i="28"/>
  <c r="M299" i="28"/>
  <c r="M300" i="28"/>
  <c r="M301" i="28"/>
  <c r="M302" i="28"/>
  <c r="M303" i="28"/>
  <c r="M304" i="28"/>
  <c r="M305" i="28"/>
  <c r="M306" i="28"/>
  <c r="M307" i="28"/>
  <c r="M308" i="28"/>
  <c r="M309" i="28"/>
  <c r="M310" i="28"/>
  <c r="M311" i="28"/>
  <c r="M312" i="28"/>
  <c r="M313" i="28"/>
  <c r="M314" i="28"/>
  <c r="M315" i="28"/>
  <c r="M316" i="28"/>
  <c r="M317" i="28"/>
  <c r="M318" i="28"/>
  <c r="M319" i="28"/>
  <c r="M320" i="28"/>
  <c r="M321" i="28"/>
  <c r="M322" i="28"/>
  <c r="M323" i="28"/>
  <c r="M324" i="28"/>
  <c r="M325" i="28"/>
  <c r="M326" i="28"/>
  <c r="M327" i="28"/>
  <c r="M328" i="28"/>
  <c r="M329" i="28"/>
  <c r="M330" i="28"/>
  <c r="M331" i="28"/>
  <c r="M332" i="28"/>
  <c r="M333" i="28"/>
  <c r="M334" i="28"/>
  <c r="M335" i="28"/>
  <c r="M336" i="28"/>
  <c r="M337" i="28"/>
  <c r="M338" i="28"/>
  <c r="M339" i="28"/>
  <c r="M340" i="28"/>
  <c r="M341" i="28"/>
  <c r="M342" i="28"/>
  <c r="M343" i="28"/>
  <c r="M344" i="28"/>
  <c r="M345" i="28"/>
  <c r="M346" i="28"/>
  <c r="M347" i="28"/>
  <c r="M348" i="28"/>
  <c r="M349" i="28"/>
  <c r="M350" i="28"/>
  <c r="M351" i="28"/>
  <c r="M352" i="28"/>
  <c r="M353" i="28"/>
  <c r="M354" i="28"/>
  <c r="M355" i="28"/>
  <c r="M356" i="28"/>
  <c r="M357" i="28"/>
  <c r="M358" i="28"/>
  <c r="M359" i="28"/>
  <c r="M360" i="28"/>
  <c r="M361" i="28"/>
  <c r="M362" i="28"/>
  <c r="M363" i="28"/>
  <c r="M364" i="28"/>
  <c r="M365" i="28"/>
  <c r="M366" i="28"/>
  <c r="M367" i="28"/>
  <c r="M368" i="28"/>
  <c r="M369" i="28"/>
  <c r="M370" i="28"/>
  <c r="M371" i="28"/>
  <c r="M372" i="28"/>
  <c r="M373" i="28"/>
  <c r="M374" i="28"/>
  <c r="M375" i="28"/>
  <c r="M376" i="28"/>
  <c r="M377" i="28"/>
  <c r="M378" i="28"/>
  <c r="M379" i="28"/>
  <c r="M380" i="28"/>
  <c r="M381" i="28"/>
  <c r="M382" i="28"/>
  <c r="M383" i="28"/>
  <c r="M384" i="28"/>
  <c r="M385" i="28"/>
  <c r="M386" i="28"/>
  <c r="M387" i="28"/>
  <c r="M388" i="28"/>
  <c r="M389" i="28"/>
  <c r="M390" i="28"/>
  <c r="M391" i="28"/>
  <c r="M392" i="28"/>
  <c r="M393" i="28"/>
  <c r="M394" i="28"/>
  <c r="M395" i="28"/>
  <c r="M396" i="28"/>
  <c r="M397" i="28"/>
  <c r="M398" i="28"/>
  <c r="M399" i="28"/>
  <c r="M400" i="28"/>
  <c r="M401" i="28"/>
  <c r="M402" i="28"/>
  <c r="M403" i="28"/>
  <c r="M404" i="28"/>
  <c r="M405" i="28"/>
  <c r="M406" i="28"/>
  <c r="M407" i="28"/>
  <c r="M408" i="28"/>
  <c r="M409" i="28"/>
  <c r="M410" i="28"/>
  <c r="M411" i="28"/>
  <c r="M412" i="28"/>
  <c r="M413" i="28"/>
  <c r="M414" i="28"/>
  <c r="M415" i="28"/>
  <c r="M416" i="28"/>
  <c r="M417" i="28"/>
  <c r="M418" i="28"/>
  <c r="M419" i="28"/>
  <c r="M420" i="28"/>
  <c r="M421" i="28"/>
  <c r="M422" i="28"/>
  <c r="M423" i="28"/>
  <c r="M424" i="28"/>
  <c r="M425" i="28"/>
  <c r="M426" i="28"/>
  <c r="M427" i="28"/>
  <c r="M428" i="28"/>
  <c r="M429" i="28"/>
  <c r="M430" i="28"/>
  <c r="M431" i="28"/>
  <c r="M432" i="28"/>
  <c r="M433" i="28"/>
  <c r="M434" i="28"/>
  <c r="M435" i="28"/>
  <c r="M436" i="28"/>
  <c r="M437" i="28"/>
  <c r="M438" i="28"/>
  <c r="M439" i="28"/>
  <c r="M440" i="28"/>
  <c r="M441" i="28"/>
  <c r="M442" i="28"/>
  <c r="M443" i="28"/>
  <c r="M444" i="28"/>
  <c r="M445" i="28"/>
  <c r="M446" i="28"/>
  <c r="M447" i="28"/>
  <c r="M448" i="28"/>
  <c r="M449" i="28"/>
  <c r="M450" i="28"/>
  <c r="M451" i="28"/>
  <c r="M452" i="28"/>
  <c r="M453" i="28"/>
  <c r="M454" i="28"/>
  <c r="M455" i="28"/>
  <c r="M456" i="28"/>
  <c r="M457" i="28"/>
  <c r="M458" i="28"/>
  <c r="M459" i="28"/>
  <c r="M460" i="28"/>
  <c r="M461" i="28"/>
  <c r="M462" i="28"/>
  <c r="M463" i="28"/>
  <c r="M464" i="28"/>
  <c r="M465" i="28"/>
  <c r="M466" i="28"/>
  <c r="M467" i="28"/>
  <c r="M468" i="28"/>
  <c r="M469" i="28"/>
  <c r="M470" i="28"/>
  <c r="M471" i="28"/>
  <c r="M472" i="28"/>
  <c r="M473" i="28"/>
  <c r="M474" i="28"/>
  <c r="M475" i="28"/>
  <c r="M476" i="28"/>
  <c r="M477" i="28"/>
  <c r="M478" i="28"/>
  <c r="M479" i="28"/>
  <c r="M480" i="28"/>
  <c r="M481" i="28"/>
  <c r="M482" i="28"/>
  <c r="M483" i="28"/>
  <c r="M484" i="28"/>
  <c r="M485" i="28"/>
  <c r="M486" i="28"/>
  <c r="M487" i="28"/>
  <c r="M488" i="28"/>
  <c r="M489" i="28"/>
  <c r="M490" i="28"/>
  <c r="M491" i="28"/>
  <c r="M492" i="28"/>
  <c r="M493" i="28"/>
  <c r="M494" i="28"/>
  <c r="M495" i="28"/>
  <c r="M496" i="28"/>
  <c r="M497" i="28"/>
  <c r="M498" i="28"/>
  <c r="M499" i="28"/>
  <c r="M500" i="28"/>
  <c r="M501" i="28"/>
  <c r="M502" i="28"/>
  <c r="M503" i="28"/>
  <c r="M504" i="28"/>
  <c r="M505" i="28"/>
  <c r="M506" i="28"/>
  <c r="M507" i="28"/>
  <c r="M508" i="28"/>
  <c r="M509" i="28"/>
  <c r="M510" i="28"/>
  <c r="M511" i="28"/>
  <c r="M512" i="28"/>
  <c r="M513" i="28"/>
  <c r="M514" i="28"/>
  <c r="M515" i="28"/>
  <c r="M516" i="28"/>
  <c r="M517" i="28"/>
  <c r="M518" i="28"/>
  <c r="M519" i="28"/>
  <c r="M520" i="28"/>
  <c r="M521" i="28"/>
  <c r="M522" i="28"/>
  <c r="M523" i="28"/>
  <c r="M524" i="28"/>
  <c r="M525" i="28"/>
  <c r="M526" i="28"/>
  <c r="M527" i="28"/>
  <c r="M528" i="28"/>
  <c r="M529" i="28"/>
  <c r="M530" i="28"/>
  <c r="M531" i="28"/>
  <c r="M532" i="28"/>
  <c r="M533" i="28"/>
  <c r="M534" i="28"/>
  <c r="M535" i="28"/>
  <c r="M536" i="28"/>
  <c r="M537" i="28"/>
  <c r="M538" i="28"/>
  <c r="M539" i="28"/>
  <c r="M540" i="28"/>
  <c r="M541" i="28"/>
  <c r="M542" i="28"/>
  <c r="M543" i="28"/>
  <c r="M544" i="28"/>
  <c r="M545" i="28"/>
  <c r="M546" i="28"/>
  <c r="M547" i="28"/>
  <c r="M548" i="28"/>
  <c r="M549" i="28"/>
  <c r="M550" i="28"/>
  <c r="M551" i="28"/>
  <c r="M552" i="28"/>
  <c r="M553" i="28"/>
  <c r="M554" i="28"/>
  <c r="M555" i="28"/>
  <c r="M556" i="28"/>
  <c r="M557" i="28"/>
  <c r="M558" i="28"/>
  <c r="M559" i="28"/>
  <c r="M560" i="28"/>
  <c r="M561" i="28"/>
  <c r="M562" i="28"/>
  <c r="M563" i="28"/>
  <c r="M564" i="28"/>
  <c r="M565" i="28"/>
  <c r="M566" i="28"/>
  <c r="M567" i="28"/>
  <c r="M568" i="28"/>
  <c r="M569" i="28"/>
  <c r="M570" i="28"/>
  <c r="M571" i="28"/>
  <c r="M572" i="28"/>
  <c r="M573" i="28"/>
  <c r="M574" i="28"/>
  <c r="M575" i="28"/>
  <c r="M576" i="28"/>
  <c r="M577" i="28"/>
  <c r="M578" i="28"/>
  <c r="M579" i="28"/>
  <c r="M580" i="28"/>
  <c r="M581" i="28"/>
  <c r="M582" i="28"/>
  <c r="M583" i="28"/>
  <c r="M584" i="28"/>
  <c r="M585" i="28"/>
  <c r="M586" i="28"/>
  <c r="M587" i="28"/>
  <c r="M588" i="28"/>
  <c r="M589" i="28"/>
  <c r="M590" i="28"/>
  <c r="M591" i="28"/>
  <c r="M592" i="28"/>
  <c r="M593" i="28"/>
  <c r="M594" i="28"/>
  <c r="M595" i="28"/>
  <c r="M596" i="28"/>
  <c r="M597" i="28"/>
  <c r="M598" i="28"/>
  <c r="M599" i="28"/>
  <c r="M600" i="28"/>
  <c r="M601" i="28"/>
  <c r="M602" i="28"/>
  <c r="M603" i="28"/>
  <c r="M604" i="28"/>
  <c r="M605" i="28"/>
  <c r="M606" i="28"/>
  <c r="M607" i="28"/>
  <c r="M608" i="28"/>
  <c r="M609" i="28"/>
  <c r="M610" i="28"/>
  <c r="M611" i="28"/>
  <c r="M612" i="28"/>
  <c r="M613" i="28"/>
  <c r="M614" i="28"/>
  <c r="M615" i="28"/>
  <c r="M616" i="28"/>
  <c r="M617" i="28"/>
  <c r="M618" i="28"/>
  <c r="M619" i="28"/>
  <c r="M620" i="28"/>
  <c r="M621" i="28"/>
  <c r="M622" i="28"/>
  <c r="M623" i="28"/>
  <c r="M624" i="28"/>
  <c r="M625" i="28"/>
  <c r="M626" i="28"/>
  <c r="M627" i="28"/>
  <c r="M628" i="28"/>
  <c r="M629" i="28"/>
  <c r="M630" i="28"/>
  <c r="M631" i="28"/>
  <c r="M632" i="28"/>
  <c r="M633" i="28"/>
  <c r="M634" i="28"/>
  <c r="M635" i="28"/>
  <c r="M636" i="28"/>
  <c r="M637" i="28"/>
  <c r="M638" i="28"/>
  <c r="M639" i="28"/>
  <c r="M640" i="28"/>
  <c r="M641" i="28"/>
  <c r="M642" i="28"/>
  <c r="M643" i="28"/>
  <c r="M644" i="28"/>
  <c r="M645" i="28"/>
  <c r="M646" i="28"/>
  <c r="M647" i="28"/>
  <c r="M648" i="28"/>
  <c r="M649" i="28"/>
  <c r="M650" i="28"/>
  <c r="M651" i="28"/>
  <c r="M652" i="28"/>
  <c r="M653" i="28"/>
  <c r="M654" i="28"/>
  <c r="M655" i="28"/>
  <c r="M656" i="28"/>
  <c r="M657" i="28"/>
  <c r="M658" i="28"/>
  <c r="M659" i="28"/>
  <c r="M660" i="28"/>
  <c r="M661" i="28"/>
  <c r="M662" i="28"/>
  <c r="M663" i="28"/>
  <c r="M664" i="28"/>
  <c r="M665" i="28"/>
  <c r="M666" i="28"/>
  <c r="M667" i="28"/>
  <c r="M668" i="28"/>
  <c r="M669" i="28"/>
  <c r="M670" i="28"/>
  <c r="M671" i="28"/>
  <c r="M672" i="28"/>
  <c r="M673" i="28"/>
  <c r="M674" i="28"/>
  <c r="M675" i="28"/>
  <c r="M676" i="28"/>
  <c r="M677" i="28"/>
  <c r="M678" i="28"/>
  <c r="M679" i="28"/>
  <c r="M680" i="28"/>
  <c r="M681" i="28"/>
  <c r="M682" i="28"/>
  <c r="M683" i="28"/>
  <c r="M684" i="28"/>
  <c r="M685" i="28"/>
  <c r="M686" i="28"/>
  <c r="M687" i="28"/>
  <c r="M688" i="28"/>
  <c r="M689" i="28"/>
  <c r="M690" i="28"/>
  <c r="M691" i="28"/>
  <c r="M692" i="28"/>
  <c r="M693" i="28"/>
  <c r="M694" i="28"/>
  <c r="M695" i="28"/>
  <c r="M696" i="28"/>
  <c r="M697" i="28"/>
  <c r="M698" i="28"/>
  <c r="M699" i="28"/>
  <c r="M700" i="28"/>
  <c r="M701" i="28"/>
  <c r="M702" i="28"/>
  <c r="M703" i="28"/>
  <c r="M704" i="28"/>
  <c r="M705" i="28"/>
  <c r="M706" i="28"/>
  <c r="M707" i="28"/>
  <c r="M708" i="28"/>
  <c r="M709" i="28"/>
  <c r="M710" i="28"/>
  <c r="M711" i="28"/>
  <c r="M712" i="28"/>
  <c r="M713" i="28"/>
  <c r="M714" i="28"/>
  <c r="M715" i="28"/>
  <c r="M716" i="28"/>
  <c r="M717" i="28"/>
  <c r="M718" i="28"/>
  <c r="M719" i="28"/>
  <c r="M720" i="28"/>
  <c r="M721" i="28"/>
  <c r="M722" i="28"/>
  <c r="M723" i="28"/>
  <c r="M724" i="28"/>
  <c r="M725" i="28"/>
  <c r="M726" i="28"/>
  <c r="M727" i="28"/>
  <c r="M728" i="28"/>
  <c r="M729" i="28"/>
  <c r="M730" i="28"/>
  <c r="M731" i="28"/>
  <c r="M732" i="28"/>
  <c r="M733" i="28"/>
  <c r="M734" i="28"/>
  <c r="M735" i="28"/>
  <c r="M736" i="28"/>
  <c r="M737" i="28"/>
  <c r="M738" i="28"/>
  <c r="M739" i="28"/>
  <c r="M740" i="28"/>
  <c r="M741" i="28"/>
  <c r="M742" i="28"/>
  <c r="M743" i="28"/>
  <c r="M744" i="28"/>
  <c r="M745" i="28"/>
  <c r="M746" i="28"/>
  <c r="M747" i="28"/>
  <c r="M748" i="28"/>
  <c r="M749" i="28"/>
  <c r="M750" i="28"/>
  <c r="M751" i="28"/>
  <c r="M752" i="28"/>
  <c r="M753" i="28"/>
  <c r="M754" i="28"/>
  <c r="M755" i="28"/>
  <c r="M756" i="28"/>
  <c r="M757" i="28"/>
  <c r="M758" i="28"/>
  <c r="M759" i="28"/>
  <c r="M760" i="28"/>
  <c r="M761" i="28"/>
  <c r="M762" i="28"/>
  <c r="M763" i="28"/>
  <c r="M764" i="28"/>
  <c r="M765" i="28"/>
  <c r="M766" i="28"/>
  <c r="M767" i="28"/>
  <c r="M768" i="28"/>
  <c r="M769" i="28"/>
  <c r="M770" i="28"/>
  <c r="M771" i="28"/>
  <c r="M772" i="28"/>
  <c r="M773" i="28"/>
  <c r="M774" i="28"/>
  <c r="M775" i="28"/>
  <c r="M776" i="28"/>
  <c r="M777" i="28"/>
  <c r="M778" i="28"/>
  <c r="M779" i="28"/>
  <c r="M780" i="28"/>
  <c r="M781" i="28"/>
  <c r="M782" i="28"/>
  <c r="M783" i="28"/>
  <c r="M784" i="28"/>
  <c r="M785" i="28"/>
  <c r="M786" i="28"/>
  <c r="M787" i="28"/>
  <c r="M788" i="28"/>
  <c r="M789" i="28"/>
  <c r="M790" i="28"/>
  <c r="M791" i="28"/>
  <c r="M792" i="28"/>
  <c r="M793" i="28"/>
  <c r="M794" i="28"/>
  <c r="M795" i="28"/>
  <c r="M796" i="28"/>
  <c r="M797" i="28"/>
  <c r="M798" i="28"/>
  <c r="M799" i="28"/>
  <c r="M800" i="28"/>
  <c r="M801" i="28"/>
  <c r="M802" i="28"/>
  <c r="M803" i="28"/>
  <c r="M804" i="28"/>
  <c r="M805" i="28"/>
  <c r="M806" i="28"/>
  <c r="M807" i="28"/>
  <c r="M808" i="28"/>
  <c r="M809" i="28"/>
  <c r="M810" i="28"/>
  <c r="M811" i="28"/>
  <c r="M812" i="28"/>
  <c r="M813" i="28"/>
  <c r="M814" i="28"/>
  <c r="M815" i="28"/>
  <c r="M816" i="28"/>
  <c r="M817" i="28"/>
  <c r="M818" i="28"/>
  <c r="M819" i="28"/>
  <c r="M820" i="28"/>
  <c r="M821" i="28"/>
  <c r="M822" i="28"/>
  <c r="M823" i="28"/>
  <c r="M824" i="28"/>
  <c r="M825" i="28"/>
  <c r="M826" i="28"/>
  <c r="M827" i="28"/>
  <c r="M828" i="28"/>
  <c r="M829" i="28"/>
  <c r="M830" i="28"/>
  <c r="M831" i="28"/>
  <c r="M832" i="28"/>
  <c r="M833" i="28"/>
  <c r="M834" i="28"/>
  <c r="M835" i="28"/>
  <c r="M836" i="28"/>
  <c r="M837" i="28"/>
  <c r="M838" i="28"/>
  <c r="M839" i="28"/>
  <c r="M840" i="28"/>
  <c r="M841" i="28"/>
  <c r="M842" i="28"/>
  <c r="M843" i="28"/>
  <c r="M844" i="28"/>
  <c r="M845" i="28"/>
  <c r="M846" i="28"/>
  <c r="M847" i="28"/>
  <c r="M848" i="28"/>
  <c r="M849" i="28"/>
  <c r="M850" i="28"/>
  <c r="M851" i="28"/>
  <c r="M852" i="28"/>
  <c r="M853" i="28"/>
  <c r="M854" i="28"/>
  <c r="M855" i="28"/>
  <c r="M856" i="28"/>
  <c r="M857" i="28"/>
  <c r="M858" i="28"/>
  <c r="M859" i="28"/>
  <c r="M860" i="28"/>
  <c r="M861" i="28"/>
  <c r="M862" i="28"/>
  <c r="M863" i="28"/>
  <c r="M864" i="28"/>
  <c r="M865" i="28"/>
  <c r="M866" i="28"/>
  <c r="M867" i="28"/>
  <c r="M868" i="28"/>
  <c r="M869" i="28"/>
  <c r="M870" i="28"/>
  <c r="M871" i="28"/>
  <c r="M872" i="28"/>
  <c r="M873" i="28"/>
  <c r="M874" i="28"/>
  <c r="M875" i="28"/>
  <c r="M876" i="28"/>
  <c r="M877" i="28"/>
  <c r="M878" i="28"/>
  <c r="M879" i="28"/>
  <c r="M880" i="28"/>
  <c r="M881" i="28"/>
  <c r="M882" i="28"/>
  <c r="M883" i="28"/>
  <c r="M884" i="28"/>
  <c r="M885" i="28"/>
  <c r="M886" i="28"/>
  <c r="M887" i="28"/>
  <c r="M888" i="28"/>
  <c r="M889" i="28"/>
  <c r="M890" i="28"/>
  <c r="M891" i="28"/>
  <c r="M892" i="28"/>
  <c r="M893" i="28"/>
  <c r="M894" i="28"/>
  <c r="M895" i="28"/>
  <c r="M896" i="28"/>
  <c r="M897" i="28"/>
  <c r="M898" i="28"/>
  <c r="M899" i="28"/>
  <c r="M900" i="28"/>
  <c r="M901" i="28"/>
  <c r="M902" i="28"/>
  <c r="M903" i="28"/>
  <c r="M904" i="28"/>
  <c r="M905" i="28"/>
  <c r="M906" i="28"/>
  <c r="M907" i="28"/>
  <c r="M908" i="28"/>
  <c r="M909" i="28"/>
  <c r="M910" i="28"/>
  <c r="M911" i="28"/>
  <c r="M912" i="28"/>
  <c r="M913" i="28"/>
  <c r="M914" i="28"/>
  <c r="M915" i="28"/>
  <c r="M916" i="28"/>
  <c r="M917" i="28"/>
  <c r="M918" i="28"/>
  <c r="M919" i="28"/>
  <c r="M920" i="28"/>
  <c r="M921" i="28"/>
  <c r="M922" i="28"/>
  <c r="M923" i="28"/>
  <c r="M924" i="28"/>
  <c r="M925" i="28"/>
  <c r="M926" i="28"/>
  <c r="M927" i="28"/>
  <c r="M928" i="28"/>
  <c r="M929" i="28"/>
  <c r="M930" i="28"/>
  <c r="M931" i="28"/>
  <c r="M932" i="28"/>
  <c r="M933" i="28"/>
  <c r="M934" i="28"/>
  <c r="M935" i="28"/>
  <c r="M936" i="28"/>
  <c r="M937" i="28"/>
  <c r="M938" i="28"/>
  <c r="M939" i="28"/>
  <c r="M940" i="28"/>
  <c r="M941" i="28"/>
  <c r="M942" i="28"/>
  <c r="M943" i="28"/>
  <c r="M944" i="28"/>
  <c r="M945" i="28"/>
  <c r="M946" i="28"/>
  <c r="M947" i="28"/>
  <c r="M948" i="28"/>
  <c r="M949" i="28"/>
  <c r="M950" i="28"/>
  <c r="M951" i="28"/>
  <c r="M952" i="28"/>
  <c r="M953" i="28"/>
  <c r="M954" i="28"/>
  <c r="M955" i="28"/>
  <c r="M956" i="28"/>
  <c r="M957" i="28"/>
  <c r="M958" i="28"/>
  <c r="M959" i="28"/>
  <c r="M960" i="28"/>
  <c r="M961" i="28"/>
  <c r="M962" i="28"/>
  <c r="M963" i="28"/>
  <c r="M964" i="28"/>
  <c r="M965" i="28"/>
  <c r="M966" i="28"/>
  <c r="M967" i="28"/>
  <c r="M968" i="28"/>
  <c r="M969" i="28"/>
  <c r="M970" i="28"/>
  <c r="M971" i="28"/>
  <c r="M972" i="28"/>
  <c r="M973" i="28"/>
  <c r="M974" i="28"/>
  <c r="M975" i="28"/>
  <c r="M976" i="28"/>
  <c r="M977" i="28"/>
  <c r="M978" i="28"/>
  <c r="M979" i="28"/>
  <c r="M980" i="28"/>
  <c r="M981" i="28"/>
  <c r="M982" i="28"/>
  <c r="M983" i="28"/>
  <c r="M984" i="28"/>
  <c r="M985" i="28"/>
  <c r="M986" i="28"/>
  <c r="M987" i="28"/>
  <c r="M988" i="28"/>
  <c r="M989" i="28"/>
  <c r="M990" i="28"/>
  <c r="M991" i="28"/>
  <c r="M992" i="28"/>
  <c r="M993" i="28"/>
  <c r="M994" i="28"/>
  <c r="M995" i="28"/>
  <c r="M996" i="28"/>
  <c r="M997" i="28"/>
  <c r="M998" i="28"/>
  <c r="M999" i="28"/>
  <c r="M1000" i="28"/>
  <c r="M1001" i="28"/>
  <c r="K40" i="30"/>
  <c r="K37" i="30"/>
  <c r="AD17" i="38" l="1"/>
  <c r="AF20" i="38"/>
  <c r="AF30" i="38" s="1"/>
  <c r="AF16" i="38"/>
  <c r="AF17" i="38"/>
  <c r="AD20" i="38"/>
  <c r="AD30" i="38" s="1"/>
  <c r="AD16" i="38"/>
  <c r="AF19" i="38"/>
  <c r="AF29" i="38" s="1"/>
  <c r="AF15" i="38"/>
  <c r="AF27" i="38" s="1"/>
  <c r="AD18" i="38"/>
  <c r="AD28" i="38" s="1"/>
  <c r="AD19" i="38"/>
  <c r="AD29" i="38" s="1"/>
  <c r="AD15" i="38"/>
  <c r="AD27" i="38" s="1"/>
  <c r="AF18" i="38"/>
  <c r="AF28" i="38" s="1"/>
  <c r="V18" i="38"/>
  <c r="V28" i="38" s="1"/>
  <c r="H19" i="38"/>
  <c r="X17" i="38"/>
  <c r="H18" i="38"/>
  <c r="V16" i="38"/>
  <c r="V17" i="38"/>
  <c r="H17" i="38"/>
  <c r="X20" i="38"/>
  <c r="X30" i="38" s="1"/>
  <c r="X16" i="38"/>
  <c r="H16" i="38"/>
  <c r="V20" i="38"/>
  <c r="V30" i="38" s="1"/>
  <c r="H15" i="38"/>
  <c r="X19" i="38"/>
  <c r="X29" i="38" s="1"/>
  <c r="X15" i="38"/>
  <c r="X27" i="38" s="1"/>
  <c r="V19" i="38"/>
  <c r="V29" i="38" s="1"/>
  <c r="V15" i="38"/>
  <c r="V27" i="38" s="1"/>
  <c r="X18" i="38"/>
  <c r="X28" i="38" s="1"/>
  <c r="H20" i="38"/>
  <c r="P16" i="38"/>
  <c r="P20" i="38"/>
  <c r="P30" i="38" s="1"/>
  <c r="P15" i="38"/>
  <c r="P27" i="38" s="1"/>
  <c r="P19" i="38"/>
  <c r="P29" i="38" s="1"/>
  <c r="P18" i="38"/>
  <c r="P28" i="38" s="1"/>
  <c r="P17" i="38"/>
  <c r="N17" i="38"/>
  <c r="N15" i="38"/>
  <c r="N16" i="38"/>
  <c r="N19" i="38"/>
  <c r="N18" i="38"/>
  <c r="N20" i="38"/>
  <c r="L15" i="38"/>
  <c r="S22" i="30"/>
  <c r="M22" i="30"/>
  <c r="S30" i="30"/>
  <c r="M30" i="30"/>
  <c r="R11" i="30"/>
  <c r="M11" i="30"/>
  <c r="S40" i="30"/>
  <c r="M40" i="30"/>
  <c r="R47" i="30"/>
  <c r="M47" i="30"/>
  <c r="R46" i="30"/>
  <c r="M46" i="30"/>
  <c r="R39" i="30"/>
  <c r="M39" i="30"/>
  <c r="R28" i="30"/>
  <c r="M28" i="30"/>
  <c r="R20" i="30"/>
  <c r="M20" i="30"/>
  <c r="R10" i="30"/>
  <c r="M10" i="30"/>
  <c r="R41" i="30"/>
  <c r="M41" i="30"/>
  <c r="R45" i="30"/>
  <c r="M45" i="30"/>
  <c r="R38" i="30"/>
  <c r="M38" i="30"/>
  <c r="R27" i="30"/>
  <c r="M27" i="30"/>
  <c r="R19" i="30"/>
  <c r="M19" i="30"/>
  <c r="R9" i="30"/>
  <c r="M9" i="30"/>
  <c r="R35" i="30"/>
  <c r="M35" i="30"/>
  <c r="R8" i="30"/>
  <c r="M8" i="30"/>
  <c r="O12" i="30"/>
  <c r="Q12" i="30" s="1"/>
  <c r="M12" i="30"/>
  <c r="R21" i="30"/>
  <c r="M21" i="30"/>
  <c r="R44" i="30"/>
  <c r="M44" i="30"/>
  <c r="R18" i="30"/>
  <c r="M18" i="30"/>
  <c r="R43" i="30"/>
  <c r="M43" i="30"/>
  <c r="R34" i="30"/>
  <c r="M34" i="30"/>
  <c r="R25" i="30"/>
  <c r="M25" i="30"/>
  <c r="R17" i="30"/>
  <c r="M17" i="30"/>
  <c r="S7" i="30"/>
  <c r="M7" i="30"/>
  <c r="R29" i="30"/>
  <c r="M29" i="30"/>
  <c r="R26" i="30"/>
  <c r="M26" i="30"/>
  <c r="O37" i="30"/>
  <c r="Q37" i="30" s="1"/>
  <c r="M37" i="30"/>
  <c r="K33" i="30"/>
  <c r="M33" i="30"/>
  <c r="R24" i="30"/>
  <c r="M24" i="30"/>
  <c r="R16" i="30"/>
  <c r="M16" i="30"/>
  <c r="S42" i="30"/>
  <c r="M42" i="30"/>
  <c r="S32" i="30"/>
  <c r="M32" i="30"/>
  <c r="S23" i="30"/>
  <c r="M23" i="30"/>
  <c r="R13" i="30"/>
  <c r="M13" i="30"/>
  <c r="K43" i="30"/>
  <c r="J42" i="30"/>
  <c r="S13" i="30"/>
  <c r="K34" i="30"/>
  <c r="J32" i="30"/>
  <c r="O7" i="30"/>
  <c r="Q7" i="30" s="1"/>
  <c r="K25" i="30"/>
  <c r="J23" i="30"/>
  <c r="S47" i="30"/>
  <c r="K17" i="30"/>
  <c r="S41" i="30"/>
  <c r="O42" i="30"/>
  <c r="Q42" i="30" s="1"/>
  <c r="S29" i="30"/>
  <c r="J7" i="30"/>
  <c r="O32" i="30"/>
  <c r="Q32" i="30" s="1"/>
  <c r="S21" i="30"/>
  <c r="K9" i="30"/>
  <c r="O23" i="30"/>
  <c r="Q23" i="30" s="1"/>
  <c r="K24" i="30"/>
  <c r="K16" i="30"/>
  <c r="K8" i="30"/>
  <c r="J40" i="30"/>
  <c r="J30" i="30"/>
  <c r="J22" i="30"/>
  <c r="O40" i="30"/>
  <c r="Q40" i="30" s="1"/>
  <c r="O30" i="30"/>
  <c r="Q30" i="30" s="1"/>
  <c r="O22" i="30"/>
  <c r="Q22" i="30" s="1"/>
  <c r="S46" i="30"/>
  <c r="S39" i="30"/>
  <c r="S28" i="30"/>
  <c r="S20" i="30"/>
  <c r="S12" i="30"/>
  <c r="K42" i="30"/>
  <c r="K32" i="30"/>
  <c r="K23" i="30"/>
  <c r="K7" i="30"/>
  <c r="J47" i="30"/>
  <c r="J41" i="30"/>
  <c r="J29" i="30"/>
  <c r="J21" i="30"/>
  <c r="J13" i="30"/>
  <c r="O47" i="30"/>
  <c r="Q47" i="30" s="1"/>
  <c r="O41" i="30"/>
  <c r="Q41" i="30" s="1"/>
  <c r="O29" i="30"/>
  <c r="Q29" i="30" s="1"/>
  <c r="O21" i="30"/>
  <c r="Q21" i="30" s="1"/>
  <c r="O13" i="30"/>
  <c r="Q13" i="30" s="1"/>
  <c r="S45" i="30"/>
  <c r="S38" i="30"/>
  <c r="S27" i="30"/>
  <c r="S19" i="30"/>
  <c r="S11" i="30"/>
  <c r="K30" i="30"/>
  <c r="K22" i="30"/>
  <c r="J46" i="30"/>
  <c r="J39" i="30"/>
  <c r="J28" i="30"/>
  <c r="J20" i="30"/>
  <c r="J12" i="30"/>
  <c r="O46" i="30"/>
  <c r="Q46" i="30" s="1"/>
  <c r="O39" i="30"/>
  <c r="Q39" i="30" s="1"/>
  <c r="O28" i="30"/>
  <c r="Q28" i="30" s="1"/>
  <c r="O20" i="30"/>
  <c r="Q20" i="30" s="1"/>
  <c r="S44" i="30"/>
  <c r="S35" i="30"/>
  <c r="S26" i="30"/>
  <c r="S18" i="30"/>
  <c r="S10" i="30"/>
  <c r="K47" i="30"/>
  <c r="K41" i="30"/>
  <c r="K29" i="30"/>
  <c r="K21" i="30"/>
  <c r="K13" i="30"/>
  <c r="J45" i="30"/>
  <c r="J38" i="30"/>
  <c r="J27" i="30"/>
  <c r="J19" i="30"/>
  <c r="J11" i="30"/>
  <c r="O45" i="30"/>
  <c r="Q45" i="30" s="1"/>
  <c r="O38" i="30"/>
  <c r="Q38" i="30" s="1"/>
  <c r="O27" i="30"/>
  <c r="Q27" i="30" s="1"/>
  <c r="O19" i="30"/>
  <c r="Q19" i="30" s="1"/>
  <c r="O11" i="30"/>
  <c r="Q11" i="30" s="1"/>
  <c r="S43" i="30"/>
  <c r="S34" i="30"/>
  <c r="S25" i="30"/>
  <c r="S17" i="30"/>
  <c r="S9" i="30"/>
  <c r="K46" i="30"/>
  <c r="K39" i="30"/>
  <c r="K28" i="30"/>
  <c r="K20" i="30"/>
  <c r="K12" i="30"/>
  <c r="J44" i="30"/>
  <c r="J35" i="30"/>
  <c r="J26" i="30"/>
  <c r="J18" i="30"/>
  <c r="J10" i="30"/>
  <c r="O44" i="30"/>
  <c r="Q44" i="30" s="1"/>
  <c r="O35" i="30"/>
  <c r="Q35" i="30" s="1"/>
  <c r="O26" i="30"/>
  <c r="Q26" i="30" s="1"/>
  <c r="O18" i="30"/>
  <c r="Q18" i="30" s="1"/>
  <c r="O10" i="30"/>
  <c r="Q10" i="30" s="1"/>
  <c r="S37" i="30"/>
  <c r="S33" i="30"/>
  <c r="S24" i="30"/>
  <c r="S16" i="30"/>
  <c r="S8" i="30"/>
  <c r="K45" i="30"/>
  <c r="K38" i="30"/>
  <c r="K27" i="30"/>
  <c r="K19" i="30"/>
  <c r="K11" i="30"/>
  <c r="J43" i="30"/>
  <c r="J34" i="30"/>
  <c r="J25" i="30"/>
  <c r="J17" i="30"/>
  <c r="J9" i="30"/>
  <c r="O43" i="30"/>
  <c r="Q43" i="30" s="1"/>
  <c r="O34" i="30"/>
  <c r="Q34" i="30" s="1"/>
  <c r="O25" i="30"/>
  <c r="Q25" i="30" s="1"/>
  <c r="O17" i="30"/>
  <c r="Q17" i="30" s="1"/>
  <c r="O9" i="30"/>
  <c r="Q9" i="30" s="1"/>
  <c r="K44" i="30"/>
  <c r="K35" i="30"/>
  <c r="K26" i="30"/>
  <c r="K18" i="30"/>
  <c r="K10" i="30"/>
  <c r="J37" i="30"/>
  <c r="J33" i="30"/>
  <c r="J24" i="30"/>
  <c r="J16" i="30"/>
  <c r="J8" i="30"/>
  <c r="O33" i="30"/>
  <c r="Q33" i="30" s="1"/>
  <c r="O24" i="30"/>
  <c r="Q24" i="30" s="1"/>
  <c r="O16" i="30"/>
  <c r="Q16" i="30" s="1"/>
  <c r="O8" i="30"/>
  <c r="Q8" i="30" s="1"/>
  <c r="R7" i="30"/>
  <c r="R42" i="30"/>
  <c r="R32" i="30"/>
  <c r="R23" i="30"/>
  <c r="R40" i="30"/>
  <c r="R30" i="30"/>
  <c r="R22" i="30"/>
  <c r="R12" i="30"/>
  <c r="R37" i="30"/>
  <c r="R33" i="30"/>
  <c r="O950" i="28"/>
  <c r="O943" i="28"/>
  <c r="O814" i="28"/>
  <c r="O830" i="28"/>
  <c r="O574" i="28"/>
  <c r="O558" i="28"/>
  <c r="O318" i="28"/>
  <c r="O302" i="28"/>
  <c r="O1001" i="28"/>
  <c r="O927" i="28"/>
  <c r="O766" i="28"/>
  <c r="O510" i="28"/>
  <c r="O254" i="28"/>
  <c r="O998" i="28"/>
  <c r="O922" i="28"/>
  <c r="O750" i="28"/>
  <c r="O494" i="28"/>
  <c r="O238" i="28"/>
  <c r="O986" i="28"/>
  <c r="O906" i="28"/>
  <c r="O702" i="28"/>
  <c r="O446" i="28"/>
  <c r="O190" i="28"/>
  <c r="O983" i="28"/>
  <c r="O902" i="28"/>
  <c r="O686" i="28"/>
  <c r="O430" i="28"/>
  <c r="O174" i="28"/>
  <c r="O970" i="28"/>
  <c r="O886" i="28"/>
  <c r="O638" i="28"/>
  <c r="O382" i="28"/>
  <c r="O966" i="28"/>
  <c r="O878" i="28"/>
  <c r="O622" i="28"/>
  <c r="O366" i="28"/>
  <c r="O999" i="28"/>
  <c r="O985" i="28"/>
  <c r="O967" i="28"/>
  <c r="O946" i="28"/>
  <c r="O926" i="28"/>
  <c r="O903" i="28"/>
  <c r="O882" i="28"/>
  <c r="O822" i="28"/>
  <c r="O758" i="28"/>
  <c r="O694" i="28"/>
  <c r="O630" i="28"/>
  <c r="O566" i="28"/>
  <c r="O502" i="28"/>
  <c r="O438" i="28"/>
  <c r="O374" i="28"/>
  <c r="O310" i="28"/>
  <c r="O246" i="28"/>
  <c r="O182" i="28"/>
  <c r="O996" i="28"/>
  <c r="O982" i="28"/>
  <c r="O962" i="28"/>
  <c r="O942" i="28"/>
  <c r="O919" i="28"/>
  <c r="O898" i="28"/>
  <c r="O870" i="28"/>
  <c r="O806" i="28"/>
  <c r="O742" i="28"/>
  <c r="O678" i="28"/>
  <c r="O614" i="28"/>
  <c r="O550" i="28"/>
  <c r="O486" i="28"/>
  <c r="O422" i="28"/>
  <c r="O358" i="28"/>
  <c r="O294" i="28"/>
  <c r="O230" i="28"/>
  <c r="O994" i="28"/>
  <c r="O978" i="28"/>
  <c r="O959" i="28"/>
  <c r="O938" i="28"/>
  <c r="O918" i="28"/>
  <c r="O895" i="28"/>
  <c r="O862" i="28"/>
  <c r="O798" i="28"/>
  <c r="O734" i="28"/>
  <c r="O670" i="28"/>
  <c r="O606" i="28"/>
  <c r="O542" i="28"/>
  <c r="O478" i="28"/>
  <c r="O414" i="28"/>
  <c r="O350" i="28"/>
  <c r="O286" i="28"/>
  <c r="O222" i="28"/>
  <c r="O993" i="28"/>
  <c r="O977" i="28"/>
  <c r="O958" i="28"/>
  <c r="O935" i="28"/>
  <c r="O914" i="28"/>
  <c r="O894" i="28"/>
  <c r="O854" i="28"/>
  <c r="O790" i="28"/>
  <c r="O726" i="28"/>
  <c r="O662" i="28"/>
  <c r="O598" i="28"/>
  <c r="O534" i="28"/>
  <c r="O470" i="28"/>
  <c r="O406" i="28"/>
  <c r="O342" i="28"/>
  <c r="O278" i="28"/>
  <c r="O214" i="28"/>
  <c r="O991" i="28"/>
  <c r="O975" i="28"/>
  <c r="O954" i="28"/>
  <c r="O934" i="28"/>
  <c r="O911" i="28"/>
  <c r="O890" i="28"/>
  <c r="O846" i="28"/>
  <c r="O782" i="28"/>
  <c r="O718" i="28"/>
  <c r="O654" i="28"/>
  <c r="O590" i="28"/>
  <c r="O526" i="28"/>
  <c r="O462" i="28"/>
  <c r="O398" i="28"/>
  <c r="O334" i="28"/>
  <c r="O270" i="28"/>
  <c r="O206" i="28"/>
  <c r="O990" i="28"/>
  <c r="O974" i="28"/>
  <c r="O951" i="28"/>
  <c r="O930" i="28"/>
  <c r="O910" i="28"/>
  <c r="O887" i="28"/>
  <c r="O838" i="28"/>
  <c r="O774" i="28"/>
  <c r="O710" i="28"/>
  <c r="O646" i="28"/>
  <c r="O582" i="28"/>
  <c r="O518" i="28"/>
  <c r="O454" i="28"/>
  <c r="O390" i="28"/>
  <c r="O326" i="28"/>
  <c r="O262" i="28"/>
  <c r="O198" i="28"/>
  <c r="O997" i="28"/>
  <c r="O989" i="28"/>
  <c r="O981" i="28"/>
  <c r="O973" i="28"/>
  <c r="O965" i="28"/>
  <c r="O957" i="28"/>
  <c r="O949" i="28"/>
  <c r="O941" i="28"/>
  <c r="O933" i="28"/>
  <c r="O925" i="28"/>
  <c r="O917" i="28"/>
  <c r="O909" i="28"/>
  <c r="O901" i="28"/>
  <c r="O893" i="28"/>
  <c r="O885" i="28"/>
  <c r="O877" i="28"/>
  <c r="O869" i="28"/>
  <c r="O861" i="28"/>
  <c r="O853" i="28"/>
  <c r="O845" i="28"/>
  <c r="O837" i="28"/>
  <c r="O829" i="28"/>
  <c r="O821" i="28"/>
  <c r="O813" i="28"/>
  <c r="O805" i="28"/>
  <c r="O797" i="28"/>
  <c r="O789" i="28"/>
  <c r="O781" i="28"/>
  <c r="O773" i="28"/>
  <c r="O765" i="28"/>
  <c r="O757" i="28"/>
  <c r="O749" i="28"/>
  <c r="O741" i="28"/>
  <c r="O733" i="28"/>
  <c r="O725" i="28"/>
  <c r="O717" i="28"/>
  <c r="O709" i="28"/>
  <c r="O701" i="28"/>
  <c r="O693" i="28"/>
  <c r="O685" i="28"/>
  <c r="O677" i="28"/>
  <c r="O669" i="28"/>
  <c r="O661" i="28"/>
  <c r="O653" i="28"/>
  <c r="O645" i="28"/>
  <c r="O637" i="28"/>
  <c r="O629" i="28"/>
  <c r="O621" i="28"/>
  <c r="O613" i="28"/>
  <c r="O605" i="28"/>
  <c r="O597" i="28"/>
  <c r="O589" i="28"/>
  <c r="O581" i="28"/>
  <c r="O573" i="28"/>
  <c r="O565" i="28"/>
  <c r="O557" i="28"/>
  <c r="O549" i="28"/>
  <c r="O541" i="28"/>
  <c r="O533" i="28"/>
  <c r="O525" i="28"/>
  <c r="O517" i="28"/>
  <c r="O509" i="28"/>
  <c r="O501" i="28"/>
  <c r="O493" i="28"/>
  <c r="O485" i="28"/>
  <c r="O477" i="28"/>
  <c r="O469" i="28"/>
  <c r="O461" i="28"/>
  <c r="O453" i="28"/>
  <c r="O445" i="28"/>
  <c r="O437" i="28"/>
  <c r="O429" i="28"/>
  <c r="O421" i="28"/>
  <c r="O413" i="28"/>
  <c r="O405" i="28"/>
  <c r="O397" i="28"/>
  <c r="O389" i="28"/>
  <c r="O381" i="28"/>
  <c r="O373" i="28"/>
  <c r="O365" i="28"/>
  <c r="O357" i="28"/>
  <c r="O349" i="28"/>
  <c r="O341" i="28"/>
  <c r="O333" i="28"/>
  <c r="O325" i="28"/>
  <c r="O317" i="28"/>
  <c r="O309" i="28"/>
  <c r="O301" i="28"/>
  <c r="O293" i="28"/>
  <c r="O285" i="28"/>
  <c r="O277" i="28"/>
  <c r="O269" i="28"/>
  <c r="O261" i="28"/>
  <c r="O253" i="28"/>
  <c r="O245" i="28"/>
  <c r="O237" i="28"/>
  <c r="O229" i="28"/>
  <c r="O221" i="28"/>
  <c r="O213" i="28"/>
  <c r="O205" i="28"/>
  <c r="O197" i="28"/>
  <c r="O189" i="28"/>
  <c r="O181" i="28"/>
  <c r="O173" i="28"/>
  <c r="O165" i="28"/>
  <c r="O988" i="28"/>
  <c r="O980" i="28"/>
  <c r="O972" i="28"/>
  <c r="O964" i="28"/>
  <c r="O956" i="28"/>
  <c r="O948" i="28"/>
  <c r="O940" i="28"/>
  <c r="O932" i="28"/>
  <c r="O924" i="28"/>
  <c r="O916" i="28"/>
  <c r="O908" i="28"/>
  <c r="O900" i="28"/>
  <c r="O892" i="28"/>
  <c r="O884" i="28"/>
  <c r="O876" i="28"/>
  <c r="O868" i="28"/>
  <c r="O860" i="28"/>
  <c r="O852" i="28"/>
  <c r="O844" i="28"/>
  <c r="O836" i="28"/>
  <c r="O828" i="28"/>
  <c r="O820" i="28"/>
  <c r="O812" i="28"/>
  <c r="O804" i="28"/>
  <c r="O796" i="28"/>
  <c r="O788" i="28"/>
  <c r="O780" i="28"/>
  <c r="O772" i="28"/>
  <c r="O764" i="28"/>
  <c r="O756" i="28"/>
  <c r="O748" i="28"/>
  <c r="O740" i="28"/>
  <c r="O732" i="28"/>
  <c r="O724" i="28"/>
  <c r="O716" i="28"/>
  <c r="O708" i="28"/>
  <c r="O700" i="28"/>
  <c r="O692" i="28"/>
  <c r="O684" i="28"/>
  <c r="O676" i="28"/>
  <c r="O668" i="28"/>
  <c r="O660" i="28"/>
  <c r="O652" i="28"/>
  <c r="O644" i="28"/>
  <c r="O636" i="28"/>
  <c r="O628" i="28"/>
  <c r="O620" i="28"/>
  <c r="O612" i="28"/>
  <c r="O604" i="28"/>
  <c r="O596" i="28"/>
  <c r="O588" i="28"/>
  <c r="O580" i="28"/>
  <c r="O572" i="28"/>
  <c r="O564" i="28"/>
  <c r="O556" i="28"/>
  <c r="O548" i="28"/>
  <c r="O540" i="28"/>
  <c r="O532" i="28"/>
  <c r="O524" i="28"/>
  <c r="O516" i="28"/>
  <c r="O508" i="28"/>
  <c r="O500" i="28"/>
  <c r="O492" i="28"/>
  <c r="O484" i="28"/>
  <c r="O476" i="28"/>
  <c r="O468" i="28"/>
  <c r="O460" i="28"/>
  <c r="O452" i="28"/>
  <c r="O444" i="28"/>
  <c r="O436" i="28"/>
  <c r="O428" i="28"/>
  <c r="O420" i="28"/>
  <c r="O412" i="28"/>
  <c r="O404" i="28"/>
  <c r="O396" i="28"/>
  <c r="O388" i="28"/>
  <c r="O380" i="28"/>
  <c r="O372" i="28"/>
  <c r="O364" i="28"/>
  <c r="O356" i="28"/>
  <c r="O348" i="28"/>
  <c r="O340" i="28"/>
  <c r="O332" i="28"/>
  <c r="O324" i="28"/>
  <c r="O316" i="28"/>
  <c r="O308" i="28"/>
  <c r="O300" i="28"/>
  <c r="O292" i="28"/>
  <c r="O284" i="28"/>
  <c r="O276" i="28"/>
  <c r="O268" i="28"/>
  <c r="O260" i="28"/>
  <c r="O252" i="28"/>
  <c r="O244" i="28"/>
  <c r="O236" i="28"/>
  <c r="O228" i="28"/>
  <c r="O220" i="28"/>
  <c r="O212" i="28"/>
  <c r="O204" i="28"/>
  <c r="O196" i="28"/>
  <c r="O188" i="28"/>
  <c r="O180" i="28"/>
  <c r="O172" i="28"/>
  <c r="O164" i="28"/>
  <c r="O995" i="28"/>
  <c r="O987" i="28"/>
  <c r="O979" i="28"/>
  <c r="O971" i="28"/>
  <c r="O963" i="28"/>
  <c r="O955" i="28"/>
  <c r="O947" i="28"/>
  <c r="O939" i="28"/>
  <c r="O931" i="28"/>
  <c r="O923" i="28"/>
  <c r="O915" i="28"/>
  <c r="O907" i="28"/>
  <c r="O899" i="28"/>
  <c r="O891" i="28"/>
  <c r="O883" i="28"/>
  <c r="O875" i="28"/>
  <c r="O867" i="28"/>
  <c r="O859" i="28"/>
  <c r="O851" i="28"/>
  <c r="O843" i="28"/>
  <c r="O835" i="28"/>
  <c r="O827" i="28"/>
  <c r="O819" i="28"/>
  <c r="O811" i="28"/>
  <c r="O803" i="28"/>
  <c r="O795" i="28"/>
  <c r="O787" i="28"/>
  <c r="O779" i="28"/>
  <c r="O771" i="28"/>
  <c r="O763" i="28"/>
  <c r="O755" i="28"/>
  <c r="O747" i="28"/>
  <c r="O739" i="28"/>
  <c r="O731" i="28"/>
  <c r="O723" i="28"/>
  <c r="O715" i="28"/>
  <c r="O707" i="28"/>
  <c r="O699" i="28"/>
  <c r="O691" i="28"/>
  <c r="O683" i="28"/>
  <c r="O675" i="28"/>
  <c r="O667" i="28"/>
  <c r="O659" i="28"/>
  <c r="O651" i="28"/>
  <c r="O643" i="28"/>
  <c r="O635" i="28"/>
  <c r="O627" i="28"/>
  <c r="O619" i="28"/>
  <c r="O611" i="28"/>
  <c r="O603" i="28"/>
  <c r="O595" i="28"/>
  <c r="O587" i="28"/>
  <c r="O579" i="28"/>
  <c r="O571" i="28"/>
  <c r="O563" i="28"/>
  <c r="O555" i="28"/>
  <c r="O547" i="28"/>
  <c r="O539" i="28"/>
  <c r="O531" i="28"/>
  <c r="O523" i="28"/>
  <c r="O515" i="28"/>
  <c r="O507" i="28"/>
  <c r="O499" i="28"/>
  <c r="O491" i="28"/>
  <c r="O483" i="28"/>
  <c r="O475" i="28"/>
  <c r="O467" i="28"/>
  <c r="O459" i="28"/>
  <c r="O451" i="28"/>
  <c r="O443" i="28"/>
  <c r="O435" i="28"/>
  <c r="O427" i="28"/>
  <c r="O419" i="28"/>
  <c r="O411" i="28"/>
  <c r="O403" i="28"/>
  <c r="O395" i="28"/>
  <c r="O387" i="28"/>
  <c r="O379" i="28"/>
  <c r="O371" i="28"/>
  <c r="O363" i="28"/>
  <c r="O355" i="28"/>
  <c r="O347" i="28"/>
  <c r="O339" i="28"/>
  <c r="O331" i="28"/>
  <c r="O323" i="28"/>
  <c r="O315" i="28"/>
  <c r="O307" i="28"/>
  <c r="O299" i="28"/>
  <c r="O291" i="28"/>
  <c r="O283" i="28"/>
  <c r="O275" i="28"/>
  <c r="O267" i="28"/>
  <c r="O259" i="28"/>
  <c r="O251" i="28"/>
  <c r="O243" i="28"/>
  <c r="O235" i="28"/>
  <c r="O227" i="28"/>
  <c r="O219" i="28"/>
  <c r="O211" i="28"/>
  <c r="O203" i="28"/>
  <c r="O195" i="28"/>
  <c r="O187" i="28"/>
  <c r="O179" i="28"/>
  <c r="O171" i="28"/>
  <c r="O163" i="28"/>
  <c r="O874" i="28"/>
  <c r="O866" i="28"/>
  <c r="O858" i="28"/>
  <c r="O850" i="28"/>
  <c r="O842" i="28"/>
  <c r="O834" i="28"/>
  <c r="O826" i="28"/>
  <c r="O818" i="28"/>
  <c r="O810" i="28"/>
  <c r="O802" i="28"/>
  <c r="O794" i="28"/>
  <c r="O786" i="28"/>
  <c r="O778" i="28"/>
  <c r="O770" i="28"/>
  <c r="O762" i="28"/>
  <c r="O754" i="28"/>
  <c r="O746" i="28"/>
  <c r="O738" i="28"/>
  <c r="O730" i="28"/>
  <c r="O722" i="28"/>
  <c r="O714" i="28"/>
  <c r="O706" i="28"/>
  <c r="O698" i="28"/>
  <c r="O690" i="28"/>
  <c r="O682" i="28"/>
  <c r="O674" i="28"/>
  <c r="O666" i="28"/>
  <c r="O658" i="28"/>
  <c r="O650" i="28"/>
  <c r="O642" i="28"/>
  <c r="O634" i="28"/>
  <c r="O626" i="28"/>
  <c r="O618" i="28"/>
  <c r="O610" i="28"/>
  <c r="O602" i="28"/>
  <c r="O594" i="28"/>
  <c r="O586" i="28"/>
  <c r="O578" i="28"/>
  <c r="O570" i="28"/>
  <c r="O562" i="28"/>
  <c r="O554" i="28"/>
  <c r="O546" i="28"/>
  <c r="O538" i="28"/>
  <c r="O530" i="28"/>
  <c r="O522" i="28"/>
  <c r="O514" i="28"/>
  <c r="O506" i="28"/>
  <c r="O498" i="28"/>
  <c r="O490" i="28"/>
  <c r="O482" i="28"/>
  <c r="O474" i="28"/>
  <c r="O466" i="28"/>
  <c r="O458" i="28"/>
  <c r="O450" i="28"/>
  <c r="O442" i="28"/>
  <c r="O434" i="28"/>
  <c r="O426" i="28"/>
  <c r="O418" i="28"/>
  <c r="O410" i="28"/>
  <c r="O402" i="28"/>
  <c r="O394" i="28"/>
  <c r="O386" i="28"/>
  <c r="O378" i="28"/>
  <c r="O370" i="28"/>
  <c r="O362" i="28"/>
  <c r="O354" i="28"/>
  <c r="O346" i="28"/>
  <c r="O338" i="28"/>
  <c r="O330" i="28"/>
  <c r="O322" i="28"/>
  <c r="O314" i="28"/>
  <c r="O306" i="28"/>
  <c r="O298" i="28"/>
  <c r="O290" i="28"/>
  <c r="O282" i="28"/>
  <c r="O274" i="28"/>
  <c r="O266" i="28"/>
  <c r="O258" i="28"/>
  <c r="O250" i="28"/>
  <c r="O242" i="28"/>
  <c r="O234" i="28"/>
  <c r="O226" i="28"/>
  <c r="O218" i="28"/>
  <c r="O210" i="28"/>
  <c r="O202" i="28"/>
  <c r="O194" i="28"/>
  <c r="O186" i="28"/>
  <c r="O178" i="28"/>
  <c r="O170" i="28"/>
  <c r="O969" i="28"/>
  <c r="O961" i="28"/>
  <c r="O953" i="28"/>
  <c r="O945" i="28"/>
  <c r="O937" i="28"/>
  <c r="O929" i="28"/>
  <c r="O921" i="28"/>
  <c r="O913" i="28"/>
  <c r="O905" i="28"/>
  <c r="O897" i="28"/>
  <c r="O889" i="28"/>
  <c r="O881" i="28"/>
  <c r="O873" i="28"/>
  <c r="O865" i="28"/>
  <c r="O857" i="28"/>
  <c r="O849" i="28"/>
  <c r="O841" i="28"/>
  <c r="O833" i="28"/>
  <c r="O825" i="28"/>
  <c r="O817" i="28"/>
  <c r="O809" i="28"/>
  <c r="O801" i="28"/>
  <c r="O793" i="28"/>
  <c r="O785" i="28"/>
  <c r="O777" i="28"/>
  <c r="O769" i="28"/>
  <c r="O761" i="28"/>
  <c r="O753" i="28"/>
  <c r="O745" i="28"/>
  <c r="O737" i="28"/>
  <c r="O729" i="28"/>
  <c r="O721" i="28"/>
  <c r="O713" i="28"/>
  <c r="O705" i="28"/>
  <c r="O697" i="28"/>
  <c r="O689" i="28"/>
  <c r="O681" i="28"/>
  <c r="O673" i="28"/>
  <c r="O665" i="28"/>
  <c r="O657" i="28"/>
  <c r="O649" i="28"/>
  <c r="O641" i="28"/>
  <c r="O633" i="28"/>
  <c r="O625" i="28"/>
  <c r="O617" i="28"/>
  <c r="O609" i="28"/>
  <c r="O601" i="28"/>
  <c r="O593" i="28"/>
  <c r="O585" i="28"/>
  <c r="O577" i="28"/>
  <c r="O569" i="28"/>
  <c r="O561" i="28"/>
  <c r="O553" i="28"/>
  <c r="O545" i="28"/>
  <c r="O537" i="28"/>
  <c r="O529" i="28"/>
  <c r="O521" i="28"/>
  <c r="O513" i="28"/>
  <c r="O505" i="28"/>
  <c r="O497" i="28"/>
  <c r="O489" i="28"/>
  <c r="O481" i="28"/>
  <c r="O473" i="28"/>
  <c r="O465" i="28"/>
  <c r="O457" i="28"/>
  <c r="O449" i="28"/>
  <c r="O441" i="28"/>
  <c r="O433" i="28"/>
  <c r="O425" i="28"/>
  <c r="O417" i="28"/>
  <c r="O409" i="28"/>
  <c r="O401" i="28"/>
  <c r="O393" i="28"/>
  <c r="O385" i="28"/>
  <c r="O377" i="28"/>
  <c r="O369" i="28"/>
  <c r="O361" i="28"/>
  <c r="O353" i="28"/>
  <c r="O345" i="28"/>
  <c r="O337" i="28"/>
  <c r="O329" i="28"/>
  <c r="O321" i="28"/>
  <c r="O313" i="28"/>
  <c r="O305" i="28"/>
  <c r="O297" i="28"/>
  <c r="O289" i="28"/>
  <c r="O281" i="28"/>
  <c r="O273" i="28"/>
  <c r="O265" i="28"/>
  <c r="O257" i="28"/>
  <c r="O249" i="28"/>
  <c r="O241" i="28"/>
  <c r="O233" i="28"/>
  <c r="O225" i="28"/>
  <c r="O217" i="28"/>
  <c r="O209" i="28"/>
  <c r="O201" i="28"/>
  <c r="O193" i="28"/>
  <c r="O185" i="28"/>
  <c r="O177" i="28"/>
  <c r="O1000" i="28"/>
  <c r="O992" i="28"/>
  <c r="O984" i="28"/>
  <c r="O976" i="28"/>
  <c r="O968" i="28"/>
  <c r="O960" i="28"/>
  <c r="O952" i="28"/>
  <c r="O944" i="28"/>
  <c r="O936" i="28"/>
  <c r="O928" i="28"/>
  <c r="O920" i="28"/>
  <c r="O912" i="28"/>
  <c r="O904" i="28"/>
  <c r="O896" i="28"/>
  <c r="O888" i="28"/>
  <c r="O880" i="28"/>
  <c r="O872" i="28"/>
  <c r="O864" i="28"/>
  <c r="O856" i="28"/>
  <c r="O848" i="28"/>
  <c r="O840" i="28"/>
  <c r="O832" i="28"/>
  <c r="O824" i="28"/>
  <c r="O816" i="28"/>
  <c r="O808" i="28"/>
  <c r="O800" i="28"/>
  <c r="O792" i="28"/>
  <c r="O784" i="28"/>
  <c r="O776" i="28"/>
  <c r="O768" i="28"/>
  <c r="O760" i="28"/>
  <c r="O752" i="28"/>
  <c r="O744" i="28"/>
  <c r="O736" i="28"/>
  <c r="O728" i="28"/>
  <c r="O720" i="28"/>
  <c r="O712" i="28"/>
  <c r="O704" i="28"/>
  <c r="O696" i="28"/>
  <c r="O688" i="28"/>
  <c r="O680" i="28"/>
  <c r="O672" i="28"/>
  <c r="O664" i="28"/>
  <c r="O656" i="28"/>
  <c r="O648" i="28"/>
  <c r="O640" i="28"/>
  <c r="O632" i="28"/>
  <c r="O624" i="28"/>
  <c r="O616" i="28"/>
  <c r="O608" i="28"/>
  <c r="O600" i="28"/>
  <c r="O592" i="28"/>
  <c r="O584" i="28"/>
  <c r="O576" i="28"/>
  <c r="O568" i="28"/>
  <c r="O560" i="28"/>
  <c r="O552" i="28"/>
  <c r="O544" i="28"/>
  <c r="O536" i="28"/>
  <c r="O528" i="28"/>
  <c r="O520" i="28"/>
  <c r="O512" i="28"/>
  <c r="O504" i="28"/>
  <c r="O496" i="28"/>
  <c r="O488" i="28"/>
  <c r="O480" i="28"/>
  <c r="O472" i="28"/>
  <c r="O464" i="28"/>
  <c r="O456" i="28"/>
  <c r="O448" i="28"/>
  <c r="O440" i="28"/>
  <c r="O432" i="28"/>
  <c r="O424" i="28"/>
  <c r="O416" i="28"/>
  <c r="O408" i="28"/>
  <c r="O400" i="28"/>
  <c r="O392" i="28"/>
  <c r="O384" i="28"/>
  <c r="O376" i="28"/>
  <c r="O368" i="28"/>
  <c r="O360" i="28"/>
  <c r="O352" i="28"/>
  <c r="O344" i="28"/>
  <c r="O336" i="28"/>
  <c r="O328" i="28"/>
  <c r="O320" i="28"/>
  <c r="O312" i="28"/>
  <c r="O304" i="28"/>
  <c r="O296" i="28"/>
  <c r="O288" i="28"/>
  <c r="O280" i="28"/>
  <c r="O272" i="28"/>
  <c r="O264" i="28"/>
  <c r="O256" i="28"/>
  <c r="O248" i="28"/>
  <c r="O240" i="28"/>
  <c r="O232" i="28"/>
  <c r="O224" i="28"/>
  <c r="O216" i="28"/>
  <c r="O208" i="28"/>
  <c r="O200" i="28"/>
  <c r="O192" i="28"/>
  <c r="O184" i="28"/>
  <c r="O176" i="28"/>
  <c r="O168" i="28"/>
  <c r="O879" i="28"/>
  <c r="O871" i="28"/>
  <c r="O863" i="28"/>
  <c r="O855" i="28"/>
  <c r="O847" i="28"/>
  <c r="O839" i="28"/>
  <c r="O831" i="28"/>
  <c r="O823" i="28"/>
  <c r="O815" i="28"/>
  <c r="O807" i="28"/>
  <c r="O799" i="28"/>
  <c r="O791" i="28"/>
  <c r="O783" i="28"/>
  <c r="O775" i="28"/>
  <c r="O767" i="28"/>
  <c r="O759" i="28"/>
  <c r="O751" i="28"/>
  <c r="O743" i="28"/>
  <c r="O735" i="28"/>
  <c r="O727" i="28"/>
  <c r="O719" i="28"/>
  <c r="O711" i="28"/>
  <c r="O703" i="28"/>
  <c r="O695" i="28"/>
  <c r="O687" i="28"/>
  <c r="O679" i="28"/>
  <c r="O671" i="28"/>
  <c r="O663" i="28"/>
  <c r="O655" i="28"/>
  <c r="O647" i="28"/>
  <c r="O639" i="28"/>
  <c r="O631" i="28"/>
  <c r="O623" i="28"/>
  <c r="O615" i="28"/>
  <c r="O607" i="28"/>
  <c r="O599" i="28"/>
  <c r="O591" i="28"/>
  <c r="O583" i="28"/>
  <c r="O575" i="28"/>
  <c r="O567" i="28"/>
  <c r="O559" i="28"/>
  <c r="O551" i="28"/>
  <c r="O543" i="28"/>
  <c r="O535" i="28"/>
  <c r="O527" i="28"/>
  <c r="O519" i="28"/>
  <c r="O511" i="28"/>
  <c r="O503" i="28"/>
  <c r="O495" i="28"/>
  <c r="O487" i="28"/>
  <c r="O479" i="28"/>
  <c r="O471" i="28"/>
  <c r="O463" i="28"/>
  <c r="O455" i="28"/>
  <c r="O447" i="28"/>
  <c r="O439" i="28"/>
  <c r="O431" i="28"/>
  <c r="O423" i="28"/>
  <c r="O415" i="28"/>
  <c r="O407" i="28"/>
  <c r="O399" i="28"/>
  <c r="O391" i="28"/>
  <c r="O383" i="28"/>
  <c r="O375" i="28"/>
  <c r="O367" i="28"/>
  <c r="O359" i="28"/>
  <c r="O351" i="28"/>
  <c r="O343" i="28"/>
  <c r="O335" i="28"/>
  <c r="O327" i="28"/>
  <c r="O319" i="28"/>
  <c r="O311" i="28"/>
  <c r="O303" i="28"/>
  <c r="O295" i="28"/>
  <c r="O287" i="28"/>
  <c r="O279" i="28"/>
  <c r="O271" i="28"/>
  <c r="O263" i="28"/>
  <c r="O255" i="28"/>
  <c r="O247" i="28"/>
  <c r="O239" i="28"/>
  <c r="O231" i="28"/>
  <c r="O223" i="28"/>
  <c r="O215" i="28"/>
  <c r="O207" i="28"/>
  <c r="O199" i="28"/>
  <c r="O191" i="28"/>
  <c r="O183" i="28"/>
  <c r="O175" i="28"/>
  <c r="O167" i="28"/>
  <c r="T20" i="30" l="1"/>
  <c r="P20" i="30" s="1"/>
  <c r="T47" i="30"/>
  <c r="P47" i="30" s="1"/>
  <c r="T28" i="30"/>
  <c r="P28" i="30" s="1"/>
  <c r="T10" i="30"/>
  <c r="P10" i="30" s="1"/>
  <c r="T9" i="30"/>
  <c r="P9" i="30" s="1"/>
  <c r="T21" i="30"/>
  <c r="P21" i="30" s="1"/>
  <c r="T32" i="30"/>
  <c r="P32" i="30" s="1"/>
  <c r="W46" i="30"/>
  <c r="W47" i="30"/>
  <c r="Y47" i="30" s="1"/>
  <c r="AB47" i="30" l="1"/>
  <c r="Z47" i="30"/>
  <c r="V47" i="30"/>
  <c r="O162" i="28"/>
  <c r="AC47" i="30"/>
  <c r="X47" i="30"/>
  <c r="K50" i="56" s="1"/>
  <c r="AC46" i="30"/>
  <c r="Y46" i="30"/>
  <c r="AJ2" i="28"/>
  <c r="AA46" i="23" l="1"/>
  <c r="J50" i="56"/>
  <c r="L50" i="56" s="1"/>
  <c r="AK2" i="28"/>
  <c r="V21" i="30"/>
  <c r="AJ3" i="28"/>
  <c r="V20" i="30"/>
  <c r="V28" i="30"/>
  <c r="V10" i="30"/>
  <c r="H29" i="38"/>
  <c r="H30" i="38"/>
  <c r="H28" i="38"/>
  <c r="H27" i="38"/>
  <c r="AA9" i="23" l="1"/>
  <c r="J19" i="56"/>
  <c r="AA26" i="23"/>
  <c r="J15" i="56"/>
  <c r="AA18" i="23"/>
  <c r="J10" i="56"/>
  <c r="AA19" i="23"/>
  <c r="J33" i="56"/>
  <c r="AK3" i="28"/>
  <c r="V9" i="30"/>
  <c r="V32" i="30"/>
  <c r="AJ4" i="28"/>
  <c r="AA8" i="23" l="1"/>
  <c r="J18" i="56"/>
  <c r="AA29" i="23"/>
  <c r="J27" i="56"/>
  <c r="AK4" i="28"/>
  <c r="AJ5" i="28"/>
  <c r="AK5" i="28" l="1"/>
  <c r="O43" i="28"/>
  <c r="O115" i="28"/>
  <c r="O150" i="28"/>
  <c r="O109" i="28"/>
  <c r="O105" i="28"/>
  <c r="O103" i="28"/>
  <c r="O3" i="28"/>
  <c r="O137" i="28"/>
  <c r="O75" i="28"/>
  <c r="O84" i="28"/>
  <c r="O63" i="28"/>
  <c r="O107" i="28"/>
  <c r="O87" i="28"/>
  <c r="O7" i="28"/>
  <c r="O114" i="28"/>
  <c r="O70" i="28"/>
  <c r="O80" i="28"/>
  <c r="O2" i="28"/>
  <c r="O149" i="28"/>
  <c r="O146" i="28"/>
  <c r="O156" i="28"/>
  <c r="O134" i="28"/>
  <c r="O14" i="28"/>
  <c r="O124" i="28"/>
  <c r="O45" i="28"/>
  <c r="O73" i="28"/>
  <c r="O121" i="28"/>
  <c r="O89" i="28"/>
  <c r="O62" i="28"/>
  <c r="O123" i="28"/>
  <c r="O155" i="28"/>
  <c r="O119" i="28"/>
  <c r="O25" i="28"/>
  <c r="O100" i="28"/>
  <c r="O152" i="28"/>
  <c r="O140" i="28"/>
  <c r="O30" i="28"/>
  <c r="O135" i="28"/>
  <c r="O104" i="28"/>
  <c r="O142" i="28"/>
  <c r="O139" i="28"/>
  <c r="O144" i="28"/>
  <c r="O55" i="28"/>
  <c r="O44" i="28"/>
  <c r="O16" i="28"/>
  <c r="O97" i="28"/>
  <c r="O58" i="28"/>
  <c r="O69" i="28"/>
  <c r="O160" i="28"/>
  <c r="O161" i="28"/>
  <c r="O38" i="28"/>
  <c r="O72" i="28"/>
  <c r="O141" i="28"/>
  <c r="O128" i="28"/>
  <c r="O15" i="28"/>
  <c r="O64" i="28"/>
  <c r="O78" i="28"/>
  <c r="O8" i="28"/>
  <c r="O130" i="28"/>
  <c r="O29" i="28"/>
  <c r="O20" i="28"/>
  <c r="O143" i="28"/>
  <c r="O113" i="28"/>
  <c r="O117" i="28"/>
  <c r="O17" i="28"/>
  <c r="O71" i="28"/>
  <c r="O129" i="28"/>
  <c r="O42" i="28"/>
  <c r="O127" i="28"/>
  <c r="O91" i="28"/>
  <c r="O4" i="28"/>
  <c r="O5" i="28"/>
  <c r="O27" i="28"/>
  <c r="O92" i="28"/>
  <c r="O6" i="28"/>
  <c r="O94" i="28"/>
  <c r="O24" i="28"/>
  <c r="O106" i="28"/>
  <c r="O67" i="28"/>
  <c r="O157" i="28"/>
  <c r="O112" i="28"/>
  <c r="O110" i="28"/>
  <c r="O66" i="28"/>
  <c r="O132" i="28"/>
  <c r="O148" i="28"/>
  <c r="O118" i="28"/>
  <c r="O52" i="28"/>
  <c r="O11" i="28"/>
  <c r="O86" i="28"/>
  <c r="O76" i="28"/>
  <c r="O65" i="28"/>
  <c r="O21" i="28"/>
  <c r="O61" i="28"/>
  <c r="O151" i="28"/>
  <c r="O28" i="28"/>
  <c r="O145" i="28"/>
  <c r="O101" i="28"/>
  <c r="O153" i="28"/>
  <c r="O116" i="28"/>
  <c r="O23" i="28"/>
  <c r="O147" i="28"/>
  <c r="O47" i="28"/>
  <c r="O18" i="28"/>
  <c r="O32" i="28"/>
  <c r="O154" i="28"/>
  <c r="O131" i="28"/>
  <c r="O108" i="28"/>
  <c r="O96" i="28"/>
  <c r="O133" i="28"/>
  <c r="O53" i="28"/>
  <c r="O68" i="28"/>
  <c r="O99" i="28"/>
  <c r="O9" i="28"/>
  <c r="O26" i="28"/>
  <c r="O95" i="28"/>
  <c r="O98" i="28"/>
  <c r="O120" i="28"/>
  <c r="O50" i="28"/>
  <c r="O125" i="28"/>
  <c r="O12" i="28"/>
  <c r="O31" i="28"/>
  <c r="AJ6" i="28"/>
  <c r="A999" i="23"/>
  <c r="AH999" i="23"/>
  <c r="AI999" i="23"/>
  <c r="A80" i="23"/>
  <c r="A72" i="23"/>
  <c r="A79" i="23"/>
  <c r="A82" i="23"/>
  <c r="E66" i="56" s="1"/>
  <c r="A84" i="23"/>
  <c r="A86" i="23"/>
  <c r="A78" i="23"/>
  <c r="A81" i="23"/>
  <c r="A87" i="23"/>
  <c r="A83" i="23"/>
  <c r="A88" i="23"/>
  <c r="A90" i="23"/>
  <c r="A91" i="23"/>
  <c r="A89" i="23"/>
  <c r="A93" i="23"/>
  <c r="E101" i="56" s="1"/>
  <c r="A94" i="23"/>
  <c r="E102" i="56" s="1"/>
  <c r="A95" i="23"/>
  <c r="E103" i="56" s="1"/>
  <c r="A96" i="23"/>
  <c r="A98" i="23"/>
  <c r="A103" i="23"/>
  <c r="A104" i="23"/>
  <c r="A105" i="23"/>
  <c r="A106" i="23"/>
  <c r="A107" i="23"/>
  <c r="A108" i="23"/>
  <c r="A109" i="23"/>
  <c r="A110" i="23"/>
  <c r="A111" i="23"/>
  <c r="A112" i="23"/>
  <c r="A113" i="23"/>
  <c r="A114" i="23"/>
  <c r="A115" i="23"/>
  <c r="A116" i="23"/>
  <c r="A117" i="23"/>
  <c r="A118" i="23"/>
  <c r="A119" i="23"/>
  <c r="A120" i="23"/>
  <c r="A121" i="23"/>
  <c r="A122" i="23"/>
  <c r="A123" i="23"/>
  <c r="A124" i="23"/>
  <c r="A125" i="23"/>
  <c r="A126" i="23"/>
  <c r="A127" i="23"/>
  <c r="A128" i="23"/>
  <c r="A129" i="23"/>
  <c r="A130" i="23"/>
  <c r="A131" i="23"/>
  <c r="A132" i="23"/>
  <c r="A133" i="23"/>
  <c r="A134" i="23"/>
  <c r="A135" i="30" s="1"/>
  <c r="A135" i="23"/>
  <c r="A136" i="30" s="1"/>
  <c r="A136" i="23"/>
  <c r="A137" i="23"/>
  <c r="A137" i="30" s="1"/>
  <c r="A138" i="23"/>
  <c r="A138" i="30" s="1"/>
  <c r="A139" i="23"/>
  <c r="A139" i="30" s="1"/>
  <c r="A140" i="23"/>
  <c r="A140" i="30" s="1"/>
  <c r="A141" i="23"/>
  <c r="A141" i="30" s="1"/>
  <c r="A142" i="23"/>
  <c r="A142" i="30" s="1"/>
  <c r="A143" i="23"/>
  <c r="A143" i="30" s="1"/>
  <c r="A144" i="23"/>
  <c r="A144" i="30" s="1"/>
  <c r="A145" i="23"/>
  <c r="A145" i="30" s="1"/>
  <c r="A146" i="23"/>
  <c r="A146" i="30" s="1"/>
  <c r="A147" i="23"/>
  <c r="A147" i="30" s="1"/>
  <c r="A148" i="23"/>
  <c r="A148" i="30" s="1"/>
  <c r="A149" i="23"/>
  <c r="A149" i="30" s="1"/>
  <c r="A150" i="23"/>
  <c r="A150" i="30" s="1"/>
  <c r="A151" i="23"/>
  <c r="A151" i="30" s="1"/>
  <c r="A152" i="23"/>
  <c r="A152" i="30" s="1"/>
  <c r="A153" i="23"/>
  <c r="A153" i="30" s="1"/>
  <c r="A154" i="23"/>
  <c r="A154" i="30" s="1"/>
  <c r="A155" i="23"/>
  <c r="A155" i="30" s="1"/>
  <c r="A156" i="23"/>
  <c r="A156" i="30" s="1"/>
  <c r="A157" i="23"/>
  <c r="A157" i="30" s="1"/>
  <c r="A158" i="23"/>
  <c r="A159" i="23"/>
  <c r="A160" i="23"/>
  <c r="A158" i="30" s="1"/>
  <c r="A161" i="23"/>
  <c r="A159" i="30" s="1"/>
  <c r="A162" i="23"/>
  <c r="A160" i="30" s="1"/>
  <c r="A163" i="23"/>
  <c r="A164" i="23"/>
  <c r="A165" i="23"/>
  <c r="A166" i="23"/>
  <c r="A167" i="23"/>
  <c r="A168" i="23"/>
  <c r="A169" i="23"/>
  <c r="A170" i="23"/>
  <c r="A171" i="23"/>
  <c r="A172" i="23"/>
  <c r="A173" i="23"/>
  <c r="A174" i="23"/>
  <c r="A175" i="23"/>
  <c r="A176" i="23"/>
  <c r="A177" i="23"/>
  <c r="A178" i="23"/>
  <c r="A179" i="23"/>
  <c r="A180" i="23"/>
  <c r="A181" i="23"/>
  <c r="A182" i="23"/>
  <c r="A183" i="23"/>
  <c r="A184" i="23"/>
  <c r="A185" i="23"/>
  <c r="A186" i="23"/>
  <c r="A187" i="23"/>
  <c r="A188" i="23"/>
  <c r="A189" i="23"/>
  <c r="A190" i="23"/>
  <c r="A191" i="23"/>
  <c r="A192" i="23"/>
  <c r="A193" i="23"/>
  <c r="A194" i="23"/>
  <c r="A195" i="23"/>
  <c r="A196" i="23"/>
  <c r="A197" i="23"/>
  <c r="A198" i="23"/>
  <c r="A199" i="23"/>
  <c r="A200" i="23"/>
  <c r="A201" i="23"/>
  <c r="A202" i="23"/>
  <c r="A203" i="23"/>
  <c r="A204" i="23"/>
  <c r="A205" i="23"/>
  <c r="A206" i="23"/>
  <c r="A207" i="23"/>
  <c r="A208" i="23"/>
  <c r="A209" i="23"/>
  <c r="A210" i="23"/>
  <c r="A211" i="23"/>
  <c r="A212" i="23"/>
  <c r="A213" i="23"/>
  <c r="A214" i="23"/>
  <c r="A215" i="23"/>
  <c r="A216" i="23"/>
  <c r="A217" i="23"/>
  <c r="A218" i="23"/>
  <c r="A219" i="23"/>
  <c r="A220" i="23"/>
  <c r="A221" i="23"/>
  <c r="A222" i="23"/>
  <c r="A223" i="23"/>
  <c r="A224" i="23"/>
  <c r="A225" i="23"/>
  <c r="A226" i="23"/>
  <c r="A227" i="23"/>
  <c r="A228" i="23"/>
  <c r="A229" i="23"/>
  <c r="A230" i="23"/>
  <c r="A231" i="23"/>
  <c r="A232" i="23"/>
  <c r="A233" i="23"/>
  <c r="A234" i="23"/>
  <c r="A235" i="23"/>
  <c r="A236" i="23"/>
  <c r="A237" i="23"/>
  <c r="A238" i="23"/>
  <c r="A239" i="23"/>
  <c r="A240" i="23"/>
  <c r="A241" i="23"/>
  <c r="A242" i="23"/>
  <c r="A243" i="23"/>
  <c r="A244" i="23"/>
  <c r="A245" i="23"/>
  <c r="A246" i="23"/>
  <c r="A247" i="23"/>
  <c r="A248" i="23"/>
  <c r="A249" i="23"/>
  <c r="A250" i="23"/>
  <c r="A251" i="23"/>
  <c r="A252" i="23"/>
  <c r="A253" i="23"/>
  <c r="A254" i="23"/>
  <c r="A255" i="23"/>
  <c r="A256" i="23"/>
  <c r="A257" i="23"/>
  <c r="A258" i="23"/>
  <c r="A259" i="23"/>
  <c r="A260" i="23"/>
  <c r="A261" i="23"/>
  <c r="A262" i="23"/>
  <c r="A263" i="23"/>
  <c r="A264" i="23"/>
  <c r="A265" i="23"/>
  <c r="A266" i="23"/>
  <c r="A267" i="23"/>
  <c r="A268" i="23"/>
  <c r="A269" i="23"/>
  <c r="A270" i="23"/>
  <c r="A271" i="23"/>
  <c r="A272" i="23"/>
  <c r="A273" i="23"/>
  <c r="A274" i="23"/>
  <c r="A275" i="23"/>
  <c r="A276" i="23"/>
  <c r="A277" i="23"/>
  <c r="A278" i="23"/>
  <c r="A279" i="23"/>
  <c r="A280" i="23"/>
  <c r="A281" i="23"/>
  <c r="A282" i="23"/>
  <c r="A283" i="23"/>
  <c r="A284" i="23"/>
  <c r="A285" i="23"/>
  <c r="A286" i="23"/>
  <c r="A287" i="23"/>
  <c r="A288" i="23"/>
  <c r="A289" i="23"/>
  <c r="A290" i="23"/>
  <c r="A291" i="23"/>
  <c r="A292" i="23"/>
  <c r="A293" i="23"/>
  <c r="A294" i="23"/>
  <c r="A295" i="23"/>
  <c r="A296" i="23"/>
  <c r="A297" i="23"/>
  <c r="A298" i="23"/>
  <c r="A299" i="23"/>
  <c r="A300" i="23"/>
  <c r="A301" i="23"/>
  <c r="A302" i="23"/>
  <c r="A303" i="23"/>
  <c r="A304" i="23"/>
  <c r="A305" i="23"/>
  <c r="A306" i="23"/>
  <c r="A307" i="23"/>
  <c r="A308" i="23"/>
  <c r="A309" i="23"/>
  <c r="A310" i="23"/>
  <c r="A311" i="23"/>
  <c r="A312" i="23"/>
  <c r="A313" i="23"/>
  <c r="A314" i="23"/>
  <c r="A315" i="23"/>
  <c r="A316" i="23"/>
  <c r="A317" i="23"/>
  <c r="A318" i="23"/>
  <c r="A319" i="23"/>
  <c r="A320" i="23"/>
  <c r="A321" i="23"/>
  <c r="A322" i="23"/>
  <c r="A323" i="23"/>
  <c r="A324" i="23"/>
  <c r="A325" i="23"/>
  <c r="A326" i="23"/>
  <c r="A327" i="23"/>
  <c r="A328" i="23"/>
  <c r="A329" i="23"/>
  <c r="A330" i="23"/>
  <c r="A331" i="23"/>
  <c r="A332" i="23"/>
  <c r="A333" i="23"/>
  <c r="A334" i="23"/>
  <c r="A335" i="23"/>
  <c r="A336" i="23"/>
  <c r="A337" i="23"/>
  <c r="A338" i="23"/>
  <c r="A339" i="23"/>
  <c r="A340" i="23"/>
  <c r="A341" i="23"/>
  <c r="A342" i="23"/>
  <c r="A343" i="23"/>
  <c r="A344" i="23"/>
  <c r="A345" i="23"/>
  <c r="A346" i="23"/>
  <c r="A347" i="23"/>
  <c r="A348" i="23"/>
  <c r="A349" i="23"/>
  <c r="A350" i="23"/>
  <c r="A351" i="23"/>
  <c r="A352" i="23"/>
  <c r="A353" i="23"/>
  <c r="A354" i="23"/>
  <c r="A355" i="23"/>
  <c r="A356" i="23"/>
  <c r="A357" i="23"/>
  <c r="A358" i="23"/>
  <c r="A359" i="23"/>
  <c r="A360" i="23"/>
  <c r="A361" i="23"/>
  <c r="A362" i="23"/>
  <c r="A363" i="23"/>
  <c r="A364" i="23"/>
  <c r="A365" i="23"/>
  <c r="A366" i="23"/>
  <c r="A367" i="23"/>
  <c r="A368" i="23"/>
  <c r="A369" i="23"/>
  <c r="A370" i="23"/>
  <c r="A371" i="23"/>
  <c r="A372" i="23"/>
  <c r="A373" i="23"/>
  <c r="A374" i="23"/>
  <c r="A375" i="23"/>
  <c r="A376" i="23"/>
  <c r="A377" i="23"/>
  <c r="A378" i="23"/>
  <c r="A379" i="23"/>
  <c r="A380" i="23"/>
  <c r="A381" i="23"/>
  <c r="A382" i="23"/>
  <c r="A383" i="23"/>
  <c r="A384" i="23"/>
  <c r="A385" i="23"/>
  <c r="A386" i="23"/>
  <c r="A387" i="23"/>
  <c r="A388" i="23"/>
  <c r="A389" i="23"/>
  <c r="A390" i="23"/>
  <c r="A391" i="23"/>
  <c r="A392" i="23"/>
  <c r="A393" i="23"/>
  <c r="A394" i="23"/>
  <c r="A395" i="23"/>
  <c r="A396" i="23"/>
  <c r="A397" i="23"/>
  <c r="A398" i="23"/>
  <c r="A399" i="23"/>
  <c r="A400" i="23"/>
  <c r="A401" i="23"/>
  <c r="A402" i="23"/>
  <c r="A403" i="23"/>
  <c r="A404" i="23"/>
  <c r="A405" i="23"/>
  <c r="A406" i="23"/>
  <c r="A407" i="23"/>
  <c r="A408" i="23"/>
  <c r="A409" i="23"/>
  <c r="A410" i="23"/>
  <c r="A411" i="23"/>
  <c r="A412" i="23"/>
  <c r="A413" i="23"/>
  <c r="A414" i="23"/>
  <c r="A415" i="23"/>
  <c r="A416" i="23"/>
  <c r="A417" i="23"/>
  <c r="A418" i="23"/>
  <c r="A419" i="23"/>
  <c r="A420" i="23"/>
  <c r="A421" i="23"/>
  <c r="A422" i="23"/>
  <c r="A423" i="23"/>
  <c r="A424" i="23"/>
  <c r="A425" i="23"/>
  <c r="A426" i="23"/>
  <c r="A427" i="23"/>
  <c r="A428" i="23"/>
  <c r="A429" i="23"/>
  <c r="A430" i="23"/>
  <c r="A431" i="23"/>
  <c r="A432" i="23"/>
  <c r="A433" i="23"/>
  <c r="A434" i="23"/>
  <c r="A435" i="23"/>
  <c r="A436" i="23"/>
  <c r="A437" i="23"/>
  <c r="A438" i="23"/>
  <c r="A439" i="23"/>
  <c r="A440" i="23"/>
  <c r="A441" i="23"/>
  <c r="A442" i="23"/>
  <c r="A443" i="23"/>
  <c r="A444" i="23"/>
  <c r="A445" i="23"/>
  <c r="A446" i="23"/>
  <c r="A447" i="23"/>
  <c r="A448" i="23"/>
  <c r="A449" i="23"/>
  <c r="A450" i="23"/>
  <c r="A451" i="23"/>
  <c r="A452" i="23"/>
  <c r="A453" i="23"/>
  <c r="A454" i="23"/>
  <c r="A455" i="23"/>
  <c r="A456" i="23"/>
  <c r="A457" i="23"/>
  <c r="A458" i="23"/>
  <c r="A459" i="23"/>
  <c r="A460" i="23"/>
  <c r="A461" i="23"/>
  <c r="A462" i="23"/>
  <c r="A463" i="23"/>
  <c r="A464" i="23"/>
  <c r="A465" i="23"/>
  <c r="A466" i="23"/>
  <c r="A467" i="23"/>
  <c r="A468" i="23"/>
  <c r="A469" i="23"/>
  <c r="A470" i="23"/>
  <c r="A471" i="23"/>
  <c r="A472" i="23"/>
  <c r="A473" i="23"/>
  <c r="A474" i="23"/>
  <c r="A475" i="23"/>
  <c r="A476" i="23"/>
  <c r="A477" i="23"/>
  <c r="A478" i="23"/>
  <c r="A479" i="23"/>
  <c r="A480" i="23"/>
  <c r="A481" i="23"/>
  <c r="A482" i="23"/>
  <c r="A483" i="23"/>
  <c r="A484" i="23"/>
  <c r="A485" i="23"/>
  <c r="A486" i="23"/>
  <c r="A487" i="23"/>
  <c r="A488" i="23"/>
  <c r="A489" i="23"/>
  <c r="A490" i="23"/>
  <c r="A491" i="23"/>
  <c r="A492" i="23"/>
  <c r="A493" i="23"/>
  <c r="A494" i="23"/>
  <c r="A495" i="23"/>
  <c r="A496" i="23"/>
  <c r="A497" i="23"/>
  <c r="A498" i="23"/>
  <c r="A499" i="23"/>
  <c r="A500" i="23"/>
  <c r="A501" i="23"/>
  <c r="A502" i="23"/>
  <c r="A503" i="23"/>
  <c r="A504" i="23"/>
  <c r="A505" i="23"/>
  <c r="A506" i="23"/>
  <c r="A507" i="23"/>
  <c r="A508" i="23"/>
  <c r="A509" i="23"/>
  <c r="A510" i="23"/>
  <c r="A511" i="23"/>
  <c r="A512" i="23"/>
  <c r="A513" i="23"/>
  <c r="A514" i="23"/>
  <c r="A515" i="23"/>
  <c r="A516" i="23"/>
  <c r="A517" i="23"/>
  <c r="A518" i="23"/>
  <c r="A519" i="23"/>
  <c r="A520" i="23"/>
  <c r="A521" i="23"/>
  <c r="A522" i="23"/>
  <c r="A523" i="23"/>
  <c r="A524" i="23"/>
  <c r="A525" i="23"/>
  <c r="A526" i="23"/>
  <c r="A527" i="23"/>
  <c r="A528" i="23"/>
  <c r="A529" i="23"/>
  <c r="A530" i="23"/>
  <c r="A531" i="23"/>
  <c r="A532" i="23"/>
  <c r="A533" i="23"/>
  <c r="A534" i="23"/>
  <c r="A535" i="23"/>
  <c r="A536" i="23"/>
  <c r="A537" i="23"/>
  <c r="A538" i="23"/>
  <c r="A539" i="23"/>
  <c r="A540" i="23"/>
  <c r="A541" i="23"/>
  <c r="A542" i="23"/>
  <c r="A543" i="23"/>
  <c r="A544" i="23"/>
  <c r="A545" i="23"/>
  <c r="A546" i="23"/>
  <c r="A547" i="23"/>
  <c r="A548" i="23"/>
  <c r="A549" i="23"/>
  <c r="A550" i="23"/>
  <c r="A551" i="23"/>
  <c r="A552" i="23"/>
  <c r="A553" i="23"/>
  <c r="A554" i="23"/>
  <c r="A555" i="23"/>
  <c r="A556" i="23"/>
  <c r="A557" i="23"/>
  <c r="A558" i="23"/>
  <c r="A559" i="23"/>
  <c r="A560" i="23"/>
  <c r="A561" i="23"/>
  <c r="A562" i="23"/>
  <c r="A563" i="23"/>
  <c r="A564" i="23"/>
  <c r="A565" i="23"/>
  <c r="A566" i="23"/>
  <c r="A567" i="23"/>
  <c r="A568" i="23"/>
  <c r="A569" i="23"/>
  <c r="A570" i="23"/>
  <c r="A571" i="23"/>
  <c r="A572" i="23"/>
  <c r="A573" i="23"/>
  <c r="A574" i="23"/>
  <c r="A575" i="23"/>
  <c r="A576" i="23"/>
  <c r="A577" i="23"/>
  <c r="A578" i="23"/>
  <c r="A579" i="23"/>
  <c r="A580" i="23"/>
  <c r="A581" i="23"/>
  <c r="A582" i="23"/>
  <c r="A583" i="23"/>
  <c r="A584" i="23"/>
  <c r="A585" i="23"/>
  <c r="A586" i="23"/>
  <c r="A587" i="23"/>
  <c r="A588" i="23"/>
  <c r="A589" i="23"/>
  <c r="A590" i="23"/>
  <c r="A591" i="23"/>
  <c r="A592" i="23"/>
  <c r="A593" i="23"/>
  <c r="A594" i="23"/>
  <c r="A595" i="23"/>
  <c r="A596" i="23"/>
  <c r="A597" i="23"/>
  <c r="A598" i="23"/>
  <c r="A599" i="23"/>
  <c r="A600" i="23"/>
  <c r="A601" i="23"/>
  <c r="A602" i="23"/>
  <c r="A603" i="23"/>
  <c r="A604" i="23"/>
  <c r="A605" i="23"/>
  <c r="A606" i="23"/>
  <c r="A607" i="23"/>
  <c r="A608" i="23"/>
  <c r="A609" i="23"/>
  <c r="A610" i="23"/>
  <c r="A611" i="23"/>
  <c r="A612" i="23"/>
  <c r="A613" i="23"/>
  <c r="A614" i="23"/>
  <c r="A615" i="23"/>
  <c r="A616" i="23"/>
  <c r="A617" i="23"/>
  <c r="A618" i="23"/>
  <c r="A619" i="23"/>
  <c r="A620" i="23"/>
  <c r="A621" i="23"/>
  <c r="A622" i="23"/>
  <c r="A623" i="23"/>
  <c r="A624" i="23"/>
  <c r="A625" i="23"/>
  <c r="A626" i="23"/>
  <c r="A627" i="23"/>
  <c r="A628" i="23"/>
  <c r="A629" i="23"/>
  <c r="A630" i="23"/>
  <c r="A631" i="23"/>
  <c r="A632" i="23"/>
  <c r="A633" i="23"/>
  <c r="A634" i="23"/>
  <c r="A635" i="23"/>
  <c r="A636" i="23"/>
  <c r="A637" i="23"/>
  <c r="A638" i="23"/>
  <c r="A639" i="23"/>
  <c r="A640" i="23"/>
  <c r="A641" i="23"/>
  <c r="A642" i="23"/>
  <c r="A643" i="23"/>
  <c r="A644" i="23"/>
  <c r="A645" i="23"/>
  <c r="A646" i="23"/>
  <c r="A647" i="23"/>
  <c r="A648" i="23"/>
  <c r="A649" i="23"/>
  <c r="A650" i="23"/>
  <c r="A651" i="23"/>
  <c r="A652" i="23"/>
  <c r="A653" i="23"/>
  <c r="A654" i="23"/>
  <c r="A655" i="23"/>
  <c r="A656" i="23"/>
  <c r="A657" i="23"/>
  <c r="A658" i="23"/>
  <c r="A659" i="23"/>
  <c r="A660" i="23"/>
  <c r="A661" i="23"/>
  <c r="A662" i="23"/>
  <c r="A663" i="23"/>
  <c r="A664" i="23"/>
  <c r="A665" i="23"/>
  <c r="A666" i="23"/>
  <c r="A667" i="23"/>
  <c r="A668" i="23"/>
  <c r="A669" i="23"/>
  <c r="A670" i="23"/>
  <c r="A671" i="23"/>
  <c r="A672" i="23"/>
  <c r="A673" i="23"/>
  <c r="A674" i="23"/>
  <c r="A675" i="23"/>
  <c r="A676" i="23"/>
  <c r="A677" i="23"/>
  <c r="A678" i="23"/>
  <c r="A679" i="23"/>
  <c r="A680" i="23"/>
  <c r="A681" i="23"/>
  <c r="A682" i="23"/>
  <c r="A683" i="23"/>
  <c r="A684" i="23"/>
  <c r="A685" i="23"/>
  <c r="A686" i="23"/>
  <c r="A687" i="23"/>
  <c r="A688" i="23"/>
  <c r="A689" i="23"/>
  <c r="A690" i="23"/>
  <c r="A691" i="23"/>
  <c r="A692" i="23"/>
  <c r="A693" i="23"/>
  <c r="A694" i="23"/>
  <c r="A695" i="23"/>
  <c r="A696" i="23"/>
  <c r="A697" i="23"/>
  <c r="A698" i="23"/>
  <c r="A699" i="23"/>
  <c r="A700" i="23"/>
  <c r="A701" i="23"/>
  <c r="A702" i="23"/>
  <c r="A703" i="23"/>
  <c r="A704" i="23"/>
  <c r="A705" i="23"/>
  <c r="A706" i="23"/>
  <c r="A707" i="23"/>
  <c r="A708" i="23"/>
  <c r="A709" i="23"/>
  <c r="A710" i="23"/>
  <c r="A711" i="23"/>
  <c r="A712" i="23"/>
  <c r="A713" i="23"/>
  <c r="A714" i="23"/>
  <c r="A715" i="23"/>
  <c r="A716" i="23"/>
  <c r="A717" i="23"/>
  <c r="A718" i="23"/>
  <c r="A719" i="23"/>
  <c r="A720" i="23"/>
  <c r="A721" i="23"/>
  <c r="A722" i="23"/>
  <c r="A723" i="23"/>
  <c r="A724" i="23"/>
  <c r="A725" i="23"/>
  <c r="A726" i="23"/>
  <c r="A727" i="23"/>
  <c r="A728" i="23"/>
  <c r="A729" i="23"/>
  <c r="A730" i="23"/>
  <c r="A731" i="23"/>
  <c r="A732" i="23"/>
  <c r="A733" i="23"/>
  <c r="A734" i="23"/>
  <c r="A735" i="23"/>
  <c r="A736" i="23"/>
  <c r="A737" i="23"/>
  <c r="A738" i="23"/>
  <c r="A739" i="23"/>
  <c r="A740" i="23"/>
  <c r="A741" i="23"/>
  <c r="A742" i="23"/>
  <c r="A743" i="23"/>
  <c r="A744" i="23"/>
  <c r="A745" i="23"/>
  <c r="A746" i="23"/>
  <c r="A747" i="23"/>
  <c r="A748" i="23"/>
  <c r="A749" i="23"/>
  <c r="A750" i="23"/>
  <c r="A751" i="23"/>
  <c r="A752" i="23"/>
  <c r="A753" i="23"/>
  <c r="A754" i="23"/>
  <c r="A755" i="23"/>
  <c r="A756" i="23"/>
  <c r="A757" i="23"/>
  <c r="A758" i="23"/>
  <c r="A759" i="23"/>
  <c r="A760" i="23"/>
  <c r="A761" i="23"/>
  <c r="A762" i="23"/>
  <c r="A763" i="23"/>
  <c r="A764" i="23"/>
  <c r="A765" i="23"/>
  <c r="A766" i="23"/>
  <c r="A767" i="23"/>
  <c r="A768" i="23"/>
  <c r="A769" i="23"/>
  <c r="A770" i="23"/>
  <c r="A771" i="23"/>
  <c r="A772" i="23"/>
  <c r="A773" i="23"/>
  <c r="A774" i="23"/>
  <c r="A775" i="23"/>
  <c r="A776" i="23"/>
  <c r="A777" i="23"/>
  <c r="A778" i="23"/>
  <c r="A779" i="23"/>
  <c r="A780" i="23"/>
  <c r="A781" i="23"/>
  <c r="A782" i="23"/>
  <c r="A783" i="23"/>
  <c r="A784" i="23"/>
  <c r="A785" i="23"/>
  <c r="A786" i="23"/>
  <c r="A787" i="23"/>
  <c r="A788" i="23"/>
  <c r="A789" i="23"/>
  <c r="A790" i="23"/>
  <c r="A791" i="23"/>
  <c r="A792" i="23"/>
  <c r="A793" i="23"/>
  <c r="A794" i="23"/>
  <c r="A795" i="23"/>
  <c r="A796" i="23"/>
  <c r="A797" i="23"/>
  <c r="A798" i="23"/>
  <c r="A799" i="23"/>
  <c r="A800" i="23"/>
  <c r="A801" i="23"/>
  <c r="A802" i="23"/>
  <c r="A803" i="23"/>
  <c r="A804" i="23"/>
  <c r="A805" i="23"/>
  <c r="A806" i="23"/>
  <c r="A807" i="23"/>
  <c r="A808" i="23"/>
  <c r="A809" i="23"/>
  <c r="A810" i="23"/>
  <c r="A811" i="23"/>
  <c r="A812" i="23"/>
  <c r="A813" i="23"/>
  <c r="A814" i="23"/>
  <c r="A815" i="23"/>
  <c r="A816" i="23"/>
  <c r="A817" i="23"/>
  <c r="A818" i="23"/>
  <c r="A819" i="23"/>
  <c r="A820" i="23"/>
  <c r="A821" i="23"/>
  <c r="A822" i="23"/>
  <c r="A823" i="23"/>
  <c r="A824" i="23"/>
  <c r="A825" i="23"/>
  <c r="A826" i="23"/>
  <c r="A827" i="23"/>
  <c r="A828" i="23"/>
  <c r="A829" i="23"/>
  <c r="A830" i="23"/>
  <c r="A831" i="23"/>
  <c r="A832" i="23"/>
  <c r="A833" i="23"/>
  <c r="A834" i="23"/>
  <c r="A835" i="23"/>
  <c r="A836" i="23"/>
  <c r="A837" i="23"/>
  <c r="A838" i="23"/>
  <c r="A839" i="23"/>
  <c r="A840" i="23"/>
  <c r="A841" i="23"/>
  <c r="A842" i="23"/>
  <c r="A843" i="23"/>
  <c r="A844" i="23"/>
  <c r="A845" i="23"/>
  <c r="A846" i="23"/>
  <c r="A847" i="23"/>
  <c r="A848" i="23"/>
  <c r="A849" i="23"/>
  <c r="A850" i="23"/>
  <c r="A851" i="23"/>
  <c r="A852" i="23"/>
  <c r="A853" i="23"/>
  <c r="A854" i="23"/>
  <c r="A855" i="23"/>
  <c r="A856" i="23"/>
  <c r="A857" i="23"/>
  <c r="A858" i="23"/>
  <c r="A859" i="23"/>
  <c r="A860" i="23"/>
  <c r="A861" i="23"/>
  <c r="A862" i="23"/>
  <c r="A863" i="23"/>
  <c r="A864" i="23"/>
  <c r="A865" i="23"/>
  <c r="A866" i="23"/>
  <c r="A867" i="23"/>
  <c r="A868" i="23"/>
  <c r="A869" i="23"/>
  <c r="A870" i="23"/>
  <c r="A871" i="23"/>
  <c r="A872" i="23"/>
  <c r="A873" i="23"/>
  <c r="A874" i="23"/>
  <c r="A875" i="23"/>
  <c r="A876" i="23"/>
  <c r="A877" i="23"/>
  <c r="A878" i="23"/>
  <c r="A879" i="23"/>
  <c r="A880" i="23"/>
  <c r="A881" i="23"/>
  <c r="A882" i="23"/>
  <c r="A883" i="23"/>
  <c r="A884" i="23"/>
  <c r="A885" i="23"/>
  <c r="A886" i="23"/>
  <c r="A887" i="23"/>
  <c r="A888" i="23"/>
  <c r="A889" i="23"/>
  <c r="A890" i="23"/>
  <c r="A891" i="23"/>
  <c r="A892" i="23"/>
  <c r="A893" i="23"/>
  <c r="A894" i="23"/>
  <c r="A895" i="23"/>
  <c r="A896" i="23"/>
  <c r="A897" i="23"/>
  <c r="A898" i="23"/>
  <c r="A899" i="23"/>
  <c r="A900" i="23"/>
  <c r="A901" i="23"/>
  <c r="A902" i="23"/>
  <c r="A903" i="23"/>
  <c r="A904" i="23"/>
  <c r="A905" i="23"/>
  <c r="A906" i="23"/>
  <c r="A907" i="23"/>
  <c r="A908" i="23"/>
  <c r="A909" i="23"/>
  <c r="A910" i="23"/>
  <c r="A911" i="23"/>
  <c r="A912" i="23"/>
  <c r="A913" i="23"/>
  <c r="A914" i="23"/>
  <c r="A915" i="23"/>
  <c r="A916" i="23"/>
  <c r="A917" i="23"/>
  <c r="A918" i="23"/>
  <c r="A919" i="23"/>
  <c r="A920" i="23"/>
  <c r="A921" i="23"/>
  <c r="A922" i="23"/>
  <c r="A923" i="23"/>
  <c r="A924" i="23"/>
  <c r="A925" i="23"/>
  <c r="A926" i="23"/>
  <c r="A927" i="23"/>
  <c r="A928" i="23"/>
  <c r="A929" i="23"/>
  <c r="A930" i="23"/>
  <c r="A931" i="23"/>
  <c r="A932" i="23"/>
  <c r="A933" i="23"/>
  <c r="A934" i="23"/>
  <c r="A935" i="23"/>
  <c r="A936" i="23"/>
  <c r="A937" i="23"/>
  <c r="A938" i="23"/>
  <c r="A939" i="23"/>
  <c r="A940" i="23"/>
  <c r="A941" i="23"/>
  <c r="A942" i="23"/>
  <c r="A943" i="23"/>
  <c r="A944" i="23"/>
  <c r="A945" i="23"/>
  <c r="A946" i="23"/>
  <c r="A947" i="23"/>
  <c r="A948" i="23"/>
  <c r="A949" i="23"/>
  <c r="A950" i="23"/>
  <c r="A951" i="23"/>
  <c r="A952" i="23"/>
  <c r="A953" i="23"/>
  <c r="A954" i="23"/>
  <c r="A955" i="23"/>
  <c r="A956" i="23"/>
  <c r="A957" i="23"/>
  <c r="A958" i="23"/>
  <c r="A959" i="23"/>
  <c r="A960" i="23"/>
  <c r="A961" i="23"/>
  <c r="A962" i="23"/>
  <c r="A963" i="23"/>
  <c r="A964" i="23"/>
  <c r="A965" i="23"/>
  <c r="A966" i="23"/>
  <c r="A967" i="23"/>
  <c r="A968" i="23"/>
  <c r="A969" i="23"/>
  <c r="A970" i="23"/>
  <c r="A971" i="23"/>
  <c r="A972" i="23"/>
  <c r="A973" i="23"/>
  <c r="A974" i="23"/>
  <c r="A975" i="23"/>
  <c r="A976" i="23"/>
  <c r="A977" i="23"/>
  <c r="A978" i="23"/>
  <c r="A979" i="23"/>
  <c r="A980" i="23"/>
  <c r="A981" i="23"/>
  <c r="A982" i="23"/>
  <c r="A983" i="23"/>
  <c r="A984" i="23"/>
  <c r="A985" i="23"/>
  <c r="A986" i="23"/>
  <c r="A987" i="23"/>
  <c r="A988" i="23"/>
  <c r="A989" i="23"/>
  <c r="A990" i="23"/>
  <c r="A991" i="23"/>
  <c r="A992" i="23"/>
  <c r="A993" i="23"/>
  <c r="A994" i="23"/>
  <c r="A995" i="23"/>
  <c r="A996" i="23"/>
  <c r="A997" i="23"/>
  <c r="A998" i="23"/>
  <c r="AH80" i="23"/>
  <c r="AH72" i="23"/>
  <c r="AH82" i="23"/>
  <c r="AH84" i="23"/>
  <c r="AH86" i="23"/>
  <c r="AH78" i="23"/>
  <c r="AH81" i="23"/>
  <c r="AH87" i="23"/>
  <c r="AH83" i="23"/>
  <c r="AH88" i="23"/>
  <c r="AH90" i="23"/>
  <c r="AH91" i="23"/>
  <c r="AH89" i="23"/>
  <c r="AH95" i="23"/>
  <c r="AH96" i="23"/>
  <c r="AH98" i="23"/>
  <c r="AH4" i="23"/>
  <c r="AH103" i="23"/>
  <c r="AH104" i="23"/>
  <c r="AH105" i="23"/>
  <c r="AH106" i="23"/>
  <c r="AH107" i="23"/>
  <c r="AH108" i="23"/>
  <c r="AH109" i="23"/>
  <c r="AH110" i="23"/>
  <c r="AH111" i="23"/>
  <c r="AH112" i="23"/>
  <c r="AH113" i="23"/>
  <c r="AH114" i="23"/>
  <c r="AH115" i="23"/>
  <c r="AH116" i="23"/>
  <c r="AH117" i="23"/>
  <c r="AH118" i="23"/>
  <c r="AH119" i="23"/>
  <c r="AH120" i="23"/>
  <c r="AH121" i="23"/>
  <c r="AH122" i="23"/>
  <c r="AH123" i="23"/>
  <c r="AH124" i="23"/>
  <c r="AH125" i="23"/>
  <c r="AH126" i="23"/>
  <c r="AH127" i="23"/>
  <c r="AH128" i="23"/>
  <c r="AH129" i="23"/>
  <c r="AH130" i="23"/>
  <c r="AH131" i="23"/>
  <c r="AH132" i="23"/>
  <c r="AH133" i="23"/>
  <c r="AH134" i="23"/>
  <c r="AH135" i="23"/>
  <c r="AH136" i="23"/>
  <c r="AH137" i="23"/>
  <c r="AH138" i="23"/>
  <c r="AH139" i="23"/>
  <c r="AH140" i="23"/>
  <c r="AH141" i="23"/>
  <c r="AH142" i="23"/>
  <c r="AH143" i="23"/>
  <c r="AH144" i="23"/>
  <c r="AH145" i="23"/>
  <c r="AH146" i="23"/>
  <c r="AH147" i="23"/>
  <c r="AH148" i="23"/>
  <c r="AH149" i="23"/>
  <c r="AH150" i="23"/>
  <c r="AH151" i="23"/>
  <c r="AH152" i="23"/>
  <c r="AH153" i="23"/>
  <c r="AH154" i="23"/>
  <c r="AH155" i="23"/>
  <c r="AH156" i="23"/>
  <c r="AH157" i="23"/>
  <c r="AH158" i="23"/>
  <c r="AH159" i="23"/>
  <c r="AH160" i="23"/>
  <c r="AH161" i="23"/>
  <c r="AH162" i="23"/>
  <c r="AH163" i="23"/>
  <c r="AH164" i="23"/>
  <c r="AH165" i="23"/>
  <c r="AH166" i="23"/>
  <c r="AH167" i="23"/>
  <c r="AH168" i="23"/>
  <c r="AH169" i="23"/>
  <c r="AH170" i="23"/>
  <c r="AH171" i="23"/>
  <c r="AH172" i="23"/>
  <c r="AH173" i="23"/>
  <c r="AH174" i="23"/>
  <c r="AH175" i="23"/>
  <c r="AH176" i="23"/>
  <c r="AH177" i="23"/>
  <c r="AH178" i="23"/>
  <c r="AH179" i="23"/>
  <c r="AH180" i="23"/>
  <c r="AH181" i="23"/>
  <c r="AH182" i="23"/>
  <c r="AH183" i="23"/>
  <c r="AH184" i="23"/>
  <c r="AH185" i="23"/>
  <c r="AH186" i="23"/>
  <c r="AH187" i="23"/>
  <c r="AH188" i="23"/>
  <c r="AH189" i="23"/>
  <c r="AH190" i="23"/>
  <c r="AH191" i="23"/>
  <c r="AH192" i="23"/>
  <c r="AH193" i="23"/>
  <c r="AH194" i="23"/>
  <c r="AH195" i="23"/>
  <c r="AH196" i="23"/>
  <c r="AH197" i="23"/>
  <c r="AH198" i="23"/>
  <c r="AH199" i="23"/>
  <c r="AH200" i="23"/>
  <c r="AH201" i="23"/>
  <c r="AH202" i="23"/>
  <c r="AH203" i="23"/>
  <c r="AH204" i="23"/>
  <c r="AH205" i="23"/>
  <c r="AH206" i="23"/>
  <c r="AH207" i="23"/>
  <c r="AH208" i="23"/>
  <c r="AH209" i="23"/>
  <c r="AH210" i="23"/>
  <c r="AH211" i="23"/>
  <c r="AH212" i="23"/>
  <c r="AH213" i="23"/>
  <c r="AH214" i="23"/>
  <c r="AH215" i="23"/>
  <c r="AH216" i="23"/>
  <c r="AH217" i="23"/>
  <c r="AH218" i="23"/>
  <c r="AH219" i="23"/>
  <c r="AH220" i="23"/>
  <c r="AH221" i="23"/>
  <c r="AH222" i="23"/>
  <c r="AH223" i="23"/>
  <c r="AH224" i="23"/>
  <c r="AH225" i="23"/>
  <c r="AH226" i="23"/>
  <c r="AH227" i="23"/>
  <c r="AH228" i="23"/>
  <c r="AH229" i="23"/>
  <c r="AH230" i="23"/>
  <c r="AH231" i="23"/>
  <c r="AH232" i="23"/>
  <c r="AH233" i="23"/>
  <c r="AH234" i="23"/>
  <c r="AH235" i="23"/>
  <c r="AH236" i="23"/>
  <c r="AH237" i="23"/>
  <c r="AH238" i="23"/>
  <c r="AH239" i="23"/>
  <c r="AH240" i="23"/>
  <c r="AH241" i="23"/>
  <c r="AH242" i="23"/>
  <c r="AH243" i="23"/>
  <c r="AH244" i="23"/>
  <c r="AH245" i="23"/>
  <c r="AH246" i="23"/>
  <c r="AH247" i="23"/>
  <c r="AH248" i="23"/>
  <c r="AH249" i="23"/>
  <c r="AH250" i="23"/>
  <c r="AH251" i="23"/>
  <c r="AH252" i="23"/>
  <c r="AH253" i="23"/>
  <c r="AH254" i="23"/>
  <c r="AH255" i="23"/>
  <c r="AH256" i="23"/>
  <c r="AH257" i="23"/>
  <c r="AH258" i="23"/>
  <c r="AH259" i="23"/>
  <c r="AH260" i="23"/>
  <c r="AH261" i="23"/>
  <c r="AH262" i="23"/>
  <c r="AH263" i="23"/>
  <c r="AH264" i="23"/>
  <c r="AH265" i="23"/>
  <c r="AH266" i="23"/>
  <c r="AH267" i="23"/>
  <c r="AH268" i="23"/>
  <c r="AH269" i="23"/>
  <c r="AH270" i="23"/>
  <c r="AH271" i="23"/>
  <c r="AH272" i="23"/>
  <c r="AH273" i="23"/>
  <c r="AH274" i="23"/>
  <c r="AH275" i="23"/>
  <c r="AH276" i="23"/>
  <c r="AH277" i="23"/>
  <c r="AH278" i="23"/>
  <c r="AH279" i="23"/>
  <c r="AH280" i="23"/>
  <c r="AH281" i="23"/>
  <c r="AH282" i="23"/>
  <c r="AH283" i="23"/>
  <c r="AH284" i="23"/>
  <c r="AH285" i="23"/>
  <c r="AH286" i="23"/>
  <c r="AH287" i="23"/>
  <c r="AH288" i="23"/>
  <c r="AH289" i="23"/>
  <c r="AH290" i="23"/>
  <c r="AH291" i="23"/>
  <c r="AH292" i="23"/>
  <c r="AH293" i="23"/>
  <c r="AH294" i="23"/>
  <c r="AH295" i="23"/>
  <c r="AH296" i="23"/>
  <c r="AH297" i="23"/>
  <c r="AH298" i="23"/>
  <c r="AH299" i="23"/>
  <c r="AH300" i="23"/>
  <c r="AH301" i="23"/>
  <c r="AH302" i="23"/>
  <c r="AH303" i="23"/>
  <c r="AH304" i="23"/>
  <c r="AH305" i="23"/>
  <c r="AH306" i="23"/>
  <c r="AH307" i="23"/>
  <c r="AH308" i="23"/>
  <c r="AH309" i="23"/>
  <c r="AH310" i="23"/>
  <c r="AH311" i="23"/>
  <c r="AH312" i="23"/>
  <c r="AH313" i="23"/>
  <c r="AH314" i="23"/>
  <c r="AH315" i="23"/>
  <c r="AH316" i="23"/>
  <c r="AH317" i="23"/>
  <c r="AH318" i="23"/>
  <c r="AH319" i="23"/>
  <c r="AH320" i="23"/>
  <c r="AH321" i="23"/>
  <c r="AH322" i="23"/>
  <c r="AH323" i="23"/>
  <c r="AH324" i="23"/>
  <c r="AH325" i="23"/>
  <c r="AH326" i="23"/>
  <c r="AH327" i="23"/>
  <c r="AH328" i="23"/>
  <c r="AH329" i="23"/>
  <c r="AH330" i="23"/>
  <c r="AH331" i="23"/>
  <c r="AH332" i="23"/>
  <c r="AH333" i="23"/>
  <c r="AH334" i="23"/>
  <c r="AH335" i="23"/>
  <c r="AH336" i="23"/>
  <c r="AH337" i="23"/>
  <c r="AH338" i="23"/>
  <c r="AH339" i="23"/>
  <c r="AH340" i="23"/>
  <c r="AH341" i="23"/>
  <c r="AH342" i="23"/>
  <c r="AH343" i="23"/>
  <c r="AH344" i="23"/>
  <c r="AH345" i="23"/>
  <c r="AH346" i="23"/>
  <c r="AH347" i="23"/>
  <c r="AH348" i="23"/>
  <c r="AH349" i="23"/>
  <c r="AH350" i="23"/>
  <c r="AH351" i="23"/>
  <c r="AH352" i="23"/>
  <c r="AH353" i="23"/>
  <c r="AH354" i="23"/>
  <c r="AH355" i="23"/>
  <c r="AH356" i="23"/>
  <c r="AH357" i="23"/>
  <c r="AH358" i="23"/>
  <c r="AH359" i="23"/>
  <c r="AH360" i="23"/>
  <c r="AH361" i="23"/>
  <c r="AH362" i="23"/>
  <c r="AH363" i="23"/>
  <c r="AH364" i="23"/>
  <c r="AH365" i="23"/>
  <c r="AH366" i="23"/>
  <c r="AH367" i="23"/>
  <c r="AH368" i="23"/>
  <c r="AH369" i="23"/>
  <c r="AH370" i="23"/>
  <c r="AH371" i="23"/>
  <c r="AH372" i="23"/>
  <c r="AH373" i="23"/>
  <c r="AH374" i="23"/>
  <c r="AH375" i="23"/>
  <c r="AH376" i="23"/>
  <c r="AH377" i="23"/>
  <c r="AH378" i="23"/>
  <c r="AH379" i="23"/>
  <c r="AH380" i="23"/>
  <c r="AH381" i="23"/>
  <c r="AH382" i="23"/>
  <c r="AH383" i="23"/>
  <c r="AH384" i="23"/>
  <c r="AH385" i="23"/>
  <c r="AH386" i="23"/>
  <c r="AH387" i="23"/>
  <c r="AH388" i="23"/>
  <c r="AH389" i="23"/>
  <c r="AH390" i="23"/>
  <c r="AH391" i="23"/>
  <c r="AH392" i="23"/>
  <c r="AH393" i="23"/>
  <c r="AH394" i="23"/>
  <c r="AH395" i="23"/>
  <c r="AH396" i="23"/>
  <c r="AH397" i="23"/>
  <c r="AH398" i="23"/>
  <c r="AH399" i="23"/>
  <c r="AH400" i="23"/>
  <c r="AH401" i="23"/>
  <c r="AH402" i="23"/>
  <c r="AH403" i="23"/>
  <c r="AH404" i="23"/>
  <c r="AH405" i="23"/>
  <c r="AH406" i="23"/>
  <c r="AH407" i="23"/>
  <c r="AH408" i="23"/>
  <c r="AH409" i="23"/>
  <c r="AH410" i="23"/>
  <c r="AH411" i="23"/>
  <c r="AH412" i="23"/>
  <c r="AH413" i="23"/>
  <c r="AH414" i="23"/>
  <c r="AH415" i="23"/>
  <c r="AH416" i="23"/>
  <c r="AH417" i="23"/>
  <c r="AH418" i="23"/>
  <c r="AH419" i="23"/>
  <c r="AH420" i="23"/>
  <c r="AH421" i="23"/>
  <c r="AH422" i="23"/>
  <c r="AH423" i="23"/>
  <c r="AH424" i="23"/>
  <c r="AH425" i="23"/>
  <c r="AH426" i="23"/>
  <c r="AH427" i="23"/>
  <c r="AH428" i="23"/>
  <c r="AH429" i="23"/>
  <c r="AH430" i="23"/>
  <c r="AH431" i="23"/>
  <c r="AH432" i="23"/>
  <c r="AH433" i="23"/>
  <c r="AH434" i="23"/>
  <c r="AH435" i="23"/>
  <c r="AH436" i="23"/>
  <c r="AH437" i="23"/>
  <c r="AH438" i="23"/>
  <c r="AH439" i="23"/>
  <c r="AH440" i="23"/>
  <c r="AH441" i="23"/>
  <c r="AH442" i="23"/>
  <c r="AH443" i="23"/>
  <c r="AH444" i="23"/>
  <c r="AH445" i="23"/>
  <c r="AH446" i="23"/>
  <c r="AH447" i="23"/>
  <c r="AH448" i="23"/>
  <c r="AH449" i="23"/>
  <c r="AH450" i="23"/>
  <c r="AH451" i="23"/>
  <c r="AH452" i="23"/>
  <c r="AH453" i="23"/>
  <c r="AH454" i="23"/>
  <c r="AH455" i="23"/>
  <c r="AH456" i="23"/>
  <c r="AH457" i="23"/>
  <c r="AH458" i="23"/>
  <c r="AH459" i="23"/>
  <c r="AH460" i="23"/>
  <c r="AH461" i="23"/>
  <c r="AH462" i="23"/>
  <c r="AH463" i="23"/>
  <c r="AH464" i="23"/>
  <c r="AH465" i="23"/>
  <c r="AH466" i="23"/>
  <c r="AH467" i="23"/>
  <c r="AH468" i="23"/>
  <c r="AH469" i="23"/>
  <c r="AH470" i="23"/>
  <c r="AH471" i="23"/>
  <c r="AH472" i="23"/>
  <c r="AH473" i="23"/>
  <c r="AH474" i="23"/>
  <c r="AH475" i="23"/>
  <c r="AH476" i="23"/>
  <c r="AH477" i="23"/>
  <c r="AH478" i="23"/>
  <c r="AH479" i="23"/>
  <c r="AH480" i="23"/>
  <c r="AH481" i="23"/>
  <c r="AH482" i="23"/>
  <c r="AH483" i="23"/>
  <c r="AH484" i="23"/>
  <c r="AH485" i="23"/>
  <c r="AH486" i="23"/>
  <c r="AH487" i="23"/>
  <c r="AH488" i="23"/>
  <c r="AH489" i="23"/>
  <c r="AH490" i="23"/>
  <c r="AH491" i="23"/>
  <c r="AH492" i="23"/>
  <c r="AH493" i="23"/>
  <c r="AH494" i="23"/>
  <c r="AH495" i="23"/>
  <c r="AH496" i="23"/>
  <c r="AH497" i="23"/>
  <c r="AH498" i="23"/>
  <c r="AH499" i="23"/>
  <c r="AH500" i="23"/>
  <c r="AH501" i="23"/>
  <c r="AH502" i="23"/>
  <c r="AH503" i="23"/>
  <c r="AH504" i="23"/>
  <c r="AH505" i="23"/>
  <c r="AH506" i="23"/>
  <c r="AH507" i="23"/>
  <c r="AH508" i="23"/>
  <c r="AH509" i="23"/>
  <c r="AH510" i="23"/>
  <c r="AH511" i="23"/>
  <c r="AH512" i="23"/>
  <c r="AH513" i="23"/>
  <c r="AH514" i="23"/>
  <c r="AH515" i="23"/>
  <c r="AH516" i="23"/>
  <c r="AH517" i="23"/>
  <c r="AH518" i="23"/>
  <c r="AH519" i="23"/>
  <c r="AH520" i="23"/>
  <c r="AH521" i="23"/>
  <c r="AH522" i="23"/>
  <c r="AH523" i="23"/>
  <c r="AH524" i="23"/>
  <c r="AH525" i="23"/>
  <c r="AH526" i="23"/>
  <c r="AH527" i="23"/>
  <c r="AH528" i="23"/>
  <c r="AH529" i="23"/>
  <c r="AH530" i="23"/>
  <c r="AH531" i="23"/>
  <c r="AH532" i="23"/>
  <c r="AH533" i="23"/>
  <c r="AH534" i="23"/>
  <c r="AH535" i="23"/>
  <c r="AH536" i="23"/>
  <c r="AH537" i="23"/>
  <c r="AH538" i="23"/>
  <c r="AH539" i="23"/>
  <c r="AH540" i="23"/>
  <c r="AH541" i="23"/>
  <c r="AH542" i="23"/>
  <c r="AH543" i="23"/>
  <c r="AH544" i="23"/>
  <c r="AH545" i="23"/>
  <c r="AH546" i="23"/>
  <c r="AH547" i="23"/>
  <c r="AH548" i="23"/>
  <c r="AH549" i="23"/>
  <c r="AH550" i="23"/>
  <c r="AH551" i="23"/>
  <c r="AH552" i="23"/>
  <c r="AH553" i="23"/>
  <c r="AH554" i="23"/>
  <c r="AH555" i="23"/>
  <c r="AH556" i="23"/>
  <c r="AH557" i="23"/>
  <c r="AH558" i="23"/>
  <c r="AH559" i="23"/>
  <c r="AH560" i="23"/>
  <c r="AH561" i="23"/>
  <c r="AH562" i="23"/>
  <c r="AH563" i="23"/>
  <c r="AH564" i="23"/>
  <c r="AH565" i="23"/>
  <c r="AH566" i="23"/>
  <c r="AH567" i="23"/>
  <c r="AH568" i="23"/>
  <c r="AH569" i="23"/>
  <c r="AH570" i="23"/>
  <c r="AH571" i="23"/>
  <c r="AH572" i="23"/>
  <c r="AH573" i="23"/>
  <c r="AH574" i="23"/>
  <c r="AH575" i="23"/>
  <c r="AH576" i="23"/>
  <c r="AH577" i="23"/>
  <c r="AH578" i="23"/>
  <c r="AH579" i="23"/>
  <c r="AH580" i="23"/>
  <c r="AH581" i="23"/>
  <c r="AH582" i="23"/>
  <c r="AH583" i="23"/>
  <c r="AH584" i="23"/>
  <c r="AH585" i="23"/>
  <c r="AH586" i="23"/>
  <c r="AH587" i="23"/>
  <c r="AH588" i="23"/>
  <c r="AH589" i="23"/>
  <c r="AH590" i="23"/>
  <c r="AH591" i="23"/>
  <c r="AH592" i="23"/>
  <c r="AH593" i="23"/>
  <c r="AH594" i="23"/>
  <c r="AH595" i="23"/>
  <c r="AH596" i="23"/>
  <c r="AH597" i="23"/>
  <c r="AH598" i="23"/>
  <c r="AH599" i="23"/>
  <c r="AH600" i="23"/>
  <c r="AH601" i="23"/>
  <c r="AH602" i="23"/>
  <c r="AH603" i="23"/>
  <c r="AH604" i="23"/>
  <c r="AH605" i="23"/>
  <c r="AH606" i="23"/>
  <c r="AH607" i="23"/>
  <c r="AH608" i="23"/>
  <c r="AH609" i="23"/>
  <c r="AH610" i="23"/>
  <c r="AH611" i="23"/>
  <c r="AH612" i="23"/>
  <c r="AH613" i="23"/>
  <c r="AH614" i="23"/>
  <c r="AH615" i="23"/>
  <c r="AH616" i="23"/>
  <c r="AH617" i="23"/>
  <c r="AH618" i="23"/>
  <c r="AH619" i="23"/>
  <c r="AH620" i="23"/>
  <c r="AH621" i="23"/>
  <c r="AH622" i="23"/>
  <c r="AH623" i="23"/>
  <c r="AH624" i="23"/>
  <c r="AH625" i="23"/>
  <c r="AH626" i="23"/>
  <c r="AH627" i="23"/>
  <c r="AH628" i="23"/>
  <c r="AH629" i="23"/>
  <c r="AH630" i="23"/>
  <c r="AH631" i="23"/>
  <c r="AH632" i="23"/>
  <c r="AH633" i="23"/>
  <c r="AH634" i="23"/>
  <c r="AH635" i="23"/>
  <c r="AH636" i="23"/>
  <c r="AH637" i="23"/>
  <c r="AH638" i="23"/>
  <c r="AH639" i="23"/>
  <c r="AH640" i="23"/>
  <c r="AH641" i="23"/>
  <c r="AH642" i="23"/>
  <c r="AH643" i="23"/>
  <c r="AH644" i="23"/>
  <c r="AH645" i="23"/>
  <c r="AH646" i="23"/>
  <c r="AH647" i="23"/>
  <c r="AH648" i="23"/>
  <c r="AH649" i="23"/>
  <c r="AH650" i="23"/>
  <c r="AH651" i="23"/>
  <c r="AH652" i="23"/>
  <c r="AH653" i="23"/>
  <c r="AH654" i="23"/>
  <c r="AH655" i="23"/>
  <c r="AH656" i="23"/>
  <c r="AH657" i="23"/>
  <c r="AH658" i="23"/>
  <c r="AH659" i="23"/>
  <c r="AH660" i="23"/>
  <c r="AH661" i="23"/>
  <c r="AH662" i="23"/>
  <c r="AH663" i="23"/>
  <c r="AH664" i="23"/>
  <c r="AH665" i="23"/>
  <c r="AH666" i="23"/>
  <c r="AH667" i="23"/>
  <c r="AH668" i="23"/>
  <c r="AH669" i="23"/>
  <c r="AH670" i="23"/>
  <c r="AH671" i="23"/>
  <c r="AH672" i="23"/>
  <c r="AH673" i="23"/>
  <c r="AH674" i="23"/>
  <c r="AH675" i="23"/>
  <c r="AH676" i="23"/>
  <c r="AH677" i="23"/>
  <c r="AH678" i="23"/>
  <c r="AH679" i="23"/>
  <c r="AH680" i="23"/>
  <c r="AH681" i="23"/>
  <c r="AH682" i="23"/>
  <c r="AH683" i="23"/>
  <c r="AH684" i="23"/>
  <c r="AH685" i="23"/>
  <c r="AH686" i="23"/>
  <c r="AH687" i="23"/>
  <c r="AH688" i="23"/>
  <c r="AH689" i="23"/>
  <c r="AH690" i="23"/>
  <c r="AH691" i="23"/>
  <c r="AH692" i="23"/>
  <c r="AH693" i="23"/>
  <c r="AH694" i="23"/>
  <c r="AH695" i="23"/>
  <c r="AH696" i="23"/>
  <c r="AH697" i="23"/>
  <c r="AH698" i="23"/>
  <c r="AH699" i="23"/>
  <c r="AH700" i="23"/>
  <c r="AH701" i="23"/>
  <c r="AH702" i="23"/>
  <c r="AH703" i="23"/>
  <c r="AH704" i="23"/>
  <c r="AH705" i="23"/>
  <c r="AH706" i="23"/>
  <c r="AH707" i="23"/>
  <c r="AH708" i="23"/>
  <c r="AH709" i="23"/>
  <c r="AH710" i="23"/>
  <c r="AH711" i="23"/>
  <c r="AH712" i="23"/>
  <c r="AH713" i="23"/>
  <c r="AH714" i="23"/>
  <c r="AH715" i="23"/>
  <c r="AH716" i="23"/>
  <c r="AH717" i="23"/>
  <c r="AH718" i="23"/>
  <c r="AH719" i="23"/>
  <c r="AH720" i="23"/>
  <c r="AH721" i="23"/>
  <c r="AH722" i="23"/>
  <c r="AH723" i="23"/>
  <c r="AH724" i="23"/>
  <c r="AH725" i="23"/>
  <c r="AH726" i="23"/>
  <c r="AH727" i="23"/>
  <c r="AH728" i="23"/>
  <c r="AH729" i="23"/>
  <c r="AH730" i="23"/>
  <c r="AH731" i="23"/>
  <c r="AH732" i="23"/>
  <c r="AH733" i="23"/>
  <c r="AH734" i="23"/>
  <c r="AH735" i="23"/>
  <c r="AH736" i="23"/>
  <c r="AH737" i="23"/>
  <c r="AH738" i="23"/>
  <c r="AH739" i="23"/>
  <c r="AH740" i="23"/>
  <c r="AH741" i="23"/>
  <c r="AH742" i="23"/>
  <c r="AH743" i="23"/>
  <c r="AH744" i="23"/>
  <c r="AH745" i="23"/>
  <c r="AH746" i="23"/>
  <c r="AH747" i="23"/>
  <c r="AH748" i="23"/>
  <c r="AH749" i="23"/>
  <c r="AH750" i="23"/>
  <c r="AH751" i="23"/>
  <c r="AH752" i="23"/>
  <c r="AH753" i="23"/>
  <c r="AH754" i="23"/>
  <c r="AH755" i="23"/>
  <c r="AH756" i="23"/>
  <c r="AH757" i="23"/>
  <c r="AH758" i="23"/>
  <c r="AH759" i="23"/>
  <c r="AH760" i="23"/>
  <c r="AH761" i="23"/>
  <c r="AH762" i="23"/>
  <c r="AH763" i="23"/>
  <c r="AH764" i="23"/>
  <c r="AH765" i="23"/>
  <c r="AH766" i="23"/>
  <c r="AH767" i="23"/>
  <c r="AH768" i="23"/>
  <c r="AH769" i="23"/>
  <c r="AH770" i="23"/>
  <c r="AH771" i="23"/>
  <c r="AH772" i="23"/>
  <c r="AH773" i="23"/>
  <c r="AH774" i="23"/>
  <c r="AH775" i="23"/>
  <c r="AH776" i="23"/>
  <c r="AH777" i="23"/>
  <c r="AH778" i="23"/>
  <c r="AH779" i="23"/>
  <c r="AH780" i="23"/>
  <c r="AH781" i="23"/>
  <c r="AH782" i="23"/>
  <c r="AH783" i="23"/>
  <c r="AH784" i="23"/>
  <c r="AH785" i="23"/>
  <c r="AH786" i="23"/>
  <c r="AH787" i="23"/>
  <c r="AH788" i="23"/>
  <c r="AH789" i="23"/>
  <c r="AH790" i="23"/>
  <c r="AH791" i="23"/>
  <c r="AH792" i="23"/>
  <c r="AH793" i="23"/>
  <c r="AH794" i="23"/>
  <c r="AH795" i="23"/>
  <c r="AH796" i="23"/>
  <c r="AH797" i="23"/>
  <c r="AH798" i="23"/>
  <c r="AH799" i="23"/>
  <c r="AH800" i="23"/>
  <c r="AH801" i="23"/>
  <c r="AH802" i="23"/>
  <c r="AH803" i="23"/>
  <c r="AH804" i="23"/>
  <c r="AH805" i="23"/>
  <c r="AH806" i="23"/>
  <c r="AH807" i="23"/>
  <c r="AH808" i="23"/>
  <c r="AH809" i="23"/>
  <c r="AH810" i="23"/>
  <c r="AH811" i="23"/>
  <c r="AH812" i="23"/>
  <c r="AH813" i="23"/>
  <c r="AH814" i="23"/>
  <c r="AH815" i="23"/>
  <c r="AH816" i="23"/>
  <c r="AH817" i="23"/>
  <c r="AH818" i="23"/>
  <c r="AH819" i="23"/>
  <c r="AH820" i="23"/>
  <c r="AH821" i="23"/>
  <c r="AH822" i="23"/>
  <c r="AH823" i="23"/>
  <c r="AH824" i="23"/>
  <c r="AH825" i="23"/>
  <c r="AH826" i="23"/>
  <c r="AH827" i="23"/>
  <c r="AH828" i="23"/>
  <c r="AH829" i="23"/>
  <c r="AH830" i="23"/>
  <c r="AH831" i="23"/>
  <c r="AH832" i="23"/>
  <c r="AH833" i="23"/>
  <c r="AH834" i="23"/>
  <c r="AH835" i="23"/>
  <c r="AH836" i="23"/>
  <c r="AH837" i="23"/>
  <c r="AH838" i="23"/>
  <c r="AH839" i="23"/>
  <c r="AH840" i="23"/>
  <c r="AH841" i="23"/>
  <c r="AH842" i="23"/>
  <c r="AH843" i="23"/>
  <c r="AH844" i="23"/>
  <c r="AH845" i="23"/>
  <c r="AH846" i="23"/>
  <c r="AH847" i="23"/>
  <c r="AH848" i="23"/>
  <c r="AH849" i="23"/>
  <c r="AH850" i="23"/>
  <c r="AH851" i="23"/>
  <c r="AH852" i="23"/>
  <c r="AH853" i="23"/>
  <c r="AH854" i="23"/>
  <c r="AH855" i="23"/>
  <c r="AH856" i="23"/>
  <c r="AH857" i="23"/>
  <c r="AH858" i="23"/>
  <c r="AH859" i="23"/>
  <c r="AH860" i="23"/>
  <c r="AH861" i="23"/>
  <c r="AH862" i="23"/>
  <c r="AH863" i="23"/>
  <c r="AH864" i="23"/>
  <c r="AH865" i="23"/>
  <c r="AH866" i="23"/>
  <c r="AH867" i="23"/>
  <c r="AH868" i="23"/>
  <c r="AH869" i="23"/>
  <c r="AH870" i="23"/>
  <c r="AH871" i="23"/>
  <c r="AH872" i="23"/>
  <c r="AH873" i="23"/>
  <c r="AH874" i="23"/>
  <c r="AH875" i="23"/>
  <c r="AH876" i="23"/>
  <c r="AH877" i="23"/>
  <c r="AH878" i="23"/>
  <c r="AH879" i="23"/>
  <c r="AH880" i="23"/>
  <c r="AH881" i="23"/>
  <c r="AH882" i="23"/>
  <c r="AH883" i="23"/>
  <c r="AH884" i="23"/>
  <c r="AH885" i="23"/>
  <c r="AH886" i="23"/>
  <c r="AH887" i="23"/>
  <c r="AH888" i="23"/>
  <c r="AH889" i="23"/>
  <c r="AH890" i="23"/>
  <c r="AH891" i="23"/>
  <c r="AH892" i="23"/>
  <c r="AH893" i="23"/>
  <c r="AH894" i="23"/>
  <c r="AH895" i="23"/>
  <c r="AH896" i="23"/>
  <c r="AH897" i="23"/>
  <c r="AH898" i="23"/>
  <c r="AH899" i="23"/>
  <c r="AH900" i="23"/>
  <c r="AH901" i="23"/>
  <c r="AH902" i="23"/>
  <c r="AH903" i="23"/>
  <c r="AH904" i="23"/>
  <c r="AH905" i="23"/>
  <c r="AH906" i="23"/>
  <c r="AH907" i="23"/>
  <c r="AH908" i="23"/>
  <c r="AH909" i="23"/>
  <c r="AH910" i="23"/>
  <c r="AH911" i="23"/>
  <c r="AH912" i="23"/>
  <c r="AH913" i="23"/>
  <c r="AH914" i="23"/>
  <c r="AH915" i="23"/>
  <c r="AH916" i="23"/>
  <c r="AH917" i="23"/>
  <c r="AH918" i="23"/>
  <c r="AH919" i="23"/>
  <c r="AH920" i="23"/>
  <c r="AH921" i="23"/>
  <c r="AH922" i="23"/>
  <c r="AH923" i="23"/>
  <c r="AH924" i="23"/>
  <c r="AH925" i="23"/>
  <c r="AH926" i="23"/>
  <c r="AH927" i="23"/>
  <c r="AH928" i="23"/>
  <c r="AH929" i="23"/>
  <c r="AH930" i="23"/>
  <c r="AH931" i="23"/>
  <c r="AH932" i="23"/>
  <c r="AH933" i="23"/>
  <c r="AH934" i="23"/>
  <c r="AH935" i="23"/>
  <c r="AH936" i="23"/>
  <c r="AH937" i="23"/>
  <c r="AH938" i="23"/>
  <c r="AH939" i="23"/>
  <c r="AH940" i="23"/>
  <c r="AH941" i="23"/>
  <c r="AH942" i="23"/>
  <c r="AH943" i="23"/>
  <c r="AH944" i="23"/>
  <c r="AH945" i="23"/>
  <c r="AH946" i="23"/>
  <c r="AH947" i="23"/>
  <c r="AH948" i="23"/>
  <c r="AH949" i="23"/>
  <c r="AH950" i="23"/>
  <c r="AH951" i="23"/>
  <c r="AH952" i="23"/>
  <c r="AH953" i="23"/>
  <c r="AH954" i="23"/>
  <c r="AH955" i="23"/>
  <c r="AH956" i="23"/>
  <c r="AH957" i="23"/>
  <c r="AH958" i="23"/>
  <c r="AH959" i="23"/>
  <c r="AH960" i="23"/>
  <c r="AH961" i="23"/>
  <c r="AH962" i="23"/>
  <c r="AH963" i="23"/>
  <c r="AH964" i="23"/>
  <c r="AH965" i="23"/>
  <c r="AH966" i="23"/>
  <c r="AH967" i="23"/>
  <c r="AH968" i="23"/>
  <c r="AH969" i="23"/>
  <c r="AH970" i="23"/>
  <c r="AH971" i="23"/>
  <c r="AH972" i="23"/>
  <c r="AH973" i="23"/>
  <c r="AH974" i="23"/>
  <c r="AH975" i="23"/>
  <c r="AH976" i="23"/>
  <c r="AH977" i="23"/>
  <c r="AH978" i="23"/>
  <c r="AH979" i="23"/>
  <c r="AH980" i="23"/>
  <c r="AH981" i="23"/>
  <c r="AH982" i="23"/>
  <c r="AH983" i="23"/>
  <c r="AH984" i="23"/>
  <c r="AH985" i="23"/>
  <c r="AH986" i="23"/>
  <c r="AH987" i="23"/>
  <c r="AH988" i="23"/>
  <c r="AH989" i="23"/>
  <c r="AH990" i="23"/>
  <c r="AH991" i="23"/>
  <c r="AH992" i="23"/>
  <c r="AH993" i="23"/>
  <c r="AH994" i="23"/>
  <c r="AH995" i="23"/>
  <c r="AH996" i="23"/>
  <c r="AH997" i="23"/>
  <c r="AH998" i="23"/>
  <c r="AI80" i="23"/>
  <c r="AI72" i="23"/>
  <c r="AI79" i="23"/>
  <c r="AI82" i="23"/>
  <c r="AI84" i="23"/>
  <c r="AI86" i="23"/>
  <c r="AI78" i="23"/>
  <c r="AI81" i="23"/>
  <c r="AI87" i="23"/>
  <c r="AI83" i="23"/>
  <c r="AI88" i="23"/>
  <c r="AI90" i="23"/>
  <c r="AI91" i="23"/>
  <c r="AI89" i="23"/>
  <c r="AI93" i="23"/>
  <c r="AI94" i="23"/>
  <c r="AI95" i="23"/>
  <c r="AI96" i="23"/>
  <c r="AI98" i="23"/>
  <c r="AI4" i="23"/>
  <c r="AI103" i="23"/>
  <c r="AI104" i="23"/>
  <c r="AI105" i="23"/>
  <c r="AI106" i="23"/>
  <c r="AI107" i="23"/>
  <c r="AI108" i="23"/>
  <c r="AI109" i="23"/>
  <c r="AI110" i="23"/>
  <c r="AI111" i="23"/>
  <c r="AI112" i="23"/>
  <c r="AI113" i="23"/>
  <c r="AI114" i="23"/>
  <c r="AI115" i="23"/>
  <c r="AI116" i="23"/>
  <c r="AI117" i="23"/>
  <c r="AI118" i="23"/>
  <c r="AI119" i="23"/>
  <c r="AI120" i="23"/>
  <c r="AI121" i="23"/>
  <c r="AI122" i="23"/>
  <c r="AI123" i="23"/>
  <c r="AI124" i="23"/>
  <c r="AI125" i="23"/>
  <c r="AI126" i="23"/>
  <c r="AI127" i="23"/>
  <c r="AI128" i="23"/>
  <c r="AI129" i="23"/>
  <c r="AI130" i="23"/>
  <c r="AI131" i="23"/>
  <c r="AI132" i="23"/>
  <c r="AI133" i="23"/>
  <c r="AI134" i="23"/>
  <c r="AI135" i="23"/>
  <c r="AI136" i="23"/>
  <c r="AI137" i="23"/>
  <c r="AI138" i="23"/>
  <c r="AI139" i="23"/>
  <c r="AI140" i="23"/>
  <c r="AI141" i="23"/>
  <c r="AI142" i="23"/>
  <c r="AI143" i="23"/>
  <c r="AI144" i="23"/>
  <c r="AI145" i="23"/>
  <c r="AI146" i="23"/>
  <c r="AI147" i="23"/>
  <c r="AI148" i="23"/>
  <c r="AI149" i="23"/>
  <c r="AI150" i="23"/>
  <c r="AI151" i="23"/>
  <c r="AI152" i="23"/>
  <c r="AI153" i="23"/>
  <c r="AI154" i="23"/>
  <c r="AI155" i="23"/>
  <c r="AI156" i="23"/>
  <c r="AI157" i="23"/>
  <c r="AI158" i="23"/>
  <c r="AI159" i="23"/>
  <c r="AI160" i="23"/>
  <c r="AI161" i="23"/>
  <c r="AI162" i="23"/>
  <c r="AI163" i="23"/>
  <c r="AI164" i="23"/>
  <c r="AI165" i="23"/>
  <c r="AI166" i="23"/>
  <c r="AI167" i="23"/>
  <c r="AI168" i="23"/>
  <c r="AI169" i="23"/>
  <c r="AI170" i="23"/>
  <c r="AI171" i="23"/>
  <c r="AI172" i="23"/>
  <c r="AI173" i="23"/>
  <c r="AI174" i="23"/>
  <c r="AI175" i="23"/>
  <c r="AI176" i="23"/>
  <c r="AI177" i="23"/>
  <c r="AI178" i="23"/>
  <c r="AI179" i="23"/>
  <c r="AI180" i="23"/>
  <c r="AI181" i="23"/>
  <c r="AI182" i="23"/>
  <c r="AI183" i="23"/>
  <c r="AI184" i="23"/>
  <c r="AI185" i="23"/>
  <c r="AI186" i="23"/>
  <c r="AI187" i="23"/>
  <c r="AI188" i="23"/>
  <c r="AI189" i="23"/>
  <c r="AI190" i="23"/>
  <c r="AI191" i="23"/>
  <c r="AI192" i="23"/>
  <c r="AI193" i="23"/>
  <c r="AI194" i="23"/>
  <c r="AI195" i="23"/>
  <c r="AI196" i="23"/>
  <c r="AI197" i="23"/>
  <c r="AI198" i="23"/>
  <c r="AI199" i="23"/>
  <c r="AI200" i="23"/>
  <c r="AI201" i="23"/>
  <c r="AI202" i="23"/>
  <c r="AI203" i="23"/>
  <c r="AI204" i="23"/>
  <c r="AI205" i="23"/>
  <c r="AI206" i="23"/>
  <c r="AI207" i="23"/>
  <c r="AI208" i="23"/>
  <c r="AI209" i="23"/>
  <c r="AI210" i="23"/>
  <c r="AI211" i="23"/>
  <c r="AI212" i="23"/>
  <c r="AI213" i="23"/>
  <c r="AI214" i="23"/>
  <c r="AI215" i="23"/>
  <c r="AI216" i="23"/>
  <c r="AI217" i="23"/>
  <c r="AI218" i="23"/>
  <c r="AI219" i="23"/>
  <c r="AI220" i="23"/>
  <c r="AI221" i="23"/>
  <c r="AI222" i="23"/>
  <c r="AI223" i="23"/>
  <c r="AI224" i="23"/>
  <c r="AI225" i="23"/>
  <c r="AI226" i="23"/>
  <c r="AI227" i="23"/>
  <c r="AI228" i="23"/>
  <c r="AI229" i="23"/>
  <c r="AI230" i="23"/>
  <c r="AI231" i="23"/>
  <c r="AI232" i="23"/>
  <c r="AI233" i="23"/>
  <c r="AI234" i="23"/>
  <c r="AI235" i="23"/>
  <c r="AI236" i="23"/>
  <c r="AI237" i="23"/>
  <c r="AI238" i="23"/>
  <c r="AI239" i="23"/>
  <c r="AI240" i="23"/>
  <c r="AI241" i="23"/>
  <c r="AI242" i="23"/>
  <c r="AI243" i="23"/>
  <c r="AI244" i="23"/>
  <c r="AI245" i="23"/>
  <c r="AI246" i="23"/>
  <c r="AI247" i="23"/>
  <c r="AI248" i="23"/>
  <c r="AI249" i="23"/>
  <c r="AI250" i="23"/>
  <c r="AI251" i="23"/>
  <c r="AI252" i="23"/>
  <c r="AI253" i="23"/>
  <c r="AI254" i="23"/>
  <c r="AI255" i="23"/>
  <c r="AI256" i="23"/>
  <c r="AI257" i="23"/>
  <c r="AI258" i="23"/>
  <c r="AI259" i="23"/>
  <c r="AI260" i="23"/>
  <c r="AI261" i="23"/>
  <c r="AI262" i="23"/>
  <c r="AI263" i="23"/>
  <c r="AI264" i="23"/>
  <c r="AI265" i="23"/>
  <c r="AI266" i="23"/>
  <c r="AI267" i="23"/>
  <c r="AI268" i="23"/>
  <c r="AI269" i="23"/>
  <c r="AI270" i="23"/>
  <c r="AI271" i="23"/>
  <c r="AI272" i="23"/>
  <c r="AI273" i="23"/>
  <c r="AI274" i="23"/>
  <c r="AI275" i="23"/>
  <c r="AI276" i="23"/>
  <c r="AI277" i="23"/>
  <c r="AI278" i="23"/>
  <c r="AI279" i="23"/>
  <c r="AI280" i="23"/>
  <c r="AI281" i="23"/>
  <c r="AI282" i="23"/>
  <c r="AI283" i="23"/>
  <c r="AI284" i="23"/>
  <c r="AI285" i="23"/>
  <c r="AI286" i="23"/>
  <c r="AI287" i="23"/>
  <c r="AI288" i="23"/>
  <c r="AI289" i="23"/>
  <c r="AI290" i="23"/>
  <c r="AI291" i="23"/>
  <c r="AI292" i="23"/>
  <c r="AI293" i="23"/>
  <c r="AI294" i="23"/>
  <c r="AI295" i="23"/>
  <c r="AI296" i="23"/>
  <c r="AI297" i="23"/>
  <c r="AI298" i="23"/>
  <c r="AI299" i="23"/>
  <c r="AI300" i="23"/>
  <c r="AI301" i="23"/>
  <c r="AI302" i="23"/>
  <c r="AI303" i="23"/>
  <c r="AI304" i="23"/>
  <c r="AI305" i="23"/>
  <c r="AI306" i="23"/>
  <c r="AI307" i="23"/>
  <c r="AI308" i="23"/>
  <c r="AI309" i="23"/>
  <c r="AI310" i="23"/>
  <c r="AI311" i="23"/>
  <c r="AI312" i="23"/>
  <c r="AI313" i="23"/>
  <c r="AI314" i="23"/>
  <c r="AI315" i="23"/>
  <c r="AI316" i="23"/>
  <c r="AI317" i="23"/>
  <c r="AI318" i="23"/>
  <c r="AI319" i="23"/>
  <c r="AI320" i="23"/>
  <c r="AI321" i="23"/>
  <c r="AI322" i="23"/>
  <c r="AI323" i="23"/>
  <c r="AI324" i="23"/>
  <c r="AI325" i="23"/>
  <c r="AI326" i="23"/>
  <c r="AI327" i="23"/>
  <c r="AI328" i="23"/>
  <c r="AI329" i="23"/>
  <c r="AI330" i="23"/>
  <c r="AI331" i="23"/>
  <c r="AI332" i="23"/>
  <c r="AI333" i="23"/>
  <c r="AI334" i="23"/>
  <c r="AI335" i="23"/>
  <c r="AI336" i="23"/>
  <c r="AI337" i="23"/>
  <c r="AI338" i="23"/>
  <c r="AI339" i="23"/>
  <c r="AI340" i="23"/>
  <c r="AI341" i="23"/>
  <c r="AI342" i="23"/>
  <c r="AI343" i="23"/>
  <c r="AI344" i="23"/>
  <c r="AI345" i="23"/>
  <c r="AI346" i="23"/>
  <c r="AI347" i="23"/>
  <c r="AI348" i="23"/>
  <c r="AI349" i="23"/>
  <c r="AI350" i="23"/>
  <c r="AI351" i="23"/>
  <c r="AI352" i="23"/>
  <c r="AI353" i="23"/>
  <c r="AI354" i="23"/>
  <c r="AI355" i="23"/>
  <c r="AI356" i="23"/>
  <c r="AI357" i="23"/>
  <c r="AI358" i="23"/>
  <c r="AI359" i="23"/>
  <c r="AI360" i="23"/>
  <c r="AI361" i="23"/>
  <c r="AI362" i="23"/>
  <c r="AI363" i="23"/>
  <c r="AI364" i="23"/>
  <c r="AI365" i="23"/>
  <c r="AI366" i="23"/>
  <c r="AI367" i="23"/>
  <c r="AI368" i="23"/>
  <c r="AI369" i="23"/>
  <c r="AI370" i="23"/>
  <c r="AI371" i="23"/>
  <c r="AI372" i="23"/>
  <c r="AI373" i="23"/>
  <c r="AI374" i="23"/>
  <c r="AI375" i="23"/>
  <c r="AI376" i="23"/>
  <c r="AI377" i="23"/>
  <c r="AI378" i="23"/>
  <c r="AI379" i="23"/>
  <c r="AI380" i="23"/>
  <c r="AI381" i="23"/>
  <c r="AI382" i="23"/>
  <c r="AI383" i="23"/>
  <c r="AI384" i="23"/>
  <c r="AI385" i="23"/>
  <c r="AI386" i="23"/>
  <c r="AI387" i="23"/>
  <c r="AI388" i="23"/>
  <c r="AI389" i="23"/>
  <c r="AI390" i="23"/>
  <c r="AI391" i="23"/>
  <c r="AI392" i="23"/>
  <c r="AI393" i="23"/>
  <c r="AI394" i="23"/>
  <c r="AI395" i="23"/>
  <c r="AI396" i="23"/>
  <c r="AI397" i="23"/>
  <c r="AI398" i="23"/>
  <c r="AI399" i="23"/>
  <c r="AI400" i="23"/>
  <c r="AI401" i="23"/>
  <c r="AI402" i="23"/>
  <c r="AI403" i="23"/>
  <c r="AI404" i="23"/>
  <c r="AI405" i="23"/>
  <c r="AI406" i="23"/>
  <c r="AI407" i="23"/>
  <c r="AI408" i="23"/>
  <c r="AI409" i="23"/>
  <c r="AI410" i="23"/>
  <c r="AI411" i="23"/>
  <c r="AI412" i="23"/>
  <c r="AI413" i="23"/>
  <c r="AI414" i="23"/>
  <c r="AI415" i="23"/>
  <c r="AI416" i="23"/>
  <c r="AI417" i="23"/>
  <c r="AI418" i="23"/>
  <c r="AI419" i="23"/>
  <c r="AI420" i="23"/>
  <c r="AI421" i="23"/>
  <c r="AI422" i="23"/>
  <c r="AI423" i="23"/>
  <c r="AI424" i="23"/>
  <c r="AI425" i="23"/>
  <c r="AI426" i="23"/>
  <c r="AI427" i="23"/>
  <c r="AI428" i="23"/>
  <c r="AI429" i="23"/>
  <c r="AI430" i="23"/>
  <c r="AI431" i="23"/>
  <c r="AI432" i="23"/>
  <c r="AI433" i="23"/>
  <c r="AI434" i="23"/>
  <c r="AI435" i="23"/>
  <c r="AI436" i="23"/>
  <c r="AI437" i="23"/>
  <c r="AI438" i="23"/>
  <c r="AI439" i="23"/>
  <c r="AI440" i="23"/>
  <c r="AI441" i="23"/>
  <c r="AI442" i="23"/>
  <c r="AI443" i="23"/>
  <c r="AI444" i="23"/>
  <c r="AI445" i="23"/>
  <c r="AI446" i="23"/>
  <c r="AI447" i="23"/>
  <c r="AI448" i="23"/>
  <c r="AI449" i="23"/>
  <c r="AI450" i="23"/>
  <c r="AI451" i="23"/>
  <c r="AI452" i="23"/>
  <c r="AI453" i="23"/>
  <c r="AI454" i="23"/>
  <c r="AI455" i="23"/>
  <c r="AI456" i="23"/>
  <c r="AI457" i="23"/>
  <c r="AI458" i="23"/>
  <c r="AI459" i="23"/>
  <c r="AI460" i="23"/>
  <c r="AI461" i="23"/>
  <c r="AI462" i="23"/>
  <c r="AI463" i="23"/>
  <c r="AI464" i="23"/>
  <c r="AI465" i="23"/>
  <c r="AI466" i="23"/>
  <c r="AI467" i="23"/>
  <c r="AI468" i="23"/>
  <c r="AI469" i="23"/>
  <c r="AI470" i="23"/>
  <c r="AI471" i="23"/>
  <c r="AI472" i="23"/>
  <c r="AI473" i="23"/>
  <c r="AI474" i="23"/>
  <c r="AI475" i="23"/>
  <c r="AI476" i="23"/>
  <c r="AI477" i="23"/>
  <c r="AI478" i="23"/>
  <c r="AI479" i="23"/>
  <c r="AI480" i="23"/>
  <c r="AI481" i="23"/>
  <c r="AI482" i="23"/>
  <c r="AI483" i="23"/>
  <c r="AI484" i="23"/>
  <c r="AI485" i="23"/>
  <c r="AI486" i="23"/>
  <c r="AI487" i="23"/>
  <c r="AI488" i="23"/>
  <c r="AI489" i="23"/>
  <c r="AI490" i="23"/>
  <c r="AI491" i="23"/>
  <c r="AI492" i="23"/>
  <c r="AI493" i="23"/>
  <c r="AI494" i="23"/>
  <c r="AI495" i="23"/>
  <c r="AI496" i="23"/>
  <c r="AI497" i="23"/>
  <c r="AI498" i="23"/>
  <c r="AI499" i="23"/>
  <c r="AI500" i="23"/>
  <c r="AI501" i="23"/>
  <c r="AI502" i="23"/>
  <c r="AI503" i="23"/>
  <c r="AI504" i="23"/>
  <c r="AI505" i="23"/>
  <c r="AI506" i="23"/>
  <c r="AI507" i="23"/>
  <c r="AI508" i="23"/>
  <c r="AI509" i="23"/>
  <c r="AI510" i="23"/>
  <c r="AI511" i="23"/>
  <c r="AI512" i="23"/>
  <c r="AI513" i="23"/>
  <c r="AI514" i="23"/>
  <c r="AI515" i="23"/>
  <c r="AI516" i="23"/>
  <c r="AI517" i="23"/>
  <c r="AI518" i="23"/>
  <c r="AI519" i="23"/>
  <c r="AI520" i="23"/>
  <c r="AI521" i="23"/>
  <c r="AI522" i="23"/>
  <c r="AI523" i="23"/>
  <c r="AI524" i="23"/>
  <c r="AI525" i="23"/>
  <c r="AI526" i="23"/>
  <c r="AI527" i="23"/>
  <c r="AI528" i="23"/>
  <c r="AI529" i="23"/>
  <c r="AI530" i="23"/>
  <c r="AI531" i="23"/>
  <c r="AI532" i="23"/>
  <c r="AI533" i="23"/>
  <c r="AI534" i="23"/>
  <c r="AI535" i="23"/>
  <c r="AI536" i="23"/>
  <c r="AI537" i="23"/>
  <c r="AI538" i="23"/>
  <c r="AI539" i="23"/>
  <c r="AI540" i="23"/>
  <c r="AI541" i="23"/>
  <c r="AI542" i="23"/>
  <c r="AI543" i="23"/>
  <c r="AI544" i="23"/>
  <c r="AI545" i="23"/>
  <c r="AI546" i="23"/>
  <c r="AI547" i="23"/>
  <c r="AI548" i="23"/>
  <c r="AI549" i="23"/>
  <c r="AI550" i="23"/>
  <c r="AI551" i="23"/>
  <c r="AI552" i="23"/>
  <c r="AI553" i="23"/>
  <c r="AI554" i="23"/>
  <c r="AI555" i="23"/>
  <c r="AI556" i="23"/>
  <c r="AI557" i="23"/>
  <c r="AI558" i="23"/>
  <c r="AI559" i="23"/>
  <c r="AI560" i="23"/>
  <c r="AI561" i="23"/>
  <c r="AI562" i="23"/>
  <c r="AI563" i="23"/>
  <c r="AI564" i="23"/>
  <c r="AI565" i="23"/>
  <c r="AI566" i="23"/>
  <c r="AI567" i="23"/>
  <c r="AI568" i="23"/>
  <c r="AI569" i="23"/>
  <c r="AI570" i="23"/>
  <c r="AI571" i="23"/>
  <c r="AI572" i="23"/>
  <c r="AI573" i="23"/>
  <c r="AI574" i="23"/>
  <c r="AI575" i="23"/>
  <c r="AI576" i="23"/>
  <c r="AI577" i="23"/>
  <c r="AI578" i="23"/>
  <c r="AI579" i="23"/>
  <c r="AI580" i="23"/>
  <c r="AI581" i="23"/>
  <c r="AI582" i="23"/>
  <c r="AI583" i="23"/>
  <c r="AI584" i="23"/>
  <c r="AI585" i="23"/>
  <c r="AI586" i="23"/>
  <c r="AI587" i="23"/>
  <c r="AI588" i="23"/>
  <c r="AI589" i="23"/>
  <c r="AI590" i="23"/>
  <c r="AI591" i="23"/>
  <c r="AI592" i="23"/>
  <c r="AI593" i="23"/>
  <c r="AI594" i="23"/>
  <c r="AI595" i="23"/>
  <c r="AI596" i="23"/>
  <c r="AI597" i="23"/>
  <c r="AI598" i="23"/>
  <c r="AI599" i="23"/>
  <c r="AI600" i="23"/>
  <c r="AI601" i="23"/>
  <c r="AI602" i="23"/>
  <c r="AI603" i="23"/>
  <c r="AI604" i="23"/>
  <c r="AI605" i="23"/>
  <c r="AI606" i="23"/>
  <c r="AI607" i="23"/>
  <c r="AI608" i="23"/>
  <c r="AI609" i="23"/>
  <c r="AI610" i="23"/>
  <c r="AI611" i="23"/>
  <c r="AI612" i="23"/>
  <c r="AI613" i="23"/>
  <c r="AI614" i="23"/>
  <c r="AI615" i="23"/>
  <c r="AI616" i="23"/>
  <c r="AI617" i="23"/>
  <c r="AI618" i="23"/>
  <c r="AI619" i="23"/>
  <c r="AI620" i="23"/>
  <c r="AI621" i="23"/>
  <c r="AI622" i="23"/>
  <c r="AI623" i="23"/>
  <c r="AI624" i="23"/>
  <c r="AI625" i="23"/>
  <c r="AI626" i="23"/>
  <c r="AI627" i="23"/>
  <c r="AI628" i="23"/>
  <c r="AI629" i="23"/>
  <c r="AI630" i="23"/>
  <c r="AI631" i="23"/>
  <c r="AI632" i="23"/>
  <c r="AI633" i="23"/>
  <c r="AI634" i="23"/>
  <c r="AI635" i="23"/>
  <c r="AI636" i="23"/>
  <c r="AI637" i="23"/>
  <c r="AI638" i="23"/>
  <c r="AI639" i="23"/>
  <c r="AI640" i="23"/>
  <c r="AI641" i="23"/>
  <c r="AI642" i="23"/>
  <c r="AI643" i="23"/>
  <c r="AI644" i="23"/>
  <c r="AI645" i="23"/>
  <c r="AI646" i="23"/>
  <c r="AI647" i="23"/>
  <c r="AI648" i="23"/>
  <c r="AI649" i="23"/>
  <c r="AI650" i="23"/>
  <c r="AI651" i="23"/>
  <c r="AI652" i="23"/>
  <c r="AI653" i="23"/>
  <c r="AI654" i="23"/>
  <c r="AI655" i="23"/>
  <c r="AI656" i="23"/>
  <c r="AI657" i="23"/>
  <c r="AI658" i="23"/>
  <c r="AI659" i="23"/>
  <c r="AI660" i="23"/>
  <c r="AI661" i="23"/>
  <c r="AI662" i="23"/>
  <c r="AI663" i="23"/>
  <c r="AI664" i="23"/>
  <c r="AI665" i="23"/>
  <c r="AI666" i="23"/>
  <c r="AI667" i="23"/>
  <c r="AI668" i="23"/>
  <c r="AI669" i="23"/>
  <c r="AI670" i="23"/>
  <c r="AI671" i="23"/>
  <c r="AI672" i="23"/>
  <c r="AI673" i="23"/>
  <c r="AI674" i="23"/>
  <c r="AI675" i="23"/>
  <c r="AI676" i="23"/>
  <c r="AI677" i="23"/>
  <c r="AI678" i="23"/>
  <c r="AI679" i="23"/>
  <c r="AI680" i="23"/>
  <c r="AI681" i="23"/>
  <c r="AI682" i="23"/>
  <c r="AI683" i="23"/>
  <c r="AI684" i="23"/>
  <c r="AI685" i="23"/>
  <c r="AI686" i="23"/>
  <c r="AI687" i="23"/>
  <c r="AI688" i="23"/>
  <c r="AI689" i="23"/>
  <c r="AI690" i="23"/>
  <c r="AI691" i="23"/>
  <c r="AI692" i="23"/>
  <c r="AI693" i="23"/>
  <c r="AI694" i="23"/>
  <c r="AI695" i="23"/>
  <c r="AI696" i="23"/>
  <c r="AI697" i="23"/>
  <c r="AI698" i="23"/>
  <c r="AI699" i="23"/>
  <c r="AI700" i="23"/>
  <c r="AI701" i="23"/>
  <c r="AI702" i="23"/>
  <c r="AI703" i="23"/>
  <c r="AI704" i="23"/>
  <c r="AI705" i="23"/>
  <c r="AI706" i="23"/>
  <c r="AI707" i="23"/>
  <c r="AI708" i="23"/>
  <c r="AI709" i="23"/>
  <c r="AI710" i="23"/>
  <c r="AI711" i="23"/>
  <c r="AI712" i="23"/>
  <c r="AI713" i="23"/>
  <c r="AI714" i="23"/>
  <c r="AI715" i="23"/>
  <c r="AI716" i="23"/>
  <c r="AI717" i="23"/>
  <c r="AI718" i="23"/>
  <c r="AI719" i="23"/>
  <c r="AI720" i="23"/>
  <c r="AI721" i="23"/>
  <c r="AI722" i="23"/>
  <c r="AI723" i="23"/>
  <c r="AI724" i="23"/>
  <c r="AI725" i="23"/>
  <c r="AI726" i="23"/>
  <c r="AI727" i="23"/>
  <c r="AI728" i="23"/>
  <c r="AI729" i="23"/>
  <c r="AI730" i="23"/>
  <c r="AI731" i="23"/>
  <c r="AI732" i="23"/>
  <c r="AI733" i="23"/>
  <c r="AI734" i="23"/>
  <c r="AI735" i="23"/>
  <c r="AI736" i="23"/>
  <c r="AI737" i="23"/>
  <c r="AI738" i="23"/>
  <c r="AI739" i="23"/>
  <c r="AI740" i="23"/>
  <c r="AI741" i="23"/>
  <c r="AI742" i="23"/>
  <c r="AI743" i="23"/>
  <c r="AI744" i="23"/>
  <c r="AI745" i="23"/>
  <c r="AI746" i="23"/>
  <c r="AI747" i="23"/>
  <c r="AI748" i="23"/>
  <c r="AI749" i="23"/>
  <c r="AI750" i="23"/>
  <c r="AI751" i="23"/>
  <c r="AI752" i="23"/>
  <c r="AI753" i="23"/>
  <c r="AI754" i="23"/>
  <c r="AI755" i="23"/>
  <c r="AI756" i="23"/>
  <c r="AI757" i="23"/>
  <c r="AI758" i="23"/>
  <c r="AI759" i="23"/>
  <c r="AI760" i="23"/>
  <c r="AI761" i="23"/>
  <c r="AI762" i="23"/>
  <c r="AI763" i="23"/>
  <c r="AI764" i="23"/>
  <c r="AI765" i="23"/>
  <c r="AI766" i="23"/>
  <c r="AI767" i="23"/>
  <c r="AI768" i="23"/>
  <c r="AI769" i="23"/>
  <c r="AI770" i="23"/>
  <c r="AI771" i="23"/>
  <c r="AI772" i="23"/>
  <c r="AI773" i="23"/>
  <c r="AI774" i="23"/>
  <c r="AI775" i="23"/>
  <c r="AI776" i="23"/>
  <c r="AI777" i="23"/>
  <c r="AI778" i="23"/>
  <c r="AI779" i="23"/>
  <c r="AI780" i="23"/>
  <c r="AI781" i="23"/>
  <c r="AI782" i="23"/>
  <c r="AI783" i="23"/>
  <c r="AI784" i="23"/>
  <c r="AI785" i="23"/>
  <c r="AI786" i="23"/>
  <c r="AI787" i="23"/>
  <c r="AI788" i="23"/>
  <c r="AI789" i="23"/>
  <c r="AI790" i="23"/>
  <c r="AI791" i="23"/>
  <c r="AI792" i="23"/>
  <c r="AI793" i="23"/>
  <c r="AI794" i="23"/>
  <c r="AI795" i="23"/>
  <c r="AI796" i="23"/>
  <c r="AI797" i="23"/>
  <c r="AI798" i="23"/>
  <c r="AI799" i="23"/>
  <c r="AI800" i="23"/>
  <c r="AI801" i="23"/>
  <c r="AI802" i="23"/>
  <c r="AI803" i="23"/>
  <c r="AI804" i="23"/>
  <c r="AI805" i="23"/>
  <c r="AI806" i="23"/>
  <c r="AI807" i="23"/>
  <c r="AI808" i="23"/>
  <c r="AI809" i="23"/>
  <c r="AI810" i="23"/>
  <c r="AI811" i="23"/>
  <c r="AI812" i="23"/>
  <c r="AI813" i="23"/>
  <c r="AI814" i="23"/>
  <c r="AI815" i="23"/>
  <c r="AI816" i="23"/>
  <c r="AI817" i="23"/>
  <c r="AI818" i="23"/>
  <c r="AI819" i="23"/>
  <c r="AI820" i="23"/>
  <c r="AI821" i="23"/>
  <c r="AI822" i="23"/>
  <c r="AI823" i="23"/>
  <c r="AI824" i="23"/>
  <c r="AI825" i="23"/>
  <c r="AI826" i="23"/>
  <c r="AI827" i="23"/>
  <c r="AI828" i="23"/>
  <c r="AI829" i="23"/>
  <c r="AI830" i="23"/>
  <c r="AI831" i="23"/>
  <c r="AI832" i="23"/>
  <c r="AI833" i="23"/>
  <c r="AI834" i="23"/>
  <c r="AI835" i="23"/>
  <c r="AI836" i="23"/>
  <c r="AI837" i="23"/>
  <c r="AI838" i="23"/>
  <c r="AI839" i="23"/>
  <c r="AI840" i="23"/>
  <c r="AI841" i="23"/>
  <c r="AI842" i="23"/>
  <c r="AI843" i="23"/>
  <c r="AI844" i="23"/>
  <c r="AI845" i="23"/>
  <c r="AI846" i="23"/>
  <c r="AI847" i="23"/>
  <c r="AI848" i="23"/>
  <c r="AI849" i="23"/>
  <c r="AI850" i="23"/>
  <c r="AI851" i="23"/>
  <c r="AI852" i="23"/>
  <c r="AI853" i="23"/>
  <c r="AI854" i="23"/>
  <c r="AI855" i="23"/>
  <c r="AI856" i="23"/>
  <c r="AI857" i="23"/>
  <c r="AI858" i="23"/>
  <c r="AI859" i="23"/>
  <c r="AI860" i="23"/>
  <c r="AI861" i="23"/>
  <c r="AI862" i="23"/>
  <c r="AI863" i="23"/>
  <c r="AI864" i="23"/>
  <c r="AI865" i="23"/>
  <c r="AI866" i="23"/>
  <c r="AI867" i="23"/>
  <c r="AI868" i="23"/>
  <c r="AI869" i="23"/>
  <c r="AI870" i="23"/>
  <c r="AI871" i="23"/>
  <c r="AI872" i="23"/>
  <c r="AI873" i="23"/>
  <c r="AI874" i="23"/>
  <c r="AI875" i="23"/>
  <c r="AI876" i="23"/>
  <c r="AI877" i="23"/>
  <c r="AI878" i="23"/>
  <c r="AI879" i="23"/>
  <c r="AI880" i="23"/>
  <c r="AI881" i="23"/>
  <c r="AI882" i="23"/>
  <c r="AI883" i="23"/>
  <c r="AI884" i="23"/>
  <c r="AI885" i="23"/>
  <c r="AI886" i="23"/>
  <c r="AI887" i="23"/>
  <c r="AI888" i="23"/>
  <c r="AI889" i="23"/>
  <c r="AI890" i="23"/>
  <c r="AI891" i="23"/>
  <c r="AI892" i="23"/>
  <c r="AI893" i="23"/>
  <c r="AI894" i="23"/>
  <c r="AI895" i="23"/>
  <c r="AI896" i="23"/>
  <c r="AI897" i="23"/>
  <c r="AI898" i="23"/>
  <c r="AI899" i="23"/>
  <c r="AI900" i="23"/>
  <c r="AI901" i="23"/>
  <c r="AI902" i="23"/>
  <c r="AI903" i="23"/>
  <c r="AI904" i="23"/>
  <c r="AI905" i="23"/>
  <c r="AI906" i="23"/>
  <c r="AI907" i="23"/>
  <c r="AI908" i="23"/>
  <c r="AI909" i="23"/>
  <c r="AI910" i="23"/>
  <c r="AI911" i="23"/>
  <c r="AI912" i="23"/>
  <c r="AI913" i="23"/>
  <c r="AI914" i="23"/>
  <c r="AI915" i="23"/>
  <c r="AI916" i="23"/>
  <c r="AI917" i="23"/>
  <c r="AI918" i="23"/>
  <c r="AI919" i="23"/>
  <c r="AI920" i="23"/>
  <c r="AI921" i="23"/>
  <c r="AI922" i="23"/>
  <c r="AI923" i="23"/>
  <c r="AI924" i="23"/>
  <c r="AI925" i="23"/>
  <c r="AI926" i="23"/>
  <c r="AI927" i="23"/>
  <c r="AI928" i="23"/>
  <c r="AI929" i="23"/>
  <c r="AI930" i="23"/>
  <c r="AI931" i="23"/>
  <c r="AI932" i="23"/>
  <c r="AI933" i="23"/>
  <c r="AI934" i="23"/>
  <c r="AI935" i="23"/>
  <c r="AI936" i="23"/>
  <c r="AI937" i="23"/>
  <c r="AI938" i="23"/>
  <c r="AI939" i="23"/>
  <c r="AI940" i="23"/>
  <c r="AI941" i="23"/>
  <c r="AI942" i="23"/>
  <c r="AI943" i="23"/>
  <c r="AI944" i="23"/>
  <c r="AI945" i="23"/>
  <c r="AI946" i="23"/>
  <c r="AI947" i="23"/>
  <c r="AI948" i="23"/>
  <c r="AI949" i="23"/>
  <c r="AI950" i="23"/>
  <c r="AI951" i="23"/>
  <c r="AI952" i="23"/>
  <c r="AI953" i="23"/>
  <c r="AI954" i="23"/>
  <c r="AI955" i="23"/>
  <c r="AI956" i="23"/>
  <c r="AI957" i="23"/>
  <c r="AI958" i="23"/>
  <c r="AI959" i="23"/>
  <c r="AI960" i="23"/>
  <c r="AI961" i="23"/>
  <c r="AI962" i="23"/>
  <c r="AI963" i="23"/>
  <c r="AI964" i="23"/>
  <c r="AI965" i="23"/>
  <c r="AI966" i="23"/>
  <c r="AI967" i="23"/>
  <c r="AI968" i="23"/>
  <c r="AI969" i="23"/>
  <c r="AI970" i="23"/>
  <c r="AI971" i="23"/>
  <c r="AI972" i="23"/>
  <c r="AI973" i="23"/>
  <c r="AI974" i="23"/>
  <c r="AI975" i="23"/>
  <c r="AI976" i="23"/>
  <c r="AI977" i="23"/>
  <c r="AI978" i="23"/>
  <c r="AI979" i="23"/>
  <c r="AI980" i="23"/>
  <c r="AI981" i="23"/>
  <c r="AI982" i="23"/>
  <c r="AI983" i="23"/>
  <c r="AI984" i="23"/>
  <c r="AI985" i="23"/>
  <c r="AI986" i="23"/>
  <c r="AI987" i="23"/>
  <c r="AI988" i="23"/>
  <c r="AI989" i="23"/>
  <c r="AI990" i="23"/>
  <c r="AI991" i="23"/>
  <c r="AI992" i="23"/>
  <c r="AI993" i="23"/>
  <c r="AI994" i="23"/>
  <c r="AI995" i="23"/>
  <c r="AI996" i="23"/>
  <c r="AI997" i="23"/>
  <c r="AI998" i="23"/>
  <c r="A20" i="42"/>
  <c r="A25" i="42"/>
  <c r="A27" i="42"/>
  <c r="A26" i="42"/>
  <c r="A18" i="42"/>
  <c r="A24" i="42"/>
  <c r="A23" i="42"/>
  <c r="A134" i="30" l="1"/>
  <c r="A126" i="30"/>
  <c r="A118" i="30"/>
  <c r="A110" i="30"/>
  <c r="A97" i="30"/>
  <c r="E96" i="56"/>
  <c r="A84" i="30"/>
  <c r="E99" i="56"/>
  <c r="A74" i="30"/>
  <c r="E90" i="56"/>
  <c r="A133" i="30"/>
  <c r="A125" i="30"/>
  <c r="A117" i="30"/>
  <c r="A109" i="30"/>
  <c r="A96" i="30"/>
  <c r="A88" i="30"/>
  <c r="E88" i="56"/>
  <c r="A82" i="30"/>
  <c r="E65" i="56"/>
  <c r="A132" i="30"/>
  <c r="A124" i="30"/>
  <c r="A116" i="30"/>
  <c r="A108" i="30"/>
  <c r="A95" i="30"/>
  <c r="A83" i="30"/>
  <c r="E86" i="56"/>
  <c r="A131" i="30"/>
  <c r="A123" i="30"/>
  <c r="A115" i="30"/>
  <c r="A107" i="30"/>
  <c r="A94" i="30"/>
  <c r="A80" i="30"/>
  <c r="E91" i="56"/>
  <c r="A130" i="30"/>
  <c r="A122" i="30"/>
  <c r="A114" i="30"/>
  <c r="A106" i="30"/>
  <c r="A90" i="30"/>
  <c r="E83" i="56"/>
  <c r="A87" i="30"/>
  <c r="E87" i="56"/>
  <c r="A129" i="30"/>
  <c r="A121" i="30"/>
  <c r="A113" i="30"/>
  <c r="A105" i="30"/>
  <c r="A92" i="30"/>
  <c r="E85" i="56"/>
  <c r="A85" i="30"/>
  <c r="E67" i="56"/>
  <c r="A128" i="30"/>
  <c r="A120" i="30"/>
  <c r="A112" i="30"/>
  <c r="A104" i="30"/>
  <c r="A91" i="30"/>
  <c r="E84" i="56"/>
  <c r="A127" i="30"/>
  <c r="A119" i="30"/>
  <c r="A111" i="30"/>
  <c r="A99" i="30"/>
  <c r="E97" i="56"/>
  <c r="A89" i="30"/>
  <c r="E82" i="56"/>
  <c r="A81" i="30"/>
  <c r="E94" i="56"/>
  <c r="AK6" i="28"/>
  <c r="O10" i="28"/>
  <c r="O13" i="28" s="1"/>
  <c r="AJ7" i="28"/>
  <c r="W17" i="30"/>
  <c r="W7" i="30"/>
  <c r="W8" i="30"/>
  <c r="W9" i="30"/>
  <c r="X9" i="30" s="1"/>
  <c r="K18" i="56" s="1"/>
  <c r="L18" i="56" s="1"/>
  <c r="W10" i="30"/>
  <c r="X10" i="30" s="1"/>
  <c r="K19" i="56" s="1"/>
  <c r="L19" i="56" s="1"/>
  <c r="W11" i="30"/>
  <c r="W13" i="30"/>
  <c r="W16" i="30"/>
  <c r="W18" i="30"/>
  <c r="W19" i="30"/>
  <c r="W20" i="30"/>
  <c r="X20" i="30" s="1"/>
  <c r="K10" i="56" s="1"/>
  <c r="L10" i="56" s="1"/>
  <c r="W21" i="30"/>
  <c r="X21" i="30" s="1"/>
  <c r="K33" i="56" s="1"/>
  <c r="L33" i="56" s="1"/>
  <c r="W22" i="30"/>
  <c r="W23" i="30"/>
  <c r="W24" i="30"/>
  <c r="W25" i="30"/>
  <c r="W26" i="30"/>
  <c r="AV26" i="42" s="1"/>
  <c r="W27" i="30"/>
  <c r="W28" i="30"/>
  <c r="X28" i="30" s="1"/>
  <c r="K15" i="56" s="1"/>
  <c r="L15" i="56" s="1"/>
  <c r="W29" i="30"/>
  <c r="W30" i="30"/>
  <c r="W32" i="30"/>
  <c r="X32" i="30" s="1"/>
  <c r="K27" i="56" s="1"/>
  <c r="L27" i="56" s="1"/>
  <c r="W33" i="30"/>
  <c r="AV23" i="42" s="1"/>
  <c r="W34" i="30"/>
  <c r="W35" i="30"/>
  <c r="W38" i="30"/>
  <c r="W39" i="30"/>
  <c r="AV21" i="42" s="1"/>
  <c r="W41" i="30"/>
  <c r="W40" i="30"/>
  <c r="AV20" i="42" s="1"/>
  <c r="W42" i="30"/>
  <c r="W37" i="30"/>
  <c r="AV22" i="42" s="1"/>
  <c r="W43" i="30"/>
  <c r="W44" i="30"/>
  <c r="W45" i="30"/>
  <c r="S21" i="42" l="1"/>
  <c r="T21" i="42" s="1"/>
  <c r="U21" i="42"/>
  <c r="U22" i="42"/>
  <c r="S22" i="42"/>
  <c r="T22" i="42" s="1"/>
  <c r="S26" i="42"/>
  <c r="T26" i="42" s="1"/>
  <c r="U26" i="42"/>
  <c r="U23" i="42"/>
  <c r="S23" i="42"/>
  <c r="T23" i="42" s="1"/>
  <c r="S20" i="42"/>
  <c r="T20" i="42" s="1"/>
  <c r="U20" i="42"/>
  <c r="P2" i="28"/>
  <c r="O19" i="28"/>
  <c r="AJ8" i="28"/>
  <c r="O22" i="28" l="1"/>
  <c r="AJ9" i="28"/>
  <c r="O33" i="28"/>
  <c r="P3" i="28" l="1"/>
  <c r="O34" i="28"/>
  <c r="AJ10" i="28"/>
  <c r="P4" i="28" l="1"/>
  <c r="AJ11" i="28"/>
  <c r="AJ12" i="28" s="1"/>
  <c r="AJ13" i="28" s="1"/>
  <c r="AJ14" i="28" s="1"/>
  <c r="O35" i="28"/>
  <c r="O36" i="28" l="1"/>
  <c r="AJ15" i="28"/>
  <c r="AJ16" i="28" s="1"/>
  <c r="AJ17" i="28" s="1"/>
  <c r="AJ18" i="28" s="1"/>
  <c r="AJ19" i="28" s="1"/>
  <c r="AJ20" i="28" s="1"/>
  <c r="AJ21" i="28" s="1"/>
  <c r="AJ22" i="28" s="1"/>
  <c r="AJ23" i="28" s="1"/>
  <c r="AJ24" i="28" s="1"/>
  <c r="AJ25" i="28" s="1"/>
  <c r="AJ26" i="28" s="1"/>
  <c r="AJ27" i="28" s="1"/>
  <c r="AJ28" i="28" s="1"/>
  <c r="AJ29" i="28" s="1"/>
  <c r="AJ30" i="28" s="1"/>
  <c r="AA19" i="30"/>
  <c r="AA21" i="30"/>
  <c r="AB21" i="30" s="1"/>
  <c r="AA33" i="30"/>
  <c r="AA35" i="30"/>
  <c r="AA7" i="30"/>
  <c r="AA8" i="30"/>
  <c r="AA9" i="30"/>
  <c r="AB9" i="30" s="1"/>
  <c r="AA10" i="30"/>
  <c r="AB10" i="30" s="1"/>
  <c r="AA11" i="30"/>
  <c r="AA13" i="30"/>
  <c r="AA16" i="30"/>
  <c r="AA17" i="30"/>
  <c r="AA20" i="30"/>
  <c r="AB20" i="30" s="1"/>
  <c r="AA23" i="30"/>
  <c r="AA24" i="30"/>
  <c r="AA25" i="30"/>
  <c r="AA26" i="30"/>
  <c r="AA28" i="30"/>
  <c r="AB28" i="30" s="1"/>
  <c r="AA29" i="30"/>
  <c r="AA30" i="30"/>
  <c r="AA32" i="30"/>
  <c r="AB32" i="30" s="1"/>
  <c r="AA34" i="30"/>
  <c r="AA38" i="30"/>
  <c r="AA39" i="30"/>
  <c r="AA22" i="30"/>
  <c r="AA41" i="30"/>
  <c r="AA18" i="30"/>
  <c r="AA27" i="30"/>
  <c r="AA40" i="30"/>
  <c r="AA42" i="30"/>
  <c r="AA37" i="30"/>
  <c r="AA43" i="30"/>
  <c r="AA44" i="30"/>
  <c r="AA45" i="30"/>
  <c r="O37" i="28" l="1"/>
  <c r="P5" i="28" s="1"/>
  <c r="O48" i="28"/>
  <c r="AJ31" i="28"/>
  <c r="AJ32" i="28" s="1"/>
  <c r="AJ33" i="28" s="1"/>
  <c r="AJ34" i="28" s="1"/>
  <c r="AJ35" i="28" s="1"/>
  <c r="AJ36" i="28" s="1"/>
  <c r="AJ37" i="28" s="1"/>
  <c r="AJ38" i="28" s="1"/>
  <c r="AJ39" i="28" s="1"/>
  <c r="AJ40" i="28" s="1"/>
  <c r="AJ41" i="28" s="1"/>
  <c r="O46" i="28" l="1"/>
  <c r="O39" i="28"/>
  <c r="P6" i="28" s="1"/>
  <c r="O51" i="28"/>
  <c r="AJ42" i="28"/>
  <c r="AK29" i="28"/>
  <c r="AK23" i="28"/>
  <c r="AK20" i="28"/>
  <c r="AK13" i="28"/>
  <c r="AK27" i="28"/>
  <c r="AK18" i="28"/>
  <c r="AK12" i="28"/>
  <c r="AK16" i="28"/>
  <c r="AK19" i="28"/>
  <c r="AK21" i="28"/>
  <c r="AK7" i="28"/>
  <c r="AK11" i="28"/>
  <c r="AK34" i="28"/>
  <c r="AK24" i="28"/>
  <c r="AK10" i="28"/>
  <c r="AK31" i="28"/>
  <c r="AK15" i="28"/>
  <c r="AK25" i="28"/>
  <c r="AK26" i="28"/>
  <c r="AK28" i="28"/>
  <c r="AK33" i="28"/>
  <c r="AK9" i="28"/>
  <c r="AK14" i="28"/>
  <c r="AK8" i="28"/>
  <c r="AK22" i="28"/>
  <c r="AK17" i="28"/>
  <c r="AK30" i="28"/>
  <c r="AK32" i="28"/>
  <c r="O40" i="28" l="1"/>
  <c r="P7" i="28" s="1"/>
  <c r="O60" i="28"/>
  <c r="O74" i="28" s="1"/>
  <c r="AJ43" i="28"/>
  <c r="O41" i="28" l="1"/>
  <c r="P8" i="28" s="1"/>
  <c r="O77" i="28"/>
  <c r="AJ44" i="28"/>
  <c r="AK35" i="28"/>
  <c r="O49" i="28" l="1"/>
  <c r="O85" i="28"/>
  <c r="AJ45" i="28"/>
  <c r="AK36" i="28"/>
  <c r="O54" i="28" l="1"/>
  <c r="P9" i="28"/>
  <c r="O88" i="28"/>
  <c r="AJ46" i="28"/>
  <c r="AK37" i="28"/>
  <c r="AH5" i="23"/>
  <c r="AI5" i="23"/>
  <c r="A17" i="23"/>
  <c r="AH17" i="23"/>
  <c r="AI17" i="23"/>
  <c r="A19" i="23"/>
  <c r="AH19" i="23"/>
  <c r="AI19" i="23"/>
  <c r="A30" i="23"/>
  <c r="E62" i="56" s="1"/>
  <c r="AH30" i="23"/>
  <c r="AI30" i="23"/>
  <c r="Y19" i="30"/>
  <c r="Y21" i="30"/>
  <c r="Z21" i="30" s="1"/>
  <c r="Y33" i="30"/>
  <c r="A5" i="23"/>
  <c r="A19" i="30" l="1"/>
  <c r="E32" i="56"/>
  <c r="A33" i="30"/>
  <c r="E5" i="56"/>
  <c r="A6" i="30"/>
  <c r="E31" i="56"/>
  <c r="A21" i="30"/>
  <c r="E33" i="56"/>
  <c r="O56" i="28"/>
  <c r="P11" i="28" s="1"/>
  <c r="P10" i="28"/>
  <c r="AJ47" i="28"/>
  <c r="AK38" i="28"/>
  <c r="AC21" i="30"/>
  <c r="AC33" i="30"/>
  <c r="AC19" i="30"/>
  <c r="A47" i="23"/>
  <c r="A50" i="23"/>
  <c r="A54" i="23"/>
  <c r="A55" i="23"/>
  <c r="A56" i="23"/>
  <c r="E35" i="56" s="1"/>
  <c r="A57" i="23"/>
  <c r="A58" i="23"/>
  <c r="A59" i="23"/>
  <c r="A62" i="23"/>
  <c r="AH47" i="23"/>
  <c r="AH50" i="23"/>
  <c r="AH54" i="23"/>
  <c r="AH55" i="23"/>
  <c r="AH56" i="23"/>
  <c r="AH57" i="23"/>
  <c r="AH58" i="23"/>
  <c r="AH59" i="23"/>
  <c r="AH62" i="23"/>
  <c r="AI47" i="23"/>
  <c r="AI50" i="23"/>
  <c r="AI54" i="23"/>
  <c r="AI55" i="23"/>
  <c r="AI56" i="23"/>
  <c r="AI57" i="23"/>
  <c r="AI58" i="23"/>
  <c r="AI59" i="23"/>
  <c r="AI62" i="23"/>
  <c r="A32" i="23"/>
  <c r="A6" i="23"/>
  <c r="A7" i="23"/>
  <c r="A8" i="23"/>
  <c r="A9" i="23"/>
  <c r="A10" i="23"/>
  <c r="A11" i="23"/>
  <c r="A12" i="23"/>
  <c r="A13" i="23"/>
  <c r="A14" i="23"/>
  <c r="A15" i="23"/>
  <c r="A18" i="23"/>
  <c r="A21" i="23"/>
  <c r="A22" i="23"/>
  <c r="A23" i="23"/>
  <c r="A24" i="23"/>
  <c r="A26" i="23"/>
  <c r="A27" i="23"/>
  <c r="A28" i="23"/>
  <c r="A29" i="23"/>
  <c r="E27" i="56" s="1"/>
  <c r="A31" i="23"/>
  <c r="A35" i="23"/>
  <c r="A36" i="23"/>
  <c r="A20" i="23"/>
  <c r="A38" i="23"/>
  <c r="A16" i="23"/>
  <c r="A25" i="23"/>
  <c r="A37" i="23"/>
  <c r="A39" i="23"/>
  <c r="E77" i="56" s="1"/>
  <c r="AH32" i="23"/>
  <c r="AH6" i="23"/>
  <c r="AH7" i="23"/>
  <c r="AH8" i="23"/>
  <c r="AH9" i="23"/>
  <c r="AH10" i="23"/>
  <c r="AH11" i="23"/>
  <c r="AH12" i="23"/>
  <c r="AH13" i="23"/>
  <c r="AH14" i="23"/>
  <c r="AH15" i="23"/>
  <c r="AH18" i="23"/>
  <c r="AH21" i="23"/>
  <c r="AH22" i="23"/>
  <c r="AH23" i="23"/>
  <c r="AH24" i="23"/>
  <c r="AH26" i="23"/>
  <c r="AH27" i="23"/>
  <c r="AH28" i="23"/>
  <c r="AH29" i="23"/>
  <c r="AH31" i="23"/>
  <c r="AH35" i="23"/>
  <c r="AH36" i="23"/>
  <c r="AH20" i="23"/>
  <c r="AH38" i="23"/>
  <c r="AH16" i="23"/>
  <c r="AH25" i="23"/>
  <c r="AH37" i="23"/>
  <c r="AH39" i="23"/>
  <c r="AI32" i="23"/>
  <c r="AI6" i="23"/>
  <c r="AI7" i="23"/>
  <c r="AI8" i="23"/>
  <c r="AI9" i="23"/>
  <c r="AI10" i="23"/>
  <c r="AI11" i="23"/>
  <c r="AI12" i="23"/>
  <c r="AI13" i="23"/>
  <c r="AI14" i="23"/>
  <c r="AI15" i="23"/>
  <c r="AI18" i="23"/>
  <c r="AI21" i="23"/>
  <c r="AI22" i="23"/>
  <c r="AI23" i="23"/>
  <c r="AI24" i="23"/>
  <c r="AI26" i="23"/>
  <c r="AI27" i="23"/>
  <c r="AI28" i="23"/>
  <c r="AI29" i="23"/>
  <c r="AI31" i="23"/>
  <c r="AI35" i="23"/>
  <c r="AI36" i="23"/>
  <c r="AI20" i="23"/>
  <c r="AI38" i="23"/>
  <c r="AI16" i="23"/>
  <c r="AI25" i="23"/>
  <c r="AI37" i="23"/>
  <c r="AI39" i="23"/>
  <c r="A41" i="23"/>
  <c r="E78" i="56" s="1"/>
  <c r="A40" i="23"/>
  <c r="A34" i="23"/>
  <c r="A42" i="23"/>
  <c r="A43" i="23"/>
  <c r="A44" i="23"/>
  <c r="A45" i="23"/>
  <c r="A46" i="23"/>
  <c r="A48" i="23"/>
  <c r="A61" i="23"/>
  <c r="A63" i="23"/>
  <c r="A60" i="23"/>
  <c r="A66" i="23"/>
  <c r="A64" i="23"/>
  <c r="A2" i="23"/>
  <c r="A33" i="23"/>
  <c r="A49" i="23"/>
  <c r="A70" i="23"/>
  <c r="A71" i="23"/>
  <c r="A68" i="23"/>
  <c r="A69" i="23"/>
  <c r="A51" i="23"/>
  <c r="A67" i="23"/>
  <c r="A77" i="23"/>
  <c r="A52" i="23"/>
  <c r="A73" i="23"/>
  <c r="A3" i="23"/>
  <c r="A65" i="23"/>
  <c r="AH41" i="23"/>
  <c r="AH40" i="23"/>
  <c r="AH34" i="23"/>
  <c r="AH42" i="23"/>
  <c r="AH43" i="23"/>
  <c r="AH44" i="23"/>
  <c r="AH45" i="23"/>
  <c r="AH46" i="23"/>
  <c r="AH48" i="23"/>
  <c r="AH61" i="23"/>
  <c r="AH63" i="23"/>
  <c r="AH66" i="23"/>
  <c r="AH64" i="23"/>
  <c r="AH2" i="23"/>
  <c r="AH33" i="23"/>
  <c r="AH49" i="23"/>
  <c r="AH70" i="23"/>
  <c r="AH71" i="23"/>
  <c r="AH68" i="23"/>
  <c r="AH69" i="23"/>
  <c r="AH51" i="23"/>
  <c r="AH67" i="23"/>
  <c r="AH77" i="23"/>
  <c r="AH52" i="23"/>
  <c r="AH3" i="23"/>
  <c r="AH65" i="23"/>
  <c r="AI41" i="23"/>
  <c r="AI40" i="23"/>
  <c r="AI34" i="23"/>
  <c r="AI42" i="23"/>
  <c r="AI43" i="23"/>
  <c r="AI44" i="23"/>
  <c r="AI45" i="23"/>
  <c r="AI46" i="23"/>
  <c r="AI48" i="23"/>
  <c r="AI61" i="23"/>
  <c r="AI63" i="23"/>
  <c r="AI66" i="23"/>
  <c r="AI64" i="23"/>
  <c r="AI2" i="23"/>
  <c r="AI33" i="23"/>
  <c r="AI49" i="23"/>
  <c r="AI70" i="23"/>
  <c r="AI71" i="23"/>
  <c r="AI68" i="23"/>
  <c r="AI69" i="23"/>
  <c r="AI51" i="23"/>
  <c r="AI67" i="23"/>
  <c r="AI77" i="23"/>
  <c r="AI52" i="23"/>
  <c r="AI3" i="23"/>
  <c r="AI65" i="23"/>
  <c r="AC20" i="30"/>
  <c r="Y9" i="30"/>
  <c r="Z9" i="30" s="1"/>
  <c r="Y20" i="30"/>
  <c r="Z20" i="30" s="1"/>
  <c r="Y25" i="30"/>
  <c r="Y26" i="30"/>
  <c r="Y30" i="30"/>
  <c r="Y32" i="30"/>
  <c r="Z32" i="30" s="1"/>
  <c r="Y22" i="30"/>
  <c r="Y40" i="30"/>
  <c r="Y42" i="30"/>
  <c r="AC43" i="30"/>
  <c r="Y43" i="30"/>
  <c r="A10" i="42"/>
  <c r="A6" i="42"/>
  <c r="A5" i="42"/>
  <c r="A11" i="42"/>
  <c r="A16" i="42"/>
  <c r="A7" i="42"/>
  <c r="A4" i="42"/>
  <c r="A3" i="42"/>
  <c r="A13" i="42"/>
  <c r="A9" i="42"/>
  <c r="A14" i="42"/>
  <c r="A12" i="42"/>
  <c r="A15" i="42"/>
  <c r="A8" i="42"/>
  <c r="E6" i="56" l="1"/>
  <c r="E63" i="56"/>
  <c r="A49" i="30"/>
  <c r="D49" i="30" s="1"/>
  <c r="E51" i="56"/>
  <c r="A36" i="30"/>
  <c r="D36" i="30" s="1"/>
  <c r="E36" i="56"/>
  <c r="A47" i="30"/>
  <c r="D47" i="30" s="1"/>
  <c r="E50" i="56"/>
  <c r="A3" i="30"/>
  <c r="D3" i="30" s="1"/>
  <c r="E57" i="56"/>
  <c r="A24" i="30"/>
  <c r="E12" i="56"/>
  <c r="A11" i="30"/>
  <c r="E24" i="56"/>
  <c r="A52" i="30"/>
  <c r="E68" i="56"/>
  <c r="A66" i="30"/>
  <c r="E47" i="56"/>
  <c r="A45" i="30"/>
  <c r="D45" i="30" s="1"/>
  <c r="E40" i="56"/>
  <c r="A34" i="30"/>
  <c r="E28" i="56"/>
  <c r="A23" i="30"/>
  <c r="E11" i="56"/>
  <c r="A10" i="30"/>
  <c r="E19" i="56"/>
  <c r="A61" i="30"/>
  <c r="E54" i="56"/>
  <c r="A69" i="30"/>
  <c r="E69" i="56"/>
  <c r="A46" i="30"/>
  <c r="D46" i="30" s="1"/>
  <c r="E49" i="56"/>
  <c r="A38" i="30"/>
  <c r="E29" i="56"/>
  <c r="A64" i="30"/>
  <c r="E55" i="56"/>
  <c r="A48" i="30"/>
  <c r="D48" i="30" s="1"/>
  <c r="E41" i="56"/>
  <c r="A71" i="30"/>
  <c r="E70" i="56"/>
  <c r="A68" i="30"/>
  <c r="E48" i="56"/>
  <c r="A44" i="30"/>
  <c r="D44" i="30" s="1"/>
  <c r="E39" i="56"/>
  <c r="A40" i="30"/>
  <c r="E61" i="56"/>
  <c r="A20" i="30"/>
  <c r="E10" i="56"/>
  <c r="A9" i="30"/>
  <c r="E18" i="56"/>
  <c r="A60" i="30"/>
  <c r="E53" i="56"/>
  <c r="A75" i="30"/>
  <c r="E74" i="56"/>
  <c r="A63" i="30"/>
  <c r="E45" i="56"/>
  <c r="A67" i="30"/>
  <c r="E64" i="56"/>
  <c r="A70" i="30"/>
  <c r="E79" i="56"/>
  <c r="A62" i="30"/>
  <c r="E44" i="56"/>
  <c r="A43" i="30"/>
  <c r="D43" i="30" s="1"/>
  <c r="E38" i="56"/>
  <c r="A27" i="30"/>
  <c r="E60" i="56"/>
  <c r="A17" i="30"/>
  <c r="E9" i="56"/>
  <c r="A8" i="30"/>
  <c r="E17" i="56"/>
  <c r="A59" i="30"/>
  <c r="E52" i="56"/>
  <c r="A53" i="30"/>
  <c r="E73" i="56"/>
  <c r="A30" i="30"/>
  <c r="E26" i="56"/>
  <c r="A4" i="30"/>
  <c r="E72" i="56"/>
  <c r="A73" i="30"/>
  <c r="E81" i="56"/>
  <c r="A65" i="30"/>
  <c r="E46" i="56"/>
  <c r="A37" i="30"/>
  <c r="D37" i="30" s="1"/>
  <c r="E56" i="56"/>
  <c r="A18" i="30"/>
  <c r="E21" i="56"/>
  <c r="A29" i="30"/>
  <c r="E16" i="56"/>
  <c r="A16" i="30"/>
  <c r="E8" i="56"/>
  <c r="A7" i="30"/>
  <c r="E58" i="56"/>
  <c r="A72" i="30"/>
  <c r="E80" i="56"/>
  <c r="A42" i="30"/>
  <c r="E59" i="56"/>
  <c r="A41" i="30"/>
  <c r="E23" i="56"/>
  <c r="A28" i="30"/>
  <c r="E15" i="56"/>
  <c r="A35" i="30"/>
  <c r="E20" i="56"/>
  <c r="A56" i="30"/>
  <c r="E43" i="56"/>
  <c r="A22" i="30"/>
  <c r="E22" i="56"/>
  <c r="A26" i="30"/>
  <c r="E14" i="56"/>
  <c r="A13" i="30"/>
  <c r="E7" i="56"/>
  <c r="A55" i="30"/>
  <c r="E34" i="56"/>
  <c r="A50" i="30"/>
  <c r="D50" i="30" s="1"/>
  <c r="E37" i="56"/>
  <c r="A79" i="30"/>
  <c r="A39" i="30"/>
  <c r="E30" i="56"/>
  <c r="A25" i="30"/>
  <c r="E13" i="56"/>
  <c r="A12" i="30"/>
  <c r="E25" i="56"/>
  <c r="A51" i="30"/>
  <c r="D51" i="30" s="1"/>
  <c r="E42" i="56"/>
  <c r="A32" i="30"/>
  <c r="A31" i="30"/>
  <c r="D31" i="30" s="1"/>
  <c r="A57" i="30"/>
  <c r="A58" i="30"/>
  <c r="A15" i="30"/>
  <c r="D15" i="30" s="1"/>
  <c r="A14" i="30"/>
  <c r="D14" i="30" s="1"/>
  <c r="O57" i="28"/>
  <c r="D16" i="42"/>
  <c r="AJ48" i="28"/>
  <c r="AJ49" i="28" s="1"/>
  <c r="AJ50" i="28" s="1"/>
  <c r="AJ51" i="28" s="1"/>
  <c r="D10" i="42"/>
  <c r="D9" i="42"/>
  <c r="D7" i="42"/>
  <c r="D8" i="42"/>
  <c r="AK39" i="28"/>
  <c r="AK44" i="28"/>
  <c r="AK41" i="28"/>
  <c r="AK43" i="28"/>
  <c r="AK40" i="28"/>
  <c r="AK42" i="28"/>
  <c r="D4" i="42"/>
  <c r="D3" i="42"/>
  <c r="D5" i="42"/>
  <c r="D6" i="42"/>
  <c r="AC9" i="30"/>
  <c r="AC23" i="30"/>
  <c r="Y28" i="30"/>
  <c r="Z28" i="30" s="1"/>
  <c r="AC32" i="30"/>
  <c r="Y10" i="30"/>
  <c r="Z10" i="30" s="1"/>
  <c r="AC37" i="30"/>
  <c r="AC41" i="30"/>
  <c r="AC34" i="30"/>
  <c r="AC35" i="30"/>
  <c r="AC30" i="30"/>
  <c r="AC25" i="30"/>
  <c r="AC17" i="30"/>
  <c r="AC12" i="30"/>
  <c r="AC26" i="30"/>
  <c r="AC42" i="30"/>
  <c r="AC40" i="30"/>
  <c r="AC22" i="30"/>
  <c r="AC29" i="30"/>
  <c r="AC24" i="30"/>
  <c r="AC16" i="30"/>
  <c r="AC11" i="30"/>
  <c r="AC13" i="30"/>
  <c r="AC27" i="30"/>
  <c r="AC39" i="30"/>
  <c r="AC8" i="30"/>
  <c r="AC28" i="30"/>
  <c r="AC10" i="30"/>
  <c r="Y23" i="30"/>
  <c r="Y13" i="30"/>
  <c r="Y37" i="30"/>
  <c r="Y12" i="30"/>
  <c r="Y17" i="30"/>
  <c r="Y34" i="30"/>
  <c r="Y29" i="30"/>
  <c r="Y24" i="30"/>
  <c r="Y16" i="30"/>
  <c r="Y11" i="30"/>
  <c r="Y35" i="30"/>
  <c r="Y41" i="30"/>
  <c r="AC18" i="30"/>
  <c r="AC38" i="30"/>
  <c r="AC7" i="30"/>
  <c r="Y27" i="30"/>
  <c r="Y39" i="30"/>
  <c r="Y8" i="30"/>
  <c r="Y18" i="30"/>
  <c r="Y38" i="30"/>
  <c r="Y7" i="30"/>
  <c r="O59" i="28" l="1"/>
  <c r="O79" i="28" s="1"/>
  <c r="P12" i="28"/>
  <c r="AJ52" i="28"/>
  <c r="AK45" i="28"/>
  <c r="D42" i="30"/>
  <c r="AK46" i="28"/>
  <c r="P13" i="28" l="1"/>
  <c r="O81" i="28"/>
  <c r="AJ53" i="28"/>
  <c r="AK49" i="28"/>
  <c r="AK47" i="28"/>
  <c r="AK48" i="28"/>
  <c r="AK51" i="28"/>
  <c r="O82" i="28" l="1"/>
  <c r="O83" i="28" s="1"/>
  <c r="P14" i="28"/>
  <c r="AJ54" i="28"/>
  <c r="AJ55" i="28" s="1"/>
  <c r="AJ56" i="28" s="1"/>
  <c r="AJ57" i="28" s="1"/>
  <c r="AK52" i="28"/>
  <c r="AK50" i="28"/>
  <c r="AK53" i="28"/>
  <c r="AC44" i="30"/>
  <c r="AC45" i="30"/>
  <c r="Y44" i="30"/>
  <c r="Y45" i="30"/>
  <c r="A74" i="23"/>
  <c r="A53" i="23"/>
  <c r="D159" i="30" l="1"/>
  <c r="D158" i="30"/>
  <c r="D160" i="30"/>
  <c r="D22" i="42"/>
  <c r="D18" i="42"/>
  <c r="D27" i="42"/>
  <c r="D26" i="42"/>
  <c r="D156" i="30"/>
  <c r="D157" i="30"/>
  <c r="D25" i="42"/>
  <c r="D23" i="42"/>
  <c r="D20" i="42"/>
  <c r="D24" i="42"/>
  <c r="D150" i="30"/>
  <c r="D149" i="30"/>
  <c r="D155" i="30"/>
  <c r="D154" i="30"/>
  <c r="D153" i="30"/>
  <c r="D152" i="30"/>
  <c r="D151" i="30"/>
  <c r="D148" i="30"/>
  <c r="D147" i="30"/>
  <c r="D142" i="30"/>
  <c r="D146" i="30"/>
  <c r="D145" i="30"/>
  <c r="D144" i="30"/>
  <c r="D143" i="30"/>
  <c r="D141" i="30"/>
  <c r="D140" i="30"/>
  <c r="D138" i="30"/>
  <c r="D137" i="30"/>
  <c r="D139" i="30"/>
  <c r="A76" i="30"/>
  <c r="E71" i="56"/>
  <c r="A54" i="30"/>
  <c r="D54" i="30" s="1"/>
  <c r="E89" i="56"/>
  <c r="D136" i="30"/>
  <c r="D135" i="30"/>
  <c r="D132" i="30"/>
  <c r="D131" i="30"/>
  <c r="D134" i="30"/>
  <c r="D133" i="30"/>
  <c r="D126" i="30"/>
  <c r="D124" i="30"/>
  <c r="D123" i="30"/>
  <c r="D125" i="30"/>
  <c r="D128" i="30"/>
  <c r="D130" i="30"/>
  <c r="D129" i="30"/>
  <c r="D127" i="30"/>
  <c r="D120" i="30"/>
  <c r="D122" i="30"/>
  <c r="D121" i="30"/>
  <c r="D119" i="30"/>
  <c r="D118" i="30"/>
  <c r="D110" i="30"/>
  <c r="D114" i="30"/>
  <c r="D113" i="30"/>
  <c r="D117" i="30"/>
  <c r="D112" i="30"/>
  <c r="D116" i="30"/>
  <c r="D111" i="30"/>
  <c r="D115" i="30"/>
  <c r="D109" i="30"/>
  <c r="D104" i="30"/>
  <c r="D107" i="30"/>
  <c r="D108" i="30"/>
  <c r="D105" i="30"/>
  <c r="D106" i="30"/>
  <c r="D70" i="30"/>
  <c r="D69" i="30"/>
  <c r="D12" i="42"/>
  <c r="D65" i="30"/>
  <c r="D73" i="30"/>
  <c r="D56" i="30"/>
  <c r="D4" i="30"/>
  <c r="D52" i="30"/>
  <c r="D11" i="42"/>
  <c r="D75" i="30"/>
  <c r="D72" i="30"/>
  <c r="D66" i="30"/>
  <c r="D53" i="30"/>
  <c r="D13" i="42"/>
  <c r="D15" i="42"/>
  <c r="D68" i="30"/>
  <c r="D79" i="30"/>
  <c r="D63" i="30"/>
  <c r="D71" i="30"/>
  <c r="D14" i="42"/>
  <c r="D60" i="30"/>
  <c r="D61" i="30"/>
  <c r="D57" i="30"/>
  <c r="D55" i="30"/>
  <c r="D64" i="30"/>
  <c r="D59" i="30"/>
  <c r="D62" i="30"/>
  <c r="D58" i="30"/>
  <c r="O90" i="28"/>
  <c r="P15" i="28"/>
  <c r="D78" i="30"/>
  <c r="D86" i="30"/>
  <c r="D93" i="30"/>
  <c r="D102" i="30"/>
  <c r="D101" i="30"/>
  <c r="D100" i="30"/>
  <c r="D77" i="30"/>
  <c r="D103" i="30"/>
  <c r="D98" i="30"/>
  <c r="D19" i="42"/>
  <c r="D94" i="30"/>
  <c r="D99" i="30"/>
  <c r="D97" i="30"/>
  <c r="D5" i="30"/>
  <c r="D96" i="30"/>
  <c r="D95" i="30"/>
  <c r="D92" i="30"/>
  <c r="D82" i="30"/>
  <c r="D91" i="30"/>
  <c r="D90" i="30"/>
  <c r="D89" i="30"/>
  <c r="D84" i="30"/>
  <c r="D88" i="30"/>
  <c r="D83" i="30"/>
  <c r="D80" i="30"/>
  <c r="D87" i="30"/>
  <c r="D85" i="30"/>
  <c r="D81" i="30"/>
  <c r="D74" i="30"/>
  <c r="AK55" i="28"/>
  <c r="AK54" i="28"/>
  <c r="AJ58" i="28"/>
  <c r="O93" i="28" l="1"/>
  <c r="O102" i="28" s="1"/>
  <c r="P16" i="28"/>
  <c r="AJ59" i="28"/>
  <c r="AJ60" i="28" s="1"/>
  <c r="AJ61" i="28" s="1"/>
  <c r="AJ62" i="28" s="1"/>
  <c r="AJ63" i="28" s="1"/>
  <c r="AJ64" i="28" s="1"/>
  <c r="AJ65" i="28" s="1"/>
  <c r="AK57" i="28"/>
  <c r="AK56" i="28"/>
  <c r="R102" i="28"/>
  <c r="O111" i="28" l="1"/>
  <c r="O122" i="28" s="1"/>
  <c r="O126" i="28" s="1"/>
  <c r="P17" i="28"/>
  <c r="AJ66" i="28"/>
  <c r="AJ67" i="28" s="1"/>
  <c r="AJ68" i="28" s="1"/>
  <c r="AF3" i="28"/>
  <c r="AF4" i="28" s="1"/>
  <c r="AF5" i="28" s="1"/>
  <c r="AF6" i="28" s="1"/>
  <c r="AF7" i="28" s="1"/>
  <c r="AF8" i="28" s="1"/>
  <c r="AF9" i="28" s="1"/>
  <c r="AF10" i="28" s="1"/>
  <c r="AF11" i="28" s="1"/>
  <c r="AF12" i="28" s="1"/>
  <c r="AF13" i="28" s="1"/>
  <c r="AF14" i="28" s="1"/>
  <c r="AF15" i="28" s="1"/>
  <c r="O136" i="28" l="1"/>
  <c r="P18" i="28"/>
  <c r="AJ69" i="28"/>
  <c r="O138" i="28" l="1"/>
  <c r="P19" i="28"/>
  <c r="AJ70" i="28"/>
  <c r="AH74" i="23"/>
  <c r="AH53" i="23"/>
  <c r="AI74" i="23"/>
  <c r="AI53" i="23"/>
  <c r="O158" i="28" l="1"/>
  <c r="P23" i="28" s="1"/>
  <c r="P20" i="28"/>
  <c r="P21" i="28"/>
  <c r="P22" i="28"/>
  <c r="AJ71" i="28"/>
  <c r="AK58" i="28"/>
  <c r="AK60" i="28"/>
  <c r="R101" i="28"/>
  <c r="R100" i="28"/>
  <c r="R99" i="28"/>
  <c r="R98" i="28"/>
  <c r="R97" i="28"/>
  <c r="R96" i="28"/>
  <c r="R95" i="28"/>
  <c r="R94" i="28"/>
  <c r="R93" i="28"/>
  <c r="R92" i="28"/>
  <c r="R91" i="28"/>
  <c r="R90" i="28"/>
  <c r="R89" i="28"/>
  <c r="R88" i="28"/>
  <c r="R87" i="28"/>
  <c r="R68" i="28"/>
  <c r="R67" i="28"/>
  <c r="R66" i="28"/>
  <c r="R65" i="28"/>
  <c r="R64" i="28"/>
  <c r="R63" i="28"/>
  <c r="R62" i="28"/>
  <c r="R61" i="28"/>
  <c r="R60" i="28"/>
  <c r="R59" i="28"/>
  <c r="R58" i="28"/>
  <c r="R57" i="28"/>
  <c r="R56" i="28"/>
  <c r="R55" i="28"/>
  <c r="R54" i="28"/>
  <c r="R53" i="28"/>
  <c r="R52" i="28"/>
  <c r="R51" i="28"/>
  <c r="R50" i="28"/>
  <c r="R49" i="28"/>
  <c r="R15" i="28"/>
  <c r="R26" i="28"/>
  <c r="R25" i="28"/>
  <c r="R24" i="28"/>
  <c r="R23" i="28"/>
  <c r="R22" i="28"/>
  <c r="R21" i="28"/>
  <c r="R20" i="28"/>
  <c r="R19" i="28"/>
  <c r="R18" i="28"/>
  <c r="R17" i="28"/>
  <c r="R16" i="28"/>
  <c r="O159" i="28" l="1"/>
  <c r="P17" i="42"/>
  <c r="T57" i="30"/>
  <c r="P58" i="30"/>
  <c r="T14" i="30"/>
  <c r="P14" i="30" s="1"/>
  <c r="T68" i="30"/>
  <c r="T94" i="30"/>
  <c r="T95" i="30"/>
  <c r="T88" i="30"/>
  <c r="T87" i="30"/>
  <c r="T83" i="30"/>
  <c r="P83" i="30" s="1"/>
  <c r="T92" i="30"/>
  <c r="T85" i="30"/>
  <c r="T91" i="30"/>
  <c r="T96" i="30"/>
  <c r="T89" i="30"/>
  <c r="T93" i="30"/>
  <c r="P93" i="30" s="1"/>
  <c r="T75" i="30"/>
  <c r="T53" i="30"/>
  <c r="T76" i="30"/>
  <c r="T72" i="30"/>
  <c r="T77" i="30"/>
  <c r="P77" i="30" s="1"/>
  <c r="P19" i="42"/>
  <c r="AV19" i="42" s="1"/>
  <c r="T79" i="30"/>
  <c r="P79" i="30" s="1"/>
  <c r="AJ72" i="28"/>
  <c r="P16" i="42"/>
  <c r="Q16" i="42" s="1"/>
  <c r="T50" i="30"/>
  <c r="T36" i="30"/>
  <c r="T3" i="30"/>
  <c r="P13" i="42"/>
  <c r="AV13" i="42" s="1"/>
  <c r="T66" i="30"/>
  <c r="P14" i="42"/>
  <c r="AV14" i="42" s="1"/>
  <c r="P11" i="42"/>
  <c r="AV11" i="42" s="1"/>
  <c r="P15" i="42"/>
  <c r="P12" i="42"/>
  <c r="AV12" i="42" s="1"/>
  <c r="X59" i="30"/>
  <c r="K52" i="56" s="1"/>
  <c r="T64" i="30"/>
  <c r="T51" i="30"/>
  <c r="P51" i="30" s="1"/>
  <c r="T61" i="30"/>
  <c r="T55" i="30"/>
  <c r="P55" i="30" s="1"/>
  <c r="T60" i="30"/>
  <c r="P60" i="30" s="1"/>
  <c r="T63" i="30"/>
  <c r="P7" i="42"/>
  <c r="AV7" i="42" s="1"/>
  <c r="T49" i="30"/>
  <c r="P3" i="42"/>
  <c r="AV3" i="42" s="1"/>
  <c r="P8" i="42"/>
  <c r="AV8" i="42" s="1"/>
  <c r="P4" i="42"/>
  <c r="AV4" i="42" s="1"/>
  <c r="P9" i="42"/>
  <c r="AV9" i="42" s="1"/>
  <c r="P5" i="42"/>
  <c r="AV5" i="42" s="1"/>
  <c r="P6" i="42"/>
  <c r="T17" i="30"/>
  <c r="P17" i="30" s="1"/>
  <c r="T43" i="30"/>
  <c r="P43" i="30" s="1"/>
  <c r="T11" i="30"/>
  <c r="P11" i="30" s="1"/>
  <c r="T25" i="30"/>
  <c r="P25" i="30" s="1"/>
  <c r="T16" i="30"/>
  <c r="P16" i="30" s="1"/>
  <c r="T18" i="30"/>
  <c r="P18" i="30" s="1"/>
  <c r="T13" i="30"/>
  <c r="P13" i="30" s="1"/>
  <c r="T35" i="30"/>
  <c r="P35" i="30" s="1"/>
  <c r="T42" i="30"/>
  <c r="P42" i="30" s="1"/>
  <c r="T12" i="30"/>
  <c r="P12" i="30" s="1"/>
  <c r="T29" i="30"/>
  <c r="P29" i="30" s="1"/>
  <c r="T30" i="30"/>
  <c r="P30" i="30" s="1"/>
  <c r="T8" i="30"/>
  <c r="P8" i="30" s="1"/>
  <c r="T34" i="30"/>
  <c r="P34" i="30" s="1"/>
  <c r="T26" i="30"/>
  <c r="P26" i="30" s="1"/>
  <c r="T27" i="30"/>
  <c r="P27" i="30" s="1"/>
  <c r="T7" i="30"/>
  <c r="P7" i="30" s="1"/>
  <c r="T39" i="30"/>
  <c r="P39" i="30" s="1"/>
  <c r="T45" i="30"/>
  <c r="P45" i="30" s="1"/>
  <c r="T44" i="30"/>
  <c r="P44" i="30" s="1"/>
  <c r="T46" i="30"/>
  <c r="P46" i="30" s="1"/>
  <c r="T38" i="30"/>
  <c r="P38" i="30" s="1"/>
  <c r="T19" i="30"/>
  <c r="P19" i="30" s="1"/>
  <c r="T33" i="30"/>
  <c r="P33" i="30" s="1"/>
  <c r="T41" i="30"/>
  <c r="P41" i="30" s="1"/>
  <c r="T23" i="30"/>
  <c r="P23" i="30" s="1"/>
  <c r="T22" i="30"/>
  <c r="P22" i="30" s="1"/>
  <c r="T40" i="30"/>
  <c r="P40" i="30" s="1"/>
  <c r="P10" i="42"/>
  <c r="AV10" i="42" s="1"/>
  <c r="AK59" i="28"/>
  <c r="Q17" i="42" l="1"/>
  <c r="AV17" i="42"/>
  <c r="P25" i="28"/>
  <c r="O166" i="28"/>
  <c r="P26" i="28"/>
  <c r="P24" i="28"/>
  <c r="Q6" i="42"/>
  <c r="AV6" i="42"/>
  <c r="P3" i="30"/>
  <c r="X61" i="30"/>
  <c r="K54" i="56" s="1"/>
  <c r="P61" i="30"/>
  <c r="X66" i="30"/>
  <c r="K47" i="56" s="1"/>
  <c r="P66" i="30"/>
  <c r="AB89" i="30"/>
  <c r="P89" i="30"/>
  <c r="AB95" i="30"/>
  <c r="P95" i="30"/>
  <c r="AB96" i="30"/>
  <c r="P96" i="30"/>
  <c r="Z94" i="30"/>
  <c r="P94" i="30"/>
  <c r="X64" i="30"/>
  <c r="K55" i="56" s="1"/>
  <c r="P64" i="30"/>
  <c r="AB72" i="30"/>
  <c r="P72" i="30"/>
  <c r="AB91" i="30"/>
  <c r="P91" i="30"/>
  <c r="AB68" i="30"/>
  <c r="P68" i="30"/>
  <c r="X49" i="30"/>
  <c r="K51" i="56" s="1"/>
  <c r="P49" i="30"/>
  <c r="X36" i="30"/>
  <c r="P36" i="30"/>
  <c r="AB76" i="30"/>
  <c r="P76" i="30"/>
  <c r="AB85" i="30"/>
  <c r="P85" i="30"/>
  <c r="X50" i="30"/>
  <c r="K37" i="56" s="1"/>
  <c r="P50" i="30"/>
  <c r="AB53" i="30"/>
  <c r="P53" i="30"/>
  <c r="AB92" i="30"/>
  <c r="P92" i="30"/>
  <c r="AB88" i="30"/>
  <c r="P88" i="30"/>
  <c r="X63" i="30"/>
  <c r="K45" i="56" s="1"/>
  <c r="P63" i="30"/>
  <c r="AB75" i="30"/>
  <c r="P75" i="30"/>
  <c r="X57" i="30"/>
  <c r="P57" i="30"/>
  <c r="AB87" i="30"/>
  <c r="P87" i="30"/>
  <c r="AB83" i="30"/>
  <c r="X83" i="30"/>
  <c r="K86" i="56" s="1"/>
  <c r="AJ73" i="28"/>
  <c r="AB77" i="30"/>
  <c r="X77" i="30"/>
  <c r="K106" i="56" s="1"/>
  <c r="V93" i="30"/>
  <c r="AB93" i="30"/>
  <c r="V77" i="30"/>
  <c r="J106" i="56" s="1"/>
  <c r="Z77" i="30"/>
  <c r="X53" i="30"/>
  <c r="K73" i="56" s="1"/>
  <c r="Z53" i="30"/>
  <c r="V53" i="30"/>
  <c r="X91" i="30"/>
  <c r="K84" i="56" s="1"/>
  <c r="Z91" i="30"/>
  <c r="V91" i="30"/>
  <c r="V68" i="30"/>
  <c r="Z68" i="30"/>
  <c r="X68" i="30"/>
  <c r="K48" i="56" s="1"/>
  <c r="AB79" i="30"/>
  <c r="V79" i="30"/>
  <c r="J126" i="56" s="1"/>
  <c r="X79" i="30"/>
  <c r="K126" i="56" s="1"/>
  <c r="Z79" i="30"/>
  <c r="X75" i="30"/>
  <c r="K74" i="56" s="1"/>
  <c r="Z75" i="30"/>
  <c r="V75" i="30"/>
  <c r="X85" i="30"/>
  <c r="K67" i="56" s="1"/>
  <c r="V85" i="30"/>
  <c r="Z85" i="30"/>
  <c r="V14" i="30"/>
  <c r="X14" i="30"/>
  <c r="Z14" i="30"/>
  <c r="X92" i="30"/>
  <c r="K85" i="56" s="1"/>
  <c r="V92" i="30"/>
  <c r="Z92" i="30"/>
  <c r="V58" i="30"/>
  <c r="AB58" i="30"/>
  <c r="X58" i="30"/>
  <c r="Z58" i="30"/>
  <c r="V83" i="30"/>
  <c r="Z83" i="30"/>
  <c r="V15" i="30"/>
  <c r="Z15" i="30"/>
  <c r="X15" i="30"/>
  <c r="V72" i="30"/>
  <c r="X72" i="30"/>
  <c r="Z72" i="30"/>
  <c r="Z93" i="30"/>
  <c r="X93" i="30"/>
  <c r="K95" i="56" s="1"/>
  <c r="V87" i="30"/>
  <c r="X87" i="30"/>
  <c r="K87" i="56" s="1"/>
  <c r="Z87" i="30"/>
  <c r="AB57" i="30"/>
  <c r="Z57" i="30"/>
  <c r="V57" i="30"/>
  <c r="V70" i="30"/>
  <c r="X70" i="30"/>
  <c r="Z70" i="30"/>
  <c r="X88" i="30"/>
  <c r="K88" i="56" s="1"/>
  <c r="V88" i="30"/>
  <c r="Z88" i="30"/>
  <c r="V89" i="30"/>
  <c r="X89" i="30"/>
  <c r="K82" i="56" s="1"/>
  <c r="Z89" i="30"/>
  <c r="V95" i="30"/>
  <c r="J102" i="56" s="1"/>
  <c r="X95" i="30"/>
  <c r="K102" i="56" s="1"/>
  <c r="Z95" i="30"/>
  <c r="X76" i="30"/>
  <c r="K71" i="56" s="1"/>
  <c r="V76" i="30"/>
  <c r="Z76" i="30"/>
  <c r="V96" i="30"/>
  <c r="J103" i="56" s="1"/>
  <c r="Z96" i="30"/>
  <c r="X96" i="30"/>
  <c r="K103" i="56" s="1"/>
  <c r="X60" i="30"/>
  <c r="K53" i="56" s="1"/>
  <c r="X26" i="30"/>
  <c r="K14" i="56" s="1"/>
  <c r="X55" i="30"/>
  <c r="K34" i="56" s="1"/>
  <c r="X39" i="30"/>
  <c r="K30" i="56" s="1"/>
  <c r="X18" i="30"/>
  <c r="K21" i="56" s="1"/>
  <c r="X38" i="30"/>
  <c r="K29" i="56" s="1"/>
  <c r="X45" i="30"/>
  <c r="K40" i="56" s="1"/>
  <c r="X11" i="30"/>
  <c r="K24" i="56" s="1"/>
  <c r="X33" i="30"/>
  <c r="X46" i="30"/>
  <c r="K49" i="56" s="1"/>
  <c r="X42" i="30"/>
  <c r="K59" i="56" s="1"/>
  <c r="X40" i="30"/>
  <c r="K61" i="56" s="1"/>
  <c r="X22" i="30"/>
  <c r="K22" i="56" s="1"/>
  <c r="X19" i="30"/>
  <c r="K32" i="56" s="1"/>
  <c r="X44" i="30"/>
  <c r="K39" i="56" s="1"/>
  <c r="X27" i="30"/>
  <c r="K60" i="56" s="1"/>
  <c r="X17" i="30"/>
  <c r="K9" i="56" s="1"/>
  <c r="X51" i="30"/>
  <c r="K42" i="56" s="1"/>
  <c r="X3" i="30"/>
  <c r="V3" i="30"/>
  <c r="Z3" i="30"/>
  <c r="AB3" i="30"/>
  <c r="AB36" i="30"/>
  <c r="V36" i="30"/>
  <c r="Z36" i="30"/>
  <c r="AB50" i="30"/>
  <c r="V50" i="30"/>
  <c r="Z50" i="30"/>
  <c r="AK61" i="28"/>
  <c r="AK63" i="28"/>
  <c r="AB46" i="30"/>
  <c r="V46" i="30"/>
  <c r="Z46" i="30"/>
  <c r="V42" i="30"/>
  <c r="AB42" i="30"/>
  <c r="Z42" i="30"/>
  <c r="V43" i="30"/>
  <c r="X43" i="30"/>
  <c r="K38" i="56" s="1"/>
  <c r="AB43" i="30"/>
  <c r="Z43" i="30"/>
  <c r="Q8" i="42"/>
  <c r="Z63" i="30"/>
  <c r="V63" i="30"/>
  <c r="AB63" i="30"/>
  <c r="V44" i="30"/>
  <c r="AB44" i="30"/>
  <c r="Z44" i="30"/>
  <c r="AB60" i="30"/>
  <c r="V60" i="30"/>
  <c r="Z60" i="30"/>
  <c r="V51" i="30"/>
  <c r="Z51" i="30"/>
  <c r="AB51" i="30"/>
  <c r="R14" i="42"/>
  <c r="V45" i="30"/>
  <c r="AB45" i="30"/>
  <c r="Z45" i="30"/>
  <c r="Q9" i="42"/>
  <c r="AB49" i="30"/>
  <c r="V49" i="30"/>
  <c r="Z49" i="30"/>
  <c r="V55" i="30"/>
  <c r="Z55" i="30"/>
  <c r="AB55" i="30"/>
  <c r="Z64" i="30"/>
  <c r="V64" i="30"/>
  <c r="AB64" i="30"/>
  <c r="R12" i="42"/>
  <c r="V66" i="30"/>
  <c r="AB66" i="30"/>
  <c r="Z66" i="30"/>
  <c r="R10" i="42"/>
  <c r="V37" i="30"/>
  <c r="X37" i="30"/>
  <c r="K56" i="56" s="1"/>
  <c r="AB37" i="30"/>
  <c r="Z37" i="30"/>
  <c r="Q7" i="42"/>
  <c r="Z61" i="30"/>
  <c r="V61" i="30"/>
  <c r="AB61" i="30"/>
  <c r="V59" i="30"/>
  <c r="Z59" i="30"/>
  <c r="AB59" i="30"/>
  <c r="Q15" i="42"/>
  <c r="R13" i="42"/>
  <c r="N28" i="38"/>
  <c r="N30" i="38"/>
  <c r="N27" i="38"/>
  <c r="N29" i="38"/>
  <c r="V41" i="30"/>
  <c r="X41" i="30"/>
  <c r="K23" i="56" s="1"/>
  <c r="AB41" i="30"/>
  <c r="Z41" i="30"/>
  <c r="V26" i="30"/>
  <c r="AB26" i="30"/>
  <c r="Z26" i="30"/>
  <c r="V13" i="30"/>
  <c r="X13" i="30"/>
  <c r="K7" i="56" s="1"/>
  <c r="AB13" i="30"/>
  <c r="Z13" i="30"/>
  <c r="V33" i="30"/>
  <c r="J62" i="56" s="1"/>
  <c r="AB33" i="30"/>
  <c r="Z33" i="30"/>
  <c r="V8" i="30"/>
  <c r="X8" i="30"/>
  <c r="K17" i="56" s="1"/>
  <c r="AB8" i="30"/>
  <c r="Z8" i="30"/>
  <c r="V30" i="30"/>
  <c r="X30" i="30"/>
  <c r="K26" i="56" s="1"/>
  <c r="AB30" i="30"/>
  <c r="Z30" i="30"/>
  <c r="V29" i="30"/>
  <c r="X29" i="30"/>
  <c r="K16" i="56" s="1"/>
  <c r="AB29" i="30"/>
  <c r="Z29" i="30"/>
  <c r="V16" i="30"/>
  <c r="X16" i="30"/>
  <c r="K8" i="56" s="1"/>
  <c r="AB16" i="30"/>
  <c r="Z16" i="30"/>
  <c r="V24" i="30"/>
  <c r="X24" i="30"/>
  <c r="K12" i="56" s="1"/>
  <c r="AB24" i="30"/>
  <c r="Z24" i="30"/>
  <c r="V35" i="30"/>
  <c r="X35" i="30"/>
  <c r="K20" i="56" s="1"/>
  <c r="AB35" i="30"/>
  <c r="Z35" i="30"/>
  <c r="V38" i="30"/>
  <c r="AB38" i="30"/>
  <c r="Z38" i="30"/>
  <c r="V22" i="30"/>
  <c r="AB22" i="30"/>
  <c r="Z22" i="30"/>
  <c r="V7" i="30"/>
  <c r="X7" i="30"/>
  <c r="K58" i="56" s="1"/>
  <c r="AB7" i="30"/>
  <c r="Z7" i="30"/>
  <c r="V12" i="30"/>
  <c r="X12" i="30"/>
  <c r="K25" i="56" s="1"/>
  <c r="AB12" i="30"/>
  <c r="Z12" i="30"/>
  <c r="V17" i="30"/>
  <c r="AB17" i="30"/>
  <c r="Z17" i="30"/>
  <c r="V40" i="30"/>
  <c r="AB40" i="30"/>
  <c r="Z40" i="30"/>
  <c r="V18" i="30"/>
  <c r="AB18" i="30"/>
  <c r="Z18" i="30"/>
  <c r="V11" i="30"/>
  <c r="AB11" i="30"/>
  <c r="Z11" i="30"/>
  <c r="V25" i="30"/>
  <c r="X25" i="30"/>
  <c r="K13" i="56" s="1"/>
  <c r="AB25" i="30"/>
  <c r="Z25" i="30"/>
  <c r="V27" i="30"/>
  <c r="AB27" i="30"/>
  <c r="Z27" i="30"/>
  <c r="V23" i="30"/>
  <c r="X23" i="30"/>
  <c r="K11" i="56" s="1"/>
  <c r="AB23" i="30"/>
  <c r="Z23" i="30"/>
  <c r="V34" i="30"/>
  <c r="X34" i="30"/>
  <c r="K28" i="56" s="1"/>
  <c r="AB34" i="30"/>
  <c r="Z34" i="30"/>
  <c r="V39" i="30"/>
  <c r="AB39" i="30"/>
  <c r="Z39" i="30"/>
  <c r="V19" i="30"/>
  <c r="AB19" i="30"/>
  <c r="Z19" i="30"/>
  <c r="O169" i="28" l="1"/>
  <c r="P568" i="28" s="1"/>
  <c r="U17" i="42"/>
  <c r="S17" i="42"/>
  <c r="T17" i="42" s="1"/>
  <c r="K57" i="56"/>
  <c r="M126" i="56"/>
  <c r="N126" i="56" s="1"/>
  <c r="L126" i="56"/>
  <c r="L106" i="56"/>
  <c r="L103" i="56"/>
  <c r="L102" i="56"/>
  <c r="K79" i="56"/>
  <c r="K104" i="56"/>
  <c r="K80" i="56"/>
  <c r="K105" i="56"/>
  <c r="L105" i="56" s="1"/>
  <c r="K63" i="56"/>
  <c r="K5" i="56"/>
  <c r="K62" i="56"/>
  <c r="L62" i="56" s="1"/>
  <c r="J63" i="56"/>
  <c r="K36" i="56"/>
  <c r="K6" i="56"/>
  <c r="J6" i="56"/>
  <c r="AA49" i="23"/>
  <c r="J37" i="56"/>
  <c r="L37" i="56" s="1"/>
  <c r="AA37" i="23"/>
  <c r="J61" i="56"/>
  <c r="L61" i="56" s="1"/>
  <c r="AA33" i="23"/>
  <c r="J36" i="56"/>
  <c r="AA40" i="23"/>
  <c r="J59" i="56"/>
  <c r="L59" i="56" s="1"/>
  <c r="AA34" i="23"/>
  <c r="J56" i="56"/>
  <c r="AA25" i="23"/>
  <c r="J60" i="56"/>
  <c r="AA6" i="23"/>
  <c r="J58" i="56"/>
  <c r="AA54" i="23"/>
  <c r="J34" i="56"/>
  <c r="J35" i="56"/>
  <c r="AA92" i="23"/>
  <c r="J95" i="56"/>
  <c r="AA30" i="23"/>
  <c r="J5" i="56"/>
  <c r="K35" i="56"/>
  <c r="AA2" i="23"/>
  <c r="J57" i="56"/>
  <c r="AA77" i="23"/>
  <c r="AA36" i="23"/>
  <c r="J30" i="56"/>
  <c r="L30" i="56" s="1"/>
  <c r="AA21" i="23"/>
  <c r="J11" i="56"/>
  <c r="L11" i="56" s="1"/>
  <c r="AA58" i="23"/>
  <c r="J53" i="56"/>
  <c r="L53" i="56" s="1"/>
  <c r="AA86" i="23"/>
  <c r="J87" i="56"/>
  <c r="L87" i="56" s="1"/>
  <c r="AA91" i="23"/>
  <c r="J85" i="56"/>
  <c r="L85" i="56" s="1"/>
  <c r="AA73" i="23"/>
  <c r="J74" i="56"/>
  <c r="L74" i="56" s="1"/>
  <c r="AA11" i="23"/>
  <c r="J25" i="56"/>
  <c r="L25" i="56" s="1"/>
  <c r="AA94" i="23"/>
  <c r="AA66" i="23"/>
  <c r="J48" i="56"/>
  <c r="L48" i="56" s="1"/>
  <c r="AA75" i="23"/>
  <c r="AA12" i="23"/>
  <c r="J7" i="56"/>
  <c r="AA57" i="23"/>
  <c r="J52" i="56"/>
  <c r="AA35" i="23"/>
  <c r="J29" i="56"/>
  <c r="AA22" i="23"/>
  <c r="J12" i="56"/>
  <c r="L12" i="56" s="1"/>
  <c r="AA27" i="23"/>
  <c r="J16" i="56"/>
  <c r="L16" i="56" s="1"/>
  <c r="AA7" i="23"/>
  <c r="J17" i="56"/>
  <c r="AA45" i="23"/>
  <c r="J49" i="56"/>
  <c r="AA10" i="23"/>
  <c r="J24" i="56"/>
  <c r="AA59" i="23"/>
  <c r="J54" i="56"/>
  <c r="L54" i="56" s="1"/>
  <c r="AA44" i="23"/>
  <c r="J40" i="56"/>
  <c r="L40" i="56" s="1"/>
  <c r="AA68" i="23"/>
  <c r="J79" i="56"/>
  <c r="AA81" i="23"/>
  <c r="J86" i="56"/>
  <c r="AA90" i="23"/>
  <c r="J84" i="56"/>
  <c r="L84" i="56" s="1"/>
  <c r="AA24" i="23"/>
  <c r="J14" i="56"/>
  <c r="L14" i="56" s="1"/>
  <c r="AA95" i="23"/>
  <c r="AA38" i="23"/>
  <c r="J23" i="56"/>
  <c r="L23" i="56" s="1"/>
  <c r="AA62" i="23"/>
  <c r="J55" i="56"/>
  <c r="L55" i="56" s="1"/>
  <c r="AA15" i="23"/>
  <c r="J9" i="56"/>
  <c r="L9" i="56" s="1"/>
  <c r="AA31" i="23"/>
  <c r="J28" i="56"/>
  <c r="L28" i="56" s="1"/>
  <c r="AA64" i="23"/>
  <c r="J47" i="56"/>
  <c r="L47" i="56" s="1"/>
  <c r="AA43" i="23"/>
  <c r="J39" i="56"/>
  <c r="L39" i="56" s="1"/>
  <c r="AA42" i="23"/>
  <c r="J38" i="56"/>
  <c r="AA88" i="23"/>
  <c r="J82" i="56"/>
  <c r="AA17" i="23"/>
  <c r="J32" i="56"/>
  <c r="L32" i="56" s="1"/>
  <c r="AA16" i="23"/>
  <c r="J21" i="56"/>
  <c r="AA32" i="23"/>
  <c r="J20" i="56"/>
  <c r="L20" i="56" s="1"/>
  <c r="AA14" i="23"/>
  <c r="J8" i="56"/>
  <c r="L8" i="56" s="1"/>
  <c r="AA28" i="23"/>
  <c r="J26" i="56"/>
  <c r="AA48" i="23"/>
  <c r="J51" i="56"/>
  <c r="L51" i="56" s="1"/>
  <c r="AA74" i="23"/>
  <c r="J71" i="56"/>
  <c r="AA70" i="23"/>
  <c r="J80" i="56"/>
  <c r="AA52" i="23"/>
  <c r="J73" i="56"/>
  <c r="L73" i="56" s="1"/>
  <c r="AA23" i="23"/>
  <c r="J13" i="56"/>
  <c r="AA20" i="23"/>
  <c r="J22" i="56"/>
  <c r="L22" i="56" s="1"/>
  <c r="AA50" i="23"/>
  <c r="J42" i="56"/>
  <c r="AA61" i="23"/>
  <c r="J45" i="56"/>
  <c r="AA87" i="23"/>
  <c r="J88" i="56"/>
  <c r="L88" i="56" s="1"/>
  <c r="AA84" i="23"/>
  <c r="J67" i="56"/>
  <c r="AA13" i="23"/>
  <c r="AA56" i="23"/>
  <c r="AJ74" i="28"/>
  <c r="AK67" i="28"/>
  <c r="AK62" i="28"/>
  <c r="AK65" i="28"/>
  <c r="AK64" i="28"/>
  <c r="AK66" i="28"/>
  <c r="S15" i="42"/>
  <c r="T15" i="42" s="1"/>
  <c r="U15" i="42"/>
  <c r="P946" i="28" l="1"/>
  <c r="P550" i="28"/>
  <c r="P894" i="28"/>
  <c r="P181" i="28"/>
  <c r="P857" i="28"/>
  <c r="P567" i="28"/>
  <c r="P145" i="28"/>
  <c r="P97" i="28"/>
  <c r="P706" i="28"/>
  <c r="P458" i="28"/>
  <c r="P643" i="28"/>
  <c r="P885" i="28"/>
  <c r="P703" i="28"/>
  <c r="P509" i="28"/>
  <c r="P111" i="28"/>
  <c r="P72" i="28"/>
  <c r="P526" i="28"/>
  <c r="P253" i="28"/>
  <c r="P959" i="28"/>
  <c r="P336" i="28"/>
  <c r="P301" i="28"/>
  <c r="P816" i="28"/>
  <c r="P653" i="28"/>
  <c r="P506" i="28"/>
  <c r="P779" i="28"/>
  <c r="P720" i="28"/>
  <c r="P487" i="28"/>
  <c r="P64" i="28"/>
  <c r="P275" i="28"/>
  <c r="P455" i="28"/>
  <c r="P787" i="28"/>
  <c r="P916" i="28"/>
  <c r="P324" i="28"/>
  <c r="P424" i="28"/>
  <c r="P31" i="28"/>
  <c r="P106" i="28"/>
  <c r="P833" i="28"/>
  <c r="P114" i="28"/>
  <c r="P365" i="28"/>
  <c r="P760" i="28"/>
  <c r="P37" i="28"/>
  <c r="P856" i="28"/>
  <c r="P766" i="28"/>
  <c r="P32" i="28"/>
  <c r="P929" i="28"/>
  <c r="P864" i="28"/>
  <c r="P778" i="28"/>
  <c r="P148" i="28"/>
  <c r="P588" i="28"/>
  <c r="P663" i="28"/>
  <c r="P958" i="28"/>
  <c r="P447" i="28"/>
  <c r="P775" i="28"/>
  <c r="P200" i="28"/>
  <c r="P840" i="28"/>
  <c r="P956" i="28"/>
  <c r="P225" i="28"/>
  <c r="P571" i="28"/>
  <c r="P966" i="28"/>
  <c r="P199" i="28"/>
  <c r="P190" i="28"/>
  <c r="P545" i="28"/>
  <c r="P536" i="28"/>
  <c r="P893" i="28"/>
  <c r="P492" i="28"/>
  <c r="P430" i="28"/>
  <c r="P847" i="28"/>
  <c r="P205" i="28"/>
  <c r="P472" i="28"/>
  <c r="P452" i="28"/>
  <c r="P777" i="28"/>
  <c r="P286" i="28"/>
  <c r="P475" i="28"/>
  <c r="P767" i="28"/>
  <c r="P208" i="28"/>
  <c r="P135" i="28"/>
  <c r="P933" i="28"/>
  <c r="P715" i="28"/>
  <c r="P320" i="28"/>
  <c r="P808" i="28"/>
  <c r="P655" i="28"/>
  <c r="P155" i="28"/>
  <c r="P824" i="28"/>
  <c r="P73" i="28"/>
  <c r="P76" i="28"/>
  <c r="P740" i="28"/>
  <c r="P970" i="28"/>
  <c r="P735" i="28"/>
  <c r="P81" i="28"/>
  <c r="P310" i="28"/>
  <c r="P327" i="28"/>
  <c r="P364" i="28"/>
  <c r="P702" i="28"/>
  <c r="P790" i="28"/>
  <c r="P266" i="28"/>
  <c r="P271" i="28"/>
  <c r="P915" i="28"/>
  <c r="P664" i="28"/>
  <c r="P852" i="28"/>
  <c r="P762" i="28"/>
  <c r="P810" i="28"/>
  <c r="P228" i="28"/>
  <c r="P89" i="28"/>
  <c r="P826" i="28"/>
  <c r="P942" i="28"/>
  <c r="P273" i="28"/>
  <c r="P513" i="28"/>
  <c r="P841" i="28"/>
  <c r="P332" i="28"/>
  <c r="P644" i="28"/>
  <c r="P129" i="28"/>
  <c r="P657" i="28"/>
  <c r="P515" i="28"/>
  <c r="P673" i="28"/>
  <c r="P481" i="28"/>
  <c r="P423" i="28"/>
  <c r="P46" i="28"/>
  <c r="P984" i="28"/>
  <c r="P581" i="28"/>
  <c r="P382" i="28"/>
  <c r="P998" i="28"/>
  <c r="P136" i="28"/>
  <c r="P233" i="28"/>
  <c r="P941" i="28"/>
  <c r="P988" i="28"/>
  <c r="P524" i="28"/>
  <c r="P622" i="28"/>
  <c r="P828" i="28"/>
  <c r="P406" i="28"/>
  <c r="P434" i="28"/>
  <c r="P503" i="28"/>
  <c r="P168" i="28"/>
  <c r="P879" i="28"/>
  <c r="P889" i="28"/>
  <c r="P869" i="28"/>
  <c r="P733" i="28"/>
  <c r="P335" i="28"/>
  <c r="P878" i="28"/>
  <c r="P122" i="28"/>
  <c r="P743" i="28"/>
  <c r="P250" i="28"/>
  <c r="P339" i="28"/>
  <c r="P427" i="28"/>
  <c r="P185" i="28"/>
  <c r="P66" i="28"/>
  <c r="P666" i="28"/>
  <c r="P698" i="28"/>
  <c r="P684" i="28"/>
  <c r="P59" i="28"/>
  <c r="P692" i="28"/>
  <c r="P677" i="28"/>
  <c r="P142" i="28"/>
  <c r="P802" i="28"/>
  <c r="P804" i="28"/>
  <c r="P990" i="28"/>
  <c r="P351" i="28"/>
  <c r="P496" i="28"/>
  <c r="P479" i="28"/>
  <c r="P91" i="28"/>
  <c r="P239" i="28"/>
  <c r="P441" i="28"/>
  <c r="P654" i="28"/>
  <c r="P204" i="28"/>
  <c r="P732" i="28"/>
  <c r="P193" i="28"/>
  <c r="P594" i="28"/>
  <c r="P279" i="28"/>
  <c r="P408" i="28"/>
  <c r="P378" i="28"/>
  <c r="P293" i="28"/>
  <c r="P71" i="28"/>
  <c r="P156" i="28"/>
  <c r="P896" i="28"/>
  <c r="P926" i="28"/>
  <c r="P104" i="28"/>
  <c r="P907" i="28"/>
  <c r="P948" i="28"/>
  <c r="P971" i="28"/>
  <c r="P843" i="28"/>
  <c r="P180" i="28"/>
  <c r="P577" i="28"/>
  <c r="P28" i="28"/>
  <c r="P139" i="28"/>
  <c r="P661" i="28"/>
  <c r="P788" i="28"/>
  <c r="P270" i="28"/>
  <c r="P338" i="28"/>
  <c r="P287" i="28"/>
  <c r="P67" i="28"/>
  <c r="P812" i="28"/>
  <c r="P254" i="28"/>
  <c r="P188" i="28"/>
  <c r="P977" i="28"/>
  <c r="P321" i="28"/>
  <c r="P263" i="28"/>
  <c r="P943" i="28"/>
  <c r="P289" i="28"/>
  <c r="P534" i="28"/>
  <c r="P781" i="28"/>
  <c r="P877" i="28"/>
  <c r="P796" i="28"/>
  <c r="P592" i="28"/>
  <c r="P725" i="28"/>
  <c r="P531" i="28"/>
  <c r="P127" i="28"/>
  <c r="P616" i="28"/>
  <c r="P196" i="28"/>
  <c r="P474" i="28"/>
  <c r="P453" i="28"/>
  <c r="P636" i="28"/>
  <c r="P231" i="28"/>
  <c r="P246" i="28"/>
  <c r="P566" i="28"/>
  <c r="P931" i="28"/>
  <c r="P393" i="28"/>
  <c r="P237" i="28"/>
  <c r="P876" i="28"/>
  <c r="P859" i="28"/>
  <c r="P839" i="28"/>
  <c r="P449" i="28"/>
  <c r="P791" i="28"/>
  <c r="P800" i="28"/>
  <c r="P927" i="28"/>
  <c r="P829" i="28"/>
  <c r="P986" i="28"/>
  <c r="P45" i="28"/>
  <c r="P818" i="28"/>
  <c r="P920" i="28"/>
  <c r="P421" i="28"/>
  <c r="P921" i="28"/>
  <c r="P140" i="28"/>
  <c r="P119" i="28"/>
  <c r="P776" i="28"/>
  <c r="P957" i="28"/>
  <c r="P247" i="28"/>
  <c r="P345" i="28"/>
  <c r="P827" i="28"/>
  <c r="P634" i="28"/>
  <c r="P143" i="28"/>
  <c r="P575" i="28"/>
  <c r="P530" i="28"/>
  <c r="P183" i="28"/>
  <c r="P432" i="28"/>
  <c r="P117" i="28"/>
  <c r="P410" i="28"/>
  <c r="P995" i="28"/>
  <c r="P517" i="28"/>
  <c r="P579" i="28"/>
  <c r="P154" i="28"/>
  <c r="P306" i="28"/>
  <c r="P979" i="28"/>
  <c r="P268" i="28"/>
  <c r="P315" i="28"/>
  <c r="P471" i="28"/>
  <c r="P317" i="28"/>
  <c r="P313" i="28"/>
  <c r="P219" i="28"/>
  <c r="P99" i="28"/>
  <c r="P601" i="28"/>
  <c r="P512" i="28"/>
  <c r="P772" i="28"/>
  <c r="P248" i="28"/>
  <c r="P400" i="28"/>
  <c r="P631" i="28"/>
  <c r="P761" i="28"/>
  <c r="P55" i="28"/>
  <c r="P347" i="28"/>
  <c r="P520" i="28"/>
  <c r="P527" i="28"/>
  <c r="P272" i="28"/>
  <c r="P604" i="28"/>
  <c r="P498" i="28"/>
  <c r="P897" i="28"/>
  <c r="P258" i="28"/>
  <c r="P125" i="28"/>
  <c r="P724" i="28"/>
  <c r="P144" i="28"/>
  <c r="P860" i="28"/>
  <c r="P62" i="28"/>
  <c r="P172" i="28"/>
  <c r="P756" i="28"/>
  <c r="P282" i="28"/>
  <c r="P363" i="28"/>
  <c r="P949" i="28"/>
  <c r="P597" i="28"/>
  <c r="P586" i="28"/>
  <c r="P570" i="28"/>
  <c r="P981" i="28"/>
  <c r="P314" i="28"/>
  <c r="P402" i="28"/>
  <c r="P590" i="28"/>
  <c r="P398" i="28"/>
  <c r="P94" i="28"/>
  <c r="P939" i="28"/>
  <c r="P29" i="28"/>
  <c r="P619" i="28"/>
  <c r="P764" i="28"/>
  <c r="P797" i="28"/>
  <c r="P116" i="28"/>
  <c r="P397" i="28"/>
  <c r="P744" i="28"/>
  <c r="P558" i="28"/>
  <c r="P213" i="28"/>
  <c r="P356" i="28"/>
  <c r="P379" i="28"/>
  <c r="P162" i="28"/>
  <c r="P713" i="28"/>
  <c r="P638" i="28"/>
  <c r="P354" i="28"/>
  <c r="P414" i="28"/>
  <c r="P405" i="28"/>
  <c r="P905" i="28"/>
  <c r="P873" i="28"/>
  <c r="P182" i="28"/>
  <c r="P722" i="28"/>
  <c r="P505" i="28"/>
  <c r="P918" i="28"/>
  <c r="P891" i="28"/>
  <c r="P489" i="28"/>
  <c r="P539" i="28"/>
  <c r="P741" i="28"/>
  <c r="P535" i="28"/>
  <c r="P437" i="28"/>
  <c r="P235" i="28"/>
  <c r="P137" i="28"/>
  <c r="P418" i="28"/>
  <c r="P103" i="28"/>
  <c r="P701" i="28"/>
  <c r="P341" i="28"/>
  <c r="P77" i="28"/>
  <c r="P35" i="28"/>
  <c r="P107" i="28"/>
  <c r="P865" i="28"/>
  <c r="P132" i="28"/>
  <c r="P769" i="28"/>
  <c r="P53" i="28"/>
  <c r="P420" i="28"/>
  <c r="P963" i="28"/>
  <c r="P56" i="28"/>
  <c r="P954" i="28"/>
  <c r="P189" i="28"/>
  <c r="P78" i="28"/>
  <c r="P837" i="28"/>
  <c r="P241" i="28"/>
  <c r="P686" i="28"/>
  <c r="P495" i="28"/>
  <c r="P413" i="28"/>
  <c r="P904" i="28"/>
  <c r="P672" i="28"/>
  <c r="P564" i="28"/>
  <c r="P805" i="28"/>
  <c r="P980" i="28"/>
  <c r="P465" i="28"/>
  <c r="P690" i="28"/>
  <c r="P510" i="28"/>
  <c r="P763" i="28"/>
  <c r="P442" i="28"/>
  <c r="P934" i="28"/>
  <c r="P831" i="28"/>
  <c r="P543" i="28"/>
  <c r="P184" i="28"/>
  <c r="P403" i="28"/>
  <c r="P131" i="28"/>
  <c r="P118" i="28"/>
  <c r="P164" i="28"/>
  <c r="P171" i="28"/>
  <c r="P176" i="28"/>
  <c r="P276" i="28"/>
  <c r="P665" i="28"/>
  <c r="P281" i="28"/>
  <c r="P445" i="28"/>
  <c r="P230" i="28"/>
  <c r="P69" i="28"/>
  <c r="P110" i="28"/>
  <c r="P951" i="28"/>
  <c r="P908" i="28"/>
  <c r="P90" i="28"/>
  <c r="P197" i="28"/>
  <c r="P249" i="28"/>
  <c r="P323" i="28"/>
  <c r="P86" i="28"/>
  <c r="P651" i="28"/>
  <c r="P305" i="28"/>
  <c r="P991" i="28"/>
  <c r="P612" i="28"/>
  <c r="P549" i="28"/>
  <c r="P34" i="28"/>
  <c r="P902" i="28"/>
  <c r="P409" i="28"/>
  <c r="P758" i="28"/>
  <c r="P436" i="28"/>
  <c r="P582" i="28"/>
  <c r="P825" i="28"/>
  <c r="P450" i="28"/>
  <c r="P368" i="28"/>
  <c r="P649" i="28"/>
  <c r="P625" i="28"/>
  <c r="P836" i="28"/>
  <c r="P294" i="28"/>
  <c r="P529" i="28"/>
  <c r="P218" i="28"/>
  <c r="P774" i="28"/>
  <c r="P70" i="28"/>
  <c r="P58" i="28"/>
  <c r="P36" i="28"/>
  <c r="P389" i="28"/>
  <c r="P451" i="28"/>
  <c r="P650" i="28"/>
  <c r="P562" i="28"/>
  <c r="P344" i="28"/>
  <c r="P469" i="28"/>
  <c r="P700" i="28"/>
  <c r="P538" i="28"/>
  <c r="P809" i="28"/>
  <c r="P459" i="28"/>
  <c r="P473" i="28"/>
  <c r="P508" i="28"/>
  <c r="P866" i="28"/>
  <c r="P497" i="28"/>
  <c r="P952" i="28"/>
  <c r="P493" i="28"/>
  <c r="P50" i="28"/>
  <c r="P563" i="28"/>
  <c r="P302" i="28"/>
  <c r="P736" i="28"/>
  <c r="P222" i="28"/>
  <c r="P319" i="28"/>
  <c r="P224" i="28"/>
  <c r="P328" i="28"/>
  <c r="P292" i="28"/>
  <c r="P632" i="28"/>
  <c r="P693" i="28"/>
  <c r="P683" i="28"/>
  <c r="P696" i="28"/>
  <c r="P198" i="28"/>
  <c r="P334" i="28"/>
  <c r="P574" i="28"/>
  <c r="P662" i="28"/>
  <c r="P892" i="28"/>
  <c r="P565" i="28"/>
  <c r="P578" i="28"/>
  <c r="P917" i="28"/>
  <c r="P584" i="28"/>
  <c r="P548" i="28"/>
  <c r="P100" i="28"/>
  <c r="P862" i="28"/>
  <c r="P947" i="28"/>
  <c r="P404" i="28"/>
  <c r="P801" i="28"/>
  <c r="P488" i="28"/>
  <c r="P297" i="28"/>
  <c r="P163" i="28"/>
  <c r="P461" i="28"/>
  <c r="P770" i="28"/>
  <c r="P737" i="28"/>
  <c r="P169" i="28"/>
  <c r="P710" i="28"/>
  <c r="P377" i="28"/>
  <c r="P202" i="28"/>
  <c r="P242" i="28"/>
  <c r="P554" i="28"/>
  <c r="P572" i="28"/>
  <c r="P411" i="28"/>
  <c r="P463" i="28"/>
  <c r="P906" i="28"/>
  <c r="P547" i="28"/>
  <c r="P883" i="28"/>
  <c r="P637" i="28"/>
  <c r="P357" i="28"/>
  <c r="P707" i="28"/>
  <c r="P407" i="28"/>
  <c r="P872" i="28"/>
  <c r="P192" i="28"/>
  <c r="P898" i="28"/>
  <c r="P178" i="28"/>
  <c r="P609" i="28"/>
  <c r="P395" i="28"/>
  <c r="P252" i="28"/>
  <c r="P938" i="28"/>
  <c r="P245" i="28"/>
  <c r="P806" i="28"/>
  <c r="P555" i="28"/>
  <c r="P207" i="28"/>
  <c r="P325" i="28"/>
  <c r="P264" i="28"/>
  <c r="P429" i="28"/>
  <c r="P675" i="28"/>
  <c r="P727" i="28"/>
  <c r="P819" i="28"/>
  <c r="P416" i="28"/>
  <c r="P994" i="28"/>
  <c r="P556" i="28"/>
  <c r="P491" i="28"/>
  <c r="P146" i="28"/>
  <c r="P799" i="28"/>
  <c r="P595" i="28"/>
  <c r="P470" i="28"/>
  <c r="P203" i="28"/>
  <c r="P419" i="28"/>
  <c r="P745" i="28"/>
  <c r="P867" i="28"/>
  <c r="P49" i="28"/>
  <c r="P899" i="28"/>
  <c r="P295" i="28"/>
  <c r="P975" i="28"/>
  <c r="P88" i="28"/>
  <c r="P602" i="28"/>
  <c r="P516" i="28"/>
  <c r="P685" i="28"/>
  <c r="P937" i="28"/>
  <c r="P1001" i="28"/>
  <c r="P759" i="28"/>
  <c r="P754" i="28"/>
  <c r="P333" i="28"/>
  <c r="P165" i="28"/>
  <c r="P996" i="28"/>
  <c r="P274" i="28"/>
  <c r="P630" i="28"/>
  <c r="P444" i="28"/>
  <c r="P375" i="28"/>
  <c r="P477" i="28"/>
  <c r="P350" i="28"/>
  <c r="P374" i="28"/>
  <c r="P983" i="28"/>
  <c r="P923" i="28"/>
  <c r="P343" i="28"/>
  <c r="P159" i="28"/>
  <c r="P773" i="28"/>
  <c r="P96" i="28"/>
  <c r="P308" i="28"/>
  <c r="P150" i="28"/>
  <c r="P428" i="28"/>
  <c r="P617" i="28"/>
  <c r="P832" i="28"/>
  <c r="P133" i="28"/>
  <c r="P367" i="28"/>
  <c r="P280" i="28"/>
  <c r="P768" i="28"/>
  <c r="P223" i="28"/>
  <c r="P936" i="28"/>
  <c r="P599" i="28"/>
  <c r="P42" i="28"/>
  <c r="P560" i="28"/>
  <c r="P362" i="28"/>
  <c r="P820" i="28"/>
  <c r="P499" i="28"/>
  <c r="P669" i="28"/>
  <c r="P217" i="28"/>
  <c r="P716" i="28"/>
  <c r="P57" i="28"/>
  <c r="P786" i="28"/>
  <c r="P615" i="28"/>
  <c r="P41" i="28"/>
  <c r="P999" i="28"/>
  <c r="P43" i="28"/>
  <c r="P260" i="28"/>
  <c r="P422" i="28"/>
  <c r="P101" i="28"/>
  <c r="P854" i="28"/>
  <c r="P729" i="28"/>
  <c r="P670" i="28"/>
  <c r="P900" i="28"/>
  <c r="P151" i="28"/>
  <c r="P158" i="28"/>
  <c r="P593" i="28"/>
  <c r="P187" i="28"/>
  <c r="P134" i="28"/>
  <c r="P128" i="28"/>
  <c r="P167" i="28"/>
  <c r="P746" i="28"/>
  <c r="P141" i="28"/>
  <c r="P835" i="28"/>
  <c r="P370" i="28"/>
  <c r="P965" i="28"/>
  <c r="P299" i="28"/>
  <c r="P711" i="28"/>
  <c r="P385" i="28"/>
  <c r="P149" i="28"/>
  <c r="P909" i="28"/>
  <c r="P348" i="28"/>
  <c r="P771" i="28"/>
  <c r="P888" i="28"/>
  <c r="P226" i="28"/>
  <c r="P462" i="28"/>
  <c r="P311" i="28"/>
  <c r="P689" i="28"/>
  <c r="P659" i="28"/>
  <c r="P484" i="28"/>
  <c r="P130" i="28"/>
  <c r="P523" i="28"/>
  <c r="P598" i="28"/>
  <c r="P113" i="28"/>
  <c r="P972" i="28"/>
  <c r="P438" i="28"/>
  <c r="P52" i="28"/>
  <c r="P795" i="28"/>
  <c r="P645" i="28"/>
  <c r="P821" i="28"/>
  <c r="P109" i="28"/>
  <c r="P687" i="28"/>
  <c r="P678" i="28"/>
  <c r="P525" i="28"/>
  <c r="P642" i="28"/>
  <c r="P910" i="28"/>
  <c r="P901" i="28"/>
  <c r="P691" i="28"/>
  <c r="P793" i="28"/>
  <c r="P485" i="28"/>
  <c r="P621" i="28"/>
  <c r="P699" i="28"/>
  <c r="P353" i="28"/>
  <c r="P521" i="28"/>
  <c r="P124" i="28"/>
  <c r="P201" i="28"/>
  <c r="P366" i="28"/>
  <c r="P930" i="28"/>
  <c r="P349" i="28"/>
  <c r="P44" i="28"/>
  <c r="P871" i="28"/>
  <c r="P752" i="28"/>
  <c r="P80" i="28"/>
  <c r="P734" i="28"/>
  <c r="P502" i="28"/>
  <c r="P982" i="28"/>
  <c r="P215" i="28"/>
  <c r="P234" i="28"/>
  <c r="P807" i="28"/>
  <c r="P559" i="28"/>
  <c r="P126" i="28"/>
  <c r="P440" i="28"/>
  <c r="P747" i="28"/>
  <c r="P38" i="28"/>
  <c r="P433" i="28"/>
  <c r="P944" i="28"/>
  <c r="P123" i="28"/>
  <c r="P277" i="28"/>
  <c r="P830" i="28"/>
  <c r="P244" i="28"/>
  <c r="P68" i="28"/>
  <c r="P390" i="28"/>
  <c r="P679" i="28"/>
  <c r="P603" i="28"/>
  <c r="P845" i="28"/>
  <c r="P61" i="28"/>
  <c r="P460" i="28"/>
  <c r="P170" i="28"/>
  <c r="P318" i="28"/>
  <c r="P82" i="28"/>
  <c r="P704" i="28"/>
  <c r="P522" i="28"/>
  <c r="P695" i="28"/>
  <c r="P84" i="28"/>
  <c r="P435" i="28"/>
  <c r="P639" i="28"/>
  <c r="P817" i="28"/>
  <c r="P210" i="28"/>
  <c r="P962" i="28"/>
  <c r="P85" i="28"/>
  <c r="P623" i="28"/>
  <c r="P712" i="28"/>
  <c r="P157" i="28"/>
  <c r="P985" i="28"/>
  <c r="P870" i="28"/>
  <c r="P108" i="28"/>
  <c r="P330" i="28"/>
  <c r="P238" i="28"/>
  <c r="P580" i="28"/>
  <c r="P886" i="28"/>
  <c r="P296" i="28"/>
  <c r="P844" i="28"/>
  <c r="P540" i="28"/>
  <c r="P751" i="28"/>
  <c r="P369" i="28"/>
  <c r="P177" i="28"/>
  <c r="P371" i="28"/>
  <c r="P626" i="28"/>
  <c r="P95" i="28"/>
  <c r="P641" i="28"/>
  <c r="P717" i="28"/>
  <c r="P443" i="28"/>
  <c r="P265" i="28"/>
  <c r="P220" i="28"/>
  <c r="P723" i="28"/>
  <c r="P848" i="28"/>
  <c r="P964" i="28"/>
  <c r="P627" i="28"/>
  <c r="P431" i="28"/>
  <c r="P214" i="28"/>
  <c r="P855" i="28"/>
  <c r="P591" i="28"/>
  <c r="P546" i="28"/>
  <c r="P175" i="28"/>
  <c r="P792" i="28"/>
  <c r="P557" i="28"/>
  <c r="P903" i="28"/>
  <c r="P267" i="28"/>
  <c r="P633" i="28"/>
  <c r="P537" i="28"/>
  <c r="P425" i="28"/>
  <c r="P47" i="28"/>
  <c r="P490" i="28"/>
  <c r="P658" i="28"/>
  <c r="P120" i="28"/>
  <c r="P303" i="28"/>
  <c r="P532" i="28"/>
  <c r="P925" i="28"/>
  <c r="P974" i="28"/>
  <c r="P813" i="28"/>
  <c r="P822" i="28"/>
  <c r="P476" i="28"/>
  <c r="P561" i="28"/>
  <c r="P882" i="28"/>
  <c r="P102" i="28"/>
  <c r="P613" i="28"/>
  <c r="P229" i="28"/>
  <c r="P40" i="28"/>
  <c r="P705" i="28"/>
  <c r="P803" i="28"/>
  <c r="P216" i="28"/>
  <c r="P708" i="28"/>
  <c r="P784" i="28"/>
  <c r="P392" i="28"/>
  <c r="P304" i="28"/>
  <c r="P587" i="28"/>
  <c r="P739" i="28"/>
  <c r="P589" i="28"/>
  <c r="P251" i="28"/>
  <c r="P98" i="28"/>
  <c r="P718" i="28"/>
  <c r="P340" i="28"/>
  <c r="P298" i="28"/>
  <c r="P394" i="28"/>
  <c r="P153" i="28"/>
  <c r="P307" i="28"/>
  <c r="P256" i="28"/>
  <c r="P569" i="28"/>
  <c r="P635" i="28"/>
  <c r="P671" i="28"/>
  <c r="P501" i="28"/>
  <c r="P749" i="28"/>
  <c r="P953" i="28"/>
  <c r="P928" i="28"/>
  <c r="P27" i="28"/>
  <c r="P551" i="28"/>
  <c r="P166" i="28"/>
  <c r="P412" i="28"/>
  <c r="P504" i="28"/>
  <c r="P842" i="28"/>
  <c r="P283" i="28"/>
  <c r="P63" i="28"/>
  <c r="P719" i="28"/>
  <c r="P911" i="28"/>
  <c r="P528" i="28"/>
  <c r="P514" i="28"/>
  <c r="P243" i="28"/>
  <c r="P757" i="28"/>
  <c r="P75" i="28"/>
  <c r="P30" i="28"/>
  <c r="P783" i="28"/>
  <c r="P730" i="28"/>
  <c r="P417" i="28"/>
  <c r="P682" i="28"/>
  <c r="P834" i="28"/>
  <c r="P992" i="28"/>
  <c r="P880" i="28"/>
  <c r="P823" i="28"/>
  <c r="P316" i="28"/>
  <c r="P161" i="28"/>
  <c r="P291" i="28"/>
  <c r="P660" i="28"/>
  <c r="P697" i="28"/>
  <c r="P765" i="28"/>
  <c r="P851" i="28"/>
  <c r="P676" i="28"/>
  <c r="P262" i="28"/>
  <c r="P755" i="28"/>
  <c r="P596" i="28"/>
  <c r="P426" i="28"/>
  <c r="P628" i="28"/>
  <c r="P838" i="28"/>
  <c r="P922" i="28"/>
  <c r="P610" i="28"/>
  <c r="P290" i="28"/>
  <c r="P987" i="28"/>
  <c r="P726" i="28"/>
  <c r="P973" i="28"/>
  <c r="P978" i="28"/>
  <c r="P494" i="28"/>
  <c r="P79" i="28"/>
  <c r="P381" i="28"/>
  <c r="P667" i="28"/>
  <c r="P112" i="28"/>
  <c r="P618" i="28"/>
  <c r="P355" i="28"/>
  <c r="P480" i="28"/>
  <c r="P721" i="28"/>
  <c r="P646" i="28"/>
  <c r="P924" i="28"/>
  <c r="P950" i="28"/>
  <c r="P446" i="28"/>
  <c r="P714" i="28"/>
  <c r="P789" i="28"/>
  <c r="P648" i="28"/>
  <c r="P352" i="28"/>
  <c r="P206" i="28"/>
  <c r="P138" i="28"/>
  <c r="P399" i="28"/>
  <c r="P680" i="28"/>
  <c r="P257" i="28"/>
  <c r="P346" i="28"/>
  <c r="P456" i="28"/>
  <c r="P87" i="28"/>
  <c r="P221" i="28"/>
  <c r="P195" i="28"/>
  <c r="P191" i="28"/>
  <c r="P945" i="28"/>
  <c r="P914" i="28"/>
  <c r="P961" i="28"/>
  <c r="P92" i="28"/>
  <c r="P74" i="28"/>
  <c r="P652" i="28"/>
  <c r="P742" i="28"/>
  <c r="P542" i="28"/>
  <c r="P607" i="28"/>
  <c r="P861" i="28"/>
  <c r="P361" i="28"/>
  <c r="P60" i="28"/>
  <c r="P688" i="28"/>
  <c r="P179" i="28"/>
  <c r="P380" i="28"/>
  <c r="P544" i="28"/>
  <c r="P850" i="28"/>
  <c r="P467" i="28"/>
  <c r="P147" i="28"/>
  <c r="P439" i="28"/>
  <c r="P605" i="28"/>
  <c r="P454" i="28"/>
  <c r="P468" i="28"/>
  <c r="P54" i="28"/>
  <c r="P360" i="28"/>
  <c r="P709" i="28"/>
  <c r="P794" i="28"/>
  <c r="P614" i="28"/>
  <c r="P278" i="28"/>
  <c r="P326" i="28"/>
  <c r="P384" i="28"/>
  <c r="P518" i="28"/>
  <c r="P782" i="28"/>
  <c r="P342" i="28"/>
  <c r="P373" i="28"/>
  <c r="P212" i="28"/>
  <c r="P386" i="28"/>
  <c r="P51" i="28"/>
  <c r="P194" i="28"/>
  <c r="P269" i="28"/>
  <c r="P728" i="28"/>
  <c r="P486" i="28"/>
  <c r="P464" i="28"/>
  <c r="P976" i="28"/>
  <c r="P895" i="28"/>
  <c r="P750" i="28"/>
  <c r="P33" i="28"/>
  <c r="P519" i="28"/>
  <c r="P65" i="28"/>
  <c r="P387" i="28"/>
  <c r="P186" i="28"/>
  <c r="P466" i="28"/>
  <c r="P478" i="28"/>
  <c r="P83" i="28"/>
  <c r="P285" i="28"/>
  <c r="P173" i="28"/>
  <c r="P863" i="28"/>
  <c r="P884" i="28"/>
  <c r="P482" i="28"/>
  <c r="P606" i="28"/>
  <c r="P932" i="28"/>
  <c r="P624" i="28"/>
  <c r="P358" i="28"/>
  <c r="P681" i="28"/>
  <c r="P552" i="28"/>
  <c r="P391" i="28"/>
  <c r="P585" i="28"/>
  <c r="P227" i="28"/>
  <c r="P874" i="28"/>
  <c r="P160" i="28"/>
  <c r="P312" i="28"/>
  <c r="P620" i="28"/>
  <c r="P846" i="28"/>
  <c r="P881" i="28"/>
  <c r="P785" i="28"/>
  <c r="P798" i="28"/>
  <c r="P668" i="28"/>
  <c r="P457" i="28"/>
  <c r="P533" i="28"/>
  <c r="P376" i="28"/>
  <c r="P935" i="28"/>
  <c r="P811" i="28"/>
  <c r="P912" i="28"/>
  <c r="P913" i="28"/>
  <c r="P997" i="28"/>
  <c r="P629" i="28"/>
  <c r="P993" i="28"/>
  <c r="P115" i="28"/>
  <c r="P868" i="28"/>
  <c r="P211" i="28"/>
  <c r="P259" i="28"/>
  <c r="P383" i="28"/>
  <c r="P48" i="28"/>
  <c r="P989" i="28"/>
  <c r="P553" i="28"/>
  <c r="P240" i="28"/>
  <c r="P815" i="28"/>
  <c r="P372" i="28"/>
  <c r="P415" i="28"/>
  <c r="P738" i="28"/>
  <c r="P261" i="28"/>
  <c r="P483" i="28"/>
  <c r="P731" i="28"/>
  <c r="P674" i="28"/>
  <c r="P875" i="28"/>
  <c r="P890" i="28"/>
  <c r="P396" i="28"/>
  <c r="P940" i="28"/>
  <c r="P640" i="28"/>
  <c r="P174" i="28"/>
  <c r="P300" i="28"/>
  <c r="P753" i="28"/>
  <c r="P608" i="28"/>
  <c r="P152" i="28"/>
  <c r="P968" i="28"/>
  <c r="P780" i="28"/>
  <c r="P93" i="28"/>
  <c r="P288" i="28"/>
  <c r="P329" i="28"/>
  <c r="P401" i="28"/>
  <c r="P105" i="28"/>
  <c r="P887" i="28"/>
  <c r="P39" i="28"/>
  <c r="P969" i="28"/>
  <c r="P359" i="28"/>
  <c r="P209" i="28"/>
  <c r="P583" i="28"/>
  <c r="P236" i="28"/>
  <c r="P507" i="28"/>
  <c r="P337" i="28"/>
  <c r="P748" i="28"/>
  <c r="P960" i="28"/>
  <c r="P694" i="28"/>
  <c r="P919" i="28"/>
  <c r="P967" i="28"/>
  <c r="P121" i="28"/>
  <c r="P573" i="28"/>
  <c r="P232" i="28"/>
  <c r="P388" i="28"/>
  <c r="P576" i="28"/>
  <c r="P1000" i="28"/>
  <c r="P511" i="28"/>
  <c r="P814" i="28"/>
  <c r="P322" i="28"/>
  <c r="P647" i="28"/>
  <c r="P448" i="28"/>
  <c r="P858" i="28"/>
  <c r="P500" i="28"/>
  <c r="P853" i="28"/>
  <c r="P309" i="28"/>
  <c r="P541" i="28"/>
  <c r="P656" i="28"/>
  <c r="P600" i="28"/>
  <c r="P849" i="28"/>
  <c r="P611" i="28"/>
  <c r="P255" i="28"/>
  <c r="P331" i="28"/>
  <c r="P284" i="28"/>
  <c r="P955" i="28"/>
  <c r="L57" i="56"/>
  <c r="L80" i="56"/>
  <c r="L63" i="56"/>
  <c r="L36" i="56"/>
  <c r="L6" i="56"/>
  <c r="L60" i="56"/>
  <c r="L95" i="56"/>
  <c r="L56" i="56"/>
  <c r="L35" i="56"/>
  <c r="L34" i="56"/>
  <c r="L58" i="56"/>
  <c r="L5" i="56"/>
  <c r="L45" i="56"/>
  <c r="L26" i="56"/>
  <c r="L79" i="56"/>
  <c r="L49" i="56"/>
  <c r="L29" i="56"/>
  <c r="L42" i="56"/>
  <c r="L82" i="56"/>
  <c r="L17" i="56"/>
  <c r="L52" i="56"/>
  <c r="L67" i="56"/>
  <c r="L71" i="56"/>
  <c r="L7" i="56"/>
  <c r="L38" i="56"/>
  <c r="L13" i="56"/>
  <c r="L21" i="56"/>
  <c r="L86" i="56"/>
  <c r="L24" i="56"/>
  <c r="AJ75" i="28"/>
  <c r="AK68" i="28"/>
  <c r="AK71" i="28"/>
  <c r="AK69" i="28"/>
  <c r="AK72" i="28"/>
  <c r="AK70" i="28"/>
  <c r="AJ76" i="28" l="1"/>
  <c r="AJ77" i="28" s="1"/>
  <c r="AJ78" i="28" s="1"/>
  <c r="AJ79" i="28" s="1"/>
  <c r="AJ80" i="28" s="1"/>
  <c r="AJ81" i="28" s="1"/>
  <c r="AJ82" i="28" s="1"/>
  <c r="AK73" i="28"/>
  <c r="AJ83" i="28" l="1"/>
  <c r="AJ84" i="28" s="1"/>
  <c r="AJ85" i="28" s="1"/>
  <c r="AJ86" i="28" s="1"/>
  <c r="AJ87" i="28" s="1"/>
  <c r="AJ88" i="28" s="1"/>
  <c r="AJ89" i="28" s="1"/>
  <c r="AJ90" i="28" s="1"/>
  <c r="AK74" i="28"/>
  <c r="AK75" i="28"/>
  <c r="AJ91" i="28" l="1"/>
  <c r="AJ92" i="28" s="1"/>
  <c r="AJ93" i="28" s="1"/>
  <c r="AJ94" i="28" s="1"/>
  <c r="AK82" i="28"/>
  <c r="AJ95" i="28" l="1"/>
  <c r="AJ96" i="28" s="1"/>
  <c r="AJ97" i="28" s="1"/>
  <c r="AJ98" i="28" s="1"/>
  <c r="AJ99" i="28" s="1"/>
  <c r="AJ100" i="28" s="1"/>
  <c r="AJ101" i="28" s="1"/>
  <c r="AJ102" i="28" s="1"/>
  <c r="AJ103" i="28" s="1"/>
  <c r="AJ104" i="28" s="1"/>
  <c r="AK104" i="28" s="1"/>
  <c r="AK88" i="28"/>
  <c r="AK84" i="28"/>
  <c r="AK86" i="28"/>
  <c r="AK92" i="28"/>
  <c r="AK77" i="28"/>
  <c r="AK76" i="28"/>
  <c r="AK83" i="28"/>
  <c r="AK80" i="28"/>
  <c r="AK90" i="28"/>
  <c r="AK87" i="28"/>
  <c r="AK89" i="28"/>
  <c r="AK94" i="28"/>
  <c r="AK93" i="28"/>
  <c r="AK81" i="28"/>
  <c r="AK85" i="28"/>
  <c r="AK79" i="28"/>
  <c r="AK91" i="28"/>
  <c r="AK78" i="28"/>
  <c r="AK98" i="28" l="1"/>
  <c r="AK95" i="28"/>
  <c r="AK96" i="28"/>
  <c r="AK99" i="28"/>
  <c r="AK100" i="28"/>
  <c r="AK103" i="28"/>
  <c r="AK101" i="28"/>
  <c r="AK97" i="28"/>
  <c r="AK102" i="28"/>
  <c r="AJ105" i="28"/>
  <c r="AJ106" i="28" s="1"/>
  <c r="AJ107" i="28" s="1"/>
  <c r="AJ108" i="28" s="1"/>
  <c r="AJ109" i="28" s="1"/>
  <c r="AJ110" i="28" s="1"/>
  <c r="AK105" i="28" l="1"/>
  <c r="AK107" i="28"/>
  <c r="AK108" i="28"/>
  <c r="AK110" i="28"/>
  <c r="AJ111" i="28"/>
  <c r="AK106" i="28"/>
  <c r="AK109" i="28"/>
  <c r="AK111" i="28" l="1"/>
  <c r="AJ112" i="28"/>
  <c r="E34" i="38"/>
  <c r="E33" i="38"/>
  <c r="E32" i="38"/>
  <c r="E31" i="38"/>
  <c r="AJ113" i="28" l="1"/>
  <c r="AK112" i="28"/>
  <c r="AJ114" i="28" l="1"/>
  <c r="AJ115" i="28" s="1"/>
  <c r="AJ116" i="28" s="1"/>
  <c r="J16" i="38"/>
  <c r="J19" i="38"/>
  <c r="L16" i="38"/>
  <c r="J17" i="38"/>
  <c r="L17" i="38"/>
  <c r="L27" i="38"/>
  <c r="L19" i="38"/>
  <c r="L29" i="38" s="1"/>
  <c r="L20" i="38"/>
  <c r="L30" i="38" s="1"/>
  <c r="L18" i="38"/>
  <c r="L28" i="38" s="1"/>
  <c r="J18" i="38"/>
  <c r="J15" i="38"/>
  <c r="J20" i="38"/>
  <c r="AK114" i="28" l="1"/>
  <c r="AJ117" i="28"/>
  <c r="AK115" i="28"/>
  <c r="AK116" i="28"/>
  <c r="AK113" i="28"/>
  <c r="E17" i="38"/>
  <c r="E16" i="38"/>
  <c r="J27" i="38"/>
  <c r="E27" i="38" s="1"/>
  <c r="E15" i="38"/>
  <c r="J29" i="38"/>
  <c r="E29" i="38" s="1"/>
  <c r="E19" i="38"/>
  <c r="E18" i="38"/>
  <c r="J28" i="38"/>
  <c r="E28" i="38" s="1"/>
  <c r="J30" i="38"/>
  <c r="E30" i="38" s="1"/>
  <c r="E20" i="38"/>
  <c r="AJ118" i="28" l="1"/>
  <c r="AK117" i="28"/>
  <c r="AA6" i="30"/>
  <c r="AA178" i="30" s="1"/>
  <c r="W6" i="30"/>
  <c r="R40" i="50" s="1"/>
  <c r="Y6" i="30" l="1"/>
  <c r="Y178" i="30" s="1"/>
  <c r="W178" i="30"/>
  <c r="AJ119" i="28"/>
  <c r="AK118" i="28"/>
  <c r="AB6" i="30"/>
  <c r="AB178" i="30" s="1"/>
  <c r="Z6" i="30" l="1"/>
  <c r="AJ120" i="28"/>
  <c r="AJ121" i="28" l="1"/>
  <c r="D7" i="30"/>
  <c r="D26" i="30"/>
  <c r="D8" i="30"/>
  <c r="D19" i="30"/>
  <c r="D17" i="30"/>
  <c r="D34" i="30"/>
  <c r="D41" i="30"/>
  <c r="D11" i="30"/>
  <c r="D12" i="30"/>
  <c r="D27" i="30"/>
  <c r="D35" i="30"/>
  <c r="D40" i="30"/>
  <c r="D10" i="30"/>
  <c r="D24" i="30"/>
  <c r="D28" i="30"/>
  <c r="D16" i="30"/>
  <c r="D9" i="30"/>
  <c r="D38" i="30"/>
  <c r="D32" i="30"/>
  <c r="D22" i="30"/>
  <c r="D29" i="30"/>
  <c r="D18" i="30"/>
  <c r="D39" i="30"/>
  <c r="D23" i="30"/>
  <c r="D33" i="30"/>
  <c r="D13" i="30"/>
  <c r="D20" i="30"/>
  <c r="D30" i="30"/>
  <c r="D21" i="30"/>
  <c r="D25" i="30"/>
  <c r="H6" i="30"/>
  <c r="G6" i="30"/>
  <c r="I6" i="30"/>
  <c r="F6" i="30"/>
  <c r="D6" i="30"/>
  <c r="AJ122" i="28" l="1"/>
  <c r="AK122" i="28" s="1"/>
  <c r="AK119" i="28"/>
  <c r="AK120" i="28"/>
  <c r="AK121" i="28"/>
  <c r="O6" i="30"/>
  <c r="Q6" i="30" s="1"/>
  <c r="R6" i="30"/>
  <c r="J6" i="30"/>
  <c r="M6" i="30"/>
  <c r="S6" i="30"/>
  <c r="K6" i="30"/>
  <c r="L6" i="30"/>
  <c r="AJ123" i="28" l="1"/>
  <c r="AJ124" i="28" s="1"/>
  <c r="AC6" i="30"/>
  <c r="T6" i="30"/>
  <c r="P6" i="30" l="1"/>
  <c r="AJ125" i="28"/>
  <c r="AK125" i="28" s="1"/>
  <c r="AK123" i="28"/>
  <c r="AK124" i="28"/>
  <c r="V6" i="30"/>
  <c r="J31" i="56" s="1"/>
  <c r="X6" i="30"/>
  <c r="X178" i="30" l="1"/>
  <c r="S40" i="50"/>
  <c r="K31" i="56"/>
  <c r="AA5" i="23"/>
  <c r="AJ126" i="28"/>
  <c r="L31" i="56" l="1"/>
  <c r="AJ127" i="28"/>
  <c r="AK127" i="28" s="1"/>
  <c r="AK126" i="28"/>
  <c r="AJ128" i="28" l="1"/>
  <c r="AJ129" i="28" l="1"/>
  <c r="AK128" i="28"/>
  <c r="AJ130" i="28" l="1"/>
  <c r="AK130" i="28" s="1"/>
  <c r="AK129" i="28"/>
  <c r="AJ131" i="28" l="1"/>
  <c r="AJ132" i="28" s="1"/>
  <c r="AJ133" i="28" l="1"/>
  <c r="AK133" i="28" s="1"/>
  <c r="AK131" i="28"/>
  <c r="AK132" i="28"/>
  <c r="AJ134" i="28" l="1"/>
  <c r="AJ135" i="28" l="1"/>
  <c r="AK135" i="28" s="1"/>
  <c r="AK134" i="28"/>
  <c r="AJ136" i="28" l="1"/>
  <c r="AJ137" i="28" s="1"/>
  <c r="AJ138" i="28" l="1"/>
  <c r="AK138" i="28" s="1"/>
  <c r="AK137" i="28"/>
  <c r="AK136" i="28"/>
  <c r="Q37" i="42"/>
  <c r="R37" i="42" s="1"/>
  <c r="T37" i="42" s="1"/>
  <c r="S12" i="42"/>
  <c r="T12" i="42" s="1"/>
  <c r="U9" i="42"/>
  <c r="S13" i="42"/>
  <c r="T13" i="42" s="1"/>
  <c r="Q3" i="42"/>
  <c r="R3" i="42" s="1"/>
  <c r="Q5" i="42"/>
  <c r="R5" i="42" s="1"/>
  <c r="U5" i="42"/>
  <c r="U7" i="42"/>
  <c r="S10" i="42"/>
  <c r="T10" i="42" s="1"/>
  <c r="U14" i="42"/>
  <c r="S6" i="42"/>
  <c r="T6" i="42" s="1"/>
  <c r="R4" i="30"/>
  <c r="S11" i="42"/>
  <c r="T11" i="42" s="1"/>
  <c r="Q4" i="42"/>
  <c r="R4" i="42" s="1"/>
  <c r="S4" i="42"/>
  <c r="Q19" i="42"/>
  <c r="R19" i="42" s="1"/>
  <c r="O4" i="30"/>
  <c r="J4" i="30"/>
  <c r="K4" i="30"/>
  <c r="L4" i="30"/>
  <c r="S4" i="30"/>
  <c r="N40" i="50" s="1"/>
  <c r="M4" i="30"/>
  <c r="AR57" i="28" l="1"/>
  <c r="M40" i="50"/>
  <c r="E43" i="36"/>
  <c r="C52" i="36"/>
  <c r="C63" i="36"/>
  <c r="E66" i="36"/>
  <c r="E51" i="36"/>
  <c r="C64" i="36"/>
  <c r="C66" i="36"/>
  <c r="C41" i="36"/>
  <c r="E64" i="36"/>
  <c r="E53" i="36"/>
  <c r="C54" i="36"/>
  <c r="C53" i="36"/>
  <c r="C56" i="36"/>
  <c r="E52" i="36"/>
  <c r="C44" i="36"/>
  <c r="E63" i="36"/>
  <c r="E62" i="36"/>
  <c r="C62" i="36"/>
  <c r="E41" i="36"/>
  <c r="C42" i="36"/>
  <c r="E42" i="36"/>
  <c r="C46" i="36"/>
  <c r="C43" i="36"/>
  <c r="E61" i="36"/>
  <c r="E54" i="36"/>
  <c r="E46" i="36"/>
  <c r="C61" i="36"/>
  <c r="E56" i="36"/>
  <c r="C51" i="36"/>
  <c r="C65" i="36"/>
  <c r="C55" i="36"/>
  <c r="C45" i="36"/>
  <c r="E45" i="36"/>
  <c r="E65" i="36"/>
  <c r="E55" i="36"/>
  <c r="K66" i="38" a="1"/>
  <c r="K66" i="38" s="1"/>
  <c r="U52" i="38" a="1"/>
  <c r="U52" i="38" s="1"/>
  <c r="S67" i="38" a="1"/>
  <c r="S67" i="38" s="1"/>
  <c r="S62" i="38" a="1"/>
  <c r="S62" i="38" s="1"/>
  <c r="U53" i="38" a="1"/>
  <c r="U53" i="38" s="1"/>
  <c r="AG70" i="38" a="1"/>
  <c r="AG70" i="38" s="1"/>
  <c r="AG69" i="38" a="1"/>
  <c r="AG69" i="38" s="1"/>
  <c r="Q65" i="38" a="1"/>
  <c r="Q65" i="38" s="1"/>
  <c r="K56" i="38" a="1"/>
  <c r="K56" i="38" s="1"/>
  <c r="U63" i="38" a="1"/>
  <c r="U63" i="38" s="1"/>
  <c r="M67" i="38" a="1"/>
  <c r="M67" i="38" s="1"/>
  <c r="U66" i="38" a="1"/>
  <c r="U66" i="38" s="1"/>
  <c r="U68" i="38" a="1"/>
  <c r="U68" i="38" s="1"/>
  <c r="AG52" i="38" a="1"/>
  <c r="AG52" i="38" s="1"/>
  <c r="W54" i="38" a="1"/>
  <c r="W54" i="38" s="1"/>
  <c r="M66" i="38" a="1"/>
  <c r="M66" i="38" s="1"/>
  <c r="Q63" i="38" a="1"/>
  <c r="Q63" i="38" s="1"/>
  <c r="S63" i="38" a="1"/>
  <c r="S63" i="38" s="1"/>
  <c r="S52" i="38" a="1"/>
  <c r="S52" i="38" s="1"/>
  <c r="AE65" i="38" a="1"/>
  <c r="AE65" i="38" s="1"/>
  <c r="AA70" i="38" a="1"/>
  <c r="AA70" i="38" s="1"/>
  <c r="U69" i="38" a="1"/>
  <c r="U69" i="38" s="1"/>
  <c r="AA63" i="38" a="1"/>
  <c r="AA63" i="38" s="1"/>
  <c r="I51" i="38" a="1"/>
  <c r="I51" i="38" s="1"/>
  <c r="AI65" i="38" a="1"/>
  <c r="AI65" i="38" s="1"/>
  <c r="G69" i="38" a="1"/>
  <c r="G69" i="38" s="1"/>
  <c r="AE67" i="38" a="1"/>
  <c r="AE67" i="38" s="1"/>
  <c r="AE69" i="38" a="1"/>
  <c r="AE69" i="38" s="1"/>
  <c r="G51" i="38" a="1"/>
  <c r="G51" i="38" s="1"/>
  <c r="Q69" i="38" a="1"/>
  <c r="Q69" i="38" s="1"/>
  <c r="Y68" i="38" a="1"/>
  <c r="Y68" i="38" s="1"/>
  <c r="Y70" i="38" a="1"/>
  <c r="Y70" i="38" s="1"/>
  <c r="AG59" i="38" a="1"/>
  <c r="AG59" i="38" s="1"/>
  <c r="S70" i="38" a="1"/>
  <c r="S70" i="38" s="1"/>
  <c r="AA69" i="38" a="1"/>
  <c r="AA69" i="38" s="1"/>
  <c r="Y65" i="38" a="1"/>
  <c r="Y65" i="38" s="1"/>
  <c r="AI55" i="38" a="1"/>
  <c r="AI55" i="38" s="1"/>
  <c r="M51" i="38" a="1"/>
  <c r="M51" i="38" s="1"/>
  <c r="G63" i="38" a="1"/>
  <c r="G63" i="38" s="1"/>
  <c r="O62" i="38" a="1"/>
  <c r="O62" i="38" s="1"/>
  <c r="Q62" i="38" a="1"/>
  <c r="Q62" i="38" s="1"/>
  <c r="Y62" i="38" a="1"/>
  <c r="Y62" i="38" s="1"/>
  <c r="O52" i="38" a="1"/>
  <c r="O52" i="38" s="1"/>
  <c r="Y59" i="38" a="1"/>
  <c r="Y59" i="38" s="1"/>
  <c r="AC70" i="38" a="1"/>
  <c r="AC70" i="38" s="1"/>
  <c r="I65" i="38" a="1"/>
  <c r="I65" i="38" s="1"/>
  <c r="AG51" i="38" a="1"/>
  <c r="AG51" i="38" s="1"/>
  <c r="AI61" i="38" a="1"/>
  <c r="AI61" i="38" s="1"/>
  <c r="U70" i="38" a="1"/>
  <c r="U70" i="38" s="1"/>
  <c r="O69" i="38" a="1"/>
  <c r="O69" i="38" s="1"/>
  <c r="O60" i="38" a="1"/>
  <c r="O60" i="38" s="1"/>
  <c r="AG56" i="38" a="1"/>
  <c r="AG56" i="38" s="1"/>
  <c r="AC60" i="38" a="1"/>
  <c r="AC60" i="38" s="1"/>
  <c r="M62" i="38" a="1"/>
  <c r="M62" i="38" s="1"/>
  <c r="AI59" i="38" a="1"/>
  <c r="AI59" i="38" s="1"/>
  <c r="AA55" i="38" a="1"/>
  <c r="AA55" i="38" s="1"/>
  <c r="I54" i="38" a="1"/>
  <c r="I54" i="38" s="1"/>
  <c r="I58" i="38" a="1"/>
  <c r="I58" i="38" s="1"/>
  <c r="AA59" i="38" a="1"/>
  <c r="AA59" i="38" s="1"/>
  <c r="W59" i="38" a="1"/>
  <c r="W59" i="38" s="1"/>
  <c r="Q53" i="38" a="1"/>
  <c r="Q53" i="38" s="1"/>
  <c r="M53" i="38" a="1"/>
  <c r="M53" i="38" s="1"/>
  <c r="AC61" i="38" a="1"/>
  <c r="AC61" i="38" s="1"/>
  <c r="Q60" i="38" a="1"/>
  <c r="Q60" i="38" s="1"/>
  <c r="I61" i="38" a="1"/>
  <c r="I61" i="38" s="1"/>
  <c r="M55" i="38" a="1"/>
  <c r="M55" i="38" s="1"/>
  <c r="AE62" i="38" a="1"/>
  <c r="AE62" i="38" s="1"/>
  <c r="S61" i="38" a="1"/>
  <c r="S61" i="38" s="1"/>
  <c r="K62" i="38" a="1"/>
  <c r="K62" i="38" s="1"/>
  <c r="M59" i="38" a="1"/>
  <c r="M59" i="38" s="1"/>
  <c r="M70" i="38" a="1"/>
  <c r="M70" i="38" s="1"/>
  <c r="S69" i="38" a="1"/>
  <c r="S69" i="38" s="1"/>
  <c r="M68" i="38" a="1"/>
  <c r="M68" i="38" s="1"/>
  <c r="AG67" i="38" a="1"/>
  <c r="AG67" i="38" s="1"/>
  <c r="AC55" i="38" a="1"/>
  <c r="AC55" i="38" s="1"/>
  <c r="Q68" i="38" a="1"/>
  <c r="Q68" i="38" s="1"/>
  <c r="AG63" i="38" a="1"/>
  <c r="AG63" i="38" s="1"/>
  <c r="U62" i="38" a="1"/>
  <c r="U62" i="38" s="1"/>
  <c r="M63" i="38" a="1"/>
  <c r="M63" i="38" s="1"/>
  <c r="AE58" i="38" a="1"/>
  <c r="AE58" i="38" s="1"/>
  <c r="M61" i="38" a="1"/>
  <c r="M61" i="38" s="1"/>
  <c r="G62" i="38" a="1"/>
  <c r="G62" i="38" s="1"/>
  <c r="AC59" i="38" a="1"/>
  <c r="AC59" i="38" s="1"/>
  <c r="AE54" i="38" a="1"/>
  <c r="AE54" i="38" s="1"/>
  <c r="AI52" i="38" a="1"/>
  <c r="AI52" i="38" s="1"/>
  <c r="AG68" i="38" a="1"/>
  <c r="AG68" i="38" s="1"/>
  <c r="K68" i="38" a="1"/>
  <c r="K68" i="38" s="1"/>
  <c r="AI66" i="38" a="1"/>
  <c r="AI66" i="38" s="1"/>
  <c r="AC56" i="38" a="1"/>
  <c r="AC56" i="38" s="1"/>
  <c r="O51" i="38" a="1"/>
  <c r="O51" i="38" s="1"/>
  <c r="AE66" i="38" a="1"/>
  <c r="AE66" i="38" s="1"/>
  <c r="AC58" i="38" a="1"/>
  <c r="AC58" i="38" s="1"/>
  <c r="AE63" i="38" a="1"/>
  <c r="AE63" i="38" s="1"/>
  <c r="Y66" i="38" a="1"/>
  <c r="Y66" i="38" s="1"/>
  <c r="W52" i="38" a="1"/>
  <c r="W52" i="38" s="1"/>
  <c r="U67" i="38" a="1"/>
  <c r="U67" i="38" s="1"/>
  <c r="O66" i="38" a="1"/>
  <c r="O66" i="38" s="1"/>
  <c r="Q58" i="38" a="1"/>
  <c r="Q58" i="38" s="1"/>
  <c r="U54" i="38" a="1"/>
  <c r="U54" i="38" s="1"/>
  <c r="K67" i="38" a="1"/>
  <c r="K67" i="38" s="1"/>
  <c r="W68" i="38" a="1"/>
  <c r="W68" i="38" s="1"/>
  <c r="Q67" i="38" a="1"/>
  <c r="Q67" i="38" s="1"/>
  <c r="K52" i="38" a="1"/>
  <c r="K52" i="38" s="1"/>
  <c r="W55" i="38" a="1"/>
  <c r="W55" i="38" s="1"/>
  <c r="AE68" i="38" a="1"/>
  <c r="AE68" i="38" s="1"/>
  <c r="AI60" i="38" a="1"/>
  <c r="AI60" i="38" s="1"/>
  <c r="S65" i="38" a="1"/>
  <c r="S65" i="38" s="1"/>
  <c r="AC53" i="38" a="1"/>
  <c r="AC53" i="38" s="1"/>
  <c r="AA58" i="38" a="1"/>
  <c r="AA58" i="38" s="1"/>
  <c r="M58" i="38" a="1"/>
  <c r="M58" i="38" s="1"/>
  <c r="Y69" i="38" a="1"/>
  <c r="Y69" i="38" s="1"/>
  <c r="S68" i="38" a="1"/>
  <c r="S68" i="38" s="1"/>
  <c r="W65" i="38" a="1"/>
  <c r="W65" i="38" s="1"/>
  <c r="Y56" i="38" a="1"/>
  <c r="Y56" i="38" s="1"/>
  <c r="AG65" i="38" a="1"/>
  <c r="AG65" i="38" s="1"/>
  <c r="AI67" i="38" a="1"/>
  <c r="AI67" i="38" s="1"/>
  <c r="AC66" i="38" a="1"/>
  <c r="AC66" i="38" s="1"/>
  <c r="G55" i="38" a="1"/>
  <c r="G55" i="38" s="1"/>
  <c r="W51" i="38" a="1"/>
  <c r="W51" i="38" s="1"/>
  <c r="AA51" i="38" a="1"/>
  <c r="AA51" i="38" s="1"/>
  <c r="U59" i="38" a="1"/>
  <c r="U59" i="38" s="1"/>
  <c r="Q59" i="38" a="1"/>
  <c r="Q59" i="38" s="1"/>
  <c r="I53" i="38" a="1"/>
  <c r="I53" i="38" s="1"/>
  <c r="AC52" i="38" a="1"/>
  <c r="AC52" i="38" s="1"/>
  <c r="K69" i="38" a="1"/>
  <c r="K69" i="38" s="1"/>
  <c r="AC67" i="38" a="1"/>
  <c r="AC67" i="38" s="1"/>
  <c r="AC69" i="38" a="1"/>
  <c r="AC69" i="38" s="1"/>
  <c r="G54" i="38" a="1"/>
  <c r="G54" i="38" s="1"/>
  <c r="U56" i="38" a="1"/>
  <c r="U56" i="38" s="1"/>
  <c r="G59" i="38" a="1"/>
  <c r="G59" i="38" s="1"/>
  <c r="W70" i="38" a="1"/>
  <c r="W70" i="38" s="1"/>
  <c r="G52" i="38" a="1"/>
  <c r="G52" i="38" s="1"/>
  <c r="K54" i="38" a="1"/>
  <c r="K54" i="38" s="1"/>
  <c r="O61" i="38" a="1"/>
  <c r="O61" i="38" s="1"/>
  <c r="I60" i="38" a="1"/>
  <c r="I60" i="38" s="1"/>
  <c r="AA65" i="38" a="1"/>
  <c r="AA65" i="38" s="1"/>
  <c r="W53" i="38" a="1"/>
  <c r="W53" i="38" s="1"/>
  <c r="S59" i="38" a="1"/>
  <c r="S59" i="38" s="1"/>
  <c r="W66" i="38" a="1"/>
  <c r="W66" i="38" s="1"/>
  <c r="AG66" i="38" a="1"/>
  <c r="AG66" i="38" s="1"/>
  <c r="AI62" i="38" a="1"/>
  <c r="AI62" i="38" s="1"/>
  <c r="K51" i="38" a="1"/>
  <c r="K51" i="38" s="1"/>
  <c r="S56" i="38" a="1"/>
  <c r="S56" i="38" s="1"/>
  <c r="Y60" i="38" a="1"/>
  <c r="Y60" i="38" s="1"/>
  <c r="K61" i="38" a="1"/>
  <c r="K61" i="38" s="1"/>
  <c r="K65" i="38" a="1"/>
  <c r="K65" i="38" s="1"/>
  <c r="Y54" i="38" a="1"/>
  <c r="Y54" i="38" s="1"/>
  <c r="K58" i="38" a="1"/>
  <c r="K58" i="38" s="1"/>
  <c r="G65" i="38" a="1"/>
  <c r="G65" i="38" s="1"/>
  <c r="M65" i="38" a="1"/>
  <c r="M65" i="38" s="1"/>
  <c r="AE70" i="38" a="1"/>
  <c r="AE70" i="38" s="1"/>
  <c r="Y52" i="38" a="1"/>
  <c r="Y52" i="38" s="1"/>
  <c r="M52" i="38" a="1"/>
  <c r="M52" i="38" s="1"/>
  <c r="Q55" i="38" a="1"/>
  <c r="Q55" i="38" s="1"/>
  <c r="AC63" i="38" a="1"/>
  <c r="AC63" i="38" s="1"/>
  <c r="Y63" i="38" a="1"/>
  <c r="Y63" i="38" s="1"/>
  <c r="AE56" i="38" a="1"/>
  <c r="AE56" i="38" s="1"/>
  <c r="G58" i="38" a="1"/>
  <c r="G58" i="38" s="1"/>
  <c r="AG60" i="38" a="1"/>
  <c r="AG60" i="38" s="1"/>
  <c r="K60" i="38" a="1"/>
  <c r="K60" i="38" s="1"/>
  <c r="M60" i="38" a="1"/>
  <c r="M60" i="38" s="1"/>
  <c r="AI53" i="38" a="1"/>
  <c r="AI53" i="38" s="1"/>
  <c r="I70" i="38" a="1"/>
  <c r="I70" i="38" s="1"/>
  <c r="O63" i="38" a="1"/>
  <c r="O63" i="38" s="1"/>
  <c r="G61" i="38" a="1"/>
  <c r="G61" i="38" s="1"/>
  <c r="AI51" i="38" a="1"/>
  <c r="AI51" i="38" s="1"/>
  <c r="K55" i="38" a="1"/>
  <c r="K55" i="38" s="1"/>
  <c r="I55" i="38" a="1"/>
  <c r="I55" i="38" s="1"/>
  <c r="G66" i="38" a="1"/>
  <c r="G66" i="38" s="1"/>
  <c r="I62" i="38" a="1"/>
  <c r="I62" i="38" s="1"/>
  <c r="S51" i="38" a="1"/>
  <c r="S51" i="38" s="1"/>
  <c r="M56" i="38" a="1"/>
  <c r="M56" i="38" s="1"/>
  <c r="S54" i="38" a="1"/>
  <c r="S54" i="38" s="1"/>
  <c r="AC65" i="38" a="1"/>
  <c r="AC65" i="38" s="1"/>
  <c r="AI69" i="38" a="1"/>
  <c r="AI69" i="38" s="1"/>
  <c r="I52" i="38" a="1"/>
  <c r="I52" i="38" s="1"/>
  <c r="Q61" i="38" a="1"/>
  <c r="Q61" i="38" s="1"/>
  <c r="U60" i="38" a="1"/>
  <c r="U60" i="38" s="1"/>
  <c r="I67" i="38" a="1"/>
  <c r="I67" i="38" s="1"/>
  <c r="K63" i="38" a="1"/>
  <c r="K63" i="38" s="1"/>
  <c r="O53" i="38" a="1"/>
  <c r="O53" i="38" s="1"/>
  <c r="AE51" i="38" a="1"/>
  <c r="AE51" i="38" s="1"/>
  <c r="AG53" i="38" a="1"/>
  <c r="AG53" i="38" s="1"/>
  <c r="AG62" i="38" a="1"/>
  <c r="AG62" i="38" s="1"/>
  <c r="AC62" i="38" a="1"/>
  <c r="AC62" i="38" s="1"/>
  <c r="W56" i="38" a="1"/>
  <c r="W56" i="38" s="1"/>
  <c r="G56" i="38" a="1"/>
  <c r="G56" i="38" s="1"/>
  <c r="O68" i="38" a="1"/>
  <c r="O68" i="38" s="1"/>
  <c r="W67" i="38" a="1"/>
  <c r="W67" i="38" s="1"/>
  <c r="W69" i="38" a="1"/>
  <c r="W69" i="38" s="1"/>
  <c r="AE53" i="38" a="1"/>
  <c r="AE53" i="38" s="1"/>
  <c r="Y55" i="38" a="1"/>
  <c r="Y55" i="38" s="1"/>
  <c r="O67" i="38" a="1"/>
  <c r="O67" i="38" s="1"/>
  <c r="I66" i="38" a="1"/>
  <c r="I66" i="38" s="1"/>
  <c r="Y58" i="38" a="1"/>
  <c r="Y58" i="38" s="1"/>
  <c r="Y53" i="38" a="1"/>
  <c r="Y53" i="38" s="1"/>
  <c r="AG61" i="38" a="1"/>
  <c r="AG61" i="38" s="1"/>
  <c r="M69" i="38" a="1"/>
  <c r="M69" i="38" s="1"/>
  <c r="G68" i="38" a="1"/>
  <c r="G68" i="38" s="1"/>
  <c r="O65" i="38" a="1"/>
  <c r="O65" i="38" s="1"/>
  <c r="AA56" i="38" a="1"/>
  <c r="AA56" i="38" s="1"/>
  <c r="G53" i="38" a="1"/>
  <c r="G53" i="38" s="1"/>
  <c r="O70" i="38" a="1"/>
  <c r="O70" i="38" s="1"/>
  <c r="I69" i="38" a="1"/>
  <c r="I69" i="38" s="1"/>
  <c r="O58" i="38" a="1"/>
  <c r="O58" i="38" s="1"/>
  <c r="AI68" i="38" a="1"/>
  <c r="AI68" i="38" s="1"/>
  <c r="I56" i="38" a="1"/>
  <c r="I56" i="38" s="1"/>
  <c r="AE61" i="38" a="1"/>
  <c r="AE61" i="38" s="1"/>
  <c r="AA61" i="38" a="1"/>
  <c r="AA61" i="38" s="1"/>
  <c r="U55" i="38" a="1"/>
  <c r="U55" i="38" s="1"/>
  <c r="AI54" i="38" a="1"/>
  <c r="AI54" i="38" s="1"/>
  <c r="AA54" i="38" a="1"/>
  <c r="AA54" i="38" s="1"/>
  <c r="U65" i="38" a="1"/>
  <c r="U65" i="38" s="1"/>
  <c r="K70" i="38" a="1"/>
  <c r="K70" i="38" s="1"/>
  <c r="Q52" i="38" a="1"/>
  <c r="Q52" i="38" s="1"/>
  <c r="W58" i="38" a="1"/>
  <c r="W58" i="38" s="1"/>
  <c r="I68" i="38" a="1"/>
  <c r="I68" i="38" s="1"/>
  <c r="AA66" i="38" a="1"/>
  <c r="AA66" i="38" s="1"/>
  <c r="AA68" i="38" a="1"/>
  <c r="AA68" i="38" s="1"/>
  <c r="K53" i="38" a="1"/>
  <c r="K53" i="38" s="1"/>
  <c r="S55" i="38" a="1"/>
  <c r="S55" i="38" s="1"/>
  <c r="AA60" i="38" a="1"/>
  <c r="AA60" i="38" s="1"/>
  <c r="O59" i="38" a="1"/>
  <c r="O59" i="38" s="1"/>
  <c r="G60" i="38" a="1"/>
  <c r="G60" i="38" s="1"/>
  <c r="Q51" i="38" a="1"/>
  <c r="Q51" i="38" s="1"/>
  <c r="AA67" i="38" a="1"/>
  <c r="AA67" i="38" s="1"/>
  <c r="AI70" i="38" a="1"/>
  <c r="AI70" i="38" s="1"/>
  <c r="Q70" i="38" a="1"/>
  <c r="Q70" i="38" s="1"/>
  <c r="S58" i="38" a="1"/>
  <c r="S58" i="38" s="1"/>
  <c r="AI56" i="38" a="1"/>
  <c r="AI56" i="38" s="1"/>
  <c r="AE52" i="38" a="1"/>
  <c r="AE52" i="38" s="1"/>
  <c r="W60" i="38" a="1"/>
  <c r="W60" i="38" s="1"/>
  <c r="S60" i="38" a="1"/>
  <c r="S60" i="38" s="1"/>
  <c r="M54" i="38" a="1"/>
  <c r="M54" i="38" s="1"/>
  <c r="AA53" i="38" a="1"/>
  <c r="AA53" i="38" s="1"/>
  <c r="AC51" i="38" a="1"/>
  <c r="AC51" i="38" s="1"/>
  <c r="Y61" i="38" a="1"/>
  <c r="Y61" i="38" s="1"/>
  <c r="U61" i="38" a="1"/>
  <c r="U61" i="38" s="1"/>
  <c r="O55" i="38" a="1"/>
  <c r="O55" i="38" s="1"/>
  <c r="AC54" i="38" a="1"/>
  <c r="AC54" i="38" s="1"/>
  <c r="G67" i="38" a="1"/>
  <c r="G67" i="38" s="1"/>
  <c r="AA52" i="38" a="1"/>
  <c r="AA52" i="38" s="1"/>
  <c r="Y67" i="38" a="1"/>
  <c r="Y67" i="38" s="1"/>
  <c r="AI58" i="38" a="1"/>
  <c r="AI58" i="38" s="1"/>
  <c r="Q54" i="38" a="1"/>
  <c r="Q54" i="38" s="1"/>
  <c r="U51" i="38" a="1"/>
  <c r="U51" i="38" s="1"/>
  <c r="AA62" i="38" a="1"/>
  <c r="AA62" i="38" s="1"/>
  <c r="W62" i="38" a="1"/>
  <c r="W62" i="38" s="1"/>
  <c r="Q56" i="38" a="1"/>
  <c r="Q56" i="38" s="1"/>
  <c r="AE55" i="38" a="1"/>
  <c r="AE55" i="38" s="1"/>
  <c r="AE59" i="38" a="1"/>
  <c r="AE59" i="38" s="1"/>
  <c r="I59" i="38" a="1"/>
  <c r="I59" i="38" s="1"/>
  <c r="K59" i="38" a="1"/>
  <c r="K59" i="38" s="1"/>
  <c r="Y51" i="38" a="1"/>
  <c r="Y51" i="38" s="1"/>
  <c r="O56" i="38" a="1"/>
  <c r="O56" i="38" s="1"/>
  <c r="S66" i="38" a="1"/>
  <c r="S66" i="38" s="1"/>
  <c r="W63" i="38" a="1"/>
  <c r="W63" i="38" s="1"/>
  <c r="AG58" i="38" a="1"/>
  <c r="AG58" i="38" s="1"/>
  <c r="S53" i="38" a="1"/>
  <c r="S53" i="38" s="1"/>
  <c r="AI63" i="38" a="1"/>
  <c r="AI63" i="38" s="1"/>
  <c r="I63" i="38" a="1"/>
  <c r="I63" i="38" s="1"/>
  <c r="AE60" i="38" a="1"/>
  <c r="AE60" i="38" s="1"/>
  <c r="AG55" i="38" a="1"/>
  <c r="AG55" i="38" s="1"/>
  <c r="O54" i="38" a="1"/>
  <c r="O54" i="38" s="1"/>
  <c r="AC68" i="38" a="1"/>
  <c r="AC68" i="38" s="1"/>
  <c r="U58" i="38" a="1"/>
  <c r="U58" i="38" s="1"/>
  <c r="Q66" i="38" a="1"/>
  <c r="Q66" i="38" s="1"/>
  <c r="G70" i="38" a="1"/>
  <c r="G70" i="38" s="1"/>
  <c r="W61" i="38" a="1"/>
  <c r="W61" i="38" s="1"/>
  <c r="AG54" i="38" a="1"/>
  <c r="AG54" i="38" s="1"/>
  <c r="AI6" i="38" a="1"/>
  <c r="AI6" i="38" s="1"/>
  <c r="AC7" i="38" a="1"/>
  <c r="AC7" i="38" s="1"/>
  <c r="AC4" i="38" a="1"/>
  <c r="AC4" i="38" s="1"/>
  <c r="AG4" i="38" a="1"/>
  <c r="AG4" i="38" s="1"/>
  <c r="AI8" i="38" a="1"/>
  <c r="AI8" i="38" s="1"/>
  <c r="AG8" i="38" a="1"/>
  <c r="AG8" i="38" s="1"/>
  <c r="AC3" i="38" a="1"/>
  <c r="AC3" i="38" s="1"/>
  <c r="AG6" i="38" a="1"/>
  <c r="AG6" i="38" s="1"/>
  <c r="AE6" i="38" a="1"/>
  <c r="AE6" i="38" s="1"/>
  <c r="AG3" i="38" a="1"/>
  <c r="AG3" i="38" s="1"/>
  <c r="AE4" i="38" a="1"/>
  <c r="AE4" i="38" s="1"/>
  <c r="AC5" i="38" a="1"/>
  <c r="AC5" i="38" s="1"/>
  <c r="AI7" i="38" a="1"/>
  <c r="AI7" i="38" s="1"/>
  <c r="AI5" i="38" a="1"/>
  <c r="AI5" i="38" s="1"/>
  <c r="AE8" i="38" a="1"/>
  <c r="AE8" i="38" s="1"/>
  <c r="AG5" i="38" a="1"/>
  <c r="AG5" i="38" s="1"/>
  <c r="AC8" i="38" a="1"/>
  <c r="AC8" i="38" s="1"/>
  <c r="AE7" i="38" a="1"/>
  <c r="AE7" i="38" s="1"/>
  <c r="AE3" i="38" a="1"/>
  <c r="AE3" i="38" s="1"/>
  <c r="AG7" i="38" a="1"/>
  <c r="AG7" i="38" s="1"/>
  <c r="AI3" i="38" a="1"/>
  <c r="AI3" i="38" s="1"/>
  <c r="AI4" i="38" a="1"/>
  <c r="AI4" i="38" s="1"/>
  <c r="AE5" i="38" a="1"/>
  <c r="AE5" i="38" s="1"/>
  <c r="AC6" i="38" a="1"/>
  <c r="AC6" i="38" s="1"/>
  <c r="AJ139" i="28"/>
  <c r="I4" i="38"/>
  <c r="AA8" i="38" a="1"/>
  <c r="AA8" i="38" s="1"/>
  <c r="AA4" i="38" a="1"/>
  <c r="AA4" i="38" s="1"/>
  <c r="AA3" i="38" a="1"/>
  <c r="AA3" i="38" s="1"/>
  <c r="AA6" i="38" a="1"/>
  <c r="AA6" i="38" s="1"/>
  <c r="AA7" i="38" a="1"/>
  <c r="AA7" i="38" s="1"/>
  <c r="AA5" i="38" a="1"/>
  <c r="AA5" i="38" s="1"/>
  <c r="T4" i="30"/>
  <c r="O40" i="50" s="1"/>
  <c r="AR46" i="28"/>
  <c r="S5" i="42"/>
  <c r="T5" i="42" s="1"/>
  <c r="AR71" i="28"/>
  <c r="AR78" i="28"/>
  <c r="AR38" i="28"/>
  <c r="AR19" i="28"/>
  <c r="AR85" i="28"/>
  <c r="T4" i="42"/>
  <c r="U11" i="42"/>
  <c r="AR92" i="28"/>
  <c r="Q8" i="38" a="1"/>
  <c r="Q8" i="38" s="1"/>
  <c r="AR25" i="28"/>
  <c r="AR24" i="28"/>
  <c r="AR99" i="28"/>
  <c r="AR26" i="28"/>
  <c r="S6" i="38" a="1"/>
  <c r="S6" i="38" s="1"/>
  <c r="K3" i="38"/>
  <c r="S7" i="42"/>
  <c r="T7" i="42" s="1"/>
  <c r="M5" i="38"/>
  <c r="K5" i="38"/>
  <c r="U8" i="38" a="1"/>
  <c r="U8" i="38" s="1"/>
  <c r="S7" i="38" a="1"/>
  <c r="S7" i="38" s="1"/>
  <c r="M7" i="38"/>
  <c r="AR90" i="28"/>
  <c r="Y5" i="38" a="1"/>
  <c r="Y5" i="38" s="1"/>
  <c r="AR59" i="28"/>
  <c r="S14" i="42"/>
  <c r="T14" i="42" s="1"/>
  <c r="W8" i="38" a="1"/>
  <c r="W8" i="38" s="1"/>
  <c r="Q5" i="38" a="1"/>
  <c r="Q5" i="38" s="1"/>
  <c r="O3" i="38" a="1"/>
  <c r="O3" i="38" s="1"/>
  <c r="Q4" i="38" a="1"/>
  <c r="Q4" i="38" s="1"/>
  <c r="Y3" i="38" a="1"/>
  <c r="Y3" i="38" s="1"/>
  <c r="Y4" i="38" a="1"/>
  <c r="Y4" i="38" s="1"/>
  <c r="U3" i="38" a="1"/>
  <c r="U3" i="38" s="1"/>
  <c r="S4" i="38" a="1"/>
  <c r="S4" i="38" s="1"/>
  <c r="K4" i="38"/>
  <c r="Q7" i="38" a="1"/>
  <c r="Q7" i="38" s="1"/>
  <c r="W4" i="38" a="1"/>
  <c r="W4" i="38" s="1"/>
  <c r="W7" i="38" a="1"/>
  <c r="W7" i="38" s="1"/>
  <c r="AC4" i="30"/>
  <c r="E6" i="36"/>
  <c r="E7" i="36"/>
  <c r="E8" i="36"/>
  <c r="E11" i="36"/>
  <c r="E10" i="36"/>
  <c r="S7" i="36"/>
  <c r="Q10" i="36"/>
  <c r="S9" i="36"/>
  <c r="Q9" i="36"/>
  <c r="G3" i="38"/>
  <c r="C7" i="36"/>
  <c r="Q7" i="36"/>
  <c r="S11" i="36"/>
  <c r="G9" i="36" a="1"/>
  <c r="G9" i="36" s="1"/>
  <c r="C11" i="36"/>
  <c r="Q8" i="36"/>
  <c r="S8" i="36"/>
  <c r="S6" i="36"/>
  <c r="C6" i="36"/>
  <c r="C10" i="36"/>
  <c r="G11" i="36" a="1"/>
  <c r="G11" i="36" s="1"/>
  <c r="G7" i="36" a="1"/>
  <c r="G7" i="36" s="1"/>
  <c r="G8" i="36" a="1"/>
  <c r="G8" i="36" s="1"/>
  <c r="C8" i="36"/>
  <c r="C9" i="36"/>
  <c r="Q11" i="36"/>
  <c r="Q6" i="36"/>
  <c r="S10" i="36"/>
  <c r="G10" i="36" a="1"/>
  <c r="G10" i="36" s="1"/>
  <c r="G6" i="36" a="1"/>
  <c r="G6" i="36" s="1"/>
  <c r="K6" i="38"/>
  <c r="I5" i="38"/>
  <c r="U5" i="38" a="1"/>
  <c r="U5" i="38" s="1"/>
  <c r="I8" i="38"/>
  <c r="U6" i="38" a="1"/>
  <c r="U6" i="38" s="1"/>
  <c r="Y7" i="38" a="1"/>
  <c r="Y7" i="38" s="1"/>
  <c r="I6" i="38"/>
  <c r="Q3" i="38" a="1"/>
  <c r="Q3" i="38" s="1"/>
  <c r="Y8" i="38" a="1"/>
  <c r="Y8" i="38" s="1"/>
  <c r="S8" i="38" a="1"/>
  <c r="S8" i="38" s="1"/>
  <c r="S19" i="42"/>
  <c r="T19" i="42" s="1"/>
  <c r="U19" i="42"/>
  <c r="K7" i="38"/>
  <c r="R38" i="42"/>
  <c r="O7" i="38" a="1"/>
  <c r="O7" i="38" s="1"/>
  <c r="Y6" i="38" a="1"/>
  <c r="Y6" i="38" s="1"/>
  <c r="W3" i="38" a="1"/>
  <c r="W3" i="38" s="1"/>
  <c r="M3" i="38"/>
  <c r="O8" i="38" a="1"/>
  <c r="O8" i="38" s="1"/>
  <c r="Q6" i="38" a="1"/>
  <c r="Q6" i="38" s="1"/>
  <c r="W5" i="38" a="1"/>
  <c r="W5" i="38" s="1"/>
  <c r="M4" i="38"/>
  <c r="K8" i="38"/>
  <c r="U4" i="38" a="1"/>
  <c r="U4" i="38" s="1"/>
  <c r="M8" i="38"/>
  <c r="U8" i="42"/>
  <c r="S8" i="42"/>
  <c r="T8" i="42" s="1"/>
  <c r="O5" i="38" a="1"/>
  <c r="O5" i="38" s="1"/>
  <c r="I7" i="38"/>
  <c r="S3" i="38" a="1"/>
  <c r="S3" i="38" s="1"/>
  <c r="I3" i="38"/>
  <c r="O4" i="38" a="1"/>
  <c r="O4" i="38" s="1"/>
  <c r="W6" i="38" a="1"/>
  <c r="W6" i="38" s="1"/>
  <c r="O6" i="38" a="1"/>
  <c r="O6" i="38" s="1"/>
  <c r="U7" i="38" a="1"/>
  <c r="U7" i="38" s="1"/>
  <c r="M6" i="38"/>
  <c r="S5" i="38" a="1"/>
  <c r="S5" i="38" s="1"/>
  <c r="Q4" i="30"/>
  <c r="L40" i="50" s="1"/>
  <c r="U3" i="42"/>
  <c r="S3" i="42"/>
  <c r="AR56" i="28"/>
  <c r="AR82" i="28"/>
  <c r="AR7" i="28"/>
  <c r="AR66" i="28"/>
  <c r="AR63" i="28"/>
  <c r="AR2" i="28"/>
  <c r="AR27" i="28"/>
  <c r="AR64" i="28"/>
  <c r="AR91" i="28"/>
  <c r="AR73" i="28"/>
  <c r="AR47" i="28"/>
  <c r="AR8" i="28"/>
  <c r="AR84" i="28"/>
  <c r="U6" i="42"/>
  <c r="U10" i="42"/>
  <c r="S9" i="42"/>
  <c r="T9" i="42" s="1"/>
  <c r="AR5" i="28"/>
  <c r="AR44" i="28"/>
  <c r="AR65" i="28"/>
  <c r="AR68" i="28"/>
  <c r="AR96" i="28"/>
  <c r="AR35" i="28"/>
  <c r="AR70" i="28"/>
  <c r="AR72" i="28"/>
  <c r="AR37" i="28"/>
  <c r="AR43" i="28"/>
  <c r="AR101" i="28"/>
  <c r="AR32" i="28"/>
  <c r="AR86" i="28"/>
  <c r="AR13" i="28"/>
  <c r="AR11" i="28"/>
  <c r="AR28" i="28"/>
  <c r="AR95" i="28"/>
  <c r="AR49" i="28"/>
  <c r="AR4" i="28"/>
  <c r="AR93" i="28"/>
  <c r="AR75" i="28"/>
  <c r="AR51" i="28"/>
  <c r="AR10" i="28"/>
  <c r="AR100" i="28"/>
  <c r="AR52" i="28"/>
  <c r="AR53" i="28"/>
  <c r="U13" i="42"/>
  <c r="U4" i="42"/>
  <c r="AR80" i="28"/>
  <c r="AR21" i="28"/>
  <c r="AR36" i="28"/>
  <c r="AR102" i="28"/>
  <c r="AR34" i="28"/>
  <c r="AR12" i="28"/>
  <c r="AR83" i="28"/>
  <c r="AR81" i="28"/>
  <c r="AR58" i="28"/>
  <c r="AR33" i="28"/>
  <c r="AR61" i="28"/>
  <c r="AR39" i="28"/>
  <c r="AR69" i="28"/>
  <c r="AR30" i="28"/>
  <c r="AR3" i="28"/>
  <c r="AR103" i="28"/>
  <c r="AR45" i="28"/>
  <c r="AR14" i="28"/>
  <c r="AR15" i="28"/>
  <c r="AR29" i="28"/>
  <c r="AR31" i="28"/>
  <c r="AR20" i="28"/>
  <c r="AR23" i="28"/>
  <c r="AR50" i="28"/>
  <c r="AR88" i="28"/>
  <c r="AR67" i="28"/>
  <c r="U12" i="42"/>
  <c r="AR55" i="28"/>
  <c r="AR22" i="28"/>
  <c r="AR89" i="28"/>
  <c r="AR62" i="28"/>
  <c r="AR6" i="28"/>
  <c r="AR79" i="28"/>
  <c r="AR74" i="28"/>
  <c r="AR41" i="28"/>
  <c r="AR97" i="28"/>
  <c r="AR87" i="28"/>
  <c r="AR40" i="28"/>
  <c r="AR9" i="28"/>
  <c r="AR18" i="28"/>
  <c r="AR76" i="28"/>
  <c r="AR77" i="28"/>
  <c r="AR48" i="28"/>
  <c r="AR17" i="28"/>
  <c r="AR60" i="28"/>
  <c r="AR16" i="28"/>
  <c r="AR42" i="28"/>
  <c r="AR98" i="28"/>
  <c r="AR104" i="28"/>
  <c r="AR94" i="28"/>
  <c r="AR54" i="28"/>
  <c r="E67" i="36" l="1"/>
  <c r="E57" i="36"/>
  <c r="C57" i="36"/>
  <c r="C47" i="36"/>
  <c r="C67" i="36"/>
  <c r="D70" i="38"/>
  <c r="D67" i="38"/>
  <c r="D60" i="38"/>
  <c r="D54" i="38"/>
  <c r="T5" i="38" a="1"/>
  <c r="T5" i="38" s="1"/>
  <c r="T11" i="38" s="1"/>
  <c r="T23" i="38" s="1"/>
  <c r="R66" i="38" a="1"/>
  <c r="R66" i="38" s="1"/>
  <c r="Z70" i="38" a="1"/>
  <c r="Z70" i="38" s="1"/>
  <c r="J7" i="59" s="1"/>
  <c r="T60" i="38" a="1"/>
  <c r="T60" i="38" s="1"/>
  <c r="G4" i="58" s="1"/>
  <c r="X58" i="38" a="1"/>
  <c r="X58" i="38" s="1"/>
  <c r="I3" i="58" s="1"/>
  <c r="AF69" i="38" a="1"/>
  <c r="AF69" i="38" s="1"/>
  <c r="M6" i="59" s="1"/>
  <c r="AB60" i="38" a="1"/>
  <c r="AB60" i="38" s="1"/>
  <c r="K4" i="58" s="1"/>
  <c r="T66" i="38" a="1"/>
  <c r="T66" i="38" s="1"/>
  <c r="AB70" i="38" a="1"/>
  <c r="AB70" i="38" s="1"/>
  <c r="K7" i="59" s="1"/>
  <c r="N62" i="38" a="1"/>
  <c r="N62" i="38" s="1"/>
  <c r="D6" i="58" s="1"/>
  <c r="H66" i="38" a="1"/>
  <c r="H66" i="38" s="1"/>
  <c r="P70" i="38" a="1"/>
  <c r="P70" i="38" s="1"/>
  <c r="E7" i="59" s="1"/>
  <c r="AJ60" i="38" a="1"/>
  <c r="AJ60" i="38" s="1"/>
  <c r="O4" i="58" s="1"/>
  <c r="AB66" i="38" a="1"/>
  <c r="AB66" i="38" s="1"/>
  <c r="P59" i="38" a="1"/>
  <c r="P59" i="38" s="1"/>
  <c r="X63" i="38" a="1"/>
  <c r="X63" i="38" s="1"/>
  <c r="I7" i="58" s="1"/>
  <c r="P69" i="38" a="1"/>
  <c r="P69" i="38" s="1"/>
  <c r="E6" i="59" s="1"/>
  <c r="J59" i="38" a="1"/>
  <c r="J59" i="38" s="1"/>
  <c r="R63" i="38" a="1"/>
  <c r="R63" i="38" s="1"/>
  <c r="F7" i="58" s="1"/>
  <c r="AH68" i="38" a="1"/>
  <c r="AH68" i="38" s="1"/>
  <c r="N5" i="59" s="1"/>
  <c r="AF60" i="38" a="1"/>
  <c r="AF60" i="38" s="1"/>
  <c r="M4" i="58" s="1"/>
  <c r="AJ61" i="38" a="1"/>
  <c r="AJ61" i="38" s="1"/>
  <c r="O5" i="58" s="1"/>
  <c r="J56" i="38" a="1"/>
  <c r="J56" i="38" s="1"/>
  <c r="X53" i="38" a="1"/>
  <c r="X53" i="38" s="1"/>
  <c r="I4" i="57" s="1"/>
  <c r="R51" i="38" a="1"/>
  <c r="R51" i="38" s="1"/>
  <c r="F3" i="57" s="1"/>
  <c r="Z52" i="38" a="1"/>
  <c r="Z52" i="38" s="1"/>
  <c r="AF56" i="38" a="1"/>
  <c r="AF56" i="38" s="1"/>
  <c r="M7" i="57" s="1"/>
  <c r="AF53" i="38" a="1"/>
  <c r="AF53" i="38" s="1"/>
  <c r="M4" i="57" s="1"/>
  <c r="P51" i="38" a="1"/>
  <c r="P51" i="38" s="1"/>
  <c r="E3" i="57" s="1"/>
  <c r="T52" i="38" a="1"/>
  <c r="T52" i="38" s="1"/>
  <c r="Z56" i="38" a="1"/>
  <c r="Z56" i="38" s="1"/>
  <c r="J7" i="57" s="1"/>
  <c r="V52" i="38" a="1"/>
  <c r="V52" i="38" s="1"/>
  <c r="X54" i="38" a="1"/>
  <c r="X54" i="38" s="1"/>
  <c r="I5" i="57" s="1"/>
  <c r="N52" i="38" a="1"/>
  <c r="N52" i="38" s="1"/>
  <c r="H56" i="38" a="1"/>
  <c r="H56" i="38" s="1"/>
  <c r="R61" i="38" a="1"/>
  <c r="R61" i="38" s="1"/>
  <c r="F5" i="58" s="1"/>
  <c r="T68" i="38" a="1"/>
  <c r="T68" i="38" s="1"/>
  <c r="G5" i="59" s="1"/>
  <c r="AF52" i="38" a="1"/>
  <c r="AF52" i="38" s="1"/>
  <c r="AD55" i="38" a="1"/>
  <c r="AD55" i="38" s="1"/>
  <c r="L6" i="57" s="1"/>
  <c r="X66" i="38" a="1"/>
  <c r="X66" i="38" s="1"/>
  <c r="AF65" i="38" a="1"/>
  <c r="AF65" i="38" s="1"/>
  <c r="M3" i="59" s="1"/>
  <c r="P61" i="38" a="1"/>
  <c r="P61" i="38" s="1"/>
  <c r="E5" i="58" s="1"/>
  <c r="P58" i="38" a="1"/>
  <c r="P58" i="38" s="1"/>
  <c r="E3" i="58" s="1"/>
  <c r="H70" i="38" a="1"/>
  <c r="H70" i="38" s="1"/>
  <c r="X61" i="38" a="1"/>
  <c r="X61" i="38" s="1"/>
  <c r="I5" i="58" s="1"/>
  <c r="P67" i="38" a="1"/>
  <c r="P67" i="38" s="1"/>
  <c r="E4" i="59" s="1"/>
  <c r="AJ70" i="38" a="1"/>
  <c r="AJ70" i="38" s="1"/>
  <c r="O7" i="59" s="1"/>
  <c r="T62" i="38" a="1"/>
  <c r="T62" i="38" s="1"/>
  <c r="G6" i="58" s="1"/>
  <c r="AH66" i="38" a="1"/>
  <c r="AH66" i="38" s="1"/>
  <c r="AJ65" i="38" a="1"/>
  <c r="AJ65" i="38" s="1"/>
  <c r="O3" i="59" s="1"/>
  <c r="AF61" i="38" a="1"/>
  <c r="AF61" i="38" s="1"/>
  <c r="M5" i="58" s="1"/>
  <c r="X67" i="38" a="1"/>
  <c r="X67" i="38" s="1"/>
  <c r="I4" i="59" s="1"/>
  <c r="V59" i="38" a="1"/>
  <c r="V59" i="38" s="1"/>
  <c r="AD63" i="38" a="1"/>
  <c r="AD63" i="38" s="1"/>
  <c r="L7" i="58" s="1"/>
  <c r="V69" i="38" a="1"/>
  <c r="V69" i="38" s="1"/>
  <c r="H6" i="59" s="1"/>
  <c r="AJ59" i="38" a="1"/>
  <c r="AJ59" i="38" s="1"/>
  <c r="AH58" i="38" a="1"/>
  <c r="AH58" i="38" s="1"/>
  <c r="N3" i="58" s="1"/>
  <c r="J69" i="38" a="1"/>
  <c r="J69" i="38" s="1"/>
  <c r="AB61" i="38" a="1"/>
  <c r="AB61" i="38" s="1"/>
  <c r="K5" i="58" s="1"/>
  <c r="P52" i="38" a="1"/>
  <c r="P52" i="38" s="1"/>
  <c r="P56" i="38" a="1"/>
  <c r="P56" i="38" s="1"/>
  <c r="E7" i="57" s="1"/>
  <c r="AD53" i="38" a="1"/>
  <c r="AD53" i="38" s="1"/>
  <c r="L4" i="57" s="1"/>
  <c r="J51" i="38" a="1"/>
  <c r="J51" i="38" s="1"/>
  <c r="R53" i="38" a="1"/>
  <c r="R53" i="38" s="1"/>
  <c r="F4" i="57" s="1"/>
  <c r="H51" i="38" a="1"/>
  <c r="H51" i="38" s="1"/>
  <c r="H54" i="38" a="1"/>
  <c r="H54" i="38" s="1"/>
  <c r="T58" i="38" a="1"/>
  <c r="T58" i="38" s="1"/>
  <c r="G3" i="58" s="1"/>
  <c r="AB52" i="38" a="1"/>
  <c r="AB52" i="38" s="1"/>
  <c r="AH56" i="38" a="1"/>
  <c r="AH56" i="38" s="1"/>
  <c r="N7" i="57" s="1"/>
  <c r="AJ52" i="38" a="1"/>
  <c r="AJ52" i="38" s="1"/>
  <c r="AJ51" i="38" a="1"/>
  <c r="AJ51" i="38" s="1"/>
  <c r="O3" i="57" s="1"/>
  <c r="AD52" i="38" a="1"/>
  <c r="AD52" i="38" s="1"/>
  <c r="AB56" i="38" a="1"/>
  <c r="AB56" i="38" s="1"/>
  <c r="K7" i="57" s="1"/>
  <c r="AJ68" i="38" a="1"/>
  <c r="AJ68" i="38" s="1"/>
  <c r="O5" i="59" s="1"/>
  <c r="AD60" i="38" a="1"/>
  <c r="AD60" i="38" s="1"/>
  <c r="L4" i="58" s="1"/>
  <c r="H68" i="38" a="1"/>
  <c r="H68" i="38" s="1"/>
  <c r="X56" i="38" a="1"/>
  <c r="X56" i="38" s="1"/>
  <c r="I7" i="57" s="1"/>
  <c r="H58" i="38" a="1"/>
  <c r="H58" i="38" s="1"/>
  <c r="T67" i="38" a="1"/>
  <c r="T67" i="38" s="1"/>
  <c r="G4" i="59" s="1"/>
  <c r="X65" i="38" a="1"/>
  <c r="X65" i="38" s="1"/>
  <c r="I3" i="59" s="1"/>
  <c r="V61" i="38" a="1"/>
  <c r="V61" i="38" s="1"/>
  <c r="H5" i="58" s="1"/>
  <c r="Z66" i="38" a="1"/>
  <c r="Z66" i="38" s="1"/>
  <c r="AD65" i="38" a="1"/>
  <c r="AD65" i="38" s="1"/>
  <c r="L3" i="59" s="1"/>
  <c r="AD61" i="38" a="1"/>
  <c r="AD61" i="38" s="1"/>
  <c r="L5" i="58" s="1"/>
  <c r="V67" i="38" a="1"/>
  <c r="V67" i="38" s="1"/>
  <c r="H4" i="59" s="1"/>
  <c r="H59" i="38" a="1"/>
  <c r="H59" i="38" s="1"/>
  <c r="P63" i="38" a="1"/>
  <c r="P63" i="38" s="1"/>
  <c r="E7" i="58" s="1"/>
  <c r="J67" i="38" a="1"/>
  <c r="J67" i="38" s="1"/>
  <c r="AB65" i="38" a="1"/>
  <c r="AB65" i="38" s="1"/>
  <c r="K3" i="59" s="1"/>
  <c r="H62" i="38" a="1"/>
  <c r="H62" i="38" s="1"/>
  <c r="AD67" i="38" a="1"/>
  <c r="AD67" i="38" s="1"/>
  <c r="L4" i="59" s="1"/>
  <c r="R60" i="38" a="1"/>
  <c r="R60" i="38" s="1"/>
  <c r="F4" i="58" s="1"/>
  <c r="J66" i="38" a="1"/>
  <c r="J66" i="38" s="1"/>
  <c r="R70" i="38" a="1"/>
  <c r="R70" i="38" s="1"/>
  <c r="F7" i="59" s="1"/>
  <c r="L60" i="38" a="1"/>
  <c r="L60" i="38" s="1"/>
  <c r="C4" i="58" s="1"/>
  <c r="Z58" i="38" a="1"/>
  <c r="Z58" i="38" s="1"/>
  <c r="J3" i="58" s="1"/>
  <c r="AJ69" i="38" a="1"/>
  <c r="AJ69" i="38" s="1"/>
  <c r="O6" i="59" s="1"/>
  <c r="AH61" i="38" a="1"/>
  <c r="AH61" i="38" s="1"/>
  <c r="N5" i="58" s="1"/>
  <c r="X52" i="38" a="1"/>
  <c r="X52" i="38" s="1"/>
  <c r="AD56" i="38" a="1"/>
  <c r="AD56" i="38" s="1"/>
  <c r="L7" i="57" s="1"/>
  <c r="Z54" i="38" a="1"/>
  <c r="Z54" i="38" s="1"/>
  <c r="J5" i="57" s="1"/>
  <c r="H53" i="38" a="1"/>
  <c r="H53" i="38" s="1"/>
  <c r="N54" i="38" a="1"/>
  <c r="N54" i="38" s="1"/>
  <c r="D5" i="57" s="1"/>
  <c r="N51" i="38" a="1"/>
  <c r="N51" i="38" s="1"/>
  <c r="D3" i="57" s="1"/>
  <c r="AH54" i="38" a="1"/>
  <c r="AH54" i="38" s="1"/>
  <c r="N5" i="57" s="1"/>
  <c r="T55" i="38" a="1"/>
  <c r="T55" i="38" s="1"/>
  <c r="G6" i="57" s="1"/>
  <c r="T53" i="38" a="1"/>
  <c r="T53" i="38" s="1"/>
  <c r="G4" i="57" s="1"/>
  <c r="V51" i="38" a="1"/>
  <c r="V51" i="38" s="1"/>
  <c r="H3" i="57" s="1"/>
  <c r="J54" i="38" a="1"/>
  <c r="J54" i="38" s="1"/>
  <c r="L69" i="38" a="1"/>
  <c r="L69" i="38" s="1"/>
  <c r="C6" i="59" s="1"/>
  <c r="N53" i="38" a="1"/>
  <c r="N53" i="38" s="1"/>
  <c r="D4" i="57" s="1"/>
  <c r="AJ56" i="38" a="1"/>
  <c r="AJ56" i="38" s="1"/>
  <c r="O7" i="57" s="1"/>
  <c r="V60" i="38" a="1"/>
  <c r="V60" i="38" s="1"/>
  <c r="H4" i="58" s="1"/>
  <c r="V66" i="38" a="1"/>
  <c r="V66" i="38" s="1"/>
  <c r="Z60" i="38" a="1"/>
  <c r="Z60" i="38" s="1"/>
  <c r="J4" i="58" s="1"/>
  <c r="L53" i="38" a="1"/>
  <c r="L53" i="38" s="1"/>
  <c r="C4" i="57" s="1"/>
  <c r="AF55" i="38" a="1"/>
  <c r="AF55" i="38" s="1"/>
  <c r="M6" i="57" s="1"/>
  <c r="Z67" i="38" a="1"/>
  <c r="Z67" i="38" s="1"/>
  <c r="J4" i="59" s="1"/>
  <c r="P65" i="38" a="1"/>
  <c r="P65" i="38" s="1"/>
  <c r="E3" i="59" s="1"/>
  <c r="R62" i="38" a="1"/>
  <c r="R62" i="38" s="1"/>
  <c r="F6" i="58" s="1"/>
  <c r="AF66" i="38" a="1"/>
  <c r="AF66" i="38" s="1"/>
  <c r="V65" i="38" a="1"/>
  <c r="V65" i="38" s="1"/>
  <c r="H3" i="59" s="1"/>
  <c r="Z62" i="38" a="1"/>
  <c r="Z62" i="38" s="1"/>
  <c r="J6" i="58" s="1"/>
  <c r="R68" i="38" a="1"/>
  <c r="R68" i="38" s="1"/>
  <c r="F5" i="59" s="1"/>
  <c r="N59" i="38" a="1"/>
  <c r="N59" i="38" s="1"/>
  <c r="V63" i="38" a="1"/>
  <c r="V63" i="38" s="1"/>
  <c r="H7" i="58" s="1"/>
  <c r="AJ67" i="38" a="1"/>
  <c r="AJ67" i="38" s="1"/>
  <c r="O4" i="59" s="1"/>
  <c r="T65" i="38" a="1"/>
  <c r="T65" i="38" s="1"/>
  <c r="G3" i="59" s="1"/>
  <c r="AH62" i="38" a="1"/>
  <c r="AH62" i="38" s="1"/>
  <c r="N6" i="58" s="1"/>
  <c r="Z68" i="38" a="1"/>
  <c r="Z68" i="38" s="1"/>
  <c r="J5" i="59" s="1"/>
  <c r="X60" i="38" a="1"/>
  <c r="X60" i="38" s="1"/>
  <c r="I4" i="58" s="1"/>
  <c r="P66" i="38" a="1"/>
  <c r="P66" i="38" s="1"/>
  <c r="X70" i="38" a="1"/>
  <c r="X70" i="38" s="1"/>
  <c r="I7" i="59" s="1"/>
  <c r="H61" i="38" a="1"/>
  <c r="H61" i="38" s="1"/>
  <c r="R58" i="38" a="1"/>
  <c r="R58" i="38" s="1"/>
  <c r="F3" i="58" s="1"/>
  <c r="L70" i="38" a="1"/>
  <c r="L70" i="38" s="1"/>
  <c r="C7" i="59" s="1"/>
  <c r="AD62" i="38" a="1"/>
  <c r="AD62" i="38" s="1"/>
  <c r="L6" i="58" s="1"/>
  <c r="P53" i="38" a="1"/>
  <c r="P53" i="38" s="1"/>
  <c r="E4" i="57" s="1"/>
  <c r="AD51" i="38" a="1"/>
  <c r="AD51" i="38" s="1"/>
  <c r="L3" i="57" s="1"/>
  <c r="AF54" i="38" a="1"/>
  <c r="AF54" i="38" s="1"/>
  <c r="M5" i="57" s="1"/>
  <c r="Z55" i="38" a="1"/>
  <c r="Z55" i="38" s="1"/>
  <c r="J6" i="57" s="1"/>
  <c r="T54" i="38" a="1"/>
  <c r="T54" i="38" s="1"/>
  <c r="G5" i="57" s="1"/>
  <c r="V56" i="38" a="1"/>
  <c r="V56" i="38" s="1"/>
  <c r="H7" i="57" s="1"/>
  <c r="J55" i="38" a="1"/>
  <c r="J55" i="38" s="1"/>
  <c r="L51" i="38" a="1"/>
  <c r="L51" i="38" s="1"/>
  <c r="C3" i="57" s="1"/>
  <c r="Z53" i="38" a="1"/>
  <c r="Z53" i="38" s="1"/>
  <c r="J4" i="57" s="1"/>
  <c r="V53" i="38" a="1"/>
  <c r="V53" i="38" s="1"/>
  <c r="H4" i="57" s="1"/>
  <c r="P54" i="38" a="1"/>
  <c r="P54" i="38" s="1"/>
  <c r="E5" i="57" s="1"/>
  <c r="AH70" i="38" a="1"/>
  <c r="AH70" i="38" s="1"/>
  <c r="N7" i="59" s="1"/>
  <c r="AB53" i="38" a="1"/>
  <c r="AB53" i="38" s="1"/>
  <c r="K4" i="57" s="1"/>
  <c r="R54" i="38" a="1"/>
  <c r="R54" i="38" s="1"/>
  <c r="F5" i="57" s="1"/>
  <c r="J53" i="38" a="1"/>
  <c r="J53" i="38" s="1"/>
  <c r="J65" i="38" a="1"/>
  <c r="J65" i="38" s="1"/>
  <c r="Z51" i="38" a="1"/>
  <c r="Z51" i="38" s="1"/>
  <c r="J3" i="57" s="1"/>
  <c r="J58" i="38" a="1"/>
  <c r="J58" i="38" s="1"/>
  <c r="V68" i="38" a="1"/>
  <c r="V68" i="38" s="1"/>
  <c r="H5" i="59" s="1"/>
  <c r="H65" i="38" a="1"/>
  <c r="H65" i="38" s="1"/>
  <c r="X62" i="38" a="1"/>
  <c r="X62" i="38" s="1"/>
  <c r="I6" i="58" s="1"/>
  <c r="AB67" i="38" a="1"/>
  <c r="AB67" i="38" s="1"/>
  <c r="K4" i="59" s="1"/>
  <c r="N65" i="38" a="1"/>
  <c r="N65" i="38" s="1"/>
  <c r="D3" i="59" s="1"/>
  <c r="AF62" i="38" a="1"/>
  <c r="AF62" i="38" s="1"/>
  <c r="M6" i="58" s="1"/>
  <c r="X68" i="38" a="1"/>
  <c r="X68" i="38" s="1"/>
  <c r="I5" i="59" s="1"/>
  <c r="J60" i="38" a="1"/>
  <c r="J60" i="38" s="1"/>
  <c r="AJ63" i="38" a="1"/>
  <c r="AJ63" i="38" s="1"/>
  <c r="O7" i="58" s="1"/>
  <c r="L68" i="38" a="1"/>
  <c r="L68" i="38" s="1"/>
  <c r="C5" i="59" s="1"/>
  <c r="L65" i="38" a="1"/>
  <c r="L65" i="38" s="1"/>
  <c r="C3" i="59" s="1"/>
  <c r="J63" i="38" a="1"/>
  <c r="J63" i="38" s="1"/>
  <c r="AF68" i="38" a="1"/>
  <c r="AF68" i="38" s="1"/>
  <c r="M5" i="59" s="1"/>
  <c r="T61" i="38" a="1"/>
  <c r="T61" i="38" s="1"/>
  <c r="G5" i="58" s="1"/>
  <c r="L67" i="38" a="1"/>
  <c r="L67" i="38" s="1"/>
  <c r="C4" i="59" s="1"/>
  <c r="AH65" i="38" a="1"/>
  <c r="AH65" i="38" s="1"/>
  <c r="N3" i="59" s="1"/>
  <c r="N61" i="38" a="1"/>
  <c r="N61" i="38" s="1"/>
  <c r="D5" i="58" s="1"/>
  <c r="AD66" i="38" a="1"/>
  <c r="AD66" i="38" s="1"/>
  <c r="AF70" i="38" a="1"/>
  <c r="AF70" i="38" s="1"/>
  <c r="M7" i="59" s="1"/>
  <c r="AJ62" i="38" a="1"/>
  <c r="AJ62" i="38" s="1"/>
  <c r="O6" i="58" s="1"/>
  <c r="AJ53" i="38" a="1"/>
  <c r="AJ53" i="38" s="1"/>
  <c r="O4" i="57" s="1"/>
  <c r="J68" i="38" a="1"/>
  <c r="J68" i="38" s="1"/>
  <c r="AB55" i="38" a="1"/>
  <c r="AB55" i="38" s="1"/>
  <c r="K6" i="57" s="1"/>
  <c r="T51" i="38" a="1"/>
  <c r="T51" i="38" s="1"/>
  <c r="G3" i="57" s="1"/>
  <c r="P55" i="38" a="1"/>
  <c r="P55" i="38" s="1"/>
  <c r="E6" i="57" s="1"/>
  <c r="N70" i="38" a="1"/>
  <c r="N70" i="38" s="1"/>
  <c r="D7" i="59" s="1"/>
  <c r="AJ55" i="38" a="1"/>
  <c r="AJ55" i="38" s="1"/>
  <c r="O6" i="57" s="1"/>
  <c r="H67" i="38" a="1"/>
  <c r="H67" i="38" s="1"/>
  <c r="V54" i="38" a="1"/>
  <c r="V54" i="38" s="1"/>
  <c r="H5" i="57" s="1"/>
  <c r="AB51" i="38" a="1"/>
  <c r="AB51" i="38" s="1"/>
  <c r="K3" i="57" s="1"/>
  <c r="L55" i="38" a="1"/>
  <c r="L55" i="38" s="1"/>
  <c r="C6" i="57" s="1"/>
  <c r="AF59" i="38" a="1"/>
  <c r="AF59" i="38" s="1"/>
  <c r="AH53" i="38" a="1"/>
  <c r="AH53" i="38" s="1"/>
  <c r="N4" i="57" s="1"/>
  <c r="R69" i="38" a="1"/>
  <c r="R69" i="38" s="1"/>
  <c r="F6" i="59" s="1"/>
  <c r="V70" i="38" a="1"/>
  <c r="V70" i="38" s="1"/>
  <c r="H7" i="59" s="1"/>
  <c r="AB62" i="38" a="1"/>
  <c r="AB62" i="38" s="1"/>
  <c r="K6" i="58" s="1"/>
  <c r="N55" i="38" a="1"/>
  <c r="N55" i="38" s="1"/>
  <c r="D6" i="57" s="1"/>
  <c r="X51" i="38" a="1"/>
  <c r="X51" i="38" s="1"/>
  <c r="I3" i="57" s="1"/>
  <c r="AB68" i="38" a="1"/>
  <c r="AB68" i="38" s="1"/>
  <c r="K5" i="59" s="1"/>
  <c r="L59" i="38" a="1"/>
  <c r="L59" i="38" s="1"/>
  <c r="T63" i="38" a="1"/>
  <c r="T63" i="38" s="1"/>
  <c r="G7" i="58" s="1"/>
  <c r="AH67" i="38" a="1"/>
  <c r="AH67" i="38" s="1"/>
  <c r="N4" i="59" s="1"/>
  <c r="T59" i="38" a="1"/>
  <c r="T59" i="38" s="1"/>
  <c r="AB63" i="38" a="1"/>
  <c r="AB63" i="38" s="1"/>
  <c r="K7" i="58" s="1"/>
  <c r="T69" i="38" a="1"/>
  <c r="T69" i="38" s="1"/>
  <c r="G6" i="59" s="1"/>
  <c r="P60" i="38" a="1"/>
  <c r="P60" i="38" s="1"/>
  <c r="E4" i="58" s="1"/>
  <c r="H52" i="38" a="1"/>
  <c r="H52" i="38" s="1"/>
  <c r="H69" i="38" a="1"/>
  <c r="H69" i="38" s="1"/>
  <c r="AB59" i="38" a="1"/>
  <c r="AB59" i="38" s="1"/>
  <c r="AJ58" i="38" a="1"/>
  <c r="AJ58" i="38" s="1"/>
  <c r="O3" i="58" s="1"/>
  <c r="AB69" i="38" a="1"/>
  <c r="AB69" i="38" s="1"/>
  <c r="K6" i="59" s="1"/>
  <c r="Z61" i="38" a="1"/>
  <c r="Z61" i="38" s="1"/>
  <c r="J5" i="58" s="1"/>
  <c r="R67" i="38" a="1"/>
  <c r="R67" i="38" s="1"/>
  <c r="F4" i="59" s="1"/>
  <c r="Z65" i="38" a="1"/>
  <c r="Z65" i="38" s="1"/>
  <c r="J3" i="59" s="1"/>
  <c r="J62" i="38" a="1"/>
  <c r="J62" i="38" s="1"/>
  <c r="AJ66" i="38" a="1"/>
  <c r="AJ66" i="38" s="1"/>
  <c r="X59" i="38" a="1"/>
  <c r="X59" i="38" s="1"/>
  <c r="AF63" i="38" a="1"/>
  <c r="AF63" i="38" s="1"/>
  <c r="M7" i="58" s="1"/>
  <c r="L54" i="38" a="1"/>
  <c r="L54" i="38" s="1"/>
  <c r="C5" i="57" s="1"/>
  <c r="L62" i="38" a="1"/>
  <c r="L62" i="38" s="1"/>
  <c r="C6" i="58" s="1"/>
  <c r="AH55" i="38" a="1"/>
  <c r="AH55" i="38" s="1"/>
  <c r="N6" i="57" s="1"/>
  <c r="P68" i="38" a="1"/>
  <c r="P68" i="38" s="1"/>
  <c r="E5" i="59" s="1"/>
  <c r="V55" i="38" a="1"/>
  <c r="V55" i="38" s="1"/>
  <c r="H6" i="57" s="1"/>
  <c r="AH60" i="38" a="1"/>
  <c r="AH60" i="38" s="1"/>
  <c r="N4" i="58" s="1"/>
  <c r="L56" i="38" a="1"/>
  <c r="L56" i="38" s="1"/>
  <c r="C7" i="57" s="1"/>
  <c r="T70" i="38" a="1"/>
  <c r="T70" i="38" s="1"/>
  <c r="G7" i="59" s="1"/>
  <c r="AB54" i="38" a="1"/>
  <c r="AB54" i="38" s="1"/>
  <c r="K5" i="57" s="1"/>
  <c r="N67" i="38" a="1"/>
  <c r="N67" i="38" s="1"/>
  <c r="D4" i="59" s="1"/>
  <c r="R55" i="38" a="1"/>
  <c r="R55" i="38" s="1"/>
  <c r="F6" i="57" s="1"/>
  <c r="N63" i="38" a="1"/>
  <c r="N63" i="38" s="1"/>
  <c r="D7" i="58" s="1"/>
  <c r="AD54" i="38" a="1"/>
  <c r="AD54" i="38" s="1"/>
  <c r="L5" i="57" s="1"/>
  <c r="H60" i="38" a="1"/>
  <c r="H60" i="38" s="1"/>
  <c r="N66" i="38" a="1"/>
  <c r="N66" i="38" s="1"/>
  <c r="AD70" i="38" a="1"/>
  <c r="AD70" i="38" s="1"/>
  <c r="L7" i="59" s="1"/>
  <c r="L66" i="38" a="1"/>
  <c r="L66" i="38" s="1"/>
  <c r="L52" i="38" a="1"/>
  <c r="L52" i="38" s="1"/>
  <c r="X69" i="38" a="1"/>
  <c r="X69" i="38" s="1"/>
  <c r="I6" i="59" s="1"/>
  <c r="R59" i="38" a="1"/>
  <c r="R59" i="38" s="1"/>
  <c r="Z63" i="38" a="1"/>
  <c r="Z63" i="38" s="1"/>
  <c r="J7" i="58" s="1"/>
  <c r="AD68" i="38" a="1"/>
  <c r="AD68" i="38" s="1"/>
  <c r="L5" i="59" s="1"/>
  <c r="Z59" i="38" a="1"/>
  <c r="Z59" i="38" s="1"/>
  <c r="AD58" i="38" a="1"/>
  <c r="AD58" i="38" s="1"/>
  <c r="L3" i="58" s="1"/>
  <c r="Z69" i="38" a="1"/>
  <c r="Z69" i="38" s="1"/>
  <c r="J6" i="59" s="1"/>
  <c r="L61" i="38" a="1"/>
  <c r="L61" i="38" s="1"/>
  <c r="C5" i="58" s="1"/>
  <c r="AH52" i="38" a="1"/>
  <c r="AH52" i="38" s="1"/>
  <c r="N69" i="38" a="1"/>
  <c r="N69" i="38" s="1"/>
  <c r="D6" i="59" s="1"/>
  <c r="AH59" i="38" a="1"/>
  <c r="AH59" i="38" s="1"/>
  <c r="AB58" i="38" a="1"/>
  <c r="AB58" i="38" s="1"/>
  <c r="K3" i="58" s="1"/>
  <c r="AH69" i="38" a="1"/>
  <c r="AH69" i="38" s="1"/>
  <c r="N6" i="59" s="1"/>
  <c r="V62" i="38" a="1"/>
  <c r="V62" i="38" s="1"/>
  <c r="H6" i="58" s="1"/>
  <c r="N68" i="38" a="1"/>
  <c r="N68" i="38" s="1"/>
  <c r="D5" i="59" s="1"/>
  <c r="R65" i="38" a="1"/>
  <c r="R65" i="38" s="1"/>
  <c r="F3" i="59" s="1"/>
  <c r="P62" i="38" a="1"/>
  <c r="P62" i="38" s="1"/>
  <c r="E6" i="58" s="1"/>
  <c r="AF67" i="38" a="1"/>
  <c r="AF67" i="38" s="1"/>
  <c r="M4" i="59" s="1"/>
  <c r="AD59" i="38" a="1"/>
  <c r="AD59" i="38" s="1"/>
  <c r="R52" i="38" a="1"/>
  <c r="R52" i="38" s="1"/>
  <c r="H55" i="38" a="1"/>
  <c r="H55" i="38" s="1"/>
  <c r="AH63" i="38" a="1"/>
  <c r="AH63" i="38" s="1"/>
  <c r="N7" i="58" s="1"/>
  <c r="AH51" i="38" a="1"/>
  <c r="AH51" i="38" s="1"/>
  <c r="N3" i="57" s="1"/>
  <c r="N58" i="38" a="1"/>
  <c r="N58" i="38" s="1"/>
  <c r="D3" i="58" s="1"/>
  <c r="R56" i="38" a="1"/>
  <c r="R56" i="38" s="1"/>
  <c r="F7" i="57" s="1"/>
  <c r="L58" i="38" a="1"/>
  <c r="L58" i="38" s="1"/>
  <c r="C3" i="58" s="1"/>
  <c r="AF51" i="38" a="1"/>
  <c r="AF51" i="38" s="1"/>
  <c r="M3" i="57" s="1"/>
  <c r="J61" i="38" a="1"/>
  <c r="J61" i="38" s="1"/>
  <c r="X55" i="38" a="1"/>
  <c r="X55" i="38" s="1"/>
  <c r="I6" i="57" s="1"/>
  <c r="H63" i="38" a="1"/>
  <c r="H63" i="38" s="1"/>
  <c r="N56" i="38" a="1"/>
  <c r="N56" i="38" s="1"/>
  <c r="D7" i="57" s="1"/>
  <c r="V58" i="38" a="1"/>
  <c r="V58" i="38" s="1"/>
  <c r="H3" i="58" s="1"/>
  <c r="AJ54" i="38" a="1"/>
  <c r="AJ54" i="38" s="1"/>
  <c r="O5" i="57" s="1"/>
  <c r="AD69" i="38" a="1"/>
  <c r="AD69" i="38" s="1"/>
  <c r="L6" i="59" s="1"/>
  <c r="N60" i="38" a="1"/>
  <c r="N60" i="38" s="1"/>
  <c r="D4" i="58" s="1"/>
  <c r="AF58" i="38" a="1"/>
  <c r="AF58" i="38" s="1"/>
  <c r="M3" i="58" s="1"/>
  <c r="J70" i="38" a="1"/>
  <c r="J70" i="38" s="1"/>
  <c r="L63" i="38" a="1"/>
  <c r="L63" i="38" s="1"/>
  <c r="C7" i="58" s="1"/>
  <c r="J52" i="38" a="1"/>
  <c r="J52" i="38" s="1"/>
  <c r="T56" i="38" a="1"/>
  <c r="T56" i="38" s="1"/>
  <c r="G7" i="57" s="1"/>
  <c r="D68" i="38"/>
  <c r="D63" i="38"/>
  <c r="D58" i="38"/>
  <c r="D55" i="38"/>
  <c r="D61" i="38"/>
  <c r="D65" i="38"/>
  <c r="D51" i="38"/>
  <c r="D52" i="38"/>
  <c r="D56" i="38"/>
  <c r="D53" i="38"/>
  <c r="D59" i="38"/>
  <c r="D62" i="38"/>
  <c r="D69" i="38"/>
  <c r="D66" i="38"/>
  <c r="L6" i="38"/>
  <c r="C5" i="55" s="1"/>
  <c r="Z8" i="38" a="1"/>
  <c r="Z8" i="38" s="1"/>
  <c r="J7" i="55" s="1"/>
  <c r="R6" i="38" a="1"/>
  <c r="R6" i="38" s="1"/>
  <c r="F5" i="55" s="1"/>
  <c r="N3" i="38"/>
  <c r="D3" i="55" s="1"/>
  <c r="H8" i="38"/>
  <c r="H14" i="38" s="1"/>
  <c r="H26" i="38" s="1"/>
  <c r="T3" i="38" a="1"/>
  <c r="T3" i="38" s="1"/>
  <c r="T9" i="38" s="1"/>
  <c r="Z4" i="30"/>
  <c r="Z178" i="30" s="1"/>
  <c r="P6" i="38" a="1"/>
  <c r="P6" i="38" s="1"/>
  <c r="P12" i="38" s="1"/>
  <c r="P24" i="38" s="1"/>
  <c r="P3" i="38" a="1"/>
  <c r="P3" i="38" s="1"/>
  <c r="E3" i="55" s="1"/>
  <c r="L7" i="38"/>
  <c r="C6" i="55" s="1"/>
  <c r="R3" i="38" a="1"/>
  <c r="R3" i="38" s="1"/>
  <c r="R9" i="38" s="1"/>
  <c r="X3" i="38" a="1"/>
  <c r="X3" i="38" s="1"/>
  <c r="I3" i="55" s="1"/>
  <c r="T8" i="38" a="1"/>
  <c r="T8" i="38" s="1"/>
  <c r="G7" i="55" s="1"/>
  <c r="L4" i="38"/>
  <c r="L10" i="38" s="1"/>
  <c r="L22" i="38" s="1"/>
  <c r="V7" i="38" a="1"/>
  <c r="V7" i="38" s="1"/>
  <c r="H6" i="55" s="1"/>
  <c r="Z3" i="38" a="1"/>
  <c r="Z3" i="38" s="1"/>
  <c r="J3" i="55" s="1"/>
  <c r="L5" i="38"/>
  <c r="L11" i="38" s="1"/>
  <c r="L23" i="38" s="1"/>
  <c r="R4" i="38" a="1"/>
  <c r="R4" i="38" s="1"/>
  <c r="R10" i="38" s="1"/>
  <c r="R22" i="38" s="1"/>
  <c r="N5" i="38"/>
  <c r="D4" i="55" s="1"/>
  <c r="H6" i="38"/>
  <c r="H12" i="38" s="1"/>
  <c r="V5" i="38" a="1"/>
  <c r="V5" i="38" s="1"/>
  <c r="V11" i="38" s="1"/>
  <c r="V23" i="38" s="1"/>
  <c r="V6" i="38" a="1"/>
  <c r="V6" i="38" s="1"/>
  <c r="H5" i="55" s="1"/>
  <c r="N6" i="38"/>
  <c r="D5" i="55" s="1"/>
  <c r="H7" i="38"/>
  <c r="H13" i="38" s="1"/>
  <c r="H25" i="38" s="1"/>
  <c r="X4" i="38" a="1"/>
  <c r="X4" i="38" s="1"/>
  <c r="X10" i="38" s="1"/>
  <c r="X22" i="38" s="1"/>
  <c r="P4" i="30"/>
  <c r="H3" i="38"/>
  <c r="H9" i="38" s="1"/>
  <c r="J8" i="38"/>
  <c r="J14" i="38" s="1"/>
  <c r="J26" i="38" s="1"/>
  <c r="Z5" i="38" a="1"/>
  <c r="Z5" i="38" s="1"/>
  <c r="Z11" i="38" s="1"/>
  <c r="Z23" i="38" s="1"/>
  <c r="P5" i="38" a="1"/>
  <c r="P5" i="38" s="1"/>
  <c r="P11" i="38" s="1"/>
  <c r="P23" i="38" s="1"/>
  <c r="N8" i="38"/>
  <c r="D7" i="55" s="1"/>
  <c r="R8" i="38" a="1"/>
  <c r="R8" i="38" s="1"/>
  <c r="R14" i="38" s="1"/>
  <c r="R26" i="38" s="1"/>
  <c r="P4" i="38" a="1"/>
  <c r="P4" i="38" s="1"/>
  <c r="P10" i="38" s="1"/>
  <c r="P22" i="38" s="1"/>
  <c r="X8" i="38" a="1"/>
  <c r="X8" i="38" s="1"/>
  <c r="X14" i="38" s="1"/>
  <c r="X26" i="38" s="1"/>
  <c r="T6" i="38" a="1"/>
  <c r="T6" i="38" s="1"/>
  <c r="T12" i="38" s="1"/>
  <c r="T24" i="38" s="1"/>
  <c r="P8" i="38" a="1"/>
  <c r="P8" i="38" s="1"/>
  <c r="P14" i="38" s="1"/>
  <c r="P26" i="38" s="1"/>
  <c r="N4" i="38"/>
  <c r="N10" i="38" s="1"/>
  <c r="N22" i="38" s="1"/>
  <c r="J3" i="38"/>
  <c r="J9" i="38" s="1"/>
  <c r="R7" i="38" a="1"/>
  <c r="R7" i="38" s="1"/>
  <c r="R13" i="38" s="1"/>
  <c r="R25" i="38" s="1"/>
  <c r="H4" i="38"/>
  <c r="H10" i="38" s="1"/>
  <c r="H22" i="38" s="1"/>
  <c r="T7" i="38" a="1"/>
  <c r="T7" i="38" s="1"/>
  <c r="G6" i="55" s="1"/>
  <c r="J6" i="38"/>
  <c r="J12" i="38" s="1"/>
  <c r="J24" i="38" s="1"/>
  <c r="V3" i="38" a="1"/>
  <c r="V3" i="38" s="1"/>
  <c r="V9" i="38" s="1"/>
  <c r="X5" i="38" a="1"/>
  <c r="X5" i="38" s="1"/>
  <c r="X11" i="38" s="1"/>
  <c r="X23" i="38" s="1"/>
  <c r="R5" i="38" a="1"/>
  <c r="R5" i="38" s="1"/>
  <c r="R11" i="38" s="1"/>
  <c r="R23" i="38" s="1"/>
  <c r="H5" i="38"/>
  <c r="H11" i="38" s="1"/>
  <c r="H23" i="38" s="1"/>
  <c r="L3" i="38"/>
  <c r="L9" i="38" s="1"/>
  <c r="N7" i="38"/>
  <c r="N13" i="38" s="1"/>
  <c r="N25" i="38" s="1"/>
  <c r="J7" i="38"/>
  <c r="J13" i="38" s="1"/>
  <c r="J25" i="38" s="1"/>
  <c r="P7" i="38" a="1"/>
  <c r="P7" i="38" s="1"/>
  <c r="E6" i="55" s="1"/>
  <c r="V8" i="38" a="1"/>
  <c r="V8" i="38" s="1"/>
  <c r="H7" i="55" s="1"/>
  <c r="L8" i="38"/>
  <c r="C7" i="55" s="1"/>
  <c r="X7" i="38" a="1"/>
  <c r="X7" i="38" s="1"/>
  <c r="I6" i="55" s="1"/>
  <c r="X6" i="38" a="1"/>
  <c r="X6" i="38" s="1"/>
  <c r="Z6" i="38" a="1"/>
  <c r="Z6" i="38" s="1"/>
  <c r="J5" i="55" s="1"/>
  <c r="AJ140" i="28"/>
  <c r="AC47" i="38" a="1"/>
  <c r="AC47" i="38" s="1"/>
  <c r="AC39" i="38" a="1"/>
  <c r="AC39" i="38" s="1"/>
  <c r="AE44" i="38" a="1"/>
  <c r="AE44" i="38" s="1"/>
  <c r="AI41" i="38" a="1"/>
  <c r="AI41" i="38" s="1"/>
  <c r="AE42" i="38" a="1"/>
  <c r="AE42" i="38" s="1"/>
  <c r="AG44" i="38" a="1"/>
  <c r="AG44" i="38" s="1"/>
  <c r="AG36" i="38" a="1"/>
  <c r="AG36" i="38" s="1"/>
  <c r="AC40" i="38" a="1"/>
  <c r="AC40" i="38" s="1"/>
  <c r="AE45" i="38" a="1"/>
  <c r="AE45" i="38" s="1"/>
  <c r="AC46" i="38" a="1"/>
  <c r="AC46" i="38" s="1"/>
  <c r="AC38" i="38" a="1"/>
  <c r="AC38" i="38" s="1"/>
  <c r="AI40" i="38" a="1"/>
  <c r="AI40" i="38" s="1"/>
  <c r="AE46" i="38" a="1"/>
  <c r="AE46" i="38" s="1"/>
  <c r="AE39" i="38" a="1"/>
  <c r="AE39" i="38" s="1"/>
  <c r="AG43" i="38" a="1"/>
  <c r="AG43" i="38" s="1"/>
  <c r="AC45" i="38" a="1"/>
  <c r="AC45" i="38" s="1"/>
  <c r="AC37" i="38" a="1"/>
  <c r="AC37" i="38" s="1"/>
  <c r="AI47" i="38" a="1"/>
  <c r="AI47" i="38" s="1"/>
  <c r="AI39" i="38" a="1"/>
  <c r="AI39" i="38" s="1"/>
  <c r="AE43" i="38" a="1"/>
  <c r="AE43" i="38" s="1"/>
  <c r="AG42" i="38" a="1"/>
  <c r="AG42" i="38" s="1"/>
  <c r="AC44" i="38" a="1"/>
  <c r="AC44" i="38" s="1"/>
  <c r="AC36" i="38" a="1"/>
  <c r="AC36" i="38" s="1"/>
  <c r="AI46" i="38" a="1"/>
  <c r="AI46" i="38" s="1"/>
  <c r="AI38" i="38" a="1"/>
  <c r="AI38" i="38" s="1"/>
  <c r="AE38" i="38" a="1"/>
  <c r="AE38" i="38" s="1"/>
  <c r="AG41" i="38" a="1"/>
  <c r="AG41" i="38" s="1"/>
  <c r="AE40" i="38" a="1"/>
  <c r="AE40" i="38" s="1"/>
  <c r="AI42" i="38" a="1"/>
  <c r="AI42" i="38" s="1"/>
  <c r="AC43" i="38" a="1"/>
  <c r="AC43" i="38" s="1"/>
  <c r="AI45" i="38" a="1"/>
  <c r="AI45" i="38" s="1"/>
  <c r="AI37" i="38" a="1"/>
  <c r="AI37" i="38" s="1"/>
  <c r="AG40" i="38" a="1"/>
  <c r="AG40" i="38" s="1"/>
  <c r="AE36" i="38" a="1"/>
  <c r="AE36" i="38" s="1"/>
  <c r="AG37" i="38" a="1"/>
  <c r="AG37" i="38" s="1"/>
  <c r="AC42" i="38" a="1"/>
  <c r="AC42" i="38" s="1"/>
  <c r="AE41" i="38" a="1"/>
  <c r="AE41" i="38" s="1"/>
  <c r="AI44" i="38" a="1"/>
  <c r="AI44" i="38" s="1"/>
  <c r="AI36" i="38" a="1"/>
  <c r="AI36" i="38" s="1"/>
  <c r="AG47" i="38" a="1"/>
  <c r="AG47" i="38" s="1"/>
  <c r="AG39" i="38" a="1"/>
  <c r="AG39" i="38" s="1"/>
  <c r="AE47" i="38" a="1"/>
  <c r="AE47" i="38" s="1"/>
  <c r="AG45" i="38" a="1"/>
  <c r="AG45" i="38" s="1"/>
  <c r="AC41" i="38" a="1"/>
  <c r="AC41" i="38" s="1"/>
  <c r="AE37" i="38" a="1"/>
  <c r="AE37" i="38" s="1"/>
  <c r="AI43" i="38" a="1"/>
  <c r="AI43" i="38" s="1"/>
  <c r="AG46" i="38" a="1"/>
  <c r="AG46" i="38" s="1"/>
  <c r="AG38" i="38" a="1"/>
  <c r="AG38" i="38" s="1"/>
  <c r="T4" i="38" a="1"/>
  <c r="T4" i="38" s="1"/>
  <c r="AJ7" i="38" a="1"/>
  <c r="AJ7" i="38" s="1"/>
  <c r="AH7" i="38" a="1"/>
  <c r="AH7" i="38" s="1"/>
  <c r="AF7" i="38" a="1"/>
  <c r="AF7" i="38" s="1"/>
  <c r="AJ43" i="38" a="1"/>
  <c r="AJ43" i="38" s="1"/>
  <c r="AD40" i="38" a="1"/>
  <c r="AD40" i="38" s="1"/>
  <c r="AF37" i="38" a="1"/>
  <c r="AF37" i="38" s="1"/>
  <c r="AF42" i="38" a="1"/>
  <c r="AF42" i="38" s="1"/>
  <c r="AF41" i="38" a="1"/>
  <c r="AF41" i="38" s="1"/>
  <c r="AJ37" i="38" a="1"/>
  <c r="AJ37" i="38" s="1"/>
  <c r="AH41" i="38" a="1"/>
  <c r="AH41" i="38" s="1"/>
  <c r="AJ42" i="38" a="1"/>
  <c r="AJ42" i="38" s="1"/>
  <c r="AH5" i="38" a="1"/>
  <c r="AH5" i="38" s="1"/>
  <c r="AF5" i="38" a="1"/>
  <c r="AF5" i="38" s="1"/>
  <c r="AD5" i="38" a="1"/>
  <c r="AD5" i="38" s="1"/>
  <c r="AD43" i="38" a="1"/>
  <c r="AD43" i="38" s="1"/>
  <c r="AH44" i="38" a="1"/>
  <c r="AH44" i="38" s="1"/>
  <c r="AF43" i="38" a="1"/>
  <c r="AF43" i="38" s="1"/>
  <c r="AF46" i="38" a="1"/>
  <c r="AF46" i="38" s="1"/>
  <c r="AD47" i="38" a="1"/>
  <c r="AD47" i="38" s="1"/>
  <c r="AJ45" i="38" a="1"/>
  <c r="AJ45" i="38" s="1"/>
  <c r="AH43" i="38" a="1"/>
  <c r="AH43" i="38" s="1"/>
  <c r="AJ4" i="38" a="1"/>
  <c r="AJ4" i="38" s="1"/>
  <c r="AJ10" i="38" s="1"/>
  <c r="AJ22" i="38" s="1"/>
  <c r="AD36" i="38" a="1"/>
  <c r="AD36" i="38" s="1"/>
  <c r="AF3" i="38" a="1"/>
  <c r="AF3" i="38" s="1"/>
  <c r="AD3" i="38" a="1"/>
  <c r="AD3" i="38" s="1"/>
  <c r="AJ3" i="38" a="1"/>
  <c r="AJ3" i="38" s="1"/>
  <c r="AH36" i="38" a="1"/>
  <c r="AH36" i="38" s="1"/>
  <c r="AF40" i="38" a="1"/>
  <c r="AF40" i="38" s="1"/>
  <c r="AJ44" i="38" a="1"/>
  <c r="AJ44" i="38" s="1"/>
  <c r="AJ41" i="38" a="1"/>
  <c r="AJ41" i="38" s="1"/>
  <c r="AJ39" i="38" a="1"/>
  <c r="AJ39" i="38" s="1"/>
  <c r="AH40" i="38" a="1"/>
  <c r="AH40" i="38" s="1"/>
  <c r="AD46" i="38" a="1"/>
  <c r="AD46" i="38" s="1"/>
  <c r="AD41" i="38" a="1"/>
  <c r="AD41" i="38" s="1"/>
  <c r="AJ5" i="38" a="1"/>
  <c r="AJ5" i="38" s="1"/>
  <c r="AD7" i="38" a="1"/>
  <c r="AD7" i="38" s="1"/>
  <c r="AH3" i="38" a="1"/>
  <c r="AH3" i="38" s="1"/>
  <c r="AH45" i="38" a="1"/>
  <c r="AH45" i="38" s="1"/>
  <c r="AH46" i="38" a="1"/>
  <c r="AH46" i="38" s="1"/>
  <c r="AF36" i="38" a="1"/>
  <c r="AF36" i="38" s="1"/>
  <c r="AJ47" i="38" a="1"/>
  <c r="AJ47" i="38" s="1"/>
  <c r="AJ46" i="38" a="1"/>
  <c r="AJ46" i="38" s="1"/>
  <c r="AH47" i="38" a="1"/>
  <c r="AH47" i="38" s="1"/>
  <c r="AF4" i="38" a="1"/>
  <c r="AF4" i="38" s="1"/>
  <c r="AF10" i="38" s="1"/>
  <c r="AF22" i="38" s="1"/>
  <c r="AH42" i="38" a="1"/>
  <c r="AH42" i="38" s="1"/>
  <c r="AH4" i="38" a="1"/>
  <c r="AH4" i="38" s="1"/>
  <c r="AH10" i="38" s="1"/>
  <c r="AH22" i="38" s="1"/>
  <c r="AF39" i="38" a="1"/>
  <c r="AF39" i="38" s="1"/>
  <c r="AJ8" i="38" a="1"/>
  <c r="AJ8" i="38" s="1"/>
  <c r="AH8" i="38" a="1"/>
  <c r="AH8" i="38" s="1"/>
  <c r="AD8" i="38" a="1"/>
  <c r="AD8" i="38" s="1"/>
  <c r="AF45" i="38" a="1"/>
  <c r="AF45" i="38" s="1"/>
  <c r="AD42" i="38" a="1"/>
  <c r="AD42" i="38" s="1"/>
  <c r="AD37" i="38" a="1"/>
  <c r="AD37" i="38" s="1"/>
  <c r="AJ36" i="38" a="1"/>
  <c r="AJ36" i="38" s="1"/>
  <c r="AD38" i="38" a="1"/>
  <c r="AD38" i="38" s="1"/>
  <c r="AH37" i="38" a="1"/>
  <c r="AH37" i="38" s="1"/>
  <c r="AD6" i="38" a="1"/>
  <c r="AD6" i="38" s="1"/>
  <c r="AD39" i="38" a="1"/>
  <c r="AD39" i="38" s="1"/>
  <c r="AJ6" i="38" a="1"/>
  <c r="AJ6" i="38" s="1"/>
  <c r="AH38" i="38" a="1"/>
  <c r="AH38" i="38" s="1"/>
  <c r="AH6" i="38" a="1"/>
  <c r="AH6" i="38" s="1"/>
  <c r="AF6" i="38" a="1"/>
  <c r="AF6" i="38" s="1"/>
  <c r="AF8" i="38" a="1"/>
  <c r="AF8" i="38" s="1"/>
  <c r="AF44" i="38" a="1"/>
  <c r="AF44" i="38" s="1"/>
  <c r="AJ40" i="38" a="1"/>
  <c r="AJ40" i="38" s="1"/>
  <c r="AJ38" i="38" a="1"/>
  <c r="AJ38" i="38" s="1"/>
  <c r="AD44" i="38" a="1"/>
  <c r="AD44" i="38" s="1"/>
  <c r="AH39" i="38" a="1"/>
  <c r="AH39" i="38" s="1"/>
  <c r="AF47" i="38" a="1"/>
  <c r="AF47" i="38" s="1"/>
  <c r="AD4" i="38" a="1"/>
  <c r="AD4" i="38" s="1"/>
  <c r="AD10" i="38" s="1"/>
  <c r="AD22" i="38" s="1"/>
  <c r="AF38" i="38" a="1"/>
  <c r="AF38" i="38" s="1"/>
  <c r="AD45" i="38" a="1"/>
  <c r="AD45" i="38" s="1"/>
  <c r="Z4" i="38" a="1"/>
  <c r="Z4" i="38" s="1"/>
  <c r="Z10" i="38" s="1"/>
  <c r="Z22" i="38" s="1"/>
  <c r="Z7" i="38" a="1"/>
  <c r="Z7" i="38" s="1"/>
  <c r="Z13" i="38" s="1"/>
  <c r="Z25" i="38" s="1"/>
  <c r="V4" i="38" a="1"/>
  <c r="V4" i="38" s="1"/>
  <c r="J5" i="38"/>
  <c r="J11" i="38" s="1"/>
  <c r="J23" i="38" s="1"/>
  <c r="V4" i="30"/>
  <c r="AK139" i="28"/>
  <c r="J4" i="38"/>
  <c r="J10" i="38" s="1"/>
  <c r="J22" i="38" s="1"/>
  <c r="AB8" i="38" a="1"/>
  <c r="AB8" i="38" s="1"/>
  <c r="AB14" i="38" s="1"/>
  <c r="AB26" i="38" s="1"/>
  <c r="AB7" i="38" a="1"/>
  <c r="AB7" i="38" s="1"/>
  <c r="AB13" i="38" s="1"/>
  <c r="AB25" i="38" s="1"/>
  <c r="AB6" i="38" a="1"/>
  <c r="AB6" i="38" s="1"/>
  <c r="K5" i="55" s="1"/>
  <c r="AB3" i="38" a="1"/>
  <c r="AB3" i="38" s="1"/>
  <c r="AB9" i="38" s="1"/>
  <c r="AB5" i="38" a="1"/>
  <c r="AB5" i="38" s="1"/>
  <c r="K4" i="55" s="1"/>
  <c r="AB4" i="38" a="1"/>
  <c r="AB4" i="38" s="1"/>
  <c r="AB10" i="38" s="1"/>
  <c r="AB22" i="38" s="1"/>
  <c r="X46" i="38" a="1"/>
  <c r="X46" i="38" s="1"/>
  <c r="G30" i="36"/>
  <c r="G34" i="36"/>
  <c r="G18" i="36"/>
  <c r="G21" i="36"/>
  <c r="G29" i="36"/>
  <c r="G31" i="36"/>
  <c r="G19" i="36"/>
  <c r="G22" i="36"/>
  <c r="G20" i="36"/>
  <c r="G33" i="36"/>
  <c r="G32" i="36"/>
  <c r="G23" i="36"/>
  <c r="N44" i="38" a="1"/>
  <c r="N44" i="38" s="1"/>
  <c r="T40" i="38" a="1"/>
  <c r="T40" i="38" s="1"/>
  <c r="L39" i="38" a="1"/>
  <c r="L39" i="38" s="1"/>
  <c r="H45" i="38" a="1"/>
  <c r="H45" i="38" s="1"/>
  <c r="R38" i="38" a="1"/>
  <c r="R38" i="38" s="1"/>
  <c r="Z44" i="38" a="1"/>
  <c r="Z44" i="38" s="1"/>
  <c r="J42" i="38" a="1"/>
  <c r="J42" i="38" s="1"/>
  <c r="V36" i="38" a="1"/>
  <c r="V36" i="38" s="1"/>
  <c r="Z40" i="38" a="1"/>
  <c r="Z40" i="38" s="1"/>
  <c r="L40" i="38" a="1"/>
  <c r="L40" i="38" s="1"/>
  <c r="N43" i="38" a="1"/>
  <c r="N43" i="38" s="1"/>
  <c r="H47" i="38" a="1"/>
  <c r="H47" i="38" s="1"/>
  <c r="L37" i="38" a="1"/>
  <c r="L37" i="38" s="1"/>
  <c r="Z37" i="38" a="1"/>
  <c r="Z37" i="38" s="1"/>
  <c r="H40" i="38" a="1"/>
  <c r="H40" i="38" s="1"/>
  <c r="N41" i="38" a="1"/>
  <c r="N41" i="38" s="1"/>
  <c r="R45" i="38" a="1"/>
  <c r="R45" i="38" s="1"/>
  <c r="J41" i="38" a="1"/>
  <c r="J41" i="38" s="1"/>
  <c r="AB41" i="38" a="1"/>
  <c r="AB41" i="38" s="1"/>
  <c r="N38" i="38" a="1"/>
  <c r="N38" i="38" s="1"/>
  <c r="H42" i="38" a="1"/>
  <c r="H42" i="38" s="1"/>
  <c r="N40" i="38" a="1"/>
  <c r="N40" i="38" s="1"/>
  <c r="P42" i="38" a="1"/>
  <c r="P42" i="38" s="1"/>
  <c r="N42" i="38" a="1"/>
  <c r="N42" i="38" s="1"/>
  <c r="AB36" i="38" a="1"/>
  <c r="AB36" i="38" s="1"/>
  <c r="R42" i="38" a="1"/>
  <c r="R42" i="38" s="1"/>
  <c r="H37" i="38" a="1"/>
  <c r="H37" i="38" s="1"/>
  <c r="T46" i="38" a="1"/>
  <c r="T46" i="38" s="1"/>
  <c r="R46" i="38" a="1"/>
  <c r="R46" i="38" s="1"/>
  <c r="H46" i="38" a="1"/>
  <c r="H46" i="38" s="1"/>
  <c r="P43" i="38" a="1"/>
  <c r="P43" i="38" s="1"/>
  <c r="AB37" i="38" a="1"/>
  <c r="AB37" i="38" s="1"/>
  <c r="L45" i="38" a="1"/>
  <c r="L45" i="38" s="1"/>
  <c r="X37" i="38" a="1"/>
  <c r="X37" i="38" s="1"/>
  <c r="T42" i="38" a="1"/>
  <c r="T42" i="38" s="1"/>
  <c r="V45" i="38" a="1"/>
  <c r="V45" i="38" s="1"/>
  <c r="Z38" i="38" a="1"/>
  <c r="Z38" i="38" s="1"/>
  <c r="X43" i="38" a="1"/>
  <c r="X43" i="38" s="1"/>
  <c r="AB46" i="38" a="1"/>
  <c r="AB46" i="38" s="1"/>
  <c r="H36" i="38" a="1"/>
  <c r="H36" i="38" s="1"/>
  <c r="R40" i="38" a="1"/>
  <c r="R40" i="38" s="1"/>
  <c r="AB38" i="38" a="1"/>
  <c r="AB38" i="38" s="1"/>
  <c r="J46" i="38" a="1"/>
  <c r="J46" i="38" s="1"/>
  <c r="J38" i="38" a="1"/>
  <c r="J38" i="38" s="1"/>
  <c r="Z42" i="38" a="1"/>
  <c r="Z42" i="38" s="1"/>
  <c r="X39" i="38" a="1"/>
  <c r="X39" i="38" s="1"/>
  <c r="AB43" i="38" a="1"/>
  <c r="AB43" i="38" s="1"/>
  <c r="H44" i="38" a="1"/>
  <c r="H44" i="38" s="1"/>
  <c r="H41" i="38" a="1"/>
  <c r="H41" i="38" s="1"/>
  <c r="J37" i="38" a="1"/>
  <c r="J37" i="38" s="1"/>
  <c r="S12" i="36"/>
  <c r="T8" i="36" s="1"/>
  <c r="D3" i="38"/>
  <c r="K6" i="36" s="1"/>
  <c r="N37" i="38" a="1"/>
  <c r="N37" i="38" s="1"/>
  <c r="P46" i="38" a="1"/>
  <c r="P46" i="38" s="1"/>
  <c r="V44" i="38" a="1"/>
  <c r="V44" i="38" s="1"/>
  <c r="N47" i="38" a="1"/>
  <c r="N47" i="38" s="1"/>
  <c r="AB39" i="38" a="1"/>
  <c r="AB39" i="38" s="1"/>
  <c r="X41" i="38" a="1"/>
  <c r="X41" i="38" s="1"/>
  <c r="V43" i="38" a="1"/>
  <c r="V43" i="38" s="1"/>
  <c r="T38" i="38" a="1"/>
  <c r="T38" i="38" s="1"/>
  <c r="T43" i="38" a="1"/>
  <c r="T43" i="38" s="1"/>
  <c r="R37" i="38" a="1"/>
  <c r="R37" i="38" s="1"/>
  <c r="T39" i="38" a="1"/>
  <c r="T39" i="38" s="1"/>
  <c r="H43" i="38" a="1"/>
  <c r="H43" i="38" s="1"/>
  <c r="AB42" i="38" a="1"/>
  <c r="AB42" i="38" s="1"/>
  <c r="V39" i="38" a="1"/>
  <c r="V39" i="38" s="1"/>
  <c r="J40" i="38" a="1"/>
  <c r="J40" i="38" s="1"/>
  <c r="J39" i="38" a="1"/>
  <c r="J39" i="38" s="1"/>
  <c r="Z43" i="38" a="1"/>
  <c r="Z43" i="38" s="1"/>
  <c r="G12" i="36"/>
  <c r="H10" i="36" s="1"/>
  <c r="C12" i="36"/>
  <c r="D9" i="36" s="1"/>
  <c r="P47" i="38" a="1"/>
  <c r="P47" i="38" s="1"/>
  <c r="N39" i="38" a="1"/>
  <c r="N39" i="38" s="1"/>
  <c r="AB40" i="38" a="1"/>
  <c r="AB40" i="38" s="1"/>
  <c r="P44" i="38" a="1"/>
  <c r="P44" i="38" s="1"/>
  <c r="V47" i="38" a="1"/>
  <c r="V47" i="38" s="1"/>
  <c r="R36" i="38" a="1"/>
  <c r="R36" i="38" s="1"/>
  <c r="Z45" i="38" a="1"/>
  <c r="Z45" i="38" s="1"/>
  <c r="L46" i="38" a="1"/>
  <c r="L46" i="38" s="1"/>
  <c r="H39" i="38" a="1"/>
  <c r="H39" i="38" s="1"/>
  <c r="J36" i="38" a="1"/>
  <c r="J36" i="38" s="1"/>
  <c r="X36" i="38" a="1"/>
  <c r="X36" i="38" s="1"/>
  <c r="L42" i="38" a="1"/>
  <c r="L42" i="38" s="1"/>
  <c r="L43" i="38" a="1"/>
  <c r="L43" i="38" s="1"/>
  <c r="Z46" i="38" a="1"/>
  <c r="Z46" i="38" s="1"/>
  <c r="J43" i="38" a="1"/>
  <c r="J43" i="38" s="1"/>
  <c r="Z39" i="38" a="1"/>
  <c r="Z39" i="38" s="1"/>
  <c r="V37" i="38" a="1"/>
  <c r="V37" i="38" s="1"/>
  <c r="T44" i="38" a="1"/>
  <c r="T44" i="38" s="1"/>
  <c r="N46" i="38" a="1"/>
  <c r="N46" i="38" s="1"/>
  <c r="P36" i="38" a="1"/>
  <c r="P36" i="38" s="1"/>
  <c r="R39" i="38" a="1"/>
  <c r="R39" i="38" s="1"/>
  <c r="T45" i="38" a="1"/>
  <c r="T45" i="38" s="1"/>
  <c r="G46" i="38" a="1"/>
  <c r="G46" i="38" s="1"/>
  <c r="G38" i="38" a="1"/>
  <c r="G38" i="38" s="1"/>
  <c r="G47" i="38" a="1"/>
  <c r="G47" i="38" s="1"/>
  <c r="G44" i="38" a="1"/>
  <c r="G44" i="38" s="1"/>
  <c r="G37" i="38" a="1"/>
  <c r="G37" i="38" s="1"/>
  <c r="G40" i="38" a="1"/>
  <c r="G40" i="38" s="1"/>
  <c r="G39" i="38" a="1"/>
  <c r="G39" i="38" s="1"/>
  <c r="G41" i="38" a="1"/>
  <c r="G41" i="38" s="1"/>
  <c r="G43" i="38" a="1"/>
  <c r="G43" i="38" s="1"/>
  <c r="G36" i="38" a="1"/>
  <c r="G36" i="38" s="1"/>
  <c r="G45" i="38" a="1"/>
  <c r="G45" i="38" s="1"/>
  <c r="G42" i="38" a="1"/>
  <c r="G42" i="38" s="1"/>
  <c r="Y40" i="38" a="1"/>
  <c r="Y40" i="38" s="1"/>
  <c r="S39" i="38" a="1"/>
  <c r="S39" i="38" s="1"/>
  <c r="M41" i="38" a="1"/>
  <c r="M41" i="38" s="1"/>
  <c r="M40" i="38" a="1"/>
  <c r="M40" i="38" s="1"/>
  <c r="O36" i="38" a="1"/>
  <c r="O36" i="38" s="1"/>
  <c r="K44" i="38" a="1"/>
  <c r="K44" i="38" s="1"/>
  <c r="K40" i="38" a="1"/>
  <c r="K40" i="38" s="1"/>
  <c r="U40" i="38" a="1"/>
  <c r="U40" i="38" s="1"/>
  <c r="W41" i="38" a="1"/>
  <c r="W41" i="38" s="1"/>
  <c r="AA37" i="38" a="1"/>
  <c r="AA37" i="38" s="1"/>
  <c r="M47" i="38" a="1"/>
  <c r="M47" i="38" s="1"/>
  <c r="K37" i="38" a="1"/>
  <c r="K37" i="38" s="1"/>
  <c r="W44" i="38" a="1"/>
  <c r="W44" i="38" s="1"/>
  <c r="I39" i="38" a="1"/>
  <c r="I39" i="38" s="1"/>
  <c r="AA39" i="38" a="1"/>
  <c r="AA39" i="38" s="1"/>
  <c r="I36" i="38" a="1"/>
  <c r="I36" i="38" s="1"/>
  <c r="Y36" i="38" a="1"/>
  <c r="Y36" i="38" s="1"/>
  <c r="I40" i="38" a="1"/>
  <c r="I40" i="38" s="1"/>
  <c r="Q43" i="38" a="1"/>
  <c r="Q43" i="38" s="1"/>
  <c r="M42" i="38" a="1"/>
  <c r="M42" i="38" s="1"/>
  <c r="AA45" i="38" a="1"/>
  <c r="AA45" i="38" s="1"/>
  <c r="Q41" i="38" a="1"/>
  <c r="Q41" i="38" s="1"/>
  <c r="W36" i="38" a="1"/>
  <c r="W36" i="38" s="1"/>
  <c r="U43" i="38" a="1"/>
  <c r="U43" i="38" s="1"/>
  <c r="K39" i="38" a="1"/>
  <c r="K39" i="38" s="1"/>
  <c r="U39" i="38" a="1"/>
  <c r="U39" i="38" s="1"/>
  <c r="M37" i="38" a="1"/>
  <c r="M37" i="38" s="1"/>
  <c r="S36" i="38" a="1"/>
  <c r="S36" i="38" s="1"/>
  <c r="T37" i="38" a="1"/>
  <c r="T37" i="38" s="1"/>
  <c r="Z47" i="38" a="1"/>
  <c r="Z47" i="38" s="1"/>
  <c r="P41" i="38" a="1"/>
  <c r="P41" i="38" s="1"/>
  <c r="X42" i="38" a="1"/>
  <c r="X42" i="38" s="1"/>
  <c r="S47" i="38" a="1"/>
  <c r="S47" i="38" s="1"/>
  <c r="S42" i="38" a="1"/>
  <c r="S42" i="38" s="1"/>
  <c r="O47" i="38" a="1"/>
  <c r="O47" i="38" s="1"/>
  <c r="Q42" i="38" a="1"/>
  <c r="Q42" i="38" s="1"/>
  <c r="AB44" i="38" a="1"/>
  <c r="AB44" i="38" s="1"/>
  <c r="R41" i="38" a="1"/>
  <c r="R41" i="38" s="1"/>
  <c r="AB45" i="38" a="1"/>
  <c r="AB45" i="38" s="1"/>
  <c r="Z41" i="38" a="1"/>
  <c r="Z41" i="38" s="1"/>
  <c r="L44" i="38" a="1"/>
  <c r="L44" i="38" s="1"/>
  <c r="U44" i="38" a="1"/>
  <c r="U44" i="38" s="1"/>
  <c r="AA40" i="38" a="1"/>
  <c r="AA40" i="38" s="1"/>
  <c r="U36" i="38" a="1"/>
  <c r="U36" i="38" s="1"/>
  <c r="Y45" i="38" a="1"/>
  <c r="Y45" i="38" s="1"/>
  <c r="I44" i="38" a="1"/>
  <c r="I44" i="38" s="1"/>
  <c r="AA42" i="38" a="1"/>
  <c r="AA42" i="38" s="1"/>
  <c r="I41" i="38" a="1"/>
  <c r="I41" i="38" s="1"/>
  <c r="M45" i="38" a="1"/>
  <c r="M45" i="38" s="1"/>
  <c r="I42" i="38" a="1"/>
  <c r="I42" i="38" s="1"/>
  <c r="AA41" i="38" a="1"/>
  <c r="AA41" i="38" s="1"/>
  <c r="W45" i="38" a="1"/>
  <c r="W45" i="38" s="1"/>
  <c r="Q36" i="38" a="1"/>
  <c r="Q36" i="38" s="1"/>
  <c r="Q39" i="38" a="1"/>
  <c r="Q39" i="38" s="1"/>
  <c r="AA46" i="38" a="1"/>
  <c r="AA46" i="38" s="1"/>
  <c r="AA38" i="38" a="1"/>
  <c r="AA38" i="38" s="1"/>
  <c r="O38" i="38" a="1"/>
  <c r="O38" i="38" s="1"/>
  <c r="AA44" i="38" a="1"/>
  <c r="AA44" i="38" s="1"/>
  <c r="I38" i="38" a="1"/>
  <c r="I38" i="38" s="1"/>
  <c r="Q46" i="38" a="1"/>
  <c r="Q46" i="38" s="1"/>
  <c r="W46" i="38" a="1"/>
  <c r="W46" i="38" s="1"/>
  <c r="O42" i="38" a="1"/>
  <c r="O42" i="38" s="1"/>
  <c r="W42" i="38" a="1"/>
  <c r="W42" i="38" s="1"/>
  <c r="Y37" i="38" a="1"/>
  <c r="Y37" i="38" s="1"/>
  <c r="U37" i="38" a="1"/>
  <c r="U37" i="38" s="1"/>
  <c r="U42" i="38" a="1"/>
  <c r="U42" i="38" s="1"/>
  <c r="Y46" i="38" a="1"/>
  <c r="Y46" i="38" s="1"/>
  <c r="V40" i="38" a="1"/>
  <c r="V40" i="38" s="1"/>
  <c r="R44" i="38" a="1"/>
  <c r="R44" i="38" s="1"/>
  <c r="N45" i="38" a="1"/>
  <c r="N45" i="38" s="1"/>
  <c r="X40" i="38" a="1"/>
  <c r="X40" i="38" s="1"/>
  <c r="O44" i="38" a="1"/>
  <c r="O44" i="38" s="1"/>
  <c r="K45" i="38" a="1"/>
  <c r="K45" i="38" s="1"/>
  <c r="L38" i="38" a="1"/>
  <c r="L38" i="38" s="1"/>
  <c r="T41" i="38" a="1"/>
  <c r="T41" i="38" s="1"/>
  <c r="L47" i="38" a="1"/>
  <c r="L47" i="38" s="1"/>
  <c r="X47" i="38" a="1"/>
  <c r="X47" i="38" s="1"/>
  <c r="N36" i="38" a="1"/>
  <c r="N36" i="38" s="1"/>
  <c r="M46" i="38" a="1"/>
  <c r="M46" i="38" s="1"/>
  <c r="O43" i="38" a="1"/>
  <c r="O43" i="38" s="1"/>
  <c r="Q40" i="38" a="1"/>
  <c r="Q40" i="38" s="1"/>
  <c r="Q37" i="38" a="1"/>
  <c r="Q37" i="38" s="1"/>
  <c r="O41" i="38" a="1"/>
  <c r="O41" i="38" s="1"/>
  <c r="O40" i="38" a="1"/>
  <c r="O40" i="38" s="1"/>
  <c r="U41" i="38" a="1"/>
  <c r="U41" i="38" s="1"/>
  <c r="S41" i="38" a="1"/>
  <c r="S41" i="38" s="1"/>
  <c r="I43" i="38" a="1"/>
  <c r="I43" i="38" s="1"/>
  <c r="Q44" i="38" a="1"/>
  <c r="Q44" i="38" s="1"/>
  <c r="K42" i="38" a="1"/>
  <c r="K42" i="38" s="1"/>
  <c r="Q38" i="38" a="1"/>
  <c r="Q38" i="38" s="1"/>
  <c r="Y38" i="38" a="1"/>
  <c r="Y38" i="38" s="1"/>
  <c r="W38" i="38" a="1"/>
  <c r="W38" i="38" s="1"/>
  <c r="AA43" i="38" a="1"/>
  <c r="AA43" i="38" s="1"/>
  <c r="O37" i="38" a="1"/>
  <c r="O37" i="38" s="1"/>
  <c r="O39" i="38" a="1"/>
  <c r="O39" i="38" s="1"/>
  <c r="W39" i="38" a="1"/>
  <c r="W39" i="38" s="1"/>
  <c r="S44" i="38" a="1"/>
  <c r="S44" i="38" s="1"/>
  <c r="S46" i="38" a="1"/>
  <c r="S46" i="38" s="1"/>
  <c r="K47" i="38" a="1"/>
  <c r="K47" i="38" s="1"/>
  <c r="AA36" i="38" a="1"/>
  <c r="AA36" i="38" s="1"/>
  <c r="M36" i="38" a="1"/>
  <c r="M36" i="38" s="1"/>
  <c r="Y41" i="38" a="1"/>
  <c r="Y41" i="38" s="1"/>
  <c r="W37" i="38" a="1"/>
  <c r="W37" i="38" s="1"/>
  <c r="AA47" i="38" a="1"/>
  <c r="AA47" i="38" s="1"/>
  <c r="I37" i="38" a="1"/>
  <c r="I37" i="38" s="1"/>
  <c r="Q47" i="38" a="1"/>
  <c r="Q47" i="38" s="1"/>
  <c r="R43" i="38" a="1"/>
  <c r="R43" i="38" s="1"/>
  <c r="X38" i="38" a="1"/>
  <c r="X38" i="38" s="1"/>
  <c r="P37" i="38" a="1"/>
  <c r="P37" i="38" s="1"/>
  <c r="T36" i="38" a="1"/>
  <c r="T36" i="38" s="1"/>
  <c r="AB47" i="38" a="1"/>
  <c r="AB47" i="38" s="1"/>
  <c r="O46" i="38" a="1"/>
  <c r="O46" i="38" s="1"/>
  <c r="K38" i="38" a="1"/>
  <c r="K38" i="38" s="1"/>
  <c r="S45" i="38" a="1"/>
  <c r="S45" i="38" s="1"/>
  <c r="U45" i="38" a="1"/>
  <c r="U45" i="38" s="1"/>
  <c r="R47" i="38" a="1"/>
  <c r="R47" i="38" s="1"/>
  <c r="X44" i="38" a="1"/>
  <c r="X44" i="38" s="1"/>
  <c r="V41" i="38" a="1"/>
  <c r="V41" i="38" s="1"/>
  <c r="Z36" i="38" a="1"/>
  <c r="Z36" i="38" s="1"/>
  <c r="K43" i="38" a="1"/>
  <c r="K43" i="38" s="1"/>
  <c r="W43" i="38" a="1"/>
  <c r="W43" i="38" s="1"/>
  <c r="K46" i="38" a="1"/>
  <c r="K46" i="38" s="1"/>
  <c r="W47" i="38" a="1"/>
  <c r="W47" i="38" s="1"/>
  <c r="S37" i="38" a="1"/>
  <c r="S37" i="38" s="1"/>
  <c r="U38" i="38" a="1"/>
  <c r="U38" i="38" s="1"/>
  <c r="S40" i="38" a="1"/>
  <c r="S40" i="38" s="1"/>
  <c r="S38" i="38" a="1"/>
  <c r="S38" i="38" s="1"/>
  <c r="I46" i="38" a="1"/>
  <c r="I46" i="38" s="1"/>
  <c r="Y39" i="38" a="1"/>
  <c r="Y39" i="38" s="1"/>
  <c r="K41" i="38" a="1"/>
  <c r="K41" i="38" s="1"/>
  <c r="S43" i="38" a="1"/>
  <c r="S43" i="38" s="1"/>
  <c r="M44" i="38" a="1"/>
  <c r="M44" i="38" s="1"/>
  <c r="U47" i="38" a="1"/>
  <c r="U47" i="38" s="1"/>
  <c r="I47" i="38" a="1"/>
  <c r="I47" i="38" s="1"/>
  <c r="M38" i="38" a="1"/>
  <c r="M38" i="38" s="1"/>
  <c r="M39" i="38" a="1"/>
  <c r="M39" i="38" s="1"/>
  <c r="K36" i="38" a="1"/>
  <c r="K36" i="38" s="1"/>
  <c r="I45" i="38" a="1"/>
  <c r="I45" i="38" s="1"/>
  <c r="Y44" i="38" a="1"/>
  <c r="Y44" i="38" s="1"/>
  <c r="Y47" i="38" a="1"/>
  <c r="Y47" i="38" s="1"/>
  <c r="Y43" i="38" a="1"/>
  <c r="Y43" i="38" s="1"/>
  <c r="Y42" i="38" a="1"/>
  <c r="Y42" i="38" s="1"/>
  <c r="W40" i="38" a="1"/>
  <c r="W40" i="38" s="1"/>
  <c r="U46" i="38" a="1"/>
  <c r="U46" i="38" s="1"/>
  <c r="Q45" i="38" a="1"/>
  <c r="Q45" i="38" s="1"/>
  <c r="O45" i="38" a="1"/>
  <c r="O45" i="38" s="1"/>
  <c r="M43" i="38" a="1"/>
  <c r="M43" i="38" s="1"/>
  <c r="P40" i="38" a="1"/>
  <c r="P40" i="38" s="1"/>
  <c r="V42" i="38" a="1"/>
  <c r="V42" i="38" s="1"/>
  <c r="P45" i="38" a="1"/>
  <c r="P45" i="38" s="1"/>
  <c r="P39" i="38" a="1"/>
  <c r="P39" i="38" s="1"/>
  <c r="J45" i="38" a="1"/>
  <c r="J45" i="38" s="1"/>
  <c r="J44" i="38" a="1"/>
  <c r="J44" i="38" s="1"/>
  <c r="T47" i="38" a="1"/>
  <c r="T47" i="38" s="1"/>
  <c r="T3" i="42"/>
  <c r="L41" i="38" a="1"/>
  <c r="L41" i="38" s="1"/>
  <c r="P38" i="38" a="1"/>
  <c r="P38" i="38" s="1"/>
  <c r="X45" i="38" a="1"/>
  <c r="X45" i="38" s="1"/>
  <c r="H38" i="38" a="1"/>
  <c r="H38" i="38" s="1"/>
  <c r="V38" i="38" a="1"/>
  <c r="V38" i="38" s="1"/>
  <c r="Q12" i="36"/>
  <c r="R6" i="36" s="1"/>
  <c r="G7" i="38"/>
  <c r="D7" i="38" s="1"/>
  <c r="K10" i="36" s="1"/>
  <c r="G4" i="38"/>
  <c r="D4" i="38" s="1"/>
  <c r="K7" i="36" s="1"/>
  <c r="G8" i="38"/>
  <c r="D8" i="38" s="1"/>
  <c r="K11" i="36" s="1"/>
  <c r="G5" i="38"/>
  <c r="D5" i="38" s="1"/>
  <c r="K8" i="36" s="1"/>
  <c r="G6" i="38"/>
  <c r="D6" i="38" s="1"/>
  <c r="K9" i="36" s="1"/>
  <c r="L36" i="38" a="1"/>
  <c r="L36" i="38" s="1"/>
  <c r="V46" i="38" a="1"/>
  <c r="V46" i="38" s="1"/>
  <c r="J47" i="38" a="1"/>
  <c r="J47" i="38" s="1"/>
  <c r="AW12" i="50" l="1"/>
  <c r="AC12" i="50"/>
  <c r="U12" i="50"/>
  <c r="AA12" i="50"/>
  <c r="AD12" i="50"/>
  <c r="AN12" i="50"/>
  <c r="AK12" i="50"/>
  <c r="AQ12" i="50"/>
  <c r="AI12" i="50"/>
  <c r="Q12" i="50"/>
  <c r="T12" i="50"/>
  <c r="R12" i="50"/>
  <c r="AF12" i="50"/>
  <c r="X12" i="50"/>
  <c r="AP12" i="50"/>
  <c r="AS12" i="50"/>
  <c r="AV12" i="50"/>
  <c r="Z12" i="50"/>
  <c r="AO12" i="50"/>
  <c r="P12" i="50"/>
  <c r="AE12" i="50"/>
  <c r="AB12" i="50"/>
  <c r="K12" i="50"/>
  <c r="W12" i="50"/>
  <c r="AG12" i="50"/>
  <c r="AL12" i="50"/>
  <c r="N12" i="50"/>
  <c r="AJ12" i="50"/>
  <c r="AH12" i="50"/>
  <c r="O12" i="50"/>
  <c r="Y12" i="50"/>
  <c r="AM12" i="50"/>
  <c r="V12" i="50"/>
  <c r="S12" i="50"/>
  <c r="L12" i="50"/>
  <c r="AT12" i="50"/>
  <c r="M12" i="50"/>
  <c r="AU12" i="50"/>
  <c r="AR12" i="50"/>
  <c r="AN39" i="50"/>
  <c r="AC39" i="50"/>
  <c r="Y39" i="50"/>
  <c r="K39" i="50"/>
  <c r="O39" i="50"/>
  <c r="M39" i="50"/>
  <c r="Q39" i="50"/>
  <c r="AB39" i="50"/>
  <c r="N39" i="50"/>
  <c r="AS39" i="50"/>
  <c r="AF39" i="50"/>
  <c r="T39" i="50"/>
  <c r="AD39" i="50"/>
  <c r="AG39" i="50"/>
  <c r="AI39" i="50"/>
  <c r="L39" i="50"/>
  <c r="AU39" i="50"/>
  <c r="S39" i="50"/>
  <c r="AJ39" i="50"/>
  <c r="R39" i="50"/>
  <c r="AM39" i="50"/>
  <c r="P39" i="50"/>
  <c r="AL39" i="50"/>
  <c r="AV39" i="50"/>
  <c r="W39" i="50"/>
  <c r="AQ39" i="50"/>
  <c r="V39" i="50"/>
  <c r="AO39" i="50"/>
  <c r="AA39" i="50"/>
  <c r="X39" i="50"/>
  <c r="AE39" i="50"/>
  <c r="AP39" i="50"/>
  <c r="AR39" i="50"/>
  <c r="AT39" i="50"/>
  <c r="AH39" i="50"/>
  <c r="Z39" i="50"/>
  <c r="AK39" i="50"/>
  <c r="U39" i="50"/>
  <c r="AW39" i="50"/>
  <c r="AV43" i="50"/>
  <c r="N43" i="50"/>
  <c r="Q43" i="50"/>
  <c r="AL43" i="50"/>
  <c r="AN43" i="50"/>
  <c r="AB43" i="50"/>
  <c r="AM43" i="50"/>
  <c r="AP43" i="50"/>
  <c r="X43" i="50"/>
  <c r="AW43" i="50"/>
  <c r="R43" i="50"/>
  <c r="T43" i="50"/>
  <c r="AD43" i="50"/>
  <c r="U43" i="50"/>
  <c r="W43" i="50"/>
  <c r="AS43" i="50"/>
  <c r="S43" i="50"/>
  <c r="AA43" i="50"/>
  <c r="AF43" i="50"/>
  <c r="AQ43" i="50"/>
  <c r="AE43" i="50"/>
  <c r="AR43" i="50"/>
  <c r="P43" i="50"/>
  <c r="L43" i="50"/>
  <c r="AG43" i="50"/>
  <c r="K43" i="50"/>
  <c r="AH43" i="50"/>
  <c r="AI43" i="50"/>
  <c r="AO43" i="50"/>
  <c r="AT43" i="50"/>
  <c r="AJ43" i="50"/>
  <c r="V43" i="50"/>
  <c r="Y43" i="50"/>
  <c r="AC43" i="50"/>
  <c r="AK43" i="50"/>
  <c r="Z43" i="50"/>
  <c r="AU43" i="50"/>
  <c r="M43" i="50"/>
  <c r="O43" i="50"/>
  <c r="L14" i="50"/>
  <c r="AM38" i="50"/>
  <c r="AQ38" i="50"/>
  <c r="Y40" i="50"/>
  <c r="V40" i="50"/>
  <c r="AB40" i="50"/>
  <c r="K38" i="50"/>
  <c r="W38" i="50"/>
  <c r="AW38" i="50"/>
  <c r="AF40" i="50"/>
  <c r="AK38" i="50"/>
  <c r="X38" i="50"/>
  <c r="V38" i="50"/>
  <c r="AD38" i="50"/>
  <c r="AR38" i="50"/>
  <c r="X40" i="50"/>
  <c r="Y38" i="50"/>
  <c r="AU38" i="50"/>
  <c r="AA38" i="50"/>
  <c r="T40" i="50"/>
  <c r="AD40" i="50"/>
  <c r="O38" i="50"/>
  <c r="AC40" i="50"/>
  <c r="AO38" i="50"/>
  <c r="AG40" i="50"/>
  <c r="AJ38" i="50"/>
  <c r="L38" i="50"/>
  <c r="T38" i="50"/>
  <c r="R38" i="50"/>
  <c r="AI40" i="50"/>
  <c r="AE38" i="50"/>
  <c r="Q38" i="50"/>
  <c r="AV38" i="50"/>
  <c r="AH40" i="50"/>
  <c r="AE40" i="50"/>
  <c r="AF38" i="50"/>
  <c r="W40" i="50"/>
  <c r="AB38" i="50"/>
  <c r="N38" i="50"/>
  <c r="Z40" i="50"/>
  <c r="K40" i="50"/>
  <c r="AN38" i="50"/>
  <c r="AS38" i="50"/>
  <c r="AI38" i="50"/>
  <c r="AA40" i="50"/>
  <c r="AP38" i="50"/>
  <c r="AH38" i="50"/>
  <c r="P38" i="50"/>
  <c r="U38" i="50"/>
  <c r="AT38" i="50"/>
  <c r="AC38" i="50"/>
  <c r="Z38" i="50"/>
  <c r="U40" i="50"/>
  <c r="M38" i="50"/>
  <c r="AG38" i="50"/>
  <c r="AL38" i="50"/>
  <c r="S38" i="50"/>
  <c r="E44" i="36"/>
  <c r="E47" i="36" s="1"/>
  <c r="Q40" i="50"/>
  <c r="G4" i="55"/>
  <c r="D62" i="36"/>
  <c r="D42" i="36"/>
  <c r="D44" i="36"/>
  <c r="D51" i="36"/>
  <c r="D45" i="36"/>
  <c r="D55" i="36"/>
  <c r="D64" i="36"/>
  <c r="D63" i="36"/>
  <c r="D53" i="36"/>
  <c r="D66" i="36"/>
  <c r="D61" i="36"/>
  <c r="D65" i="36"/>
  <c r="D56" i="36"/>
  <c r="D52" i="36"/>
  <c r="D54" i="36"/>
  <c r="D41" i="36"/>
  <c r="D43" i="36"/>
  <c r="D46" i="36"/>
  <c r="K8" i="58"/>
  <c r="AE15" i="50"/>
  <c r="M8" i="57"/>
  <c r="F8" i="58"/>
  <c r="I8" i="57"/>
  <c r="N8" i="57"/>
  <c r="E61" i="38"/>
  <c r="E58" i="38"/>
  <c r="C8" i="59"/>
  <c r="P3" i="59"/>
  <c r="E53" i="38"/>
  <c r="P7" i="58"/>
  <c r="E63" i="38"/>
  <c r="L8" i="58"/>
  <c r="M8" i="58"/>
  <c r="P5" i="59"/>
  <c r="E65" i="38"/>
  <c r="E8" i="57"/>
  <c r="I8" i="58"/>
  <c r="E55" i="38"/>
  <c r="P7" i="57"/>
  <c r="O8" i="58"/>
  <c r="P4" i="57"/>
  <c r="H8" i="57"/>
  <c r="E68" i="38"/>
  <c r="E70" i="38"/>
  <c r="P6" i="59"/>
  <c r="E60" i="38"/>
  <c r="E69" i="38"/>
  <c r="G8" i="57"/>
  <c r="N8" i="59"/>
  <c r="L8" i="57"/>
  <c r="L8" i="59"/>
  <c r="G8" i="58"/>
  <c r="E8" i="58"/>
  <c r="E56" i="38"/>
  <c r="E66" i="38"/>
  <c r="J8" i="59"/>
  <c r="E52" i="38"/>
  <c r="P6" i="57"/>
  <c r="P4" i="59"/>
  <c r="H8" i="59"/>
  <c r="E62" i="38"/>
  <c r="E54" i="38"/>
  <c r="O8" i="59"/>
  <c r="E59" i="38"/>
  <c r="P3" i="58"/>
  <c r="C8" i="58"/>
  <c r="K8" i="57"/>
  <c r="C8" i="57"/>
  <c r="P3" i="57"/>
  <c r="K8" i="59"/>
  <c r="E51" i="38"/>
  <c r="N8" i="58"/>
  <c r="M8" i="59"/>
  <c r="F8" i="57"/>
  <c r="D8" i="59"/>
  <c r="P7" i="59"/>
  <c r="G8" i="59"/>
  <c r="D8" i="57"/>
  <c r="J8" i="58"/>
  <c r="I8" i="59"/>
  <c r="P5" i="57"/>
  <c r="H8" i="58"/>
  <c r="D8" i="58"/>
  <c r="F8" i="59"/>
  <c r="P5" i="58"/>
  <c r="P6" i="58"/>
  <c r="E67" i="38"/>
  <c r="E8" i="59"/>
  <c r="P4" i="58"/>
  <c r="O8" i="57"/>
  <c r="J8" i="57"/>
  <c r="L12" i="38"/>
  <c r="L24" i="38" s="1"/>
  <c r="K54" i="50"/>
  <c r="K36" i="50"/>
  <c r="W50" i="50"/>
  <c r="AU45" i="50"/>
  <c r="T32" i="50"/>
  <c r="AQ45" i="50"/>
  <c r="W20" i="50"/>
  <c r="AU32" i="50"/>
  <c r="Z14" i="38"/>
  <c r="Z26" i="38" s="1"/>
  <c r="O49" i="50"/>
  <c r="L50" i="50"/>
  <c r="AT36" i="50"/>
  <c r="AA28" i="50"/>
  <c r="AK52" i="50"/>
  <c r="X14" i="50"/>
  <c r="AK51" i="50"/>
  <c r="AI35" i="50"/>
  <c r="AM29" i="50"/>
  <c r="N9" i="38"/>
  <c r="R12" i="38"/>
  <c r="R24" i="38" s="1"/>
  <c r="G3" i="55"/>
  <c r="F7" i="55"/>
  <c r="E5" i="55"/>
  <c r="Z12" i="38"/>
  <c r="Z24" i="38" s="1"/>
  <c r="AJ141" i="28"/>
  <c r="AK141" i="28" s="1"/>
  <c r="AK140" i="28"/>
  <c r="S20" i="50"/>
  <c r="AW27" i="50"/>
  <c r="AF27" i="50"/>
  <c r="AQ27" i="50"/>
  <c r="AA27" i="50"/>
  <c r="K27" i="50"/>
  <c r="AR27" i="50"/>
  <c r="AC27" i="50"/>
  <c r="AE27" i="50"/>
  <c r="AD27" i="50"/>
  <c r="Z27" i="50"/>
  <c r="O27" i="50"/>
  <c r="AG27" i="50"/>
  <c r="X27" i="50"/>
  <c r="U27" i="50"/>
  <c r="Q27" i="50"/>
  <c r="AB27" i="50"/>
  <c r="V27" i="50"/>
  <c r="S27" i="50"/>
  <c r="W27" i="50"/>
  <c r="N27" i="50"/>
  <c r="R27" i="50"/>
  <c r="AV27" i="50"/>
  <c r="L27" i="50"/>
  <c r="AU27" i="50"/>
  <c r="M27" i="50"/>
  <c r="Y27" i="50"/>
  <c r="AS27" i="50"/>
  <c r="AT27" i="50"/>
  <c r="P27" i="50"/>
  <c r="T27" i="50"/>
  <c r="AP10" i="50"/>
  <c r="AL48" i="50"/>
  <c r="S45" i="50"/>
  <c r="L13" i="50"/>
  <c r="L25" i="50"/>
  <c r="X24" i="50"/>
  <c r="AP53" i="50"/>
  <c r="AI10" i="50"/>
  <c r="AN35" i="50"/>
  <c r="Q30" i="50"/>
  <c r="T13" i="50"/>
  <c r="Q26" i="50"/>
  <c r="U17" i="50"/>
  <c r="AU20" i="50"/>
  <c r="R30" i="50"/>
  <c r="AC45" i="50"/>
  <c r="Q28" i="50"/>
  <c r="AN17" i="50"/>
  <c r="O29" i="50"/>
  <c r="Z23" i="50"/>
  <c r="V10" i="50"/>
  <c r="W18" i="50"/>
  <c r="Y24" i="50"/>
  <c r="AN36" i="50"/>
  <c r="AW30" i="50"/>
  <c r="AI21" i="50"/>
  <c r="V53" i="50"/>
  <c r="M9" i="50"/>
  <c r="T9" i="50"/>
  <c r="AJ13" i="50"/>
  <c r="X9" i="50"/>
  <c r="O22" i="50"/>
  <c r="AU9" i="50"/>
  <c r="AC31" i="50"/>
  <c r="M16" i="50"/>
  <c r="AP49" i="50"/>
  <c r="AG16" i="50"/>
  <c r="Q25" i="50"/>
  <c r="N35" i="50"/>
  <c r="AE52" i="50"/>
  <c r="AH17" i="50"/>
  <c r="AI51" i="50"/>
  <c r="AC23" i="50"/>
  <c r="AQ50" i="50"/>
  <c r="AI16" i="50"/>
  <c r="X13" i="50"/>
  <c r="AT32" i="50"/>
  <c r="AI25" i="50"/>
  <c r="T18" i="50"/>
  <c r="AA25" i="50"/>
  <c r="W30" i="50"/>
  <c r="AL18" i="50"/>
  <c r="P28" i="50"/>
  <c r="AH37" i="50"/>
  <c r="AU51" i="50"/>
  <c r="M29" i="50"/>
  <c r="AO9" i="50"/>
  <c r="AD34" i="50"/>
  <c r="Q16" i="50"/>
  <c r="U51" i="50"/>
  <c r="AG49" i="50"/>
  <c r="AN23" i="50"/>
  <c r="W52" i="50"/>
  <c r="AS17" i="50"/>
  <c r="K44" i="50"/>
  <c r="AI19" i="50"/>
  <c r="T33" i="50"/>
  <c r="S22" i="50"/>
  <c r="Y30" i="50"/>
  <c r="Y51" i="50"/>
  <c r="X32" i="50"/>
  <c r="AL35" i="50"/>
  <c r="AQ10" i="50"/>
  <c r="O32" i="50"/>
  <c r="AJ25" i="50"/>
  <c r="O20" i="50"/>
  <c r="M32" i="50"/>
  <c r="W9" i="50"/>
  <c r="AT42" i="50"/>
  <c r="L31" i="50"/>
  <c r="AE9" i="50"/>
  <c r="N46" i="50"/>
  <c r="R44" i="50"/>
  <c r="S37" i="50"/>
  <c r="AH34" i="50"/>
  <c r="AQ26" i="50"/>
  <c r="AW18" i="50"/>
  <c r="Q22" i="50"/>
  <c r="X36" i="50"/>
  <c r="AD48" i="50"/>
  <c r="Z33" i="50"/>
  <c r="AC33" i="50"/>
  <c r="T29" i="50"/>
  <c r="AH25" i="50"/>
  <c r="AS18" i="50"/>
  <c r="M31" i="50"/>
  <c r="N26" i="50"/>
  <c r="AP26" i="50"/>
  <c r="K37" i="50"/>
  <c r="AM54" i="50"/>
  <c r="S53" i="50"/>
  <c r="R34" i="50"/>
  <c r="K31" i="50"/>
  <c r="V16" i="50"/>
  <c r="X49" i="50"/>
  <c r="S21" i="50"/>
  <c r="AB9" i="50"/>
  <c r="W13" i="50"/>
  <c r="N31" i="50"/>
  <c r="S50" i="50"/>
  <c r="R26" i="50"/>
  <c r="M14" i="50"/>
  <c r="Q53" i="50"/>
  <c r="T25" i="50"/>
  <c r="AM21" i="50"/>
  <c r="AG44" i="50"/>
  <c r="N36" i="50"/>
  <c r="AN49" i="50"/>
  <c r="Y54" i="50"/>
  <c r="Y29" i="50"/>
  <c r="AI11" i="50"/>
  <c r="AD50" i="50"/>
  <c r="AT18" i="50"/>
  <c r="AJ52" i="50"/>
  <c r="AM15" i="50"/>
  <c r="M35" i="50"/>
  <c r="P30" i="50"/>
  <c r="P54" i="50"/>
  <c r="X45" i="50"/>
  <c r="AC32" i="50"/>
  <c r="Y36" i="50"/>
  <c r="P11" i="50"/>
  <c r="Z52" i="50"/>
  <c r="AK10" i="50"/>
  <c r="AS20" i="50"/>
  <c r="AN50" i="50"/>
  <c r="T28" i="50"/>
  <c r="Z21" i="50"/>
  <c r="AD45" i="50"/>
  <c r="O52" i="50"/>
  <c r="Q52" i="50"/>
  <c r="AV11" i="50"/>
  <c r="AE25" i="50"/>
  <c r="AV21" i="50"/>
  <c r="AH35" i="50"/>
  <c r="X26" i="50"/>
  <c r="AH21" i="50"/>
  <c r="AH15" i="50"/>
  <c r="AL10" i="50"/>
  <c r="AB10" i="50"/>
  <c r="V32" i="50"/>
  <c r="O46" i="50"/>
  <c r="L15" i="50"/>
  <c r="AR20" i="50"/>
  <c r="L11" i="50"/>
  <c r="AU10" i="50"/>
  <c r="AW35" i="50"/>
  <c r="Y17" i="50"/>
  <c r="M36" i="50"/>
  <c r="AV53" i="50"/>
  <c r="AQ49" i="50"/>
  <c r="M42" i="50"/>
  <c r="AA9" i="50"/>
  <c r="S9" i="50"/>
  <c r="M37" i="50"/>
  <c r="AT9" i="50"/>
  <c r="AQ20" i="50"/>
  <c r="S19" i="50"/>
  <c r="S46" i="50"/>
  <c r="AB16" i="50"/>
  <c r="AA16" i="50"/>
  <c r="T22" i="50"/>
  <c r="AA33" i="50"/>
  <c r="K48" i="50"/>
  <c r="AF42" i="50"/>
  <c r="P49" i="50"/>
  <c r="Z54" i="50"/>
  <c r="U14" i="50"/>
  <c r="O19" i="50"/>
  <c r="AG22" i="50"/>
  <c r="V22" i="50"/>
  <c r="M45" i="50"/>
  <c r="AL36" i="50"/>
  <c r="V46" i="50"/>
  <c r="O16" i="50"/>
  <c r="AH53" i="50"/>
  <c r="Y44" i="50"/>
  <c r="AC13" i="50"/>
  <c r="P34" i="50"/>
  <c r="P21" i="50"/>
  <c r="V49" i="50"/>
  <c r="V44" i="50"/>
  <c r="AC34" i="50"/>
  <c r="AF31" i="50"/>
  <c r="Z20" i="50"/>
  <c r="AU50" i="50"/>
  <c r="O23" i="50"/>
  <c r="Z26" i="50"/>
  <c r="U34" i="50"/>
  <c r="Y31" i="50"/>
  <c r="AS24" i="50"/>
  <c r="AJ51" i="50"/>
  <c r="AH16" i="50"/>
  <c r="V29" i="50"/>
  <c r="L24" i="50"/>
  <c r="AI24" i="50"/>
  <c r="U30" i="50"/>
  <c r="AW49" i="50"/>
  <c r="N20" i="50"/>
  <c r="Z11" i="50"/>
  <c r="Q23" i="50"/>
  <c r="AA29" i="50"/>
  <c r="Q33" i="50"/>
  <c r="AS9" i="50"/>
  <c r="P36" i="50"/>
  <c r="S36" i="50"/>
  <c r="R48" i="50"/>
  <c r="AC9" i="50"/>
  <c r="AO42" i="50"/>
  <c r="AG13" i="50"/>
  <c r="AP18" i="50"/>
  <c r="AO23" i="50"/>
  <c r="AD37" i="50"/>
  <c r="AA19" i="50"/>
  <c r="AP11" i="50"/>
  <c r="M19" i="50"/>
  <c r="AF46" i="50"/>
  <c r="Q18" i="50"/>
  <c r="AH48" i="50"/>
  <c r="M50" i="50"/>
  <c r="U53" i="50"/>
  <c r="AJ26" i="50"/>
  <c r="AC24" i="50"/>
  <c r="U11" i="50"/>
  <c r="AS14" i="50"/>
  <c r="P52" i="50"/>
  <c r="N54" i="50"/>
  <c r="V37" i="50"/>
  <c r="T46" i="50"/>
  <c r="X19" i="50"/>
  <c r="U23" i="50"/>
  <c r="AR32" i="50"/>
  <c r="AR35" i="50"/>
  <c r="K42" i="50"/>
  <c r="X51" i="50"/>
  <c r="R17" i="50"/>
  <c r="AR11" i="50"/>
  <c r="M44" i="50"/>
  <c r="T34" i="50"/>
  <c r="Y15" i="50"/>
  <c r="N21" i="50"/>
  <c r="V52" i="50"/>
  <c r="AC52" i="50"/>
  <c r="T16" i="50"/>
  <c r="L34" i="50"/>
  <c r="K22" i="50"/>
  <c r="M21" i="50"/>
  <c r="AN53" i="50"/>
  <c r="O45" i="50"/>
  <c r="AF15" i="50"/>
  <c r="AB51" i="50"/>
  <c r="AC15" i="50"/>
  <c r="AO14" i="50"/>
  <c r="AM45" i="50"/>
  <c r="U50" i="50"/>
  <c r="AD18" i="50"/>
  <c r="AF30" i="50"/>
  <c r="Z49" i="50"/>
  <c r="AC21" i="50"/>
  <c r="Q36" i="50"/>
  <c r="AJ50" i="50"/>
  <c r="S29" i="50"/>
  <c r="AC14" i="50"/>
  <c r="N24" i="50"/>
  <c r="U19" i="50"/>
  <c r="Y14" i="50"/>
  <c r="P25" i="50"/>
  <c r="R49" i="50"/>
  <c r="AG26" i="50"/>
  <c r="U52" i="50"/>
  <c r="O9" i="50"/>
  <c r="AP42" i="50"/>
  <c r="O25" i="50"/>
  <c r="AB34" i="50"/>
  <c r="L9" i="50"/>
  <c r="S34" i="50"/>
  <c r="AF13" i="50"/>
  <c r="K28" i="50"/>
  <c r="AD22" i="50"/>
  <c r="T44" i="50"/>
  <c r="Q21" i="50"/>
  <c r="O33" i="50"/>
  <c r="AG23" i="50"/>
  <c r="X35" i="50"/>
  <c r="AE44" i="50"/>
  <c r="Q32" i="50"/>
  <c r="AC19" i="50"/>
  <c r="Z37" i="50"/>
  <c r="AJ24" i="50"/>
  <c r="AE32" i="50"/>
  <c r="Z46" i="50"/>
  <c r="AM30" i="50"/>
  <c r="AE17" i="50"/>
  <c r="AB24" i="50"/>
  <c r="V13" i="50"/>
  <c r="AB19" i="50"/>
  <c r="AF51" i="50"/>
  <c r="AA11" i="50"/>
  <c r="AB50" i="50"/>
  <c r="Y22" i="50"/>
  <c r="AH13" i="50"/>
  <c r="Y37" i="50"/>
  <c r="L30" i="50"/>
  <c r="X18" i="50"/>
  <c r="Z32" i="50"/>
  <c r="Y21" i="50"/>
  <c r="AS53" i="50"/>
  <c r="R28" i="50"/>
  <c r="AL15" i="50"/>
  <c r="M53" i="50"/>
  <c r="AH24" i="50"/>
  <c r="R22" i="50"/>
  <c r="AI26" i="50"/>
  <c r="AB35" i="50"/>
  <c r="AA53" i="50"/>
  <c r="M46" i="50"/>
  <c r="AL53" i="50"/>
  <c r="AS42" i="50"/>
  <c r="AN9" i="50"/>
  <c r="O28" i="50"/>
  <c r="Q44" i="50"/>
  <c r="AF9" i="50"/>
  <c r="AU53" i="50"/>
  <c r="AI54" i="50"/>
  <c r="N9" i="50"/>
  <c r="M22" i="50"/>
  <c r="S26" i="50"/>
  <c r="AH14" i="50"/>
  <c r="AE29" i="50"/>
  <c r="AJ15" i="50"/>
  <c r="Z53" i="50"/>
  <c r="O36" i="50"/>
  <c r="AK23" i="50"/>
  <c r="P22" i="50"/>
  <c r="AE13" i="50"/>
  <c r="AE33" i="50"/>
  <c r="AG9" i="50"/>
  <c r="N22" i="50"/>
  <c r="AG31" i="50"/>
  <c r="K9" i="50"/>
  <c r="AR9" i="50"/>
  <c r="AS26" i="50"/>
  <c r="R31" i="50"/>
  <c r="AR42" i="50"/>
  <c r="AM10" i="50"/>
  <c r="W19" i="50"/>
  <c r="AK9" i="50"/>
  <c r="AB22" i="50"/>
  <c r="P13" i="50"/>
  <c r="U21" i="50"/>
  <c r="AB14" i="50"/>
  <c r="T49" i="50"/>
  <c r="P44" i="50"/>
  <c r="AI15" i="50"/>
  <c r="O42" i="50"/>
  <c r="AW20" i="50"/>
  <c r="AT53" i="50"/>
  <c r="K20" i="50"/>
  <c r="AA22" i="50"/>
  <c r="X34" i="50"/>
  <c r="AH44" i="50"/>
  <c r="AE23" i="50"/>
  <c r="AE20" i="50"/>
  <c r="AG25" i="50"/>
  <c r="AB31" i="50"/>
  <c r="AR21" i="50"/>
  <c r="W51" i="50"/>
  <c r="R21" i="50"/>
  <c r="R37" i="50"/>
  <c r="AF44" i="50"/>
  <c r="AW50" i="50"/>
  <c r="AB18" i="50"/>
  <c r="K52" i="50"/>
  <c r="P20" i="50"/>
  <c r="AK42" i="50"/>
  <c r="Y16" i="50"/>
  <c r="S28" i="50"/>
  <c r="AW15" i="50"/>
  <c r="T26" i="50"/>
  <c r="K35" i="50"/>
  <c r="AI30" i="50"/>
  <c r="Y50" i="50"/>
  <c r="M18" i="50"/>
  <c r="K33" i="50"/>
  <c r="AH10" i="50"/>
  <c r="X46" i="50"/>
  <c r="T15" i="50"/>
  <c r="O48" i="50"/>
  <c r="W45" i="50"/>
  <c r="AA15" i="50"/>
  <c r="Q9" i="50"/>
  <c r="Y9" i="50"/>
  <c r="AH9" i="50"/>
  <c r="K25" i="50"/>
  <c r="AL20" i="50"/>
  <c r="AM9" i="50"/>
  <c r="AA31" i="50"/>
  <c r="AH19" i="50"/>
  <c r="AQ9" i="50"/>
  <c r="AL32" i="50"/>
  <c r="K16" i="50"/>
  <c r="M30" i="50"/>
  <c r="O17" i="50"/>
  <c r="W35" i="50"/>
  <c r="AB52" i="50"/>
  <c r="W17" i="50"/>
  <c r="N15" i="50"/>
  <c r="AC22" i="50"/>
  <c r="AG19" i="50"/>
  <c r="T23" i="50"/>
  <c r="S25" i="50"/>
  <c r="Q34" i="50"/>
  <c r="AG37" i="50"/>
  <c r="AU36" i="50"/>
  <c r="P33" i="50"/>
  <c r="L46" i="50"/>
  <c r="Q37" i="50"/>
  <c r="AP9" i="50"/>
  <c r="AI42" i="50"/>
  <c r="U9" i="50"/>
  <c r="AP30" i="50"/>
  <c r="T37" i="50"/>
  <c r="AJ9" i="50"/>
  <c r="S13" i="50"/>
  <c r="AW10" i="50"/>
  <c r="U28" i="50"/>
  <c r="P37" i="50"/>
  <c r="AM11" i="50"/>
  <c r="K49" i="50"/>
  <c r="V14" i="50"/>
  <c r="R23" i="50"/>
  <c r="R52" i="50"/>
  <c r="P42" i="50"/>
  <c r="V51" i="50"/>
  <c r="S31" i="50"/>
  <c r="AI37" i="50"/>
  <c r="K29" i="50"/>
  <c r="AF25" i="50"/>
  <c r="N16" i="50"/>
  <c r="X37" i="50"/>
  <c r="S33" i="50"/>
  <c r="AW9" i="50"/>
  <c r="AI9" i="50"/>
  <c r="AF37" i="50"/>
  <c r="V25" i="50"/>
  <c r="AF50" i="50"/>
  <c r="AL42" i="50"/>
  <c r="R25" i="50"/>
  <c r="AW21" i="50"/>
  <c r="W16" i="50"/>
  <c r="N34" i="50"/>
  <c r="Y13" i="50"/>
  <c r="AB21" i="50"/>
  <c r="Z34" i="50"/>
  <c r="AB54" i="50"/>
  <c r="T50" i="50"/>
  <c r="N23" i="50"/>
  <c r="AA44" i="50"/>
  <c r="AR26" i="50"/>
  <c r="AT35" i="50"/>
  <c r="AA51" i="50"/>
  <c r="AG46" i="50"/>
  <c r="N19" i="50"/>
  <c r="U24" i="50"/>
  <c r="AB42" i="50"/>
  <c r="AB13" i="50"/>
  <c r="AP33" i="50"/>
  <c r="W44" i="50"/>
  <c r="U42" i="50"/>
  <c r="AG45" i="50"/>
  <c r="U49" i="50"/>
  <c r="Z25" i="50"/>
  <c r="AR53" i="50"/>
  <c r="L26" i="50"/>
  <c r="AJ23" i="50"/>
  <c r="L21" i="50"/>
  <c r="AR29" i="50"/>
  <c r="AN20" i="50"/>
  <c r="R19" i="50"/>
  <c r="AP15" i="50"/>
  <c r="AF14" i="50"/>
  <c r="K46" i="50"/>
  <c r="L45" i="50"/>
  <c r="AB36" i="50"/>
  <c r="AJ45" i="50"/>
  <c r="AC10" i="50"/>
  <c r="AA49" i="50"/>
  <c r="AB28" i="50"/>
  <c r="AT15" i="50"/>
  <c r="AD11" i="50"/>
  <c r="AK50" i="50"/>
  <c r="AE53" i="50"/>
  <c r="V26" i="50"/>
  <c r="Q20" i="50"/>
  <c r="R20" i="50"/>
  <c r="AD20" i="50"/>
  <c r="L23" i="50"/>
  <c r="AC20" i="50"/>
  <c r="O35" i="50"/>
  <c r="AV50" i="50"/>
  <c r="N37" i="50"/>
  <c r="AU33" i="50"/>
  <c r="Y52" i="50"/>
  <c r="AA36" i="50"/>
  <c r="AH42" i="50"/>
  <c r="AQ42" i="50"/>
  <c r="AQ4" i="50" s="1"/>
  <c r="AC16" i="50"/>
  <c r="AO26" i="50"/>
  <c r="W22" i="50"/>
  <c r="AL9" i="50"/>
  <c r="AI13" i="50"/>
  <c r="P9" i="50"/>
  <c r="S16" i="50"/>
  <c r="V34" i="50"/>
  <c r="AW54" i="50"/>
  <c r="N48" i="50"/>
  <c r="AG17" i="50"/>
  <c r="AE54" i="50"/>
  <c r="Q10" i="50"/>
  <c r="Z42" i="50"/>
  <c r="V28" i="50"/>
  <c r="X17" i="50"/>
  <c r="AR52" i="50"/>
  <c r="T21" i="50"/>
  <c r="O44" i="50"/>
  <c r="U25" i="50"/>
  <c r="M34" i="50"/>
  <c r="X15" i="50"/>
  <c r="K13" i="50"/>
  <c r="AN29" i="50"/>
  <c r="K23" i="50"/>
  <c r="T45" i="50"/>
  <c r="N45" i="50"/>
  <c r="AN42" i="50"/>
  <c r="AE46" i="50"/>
  <c r="K19" i="50"/>
  <c r="AJ20" i="50"/>
  <c r="N11" i="50"/>
  <c r="AC36" i="50"/>
  <c r="U18" i="50"/>
  <c r="N13" i="50"/>
  <c r="AD19" i="50"/>
  <c r="V19" i="50"/>
  <c r="M24" i="50"/>
  <c r="W25" i="50"/>
  <c r="AG24" i="50"/>
  <c r="AW51" i="50"/>
  <c r="AI49" i="50"/>
  <c r="Z18" i="50"/>
  <c r="AF11" i="50"/>
  <c r="Z48" i="50"/>
  <c r="AO52" i="50"/>
  <c r="R53" i="50"/>
  <c r="L32" i="50"/>
  <c r="S18" i="50"/>
  <c r="W11" i="50"/>
  <c r="T52" i="50"/>
  <c r="M49" i="50"/>
  <c r="AQ18" i="50"/>
  <c r="R24" i="50"/>
  <c r="T51" i="50"/>
  <c r="AT30" i="50"/>
  <c r="U44" i="50"/>
  <c r="T31" i="50"/>
  <c r="K18" i="50"/>
  <c r="AK54" i="50"/>
  <c r="L18" i="50"/>
  <c r="AV9" i="50"/>
  <c r="AC25" i="50"/>
  <c r="AQ35" i="50"/>
  <c r="AT48" i="50"/>
  <c r="W46" i="50"/>
  <c r="Y35" i="50"/>
  <c r="AB37" i="50"/>
  <c r="AD46" i="50"/>
  <c r="AC30" i="50"/>
  <c r="AW24" i="50"/>
  <c r="X42" i="50"/>
  <c r="R50" i="50"/>
  <c r="AB48" i="50"/>
  <c r="Y11" i="50"/>
  <c r="AG32" i="50"/>
  <c r="AI50" i="50"/>
  <c r="AJ42" i="50"/>
  <c r="AM26" i="50"/>
  <c r="M23" i="50"/>
  <c r="AC53" i="50"/>
  <c r="AT45" i="50"/>
  <c r="X44" i="50"/>
  <c r="N51" i="50"/>
  <c r="AH23" i="50"/>
  <c r="AD33" i="50"/>
  <c r="L51" i="50"/>
  <c r="Z36" i="50"/>
  <c r="O24" i="50"/>
  <c r="U33" i="50"/>
  <c r="AS15" i="50"/>
  <c r="Z50" i="50"/>
  <c r="P46" i="50"/>
  <c r="AF10" i="50"/>
  <c r="AR24" i="50"/>
  <c r="W23" i="50"/>
  <c r="AV49" i="50"/>
  <c r="X48" i="50"/>
  <c r="AN26" i="50"/>
  <c r="AB46" i="50"/>
  <c r="W48" i="50"/>
  <c r="K24" i="50"/>
  <c r="S14" i="50"/>
  <c r="AW26" i="50"/>
  <c r="AJ48" i="50"/>
  <c r="AO45" i="50"/>
  <c r="AD30" i="50"/>
  <c r="U45" i="50"/>
  <c r="AE21" i="50"/>
  <c r="AQ33" i="50"/>
  <c r="AU14" i="50"/>
  <c r="V42" i="50"/>
  <c r="AF26" i="50"/>
  <c r="AO18" i="50"/>
  <c r="AU21" i="50"/>
  <c r="AP51" i="50"/>
  <c r="AB32" i="50"/>
  <c r="AD53" i="50"/>
  <c r="AR33" i="50"/>
  <c r="V18" i="50"/>
  <c r="AA42" i="50"/>
  <c r="P10" i="50"/>
  <c r="P17" i="50"/>
  <c r="AS29" i="50"/>
  <c r="AW33" i="50"/>
  <c r="W31" i="50"/>
  <c r="P16" i="50"/>
  <c r="Z13" i="50"/>
  <c r="AA48" i="50"/>
  <c r="N28" i="50"/>
  <c r="S35" i="50"/>
  <c r="U31" i="50"/>
  <c r="AD17" i="50"/>
  <c r="M52" i="50"/>
  <c r="N25" i="50"/>
  <c r="AR49" i="50"/>
  <c r="AV24" i="50"/>
  <c r="K51" i="50"/>
  <c r="AG36" i="50"/>
  <c r="AI20" i="50"/>
  <c r="O53" i="50"/>
  <c r="K50" i="50"/>
  <c r="L53" i="50"/>
  <c r="AE48" i="50"/>
  <c r="AB23" i="50"/>
  <c r="AP45" i="50"/>
  <c r="AD16" i="50"/>
  <c r="Q42" i="50"/>
  <c r="AB15" i="50"/>
  <c r="AP17" i="50"/>
  <c r="AG10" i="50"/>
  <c r="AG35" i="50"/>
  <c r="AA21" i="50"/>
  <c r="N30" i="50"/>
  <c r="AT24" i="50"/>
  <c r="M54" i="50"/>
  <c r="X53" i="50"/>
  <c r="AN11" i="50"/>
  <c r="AV35" i="50"/>
  <c r="AR51" i="50"/>
  <c r="AN32" i="50"/>
  <c r="Y23" i="50"/>
  <c r="L52" i="50"/>
  <c r="AO21" i="50"/>
  <c r="AP21" i="50"/>
  <c r="K30" i="50"/>
  <c r="T14" i="50"/>
  <c r="AS50" i="50"/>
  <c r="V50" i="50"/>
  <c r="L16" i="50"/>
  <c r="AB29" i="50"/>
  <c r="AN33" i="50"/>
  <c r="V21" i="50"/>
  <c r="AV14" i="50"/>
  <c r="AV45" i="50"/>
  <c r="Y32" i="50"/>
  <c r="AB45" i="50"/>
  <c r="AU30" i="50"/>
  <c r="Y25" i="50"/>
  <c r="Z31" i="50"/>
  <c r="U48" i="50"/>
  <c r="AV52" i="50"/>
  <c r="AU18" i="50"/>
  <c r="S32" i="50"/>
  <c r="AA26" i="50"/>
  <c r="AR23" i="50"/>
  <c r="AQ53" i="50"/>
  <c r="L48" i="50"/>
  <c r="K14" i="50"/>
  <c r="AB44" i="50"/>
  <c r="Y18" i="50"/>
  <c r="AK53" i="50"/>
  <c r="Q45" i="50"/>
  <c r="AJ11" i="50"/>
  <c r="M11" i="50"/>
  <c r="P32" i="50"/>
  <c r="W36" i="50"/>
  <c r="O21" i="50"/>
  <c r="AJ54" i="50"/>
  <c r="N52" i="50"/>
  <c r="U16" i="50"/>
  <c r="AF18" i="50"/>
  <c r="V31" i="50"/>
  <c r="AV15" i="50"/>
  <c r="AK45" i="50"/>
  <c r="AG33" i="50"/>
  <c r="AC37" i="50"/>
  <c r="M33" i="50"/>
  <c r="T36" i="50"/>
  <c r="Q13" i="50"/>
  <c r="L49" i="50"/>
  <c r="V30" i="50"/>
  <c r="AK33" i="50"/>
  <c r="R18" i="50"/>
  <c r="AJ29" i="50"/>
  <c r="S24" i="50"/>
  <c r="AM18" i="50"/>
  <c r="K53" i="50"/>
  <c r="N18" i="50"/>
  <c r="O18" i="50"/>
  <c r="Q46" i="50"/>
  <c r="AM33" i="50"/>
  <c r="AC51" i="50"/>
  <c r="AK35" i="50"/>
  <c r="M17" i="50"/>
  <c r="Q50" i="50"/>
  <c r="AN48" i="50"/>
  <c r="AT14" i="50"/>
  <c r="AK18" i="50"/>
  <c r="AW29" i="50"/>
  <c r="X33" i="50"/>
  <c r="AK36" i="50"/>
  <c r="L33" i="50"/>
  <c r="U22" i="50"/>
  <c r="AO50" i="50"/>
  <c r="AL50" i="50"/>
  <c r="R14" i="50"/>
  <c r="AS21" i="50"/>
  <c r="AL17" i="50"/>
  <c r="AL52" i="50"/>
  <c r="U26" i="50"/>
  <c r="AF29" i="50"/>
  <c r="AG34" i="50"/>
  <c r="AT50" i="50"/>
  <c r="AN18" i="50"/>
  <c r="AE10" i="50"/>
  <c r="AF24" i="50"/>
  <c r="R35" i="50"/>
  <c r="AN30" i="50"/>
  <c r="AU35" i="50"/>
  <c r="Q24" i="50"/>
  <c r="AD13" i="50"/>
  <c r="AS36" i="50"/>
  <c r="W54" i="50"/>
  <c r="M13" i="50"/>
  <c r="AC48" i="50"/>
  <c r="AP52" i="50"/>
  <c r="AW32" i="50"/>
  <c r="Z30" i="50"/>
  <c r="P51" i="50"/>
  <c r="U46" i="50"/>
  <c r="AN51" i="50"/>
  <c r="AM49" i="50"/>
  <c r="AL54" i="50"/>
  <c r="AN24" i="50"/>
  <c r="V48" i="50"/>
  <c r="AR54" i="50"/>
  <c r="AO15" i="50"/>
  <c r="AL24" i="50"/>
  <c r="AC42" i="50"/>
  <c r="AS10" i="50"/>
  <c r="U15" i="50"/>
  <c r="Y42" i="50"/>
  <c r="AC18" i="50"/>
  <c r="AA32" i="50"/>
  <c r="Z29" i="50"/>
  <c r="AH36" i="50"/>
  <c r="V20" i="50"/>
  <c r="W26" i="50"/>
  <c r="AM50" i="50"/>
  <c r="AW45" i="50"/>
  <c r="AU26" i="50"/>
  <c r="AT11" i="50"/>
  <c r="AD29" i="50"/>
  <c r="AD32" i="50"/>
  <c r="U37" i="50"/>
  <c r="M28" i="50"/>
  <c r="X22" i="50"/>
  <c r="T20" i="50"/>
  <c r="Y26" i="50"/>
  <c r="N17" i="50"/>
  <c r="AU11" i="50"/>
  <c r="AB53" i="50"/>
  <c r="AH33" i="50"/>
  <c r="L19" i="50"/>
  <c r="AV18" i="50"/>
  <c r="AE31" i="50"/>
  <c r="M26" i="50"/>
  <c r="P45" i="50"/>
  <c r="S23" i="50"/>
  <c r="AV36" i="50"/>
  <c r="R46" i="50"/>
  <c r="AG54" i="50"/>
  <c r="AJ53" i="50"/>
  <c r="O51" i="50"/>
  <c r="AD15" i="50"/>
  <c r="Y19" i="50"/>
  <c r="AQ14" i="50"/>
  <c r="X21" i="50"/>
  <c r="O26" i="50"/>
  <c r="AG15" i="50"/>
  <c r="AV23" i="50"/>
  <c r="Y20" i="50"/>
  <c r="AV30" i="50"/>
  <c r="AV48" i="50"/>
  <c r="AO11" i="50"/>
  <c r="AS23" i="50"/>
  <c r="AD10" i="50"/>
  <c r="AA52" i="50"/>
  <c r="AM52" i="50"/>
  <c r="AE22" i="50"/>
  <c r="AA45" i="50"/>
  <c r="AR50" i="50"/>
  <c r="X31" i="50"/>
  <c r="AP20" i="50"/>
  <c r="AR18" i="50"/>
  <c r="AT49" i="50"/>
  <c r="AK17" i="50"/>
  <c r="AN14" i="50"/>
  <c r="AO33" i="50"/>
  <c r="R32" i="50"/>
  <c r="AI36" i="50"/>
  <c r="AL11" i="50"/>
  <c r="AM32" i="50"/>
  <c r="K45" i="50"/>
  <c r="AE42" i="50"/>
  <c r="AS48" i="50"/>
  <c r="W10" i="50"/>
  <c r="AQ48" i="50"/>
  <c r="X23" i="50"/>
  <c r="AF34" i="50"/>
  <c r="AM51" i="50"/>
  <c r="AL21" i="50"/>
  <c r="S44" i="50"/>
  <c r="S49" i="50"/>
  <c r="X54" i="50"/>
  <c r="AO32" i="50"/>
  <c r="AP50" i="50"/>
  <c r="AC49" i="50"/>
  <c r="AF20" i="50"/>
  <c r="AR14" i="50"/>
  <c r="N49" i="50"/>
  <c r="L20" i="50"/>
  <c r="AL26" i="50"/>
  <c r="N32" i="50"/>
  <c r="AM53" i="50"/>
  <c r="AD36" i="50"/>
  <c r="Q17" i="50"/>
  <c r="S17" i="50"/>
  <c r="U13" i="50"/>
  <c r="AW14" i="50"/>
  <c r="AE34" i="50"/>
  <c r="R54" i="50"/>
  <c r="AA54" i="50"/>
  <c r="AF32" i="50"/>
  <c r="AD44" i="50"/>
  <c r="L36" i="50"/>
  <c r="AH26" i="50"/>
  <c r="AA46" i="50"/>
  <c r="P29" i="50"/>
  <c r="AS54" i="50"/>
  <c r="K11" i="50"/>
  <c r="AR30" i="50"/>
  <c r="AF21" i="50"/>
  <c r="AU17" i="50"/>
  <c r="N14" i="50"/>
  <c r="Z15" i="50"/>
  <c r="AO36" i="50"/>
  <c r="AC11" i="50"/>
  <c r="AH29" i="50"/>
  <c r="AH32" i="50"/>
  <c r="S15" i="50"/>
  <c r="AE49" i="50"/>
  <c r="M10" i="50"/>
  <c r="Q51" i="50"/>
  <c r="AT21" i="50"/>
  <c r="AU23" i="50"/>
  <c r="AS35" i="50"/>
  <c r="Z22" i="50"/>
  <c r="AO24" i="50"/>
  <c r="P48" i="50"/>
  <c r="U29" i="50"/>
  <c r="AC50" i="50"/>
  <c r="W28" i="50"/>
  <c r="W34" i="50"/>
  <c r="AB49" i="50"/>
  <c r="X52" i="50"/>
  <c r="AJ14" i="50"/>
  <c r="AW23" i="50"/>
  <c r="AA14" i="50"/>
  <c r="AJ30" i="50"/>
  <c r="AE35" i="50"/>
  <c r="AS11" i="50"/>
  <c r="AL33" i="50"/>
  <c r="AK21" i="50"/>
  <c r="AJ18" i="50"/>
  <c r="AV10" i="50"/>
  <c r="AA30" i="50"/>
  <c r="AN52" i="50"/>
  <c r="AK20" i="50"/>
  <c r="AQ36" i="50"/>
  <c r="AW48" i="50"/>
  <c r="AA23" i="50"/>
  <c r="K32" i="50"/>
  <c r="AK24" i="50"/>
  <c r="AI17" i="50"/>
  <c r="AE30" i="50"/>
  <c r="AT26" i="50"/>
  <c r="Q19" i="50"/>
  <c r="O10" i="50"/>
  <c r="Y45" i="50"/>
  <c r="AA24" i="50"/>
  <c r="AQ54" i="50"/>
  <c r="AL49" i="50"/>
  <c r="AE37" i="50"/>
  <c r="AV29" i="50"/>
  <c r="AP23" i="50"/>
  <c r="U36" i="50"/>
  <c r="AM23" i="50"/>
  <c r="R10" i="50"/>
  <c r="O37" i="50"/>
  <c r="AH50" i="50"/>
  <c r="Z28" i="50"/>
  <c r="AP36" i="50"/>
  <c r="AT52" i="50"/>
  <c r="AA34" i="50"/>
  <c r="N10" i="50"/>
  <c r="T19" i="50"/>
  <c r="K55" i="50"/>
  <c r="AI14" i="50"/>
  <c r="AK49" i="50"/>
  <c r="L10" i="50"/>
  <c r="AG53" i="50"/>
  <c r="R42" i="50"/>
  <c r="AH54" i="50"/>
  <c r="AF16" i="50"/>
  <c r="M15" i="50"/>
  <c r="S30" i="50"/>
  <c r="AR17" i="50"/>
  <c r="AM24" i="50"/>
  <c r="X50" i="50"/>
  <c r="R51" i="50"/>
  <c r="AE51" i="50"/>
  <c r="Y48" i="50"/>
  <c r="AU49" i="50"/>
  <c r="AC35" i="50"/>
  <c r="S42" i="50"/>
  <c r="AV20" i="50"/>
  <c r="Z45" i="50"/>
  <c r="AN45" i="50"/>
  <c r="X16" i="50"/>
  <c r="AH51" i="50"/>
  <c r="AD26" i="50"/>
  <c r="U35" i="50"/>
  <c r="AM17" i="50"/>
  <c r="AI29" i="50"/>
  <c r="AA50" i="50"/>
  <c r="AU54" i="50"/>
  <c r="S48" i="50"/>
  <c r="Y28" i="50"/>
  <c r="P14" i="50"/>
  <c r="AM20" i="50"/>
  <c r="V17" i="50"/>
  <c r="AT29" i="50"/>
  <c r="AH45" i="50"/>
  <c r="Z51" i="50"/>
  <c r="AS30" i="50"/>
  <c r="Z19" i="50"/>
  <c r="AA13" i="50"/>
  <c r="U54" i="50"/>
  <c r="AQ32" i="50"/>
  <c r="AV54" i="50"/>
  <c r="Z17" i="50"/>
  <c r="P31" i="50"/>
  <c r="AH18" i="50"/>
  <c r="O31" i="50"/>
  <c r="AR15" i="50"/>
  <c r="N42" i="50"/>
  <c r="AG42" i="50"/>
  <c r="AG4" i="50" s="1"/>
  <c r="O13" i="50"/>
  <c r="AF22" i="50"/>
  <c r="AJ17" i="50"/>
  <c r="AF23" i="50"/>
  <c r="AK26" i="50"/>
  <c r="T42" i="50"/>
  <c r="AE50" i="50"/>
  <c r="V9" i="50"/>
  <c r="AM35" i="50"/>
  <c r="AQ30" i="50"/>
  <c r="R9" i="50"/>
  <c r="Z14" i="50"/>
  <c r="AD21" i="50"/>
  <c r="W49" i="50"/>
  <c r="AA20" i="50"/>
  <c r="W53" i="50"/>
  <c r="AS51" i="50"/>
  <c r="X30" i="50"/>
  <c r="W42" i="50"/>
  <c r="AS45" i="50"/>
  <c r="O15" i="50"/>
  <c r="AQ51" i="50"/>
  <c r="AE14" i="50"/>
  <c r="AJ33" i="50"/>
  <c r="P18" i="50"/>
  <c r="AC46" i="50"/>
  <c r="AA10" i="50"/>
  <c r="AE36" i="50"/>
  <c r="R36" i="50"/>
  <c r="AF52" i="50"/>
  <c r="AM36" i="50"/>
  <c r="AP32" i="50"/>
  <c r="Z24" i="50"/>
  <c r="AD23" i="50"/>
  <c r="S54" i="50"/>
  <c r="AW52" i="50"/>
  <c r="AO10" i="50"/>
  <c r="Z35" i="50"/>
  <c r="X28" i="50"/>
  <c r="AL30" i="50"/>
  <c r="AQ15" i="50"/>
  <c r="AS32" i="50"/>
  <c r="T54" i="50"/>
  <c r="AT17" i="50"/>
  <c r="AW36" i="50"/>
  <c r="AG50" i="50"/>
  <c r="K21" i="50"/>
  <c r="AC17" i="50"/>
  <c r="AQ17" i="50"/>
  <c r="AI22" i="50"/>
  <c r="Q54" i="50"/>
  <c r="AE18" i="50"/>
  <c r="AP29" i="50"/>
  <c r="P35" i="50"/>
  <c r="P19" i="50"/>
  <c r="P50" i="50"/>
  <c r="X25" i="50"/>
  <c r="AL45" i="50"/>
  <c r="AQ23" i="50"/>
  <c r="AA35" i="50"/>
  <c r="L54" i="50"/>
  <c r="AO51" i="50"/>
  <c r="W33" i="50"/>
  <c r="AU29" i="50"/>
  <c r="K15" i="50"/>
  <c r="AD54" i="50"/>
  <c r="AH52" i="50"/>
  <c r="AN15" i="50"/>
  <c r="AV26" i="50"/>
  <c r="AD14" i="50"/>
  <c r="Q49" i="50"/>
  <c r="Q11" i="50"/>
  <c r="R13" i="50"/>
  <c r="AO35" i="50"/>
  <c r="AD9" i="50"/>
  <c r="S52" i="50"/>
  <c r="T17" i="50"/>
  <c r="O14" i="50"/>
  <c r="AB25" i="50"/>
  <c r="AD24" i="50"/>
  <c r="Z16" i="50"/>
  <c r="P53" i="50"/>
  <c r="AK11" i="50"/>
  <c r="W29" i="50"/>
  <c r="AF17" i="50"/>
  <c r="Y33" i="50"/>
  <c r="AH49" i="50"/>
  <c r="V15" i="50"/>
  <c r="AJ36" i="50"/>
  <c r="AG21" i="50"/>
  <c r="V54" i="50"/>
  <c r="N50" i="50"/>
  <c r="Z10" i="50"/>
  <c r="W24" i="50"/>
  <c r="T53" i="50"/>
  <c r="AE19" i="50"/>
  <c r="P26" i="50"/>
  <c r="AT20" i="50"/>
  <c r="AD52" i="50"/>
  <c r="AH30" i="50"/>
  <c r="AO30" i="50"/>
  <c r="AB11" i="50"/>
  <c r="R15" i="50"/>
  <c r="AH11" i="50"/>
  <c r="AP24" i="50"/>
  <c r="AV33" i="50"/>
  <c r="AF35" i="50"/>
  <c r="R45" i="50"/>
  <c r="AE16" i="50"/>
  <c r="AR48" i="50"/>
  <c r="V35" i="50"/>
  <c r="AF48" i="50"/>
  <c r="AL23" i="50"/>
  <c r="AG51" i="50"/>
  <c r="Z9" i="50"/>
  <c r="AD42" i="50"/>
  <c r="AP35" i="50"/>
  <c r="AU42" i="50"/>
  <c r="AU4" i="50" s="1"/>
  <c r="AQ52" i="50"/>
  <c r="AG18" i="50"/>
  <c r="T30" i="50"/>
  <c r="O11" i="50"/>
  <c r="AF19" i="50"/>
  <c r="AO54" i="50"/>
  <c r="AI23" i="50"/>
  <c r="V23" i="50"/>
  <c r="W32" i="50"/>
  <c r="AO49" i="50"/>
  <c r="AO20" i="50"/>
  <c r="M48" i="50"/>
  <c r="N33" i="50"/>
  <c r="R11" i="50"/>
  <c r="AP14" i="50"/>
  <c r="AM14" i="50"/>
  <c r="X20" i="50"/>
  <c r="AO29" i="50"/>
  <c r="AK30" i="50"/>
  <c r="AW53" i="50"/>
  <c r="AW42" i="50"/>
  <c r="L22" i="50"/>
  <c r="U20" i="50"/>
  <c r="AH22" i="50"/>
  <c r="AI32" i="50"/>
  <c r="AD25" i="50"/>
  <c r="U10" i="50"/>
  <c r="AH31" i="50"/>
  <c r="O50" i="50"/>
  <c r="AV42" i="50"/>
  <c r="AV4" i="50" s="1"/>
  <c r="AP48" i="50"/>
  <c r="Y49" i="50"/>
  <c r="X29" i="50"/>
  <c r="AF49" i="50"/>
  <c r="AF45" i="50"/>
  <c r="AH20" i="50"/>
  <c r="AS49" i="50"/>
  <c r="AV17" i="50"/>
  <c r="AK14" i="50"/>
  <c r="T35" i="50"/>
  <c r="AK29" i="50"/>
  <c r="L29" i="50"/>
  <c r="N44" i="50"/>
  <c r="N29" i="50"/>
  <c r="Q14" i="50"/>
  <c r="AK32" i="50"/>
  <c r="AD35" i="50"/>
  <c r="AU24" i="50"/>
  <c r="V11" i="50"/>
  <c r="AE45" i="50"/>
  <c r="AB17" i="50"/>
  <c r="AL14" i="50"/>
  <c r="Y46" i="50"/>
  <c r="AI53" i="50"/>
  <c r="AR45" i="50"/>
  <c r="S51" i="50"/>
  <c r="AT23" i="50"/>
  <c r="X10" i="50"/>
  <c r="O30" i="50"/>
  <c r="AT51" i="50"/>
  <c r="L35" i="50"/>
  <c r="O34" i="50"/>
  <c r="T10" i="50"/>
  <c r="AQ21" i="50"/>
  <c r="Q31" i="50"/>
  <c r="AW17" i="50"/>
  <c r="T11" i="50"/>
  <c r="AF33" i="50"/>
  <c r="AT33" i="50"/>
  <c r="AG11" i="50"/>
  <c r="AS33" i="50"/>
  <c r="M51" i="50"/>
  <c r="AD49" i="50"/>
  <c r="S11" i="50"/>
  <c r="AR10" i="50"/>
  <c r="AR36" i="50"/>
  <c r="P23" i="50"/>
  <c r="AJ49" i="50"/>
  <c r="AQ24" i="50"/>
  <c r="AQ29" i="50"/>
  <c r="L28" i="50"/>
  <c r="AE24" i="50"/>
  <c r="AM42" i="50"/>
  <c r="AM4" i="50" s="1"/>
  <c r="AS52" i="50"/>
  <c r="AU52" i="50"/>
  <c r="Y53" i="50"/>
  <c r="AD31" i="50"/>
  <c r="AG20" i="50"/>
  <c r="AA37" i="50"/>
  <c r="AE11" i="50"/>
  <c r="AV51" i="50"/>
  <c r="AK15" i="50"/>
  <c r="W37" i="50"/>
  <c r="R16" i="50"/>
  <c r="V36" i="50"/>
  <c r="AL51" i="50"/>
  <c r="AG30" i="50"/>
  <c r="AJ35" i="50"/>
  <c r="AC29" i="50"/>
  <c r="V24" i="50"/>
  <c r="U32" i="50"/>
  <c r="AO53" i="50"/>
  <c r="AN54" i="50"/>
  <c r="V33" i="50"/>
  <c r="AO17" i="50"/>
  <c r="AK48" i="50"/>
  <c r="AB30" i="50"/>
  <c r="Z44" i="50"/>
  <c r="AG52" i="50"/>
  <c r="AF54" i="50"/>
  <c r="AJ21" i="50"/>
  <c r="P15" i="50"/>
  <c r="L37" i="50"/>
  <c r="AG29" i="50"/>
  <c r="K26" i="50"/>
  <c r="AO48" i="50"/>
  <c r="AT54" i="50"/>
  <c r="AW11" i="50"/>
  <c r="Q48" i="50"/>
  <c r="AJ32" i="50"/>
  <c r="Q15" i="50"/>
  <c r="AU48" i="50"/>
  <c r="AA17" i="50"/>
  <c r="AE26" i="50"/>
  <c r="AL29" i="50"/>
  <c r="K17" i="50"/>
  <c r="W15" i="50"/>
  <c r="AB26" i="50"/>
  <c r="R29" i="50"/>
  <c r="AF36" i="50"/>
  <c r="AT10" i="50"/>
  <c r="S10" i="50"/>
  <c r="AJ10" i="50"/>
  <c r="AP54" i="50"/>
  <c r="AF53" i="50"/>
  <c r="K34" i="50"/>
  <c r="L42" i="50"/>
  <c r="T48" i="50"/>
  <c r="Q29" i="50"/>
  <c r="AN21" i="50"/>
  <c r="L44" i="50"/>
  <c r="Y10" i="50"/>
  <c r="AB33" i="50"/>
  <c r="AU15" i="50"/>
  <c r="M25" i="50"/>
  <c r="AC54" i="50"/>
  <c r="AB20" i="50"/>
  <c r="L17" i="50"/>
  <c r="AQ11" i="50"/>
  <c r="M20" i="50"/>
  <c r="N53" i="50"/>
  <c r="AA18" i="50"/>
  <c r="K10" i="50"/>
  <c r="AI33" i="50"/>
  <c r="AM48" i="50"/>
  <c r="AI52" i="50"/>
  <c r="P24" i="50"/>
  <c r="AD51" i="50"/>
  <c r="T24" i="50"/>
  <c r="Y34" i="50"/>
  <c r="X11" i="50"/>
  <c r="AN10" i="50"/>
  <c r="AG48" i="50"/>
  <c r="O54" i="50"/>
  <c r="R33" i="50"/>
  <c r="AC26" i="50"/>
  <c r="AI48" i="50"/>
  <c r="AI45" i="50"/>
  <c r="AI18" i="50"/>
  <c r="AG14" i="50"/>
  <c r="AC44" i="50"/>
  <c r="Q35" i="50"/>
  <c r="AV32" i="50"/>
  <c r="W21" i="50"/>
  <c r="W14" i="50"/>
  <c r="D6" i="55"/>
  <c r="D8" i="55" s="1"/>
  <c r="C3" i="55"/>
  <c r="F6" i="55"/>
  <c r="V13" i="38"/>
  <c r="V25" i="38" s="1"/>
  <c r="Z9" i="38"/>
  <c r="H4" i="55"/>
  <c r="J4" i="55"/>
  <c r="X13" i="38"/>
  <c r="X25" i="38" s="1"/>
  <c r="F4" i="55"/>
  <c r="T14" i="38"/>
  <c r="T26" i="38" s="1"/>
  <c r="P13" i="38"/>
  <c r="P25" i="38" s="1"/>
  <c r="L13" i="38"/>
  <c r="L25" i="38" s="1"/>
  <c r="I7" i="55"/>
  <c r="I4" i="55"/>
  <c r="X9" i="38"/>
  <c r="N14" i="38"/>
  <c r="N26" i="38" s="1"/>
  <c r="N12" i="38"/>
  <c r="N24" i="38" s="1"/>
  <c r="N21" i="38"/>
  <c r="R21" i="38"/>
  <c r="G5" i="55"/>
  <c r="H3" i="55"/>
  <c r="F3" i="55"/>
  <c r="N11" i="38"/>
  <c r="N23" i="38" s="1"/>
  <c r="V14" i="38"/>
  <c r="V26" i="38" s="1"/>
  <c r="T13" i="38"/>
  <c r="T25" i="38" s="1"/>
  <c r="P9" i="38"/>
  <c r="C4" i="55"/>
  <c r="E7" i="55"/>
  <c r="P21" i="38"/>
  <c r="L14" i="38"/>
  <c r="L26" i="38" s="1"/>
  <c r="X21" i="38"/>
  <c r="E4" i="55"/>
  <c r="X12" i="38"/>
  <c r="X24" i="38" s="1"/>
  <c r="V21" i="38"/>
  <c r="V12" i="38"/>
  <c r="V24" i="38" s="1"/>
  <c r="I5" i="55"/>
  <c r="T21" i="38"/>
  <c r="L21" i="38"/>
  <c r="E9" i="36"/>
  <c r="E12" i="36" s="1"/>
  <c r="V178" i="30"/>
  <c r="J6" i="55"/>
  <c r="V10" i="38"/>
  <c r="V22" i="38" s="1"/>
  <c r="T10" i="38"/>
  <c r="T22" i="38" s="1"/>
  <c r="Z21" i="38"/>
  <c r="AA3" i="23"/>
  <c r="K3" i="55"/>
  <c r="J72" i="56"/>
  <c r="L72" i="56" s="1"/>
  <c r="M7" i="55"/>
  <c r="AF14" i="38"/>
  <c r="AF26" i="38" s="1"/>
  <c r="M5" i="55"/>
  <c r="AF12" i="38"/>
  <c r="AF24" i="38" s="1"/>
  <c r="L4" i="55"/>
  <c r="AD11" i="38"/>
  <c r="AD23" i="38" s="1"/>
  <c r="N5" i="55"/>
  <c r="AH12" i="38"/>
  <c r="AH24" i="38" s="1"/>
  <c r="N3" i="55"/>
  <c r="AH21" i="38"/>
  <c r="AH9" i="38"/>
  <c r="M4" i="55"/>
  <c r="AF11" i="38"/>
  <c r="AF23" i="38" s="1"/>
  <c r="L6" i="55"/>
  <c r="AD13" i="38"/>
  <c r="AD25" i="38" s="1"/>
  <c r="N4" i="55"/>
  <c r="AH11" i="38"/>
  <c r="AH23" i="38" s="1"/>
  <c r="O5" i="55"/>
  <c r="AJ12" i="38"/>
  <c r="AJ24" i="38" s="1"/>
  <c r="O4" i="55"/>
  <c r="AJ11" i="38"/>
  <c r="AJ23" i="38" s="1"/>
  <c r="M6" i="55"/>
  <c r="AF13" i="38"/>
  <c r="AF25" i="38" s="1"/>
  <c r="L7" i="55"/>
  <c r="AD14" i="38"/>
  <c r="AD26" i="38" s="1"/>
  <c r="O3" i="55"/>
  <c r="AJ9" i="38"/>
  <c r="AJ21" i="38"/>
  <c r="N6" i="55"/>
  <c r="AH13" i="38"/>
  <c r="AH25" i="38" s="1"/>
  <c r="L5" i="55"/>
  <c r="AD12" i="38"/>
  <c r="AD24" i="38" s="1"/>
  <c r="N7" i="55"/>
  <c r="AH14" i="38"/>
  <c r="AH26" i="38" s="1"/>
  <c r="L3" i="55"/>
  <c r="AD9" i="38"/>
  <c r="AD21" i="38"/>
  <c r="O6" i="55"/>
  <c r="AJ13" i="38"/>
  <c r="AJ25" i="38" s="1"/>
  <c r="O7" i="55"/>
  <c r="AJ14" i="38"/>
  <c r="AJ26" i="38" s="1"/>
  <c r="M3" i="55"/>
  <c r="AF9" i="38"/>
  <c r="AF21" i="38"/>
  <c r="E6" i="38"/>
  <c r="M9" i="36" s="1"/>
  <c r="E8" i="38"/>
  <c r="M11" i="36" s="1"/>
  <c r="K7" i="55"/>
  <c r="AB12" i="38"/>
  <c r="AB24" i="38" s="1"/>
  <c r="E7" i="38"/>
  <c r="M10" i="36" s="1"/>
  <c r="K6" i="55"/>
  <c r="D10" i="36"/>
  <c r="J21" i="38"/>
  <c r="E4" i="38"/>
  <c r="M7" i="36" s="1"/>
  <c r="AB11" i="38"/>
  <c r="AB23" i="38" s="1"/>
  <c r="E3" i="38"/>
  <c r="M6" i="36" s="1"/>
  <c r="AB21" i="38"/>
  <c r="E5" i="38"/>
  <c r="M8" i="36" s="1"/>
  <c r="G35" i="36"/>
  <c r="H29" i="36" s="1"/>
  <c r="G24" i="36"/>
  <c r="H21" i="36" s="1"/>
  <c r="E36" i="38"/>
  <c r="E18" i="36" s="1"/>
  <c r="T11" i="36"/>
  <c r="E47" i="38"/>
  <c r="E34" i="36" s="1"/>
  <c r="E37" i="38"/>
  <c r="E19" i="36" s="1"/>
  <c r="H11" i="36"/>
  <c r="D11" i="36"/>
  <c r="H7" i="36"/>
  <c r="E40" i="38"/>
  <c r="E22" i="36" s="1"/>
  <c r="H8" i="36"/>
  <c r="H6" i="36"/>
  <c r="H9" i="36"/>
  <c r="D7" i="36"/>
  <c r="T9" i="36"/>
  <c r="T6" i="36"/>
  <c r="E46" i="38"/>
  <c r="E33" i="36" s="1"/>
  <c r="T10" i="36"/>
  <c r="T7" i="36"/>
  <c r="E42" i="38"/>
  <c r="E29" i="36" s="1"/>
  <c r="E45" i="38"/>
  <c r="E32" i="36" s="1"/>
  <c r="D36" i="38"/>
  <c r="C18" i="36" s="1"/>
  <c r="D38" i="38"/>
  <c r="C20" i="36" s="1"/>
  <c r="E44" i="38"/>
  <c r="E31" i="36" s="1"/>
  <c r="D43" i="38"/>
  <c r="C30" i="36" s="1"/>
  <c r="D46" i="38"/>
  <c r="C33" i="36" s="1"/>
  <c r="E39" i="38"/>
  <c r="E21" i="36" s="1"/>
  <c r="R9" i="36"/>
  <c r="E38" i="38"/>
  <c r="E20" i="36" s="1"/>
  <c r="D41" i="38"/>
  <c r="C23" i="36" s="1"/>
  <c r="K12" i="36"/>
  <c r="L9" i="36" s="1"/>
  <c r="D39" i="38"/>
  <c r="C21" i="36" s="1"/>
  <c r="D6" i="36"/>
  <c r="D8" i="36"/>
  <c r="R11" i="36"/>
  <c r="D40" i="38"/>
  <c r="C22" i="36" s="1"/>
  <c r="D37" i="38"/>
  <c r="C19" i="36" s="1"/>
  <c r="E43" i="38"/>
  <c r="E30" i="36" s="1"/>
  <c r="D42" i="38"/>
  <c r="C29" i="36" s="1"/>
  <c r="D44" i="38"/>
  <c r="C31" i="36" s="1"/>
  <c r="R10" i="36"/>
  <c r="R8" i="36"/>
  <c r="R7" i="36"/>
  <c r="H24" i="38"/>
  <c r="H21" i="38"/>
  <c r="D45" i="38"/>
  <c r="C32" i="36" s="1"/>
  <c r="D47" i="38"/>
  <c r="C34" i="36" s="1"/>
  <c r="E41" i="38"/>
  <c r="E23" i="36" s="1"/>
  <c r="AW4" i="50" l="1"/>
  <c r="S4" i="50"/>
  <c r="W4" i="50"/>
  <c r="T4" i="50"/>
  <c r="AD4" i="50"/>
  <c r="R4" i="50"/>
  <c r="U4" i="50"/>
  <c r="AT4" i="50"/>
  <c r="AC4" i="50"/>
  <c r="AJ4" i="50"/>
  <c r="AV3" i="50"/>
  <c r="Z4" i="50"/>
  <c r="P3" i="50"/>
  <c r="Y3" i="50"/>
  <c r="AR4" i="50"/>
  <c r="AP4" i="50"/>
  <c r="AC3" i="50"/>
  <c r="M4" i="50"/>
  <c r="Z3" i="50"/>
  <c r="AD3" i="50"/>
  <c r="AL4" i="50"/>
  <c r="AJ3" i="50"/>
  <c r="AQ3" i="50"/>
  <c r="Q3" i="50"/>
  <c r="AK4" i="50"/>
  <c r="AN3" i="50"/>
  <c r="O3" i="50"/>
  <c r="AE3" i="50"/>
  <c r="AO3" i="50"/>
  <c r="AU3" i="50"/>
  <c r="R3" i="50"/>
  <c r="Q4" i="50"/>
  <c r="AN4" i="50"/>
  <c r="AL3" i="50"/>
  <c r="AS4" i="50"/>
  <c r="AR3" i="50"/>
  <c r="N3" i="50"/>
  <c r="AF4" i="50"/>
  <c r="X3" i="50"/>
  <c r="U3" i="50"/>
  <c r="AM3" i="50"/>
  <c r="K3" i="50"/>
  <c r="AS3" i="50"/>
  <c r="AT3" i="50"/>
  <c r="W3" i="50"/>
  <c r="V3" i="50"/>
  <c r="Y4" i="50"/>
  <c r="AA4" i="50"/>
  <c r="AI3" i="50"/>
  <c r="AI4" i="50"/>
  <c r="O4" i="50"/>
  <c r="AK3" i="50"/>
  <c r="L3" i="50"/>
  <c r="T3" i="50"/>
  <c r="L4" i="50"/>
  <c r="N4" i="50"/>
  <c r="AE4" i="50"/>
  <c r="V4" i="50"/>
  <c r="X4" i="50"/>
  <c r="AW3" i="50"/>
  <c r="AP3" i="50"/>
  <c r="AF3" i="50"/>
  <c r="K4" i="50"/>
  <c r="S3" i="50"/>
  <c r="M3" i="50"/>
  <c r="AH4" i="50"/>
  <c r="AB4" i="50"/>
  <c r="P4" i="50"/>
  <c r="AH3" i="50"/>
  <c r="AG3" i="50"/>
  <c r="AO4" i="50"/>
  <c r="AA3" i="50"/>
  <c r="AB3" i="50"/>
  <c r="F44" i="36"/>
  <c r="F9" i="36"/>
  <c r="F65" i="36"/>
  <c r="F41" i="36"/>
  <c r="F62" i="36"/>
  <c r="F42" i="36"/>
  <c r="F43" i="36"/>
  <c r="F63" i="36"/>
  <c r="F45" i="36"/>
  <c r="F53" i="36"/>
  <c r="F64" i="36"/>
  <c r="F54" i="36"/>
  <c r="F51" i="36"/>
  <c r="F66" i="36"/>
  <c r="F61" i="36"/>
  <c r="F55" i="36"/>
  <c r="F46" i="36"/>
  <c r="F56" i="36"/>
  <c r="F52" i="36"/>
  <c r="P8" i="58"/>
  <c r="P8" i="57"/>
  <c r="P8" i="59"/>
  <c r="E8" i="55"/>
  <c r="O8" i="55"/>
  <c r="M8" i="55"/>
  <c r="J8" i="55"/>
  <c r="I8" i="55"/>
  <c r="N8" i="55"/>
  <c r="G8" i="55"/>
  <c r="H8" i="55"/>
  <c r="K8" i="55"/>
  <c r="F8" i="55"/>
  <c r="L8" i="55"/>
  <c r="C8" i="55"/>
  <c r="AJ142" i="28"/>
  <c r="AA2" i="50"/>
  <c r="AA56" i="50" s="1"/>
  <c r="T2" i="50"/>
  <c r="T56" i="50" s="1"/>
  <c r="W2" i="50"/>
  <c r="W56" i="50" s="1"/>
  <c r="AG2" i="50"/>
  <c r="AG56" i="50" s="1"/>
  <c r="AN2" i="50"/>
  <c r="AN56" i="50" s="1"/>
  <c r="AO2" i="50"/>
  <c r="AO56" i="50" s="1"/>
  <c r="AL2" i="50"/>
  <c r="AL56" i="50" s="1"/>
  <c r="AH2" i="50"/>
  <c r="AH56" i="50" s="1"/>
  <c r="AF2" i="50"/>
  <c r="AF56" i="50" s="1"/>
  <c r="AP2" i="50"/>
  <c r="AP56" i="50" s="1"/>
  <c r="AS2" i="50"/>
  <c r="AS56" i="50" s="1"/>
  <c r="AT2" i="50"/>
  <c r="AT56" i="50" s="1"/>
  <c r="X2" i="50"/>
  <c r="X56" i="50" s="1"/>
  <c r="AB2" i="50"/>
  <c r="AB56" i="50" s="1"/>
  <c r="M2" i="50"/>
  <c r="M56" i="50" s="1"/>
  <c r="AK2" i="50"/>
  <c r="AK56" i="50" s="1"/>
  <c r="L2" i="50"/>
  <c r="L56" i="50" s="1"/>
  <c r="AW2" i="50"/>
  <c r="AW56" i="50" s="1"/>
  <c r="AI2" i="50"/>
  <c r="AI56" i="50" s="1"/>
  <c r="Y2" i="50"/>
  <c r="Y56" i="50" s="1"/>
  <c r="O2" i="50"/>
  <c r="O56" i="50" s="1"/>
  <c r="P2" i="50"/>
  <c r="P56" i="50" s="1"/>
  <c r="V2" i="50"/>
  <c r="V56" i="50" s="1"/>
  <c r="K2" i="50"/>
  <c r="K56" i="50" s="1"/>
  <c r="AM2" i="50"/>
  <c r="AM56" i="50" s="1"/>
  <c r="AD2" i="50"/>
  <c r="AD56" i="50" s="1"/>
  <c r="AC2" i="50"/>
  <c r="AC56" i="50" s="1"/>
  <c r="AJ2" i="50"/>
  <c r="AJ56" i="50" s="1"/>
  <c r="AU2" i="50"/>
  <c r="AU56" i="50" s="1"/>
  <c r="AV2" i="50"/>
  <c r="AV56" i="50" s="1"/>
  <c r="AR2" i="50"/>
  <c r="AR56" i="50" s="1"/>
  <c r="U2" i="50"/>
  <c r="U56" i="50" s="1"/>
  <c r="R2" i="50"/>
  <c r="R56" i="50" s="1"/>
  <c r="Z2" i="50"/>
  <c r="Z56" i="50" s="1"/>
  <c r="N2" i="50"/>
  <c r="N56" i="50" s="1"/>
  <c r="Q2" i="50"/>
  <c r="Q56" i="50" s="1"/>
  <c r="AQ2" i="50"/>
  <c r="AQ56" i="50" s="1"/>
  <c r="AE2" i="50"/>
  <c r="AE56" i="50" s="1"/>
  <c r="S2" i="50"/>
  <c r="S56" i="50" s="1"/>
  <c r="E26" i="38"/>
  <c r="E25" i="38"/>
  <c r="E9" i="38"/>
  <c r="F7" i="36"/>
  <c r="F6" i="36"/>
  <c r="F8" i="36"/>
  <c r="F11" i="36"/>
  <c r="F10" i="36"/>
  <c r="E22" i="38"/>
  <c r="E10" i="38"/>
  <c r="E14" i="38"/>
  <c r="E13" i="38"/>
  <c r="P4" i="55"/>
  <c r="P7" i="55"/>
  <c r="P5" i="55"/>
  <c r="P3" i="55"/>
  <c r="P6" i="55"/>
  <c r="E23" i="38"/>
  <c r="E24" i="38"/>
  <c r="E12" i="38"/>
  <c r="E11" i="38"/>
  <c r="E21" i="38"/>
  <c r="H33" i="36"/>
  <c r="H32" i="36"/>
  <c r="H30" i="36"/>
  <c r="H34" i="36"/>
  <c r="H18" i="36"/>
  <c r="H31" i="36"/>
  <c r="H22" i="36"/>
  <c r="H23" i="36"/>
  <c r="H20" i="36"/>
  <c r="H19" i="36"/>
  <c r="L8" i="36"/>
  <c r="E35" i="36"/>
  <c r="F34" i="36" s="1"/>
  <c r="L10" i="36"/>
  <c r="L7" i="36"/>
  <c r="L11" i="36"/>
  <c r="L6" i="36"/>
  <c r="C35" i="36"/>
  <c r="D29" i="36" s="1"/>
  <c r="C24" i="36"/>
  <c r="D21" i="36" s="1"/>
  <c r="M12" i="36"/>
  <c r="E24" i="36"/>
  <c r="F21" i="36" s="1"/>
  <c r="K5" i="50" l="1"/>
  <c r="R57" i="50"/>
  <c r="R58" i="50" s="1"/>
  <c r="P8" i="55"/>
  <c r="P60" i="50"/>
  <c r="P6" i="50" s="1"/>
  <c r="AJ143" i="28"/>
  <c r="AK143" i="28" s="1"/>
  <c r="AW57" i="50"/>
  <c r="AW58" i="50" s="1"/>
  <c r="AK142" i="28"/>
  <c r="AS57" i="50"/>
  <c r="AS58" i="50" s="1"/>
  <c r="AA60" i="50"/>
  <c r="AA6" i="50" s="1"/>
  <c r="AK60" i="50"/>
  <c r="AK6" i="50" s="1"/>
  <c r="T60" i="50"/>
  <c r="T6" i="50" s="1"/>
  <c r="AD57" i="50"/>
  <c r="AD58" i="50" s="1"/>
  <c r="O60" i="50"/>
  <c r="O6" i="50" s="1"/>
  <c r="AH60" i="50"/>
  <c r="AH6" i="50" s="1"/>
  <c r="AC57" i="50"/>
  <c r="AC58" i="50" s="1"/>
  <c r="AE57" i="50"/>
  <c r="AE58" i="50" s="1"/>
  <c r="AU60" i="50"/>
  <c r="AU6" i="50" s="1"/>
  <c r="AK57" i="50"/>
  <c r="AK58" i="50" s="1"/>
  <c r="AT57" i="50"/>
  <c r="AT58" i="50" s="1"/>
  <c r="AG5" i="50"/>
  <c r="AA5" i="50"/>
  <c r="W5" i="50"/>
  <c r="V57" i="50"/>
  <c r="V58" i="50" s="1"/>
  <c r="U5" i="50"/>
  <c r="AB60" i="50"/>
  <c r="AB6" i="50" s="1"/>
  <c r="Q60" i="50"/>
  <c r="Q6" i="50" s="1"/>
  <c r="M57" i="50"/>
  <c r="M58" i="50" s="1"/>
  <c r="AO57" i="50"/>
  <c r="AO58" i="50" s="1"/>
  <c r="P57" i="50"/>
  <c r="P58" i="50" s="1"/>
  <c r="AF60" i="50"/>
  <c r="AF6" i="50" s="1"/>
  <c r="AN60" i="50"/>
  <c r="AN6" i="50" s="1"/>
  <c r="AB57" i="50"/>
  <c r="AB58" i="50" s="1"/>
  <c r="Q57" i="50"/>
  <c r="Q58" i="50" s="1"/>
  <c r="AF57" i="50"/>
  <c r="AF58" i="50" s="1"/>
  <c r="AO60" i="50"/>
  <c r="AO6" i="50" s="1"/>
  <c r="AN57" i="50"/>
  <c r="AN58" i="50" s="1"/>
  <c r="V60" i="50"/>
  <c r="V6" i="50" s="1"/>
  <c r="L57" i="50"/>
  <c r="L58" i="50" s="1"/>
  <c r="AO5" i="50"/>
  <c r="W57" i="50"/>
  <c r="W58" i="50" s="1"/>
  <c r="W60" i="50"/>
  <c r="W6" i="50" s="1"/>
  <c r="K60" i="50"/>
  <c r="K6" i="50" s="1"/>
  <c r="AA57" i="50"/>
  <c r="AA58" i="50" s="1"/>
  <c r="T57" i="50"/>
  <c r="T58" i="50" s="1"/>
  <c r="AQ60" i="50"/>
  <c r="AQ6" i="50" s="1"/>
  <c r="AU57" i="50"/>
  <c r="AU58" i="50" s="1"/>
  <c r="AW5" i="50"/>
  <c r="AN5" i="50"/>
  <c r="X57" i="50"/>
  <c r="X58" i="50" s="1"/>
  <c r="AR60" i="50"/>
  <c r="AM57" i="50"/>
  <c r="AM58" i="50" s="1"/>
  <c r="AP57" i="50"/>
  <c r="AP58" i="50" s="1"/>
  <c r="AJ57" i="50"/>
  <c r="AJ58" i="50" s="1"/>
  <c r="AR57" i="50"/>
  <c r="AR58" i="50" s="1"/>
  <c r="AC60" i="50"/>
  <c r="AC6" i="50" s="1"/>
  <c r="O57" i="50"/>
  <c r="O58" i="50" s="1"/>
  <c r="AV60" i="50"/>
  <c r="AV6" i="50" s="1"/>
  <c r="O5" i="50"/>
  <c r="AH57" i="50"/>
  <c r="AH58" i="50" s="1"/>
  <c r="AL5" i="50"/>
  <c r="AU5" i="50"/>
  <c r="R60" i="50"/>
  <c r="R6" i="50" s="1"/>
  <c r="AH5" i="50"/>
  <c r="AW60" i="50"/>
  <c r="AW6" i="50" s="1"/>
  <c r="AJ60" i="50"/>
  <c r="AJ6" i="50" s="1"/>
  <c r="AR5" i="50"/>
  <c r="U60" i="50"/>
  <c r="S5" i="50"/>
  <c r="Z57" i="50"/>
  <c r="Z58" i="50" s="1"/>
  <c r="AK5" i="50"/>
  <c r="R5" i="50"/>
  <c r="AF5" i="50"/>
  <c r="M60" i="50"/>
  <c r="M6" i="50" s="1"/>
  <c r="AP60" i="50"/>
  <c r="AP6" i="50" s="1"/>
  <c r="AM60" i="50"/>
  <c r="AM6" i="50" s="1"/>
  <c r="V5" i="50"/>
  <c r="AE60" i="50"/>
  <c r="AE6" i="50" s="1"/>
  <c r="AV57" i="50"/>
  <c r="AV58" i="50" s="1"/>
  <c r="T5" i="50"/>
  <c r="AE5" i="50"/>
  <c r="P5" i="50"/>
  <c r="AM5" i="50"/>
  <c r="AG57" i="50"/>
  <c r="AG58" i="50" s="1"/>
  <c r="AT60" i="50"/>
  <c r="AT6" i="50" s="1"/>
  <c r="Z60" i="50"/>
  <c r="Z6" i="50" s="1"/>
  <c r="K57" i="50"/>
  <c r="K58" i="50" s="1"/>
  <c r="AB5" i="50"/>
  <c r="AG60" i="50"/>
  <c r="AG6" i="50" s="1"/>
  <c r="AT5" i="50"/>
  <c r="AS60" i="50"/>
  <c r="AS6" i="50" s="1"/>
  <c r="AL60" i="50"/>
  <c r="AL6" i="50" s="1"/>
  <c r="AI57" i="50"/>
  <c r="AI58" i="50" s="1"/>
  <c r="Y60" i="50"/>
  <c r="Y6" i="50" s="1"/>
  <c r="N5" i="50"/>
  <c r="L5" i="50"/>
  <c r="S60" i="50"/>
  <c r="S6" i="50" s="1"/>
  <c r="S57" i="50"/>
  <c r="S58" i="50" s="1"/>
  <c r="AP5" i="50"/>
  <c r="X60" i="50"/>
  <c r="X6" i="50" s="1"/>
  <c r="AQ57" i="50"/>
  <c r="AQ58" i="50" s="1"/>
  <c r="L60" i="50"/>
  <c r="L6" i="50" s="1"/>
  <c r="Y57" i="50"/>
  <c r="Y58" i="50" s="1"/>
  <c r="AI5" i="50"/>
  <c r="Y5" i="50"/>
  <c r="U57" i="50"/>
  <c r="U58" i="50" s="1"/>
  <c r="M5" i="50"/>
  <c r="AV5" i="50"/>
  <c r="AI60" i="50"/>
  <c r="AI6" i="50" s="1"/>
  <c r="AJ5" i="50"/>
  <c r="AL57" i="50"/>
  <c r="AL58" i="50" s="1"/>
  <c r="N60" i="50"/>
  <c r="N6" i="50" s="1"/>
  <c r="AS5" i="50"/>
  <c r="N57" i="50"/>
  <c r="N58" i="50" s="1"/>
  <c r="X5" i="50"/>
  <c r="AC5" i="50"/>
  <c r="AQ5" i="50"/>
  <c r="AD60" i="50"/>
  <c r="AD6" i="50" s="1"/>
  <c r="Z5" i="50"/>
  <c r="AD5" i="50"/>
  <c r="Q5" i="50"/>
  <c r="F32" i="36"/>
  <c r="F30" i="36"/>
  <c r="F31" i="36"/>
  <c r="F29" i="36"/>
  <c r="F33" i="36"/>
  <c r="D22" i="36"/>
  <c r="D31" i="36"/>
  <c r="D32" i="36"/>
  <c r="F20" i="36"/>
  <c r="F23" i="36"/>
  <c r="D23" i="36"/>
  <c r="D30" i="36"/>
  <c r="D18" i="36"/>
  <c r="F19" i="36"/>
  <c r="F18" i="36"/>
  <c r="F22" i="36"/>
  <c r="D33" i="36"/>
  <c r="D19" i="36"/>
  <c r="N11" i="36"/>
  <c r="N8" i="36"/>
  <c r="N9" i="36"/>
  <c r="N7" i="36"/>
  <c r="N10" i="36"/>
  <c r="N6" i="36"/>
  <c r="D20" i="36"/>
  <c r="D34" i="36"/>
  <c r="P61" i="50" l="1"/>
  <c r="P67" i="50" s="1"/>
  <c r="AJ144" i="28"/>
  <c r="AA61" i="50"/>
  <c r="AA67" i="50" s="1"/>
  <c r="T61" i="50"/>
  <c r="T67" i="50" s="1"/>
  <c r="AK61" i="50"/>
  <c r="AK67" i="50" s="1"/>
  <c r="AH61" i="50"/>
  <c r="AH67" i="50" s="1"/>
  <c r="AU61" i="50"/>
  <c r="AU67" i="50" s="1"/>
  <c r="U61" i="50"/>
  <c r="U67" i="50" s="1"/>
  <c r="O61" i="50"/>
  <c r="O67" i="50" s="1"/>
  <c r="Q61" i="50"/>
  <c r="Q67" i="50" s="1"/>
  <c r="AB61" i="50"/>
  <c r="AB67" i="50" s="1"/>
  <c r="AQ61" i="50"/>
  <c r="AQ67" i="50" s="1"/>
  <c r="AO61" i="50"/>
  <c r="AO67" i="50" s="1"/>
  <c r="W61" i="50"/>
  <c r="W67" i="50" s="1"/>
  <c r="AD61" i="50"/>
  <c r="AD67" i="50" s="1"/>
  <c r="AN61" i="50"/>
  <c r="AN67" i="50" s="1"/>
  <c r="AV61" i="50"/>
  <c r="AV67" i="50" s="1"/>
  <c r="AF61" i="50"/>
  <c r="AF67" i="50" s="1"/>
  <c r="M61" i="50"/>
  <c r="M67" i="50" s="1"/>
  <c r="V61" i="50"/>
  <c r="V67" i="50" s="1"/>
  <c r="R61" i="50"/>
  <c r="R67" i="50" s="1"/>
  <c r="Y61" i="50"/>
  <c r="Y67" i="50" s="1"/>
  <c r="AC61" i="50"/>
  <c r="AC67" i="50" s="1"/>
  <c r="J84" i="50" s="1"/>
  <c r="AG61" i="50"/>
  <c r="AG67" i="50" s="1"/>
  <c r="AS61" i="50"/>
  <c r="AS67" i="50" s="1"/>
  <c r="U6" i="50"/>
  <c r="AR61" i="50"/>
  <c r="AR67" i="50" s="1"/>
  <c r="AI61" i="50"/>
  <c r="AI67" i="50" s="1"/>
  <c r="AE61" i="50"/>
  <c r="AE67" i="50" s="1"/>
  <c r="AP61" i="50"/>
  <c r="AP67" i="50" s="1"/>
  <c r="AW61" i="50"/>
  <c r="AW67" i="50" s="1"/>
  <c r="X61" i="50"/>
  <c r="X67" i="50" s="1"/>
  <c r="AR6" i="50"/>
  <c r="Z61" i="50"/>
  <c r="Z67" i="50" s="1"/>
  <c r="AT61" i="50"/>
  <c r="AT67" i="50" s="1"/>
  <c r="S61" i="50"/>
  <c r="S67" i="50" s="1"/>
  <c r="N61" i="50"/>
  <c r="N67" i="50" s="1"/>
  <c r="AJ61" i="50"/>
  <c r="AJ67" i="50" s="1"/>
  <c r="AM61" i="50"/>
  <c r="AM67" i="50" s="1"/>
  <c r="L61" i="50"/>
  <c r="L67" i="50" s="1"/>
  <c r="AL61" i="50"/>
  <c r="AL67" i="50" s="1"/>
  <c r="J81" i="50" l="1"/>
  <c r="J86" i="50"/>
  <c r="J85" i="50"/>
  <c r="AJ145" i="28"/>
  <c r="AK145" i="28" s="1"/>
  <c r="AK144" i="28"/>
  <c r="J79" i="50"/>
  <c r="J83" i="50"/>
  <c r="J88" i="50"/>
  <c r="J80" i="50"/>
  <c r="J82" i="50"/>
  <c r="J73" i="50"/>
  <c r="J70" i="50"/>
  <c r="J89" i="50"/>
  <c r="J71" i="50"/>
  <c r="J90" i="50"/>
  <c r="J87" i="50"/>
  <c r="J72" i="50"/>
  <c r="J78" i="50"/>
  <c r="AJ146" i="28" l="1"/>
  <c r="J74" i="50"/>
  <c r="AJ147" i="28" l="1"/>
  <c r="AK147" i="28" s="1"/>
  <c r="AK146" i="28"/>
  <c r="AJ148" i="28" l="1"/>
  <c r="AJ149" i="28" l="1"/>
  <c r="AK149" i="28" s="1"/>
  <c r="AK148" i="28"/>
  <c r="AJ150" i="28" l="1"/>
  <c r="AK150" i="28" l="1"/>
  <c r="AJ151" i="28"/>
  <c r="AK151" i="28" s="1"/>
  <c r="AJ152" i="28" l="1"/>
  <c r="AJ153" i="28" l="1"/>
  <c r="AK152" i="28"/>
  <c r="AJ154" i="28" l="1"/>
  <c r="AJ155" i="28" s="1"/>
  <c r="AK153" i="28"/>
  <c r="AJ156" i="28" l="1"/>
  <c r="AK156" i="28" s="1"/>
  <c r="AK154" i="28"/>
  <c r="AK155" i="28"/>
  <c r="AJ157" i="28" l="1"/>
  <c r="AJ158" i="28" l="1"/>
  <c r="AK158" i="28" s="1"/>
  <c r="AK157" i="28"/>
  <c r="AV24" i="42"/>
  <c r="AJ159" i="28" l="1"/>
  <c r="U24" i="42"/>
  <c r="U38" i="42" s="1"/>
  <c r="S24" i="42"/>
  <c r="AV38" i="42"/>
  <c r="AJ160" i="28" l="1"/>
  <c r="AK160" i="28" s="1"/>
  <c r="AK159" i="28"/>
  <c r="T24" i="42"/>
  <c r="T38" i="42" s="1"/>
  <c r="S38" i="42"/>
  <c r="AJ161" i="28" l="1"/>
  <c r="AJ162" i="28" s="1"/>
  <c r="AJ163" i="28" s="1"/>
  <c r="AJ164" i="28" s="1"/>
  <c r="AJ165" i="28" s="1"/>
  <c r="AJ166" i="28" s="1"/>
  <c r="AJ167" i="28" s="1"/>
  <c r="AJ168" i="28" s="1"/>
  <c r="AJ169" i="28" s="1"/>
  <c r="AJ170" i="28" s="1"/>
  <c r="AJ171" i="28" s="1"/>
  <c r="AK868" i="28" l="1"/>
  <c r="AK237" i="28"/>
  <c r="AK472" i="28"/>
  <c r="AK680" i="28"/>
  <c r="AK586" i="28"/>
  <c r="AK357" i="28"/>
  <c r="AK996" i="28"/>
  <c r="AK807" i="28"/>
  <c r="AK875" i="28"/>
  <c r="AK521" i="28"/>
  <c r="AK324" i="28"/>
  <c r="AK222" i="28"/>
  <c r="AK520" i="28"/>
  <c r="AK856" i="28"/>
  <c r="AK276" i="28"/>
  <c r="AK835" i="28"/>
  <c r="AK954" i="28"/>
  <c r="AK306" i="28"/>
  <c r="AK583" i="28"/>
  <c r="AK460" i="28"/>
  <c r="AK919" i="28"/>
  <c r="AK313" i="28"/>
  <c r="AK609" i="28"/>
  <c r="AK664" i="28"/>
  <c r="AK297" i="28"/>
  <c r="AK888" i="28"/>
  <c r="AK402" i="28"/>
  <c r="AK874" i="28"/>
  <c r="AK863" i="28"/>
  <c r="AK771" i="28"/>
  <c r="AK659" i="28"/>
  <c r="AK892" i="28"/>
  <c r="AK936" i="28"/>
  <c r="AK916" i="28"/>
  <c r="AK546" i="28"/>
  <c r="AK897" i="28"/>
  <c r="AK332" i="28"/>
  <c r="AK925" i="28"/>
  <c r="AK359" i="28"/>
  <c r="AK628" i="28"/>
  <c r="AK479" i="28"/>
  <c r="AK471" i="28"/>
  <c r="AK909" i="28"/>
  <c r="AK394" i="28"/>
  <c r="AK287" i="28"/>
  <c r="AK630" i="28"/>
  <c r="AK859" i="28"/>
  <c r="AK780" i="28"/>
  <c r="AK292" i="28"/>
  <c r="AK466" i="28"/>
  <c r="AK783" i="28"/>
  <c r="AK881" i="28"/>
  <c r="AK338" i="28"/>
  <c r="AK618" i="28"/>
  <c r="AK598" i="28"/>
  <c r="AK713" i="28"/>
  <c r="AK673" i="28"/>
  <c r="AK223" i="28"/>
  <c r="AK524" i="28"/>
  <c r="AK473" i="28"/>
  <c r="AK627" i="28"/>
  <c r="AK984" i="28"/>
  <c r="AK710" i="28"/>
  <c r="AK345" i="28"/>
  <c r="AK197" i="28"/>
  <c r="AK550" i="28"/>
  <c r="AK399" i="28"/>
  <c r="AK723" i="28"/>
  <c r="AK542" i="28"/>
  <c r="AK343" i="28"/>
  <c r="AK400" i="28"/>
  <c r="AK827" i="28"/>
  <c r="AK864" i="28"/>
  <c r="AK851" i="28"/>
  <c r="AK622" i="28"/>
  <c r="AK796" i="28"/>
  <c r="AK407" i="28"/>
  <c r="AK608" i="28"/>
  <c r="AK642" i="28"/>
  <c r="AK619" i="28"/>
  <c r="AK519" i="28"/>
  <c r="AK552" i="28"/>
  <c r="AK688" i="28"/>
  <c r="AK683" i="28"/>
  <c r="AK316" i="28"/>
  <c r="AK368" i="28"/>
  <c r="AK563" i="28"/>
  <c r="AK530" i="28"/>
  <c r="AK637" i="28"/>
  <c r="AK486" i="28"/>
  <c r="AK170" i="28"/>
  <c r="AK525" i="28"/>
  <c r="AK934" i="28"/>
  <c r="AK366" i="28"/>
  <c r="AK187" i="28"/>
  <c r="AK322" i="28"/>
  <c r="AK335" i="28"/>
  <c r="AK983" i="28"/>
  <c r="AK636" i="28"/>
  <c r="AK787" i="28"/>
  <c r="AK702" i="28"/>
  <c r="AK676" i="28"/>
  <c r="AK365" i="28"/>
  <c r="AK629" i="28"/>
  <c r="AK974" i="28"/>
  <c r="AK496" i="28"/>
  <c r="AK775" i="28"/>
  <c r="AK653" i="28"/>
  <c r="AK281" i="28"/>
  <c r="AK175" i="28"/>
  <c r="AK758" i="28"/>
  <c r="AK419" i="28"/>
  <c r="AK750" i="28"/>
  <c r="AK958" i="28"/>
  <c r="AK234" i="28"/>
  <c r="AK614" i="28"/>
  <c r="AK258" i="28"/>
  <c r="AK209" i="28"/>
  <c r="AK458" i="28"/>
  <c r="AK579" i="28"/>
  <c r="AK928" i="28"/>
  <c r="AK194" i="28"/>
  <c r="AK188" i="28"/>
  <c r="AK273" i="28"/>
  <c r="AK921" i="28"/>
  <c r="AK956" i="28"/>
  <c r="AK721" i="28"/>
  <c r="AK727" i="28"/>
  <c r="AK352" i="28"/>
  <c r="AK185" i="28"/>
  <c r="AK494" i="28"/>
  <c r="AK913" i="28"/>
  <c r="AK191" i="28"/>
  <c r="AK709" i="28"/>
  <c r="AK823" i="28"/>
  <c r="AK837" i="28"/>
  <c r="AK768" i="28"/>
  <c r="AK655" i="28"/>
  <c r="AK907" i="28"/>
  <c r="AK564" i="28"/>
  <c r="AK557" i="28"/>
  <c r="AK444" i="28"/>
  <c r="AK945" i="28"/>
  <c r="AK380" i="28"/>
  <c r="AK929" i="28"/>
  <c r="AK501" i="28"/>
  <c r="AK707" i="28"/>
  <c r="AK255" i="28"/>
  <c r="AK793" i="28"/>
  <c r="AK612" i="28"/>
  <c r="AK692" i="28"/>
  <c r="AK433" i="28"/>
  <c r="AK543" i="28"/>
  <c r="AK712" i="28"/>
  <c r="AK346" i="28"/>
  <c r="AK582" i="28"/>
  <c r="AK342" i="28"/>
  <c r="AK761" i="28"/>
  <c r="AK885" i="28"/>
  <c r="AK839" i="28"/>
  <c r="AK445" i="28"/>
  <c r="AK923" i="28"/>
  <c r="AK566" i="28"/>
  <c r="AK621" i="28"/>
  <c r="AK283" i="28"/>
  <c r="AK987" i="28"/>
  <c r="AK468" i="28"/>
  <c r="AK527" i="28"/>
  <c r="AK387" i="28"/>
  <c r="AK244" i="28"/>
  <c r="AK715" i="28"/>
  <c r="AK495" i="28"/>
  <c r="AK570" i="28"/>
  <c r="AK988" i="28"/>
  <c r="AK893" i="28"/>
  <c r="AK802" i="28"/>
  <c r="AK385" i="28"/>
  <c r="AK507" i="28"/>
  <c r="AK280" i="28"/>
  <c r="AK462" i="28"/>
  <c r="AK585" i="28"/>
  <c r="AK633" i="28"/>
  <c r="AK911" i="28"/>
  <c r="AK225" i="28"/>
  <c r="AK575" i="28"/>
  <c r="AK219" i="28"/>
  <c r="AK1001" i="28"/>
  <c r="AK804" i="28"/>
  <c r="AK393" i="28"/>
  <c r="AK959" i="28"/>
  <c r="AK818" i="28"/>
  <c r="AK891" i="28"/>
  <c r="AK985" i="28"/>
  <c r="AK337" i="28"/>
  <c r="AK311" i="28"/>
  <c r="AK321" i="28"/>
  <c r="AK241" i="28"/>
  <c r="AK363" i="28"/>
  <c r="AK242" i="28"/>
  <c r="AK836" i="28"/>
  <c r="AK465" i="28"/>
  <c r="AK300" i="28"/>
  <c r="AK285" i="28"/>
  <c r="AK880" i="28"/>
  <c r="AK541" i="28"/>
  <c r="AK540" i="28"/>
  <c r="AK593" i="28"/>
  <c r="AK791" i="28"/>
  <c r="AK441" i="28"/>
  <c r="AK648" i="28"/>
  <c r="AK174" i="28"/>
  <c r="AK431" i="28"/>
  <c r="AK656" i="28"/>
  <c r="AK966" i="28"/>
  <c r="AK226" i="28"/>
  <c r="AK214" i="28"/>
  <c r="AK651" i="28"/>
  <c r="AK453" i="28"/>
  <c r="AK841" i="28"/>
  <c r="AK248" i="28"/>
  <c r="AK858" i="28"/>
  <c r="AK537" i="28"/>
  <c r="AK526" i="28"/>
  <c r="AK894" i="28"/>
  <c r="AK391" i="28"/>
  <c r="AK413" i="28"/>
  <c r="AK309" i="28"/>
  <c r="AK745" i="28"/>
  <c r="AK879" i="28"/>
  <c r="AK602" i="28"/>
  <c r="AK489" i="28"/>
  <c r="AK388" i="28"/>
  <c r="AK528" i="28"/>
  <c r="AK682" i="28"/>
  <c r="AK615" i="28"/>
  <c r="AK562" i="28"/>
  <c r="AK766" i="28"/>
  <c r="AK992" i="28"/>
  <c r="AK644" i="28"/>
  <c r="AK411" i="28"/>
  <c r="AK735" i="28"/>
  <c r="AK456" i="28"/>
  <c r="AK308" i="28"/>
  <c r="AK532" i="28"/>
  <c r="AK452" i="28"/>
  <c r="AK594" i="28"/>
  <c r="AK884" i="28"/>
  <c r="AK559" i="28"/>
  <c r="AK852" i="28"/>
  <c r="AK406" i="28"/>
  <c r="AK478" i="28"/>
  <c r="AK247" i="28"/>
  <c r="AK211" i="28"/>
  <c r="AK217" i="28"/>
  <c r="AK948" i="28"/>
  <c r="AK533" i="28"/>
  <c r="AK604" i="28"/>
  <c r="AK162" i="28"/>
  <c r="AK675" i="28"/>
  <c r="AK700" i="28"/>
  <c r="AK955" i="28"/>
  <c r="AK719" i="28"/>
  <c r="AK753" i="28"/>
  <c r="AK565" i="28"/>
  <c r="AK386" i="28"/>
  <c r="AK829" i="28"/>
  <c r="AK294" i="28"/>
  <c r="AK978" i="28"/>
  <c r="AK289" i="28"/>
  <c r="AK889" i="28"/>
  <c r="AK518" i="28"/>
  <c r="AK924" i="28"/>
  <c r="AK822" i="28"/>
  <c r="AK998" i="28"/>
  <c r="AK200" i="28"/>
  <c r="AK792" i="28"/>
  <c r="AK347" i="28"/>
  <c r="AK429" i="28"/>
  <c r="AK882" i="28"/>
  <c r="AK293" i="28"/>
  <c r="AK765" i="28"/>
  <c r="AK173" i="28"/>
  <c r="AK296" i="28"/>
  <c r="AK799" i="28"/>
  <c r="AK493" i="28"/>
  <c r="AK514" i="28"/>
  <c r="AK476" i="28"/>
  <c r="AK708" i="28"/>
  <c r="AK895" i="28"/>
  <c r="AK641" i="28"/>
  <c r="AK549" i="28"/>
  <c r="AK410" i="28"/>
  <c r="AK687" i="28"/>
  <c r="AK798" i="28"/>
  <c r="AK509" i="28"/>
  <c r="AK430" i="28"/>
  <c r="AK833" i="28"/>
  <c r="AK788" i="28"/>
  <c r="AK578" i="28"/>
  <c r="AK370" i="28"/>
  <c r="AK220" i="28"/>
  <c r="AK901" i="28"/>
  <c r="AK810" i="28"/>
  <c r="AK470" i="28"/>
  <c r="AK809" i="28"/>
  <c r="AK490" i="28"/>
  <c r="AK717" i="28"/>
  <c r="AK590" i="28"/>
  <c r="AK236" i="28"/>
  <c r="AK607" i="28"/>
  <c r="AK336" i="28"/>
  <c r="AK743" i="28"/>
  <c r="AK668" i="28"/>
  <c r="AK632" i="28"/>
  <c r="AK379" i="28"/>
  <c r="AK571" i="28"/>
  <c r="AK448" i="28"/>
  <c r="AK834" i="28"/>
  <c r="AK344" i="28"/>
  <c r="AK231" i="28"/>
  <c r="AK705" i="28"/>
  <c r="AK584" i="28"/>
  <c r="AK438" i="28"/>
  <c r="AK649" i="28"/>
  <c r="AK206" i="28"/>
  <c r="AK942" i="28"/>
  <c r="AK964" i="28"/>
  <c r="AK690" i="28"/>
  <c r="AK288" i="28"/>
  <c r="AK167" i="28"/>
  <c r="AK912" i="28"/>
  <c r="AK989" i="28"/>
  <c r="AK838" i="28"/>
  <c r="AK310" i="28"/>
  <c r="AK873" i="28"/>
  <c r="AK434" i="28"/>
  <c r="AK257" i="28"/>
  <c r="AK944" i="28"/>
  <c r="AK457" i="28"/>
  <c r="AK660" i="28"/>
  <c r="AK706" i="28"/>
  <c r="AK861" i="28"/>
  <c r="AK832" i="28"/>
  <c r="AK640" i="28"/>
  <c r="AK772" i="28"/>
  <c r="AK333" i="28"/>
  <c r="AK396" i="28"/>
  <c r="AK505" i="28"/>
  <c r="AK180" i="28"/>
  <c r="AK535" i="28"/>
  <c r="AK376" i="28"/>
  <c r="AK789" i="28"/>
  <c r="AK663" i="28"/>
  <c r="AK224" i="28"/>
  <c r="AK918" i="28"/>
  <c r="AK596" i="28"/>
  <c r="AK800" i="28"/>
  <c r="AK198" i="28"/>
  <c r="AK865" i="28"/>
  <c r="AK821" i="28"/>
  <c r="AK811" i="28"/>
  <c r="AK256" i="28"/>
  <c r="AK970" i="28"/>
  <c r="AK561" i="28"/>
  <c r="AK423" i="28"/>
  <c r="AK639" i="28"/>
  <c r="AK611" i="28"/>
  <c r="AK684" i="28"/>
  <c r="AK221" i="28"/>
  <c r="AK492" i="28"/>
  <c r="AK840" i="28"/>
  <c r="AK763" i="28"/>
  <c r="AK695" i="28"/>
  <c r="AK298" i="28"/>
  <c r="AK210" i="28"/>
  <c r="AK195" i="28"/>
  <c r="AK846" i="28"/>
  <c r="AK251" i="28"/>
  <c r="AK878" i="28"/>
  <c r="AK389" i="28"/>
  <c r="AK952" i="28"/>
  <c r="AK551" i="28"/>
  <c r="AK991" i="28"/>
  <c r="AK626" i="28"/>
  <c r="AK762" i="28"/>
  <c r="AK581" i="28"/>
  <c r="AK610" i="28"/>
  <c r="AK736" i="28"/>
  <c r="AK482" i="28"/>
  <c r="AK914" i="28"/>
  <c r="AK392" i="28"/>
  <c r="AK356" i="28"/>
  <c r="AK213" i="28"/>
  <c r="AK449" i="28"/>
  <c r="AK201" i="28"/>
  <c r="AK808" i="28"/>
  <c r="AK319" i="28"/>
  <c r="AK334" i="28"/>
  <c r="AK597" i="28"/>
  <c r="AK263" i="28"/>
  <c r="AK265" i="28"/>
  <c r="AK975" i="28"/>
  <c r="AK786" i="28"/>
  <c r="AK305" i="28"/>
  <c r="AK268" i="28"/>
  <c r="AK539" i="28"/>
  <c r="AK696" i="28"/>
  <c r="AK286" i="28"/>
  <c r="AK760" i="28"/>
  <c r="AK720" i="28"/>
  <c r="AK848" i="28"/>
  <c r="AK606" i="28"/>
  <c r="AK371" i="28"/>
  <c r="AK854" i="28"/>
  <c r="AK752" i="28"/>
  <c r="AK754" i="28"/>
  <c r="AK183" i="28"/>
  <c r="AK577" i="28"/>
  <c r="AK182" i="28"/>
  <c r="AK464" i="28"/>
  <c r="AK447" i="28"/>
  <c r="AK480" i="28"/>
  <c r="AK871" i="28"/>
  <c r="AK202" i="28"/>
  <c r="AK278" i="28"/>
  <c r="AK638" i="28"/>
  <c r="AK820" i="28"/>
  <c r="AK744" i="28"/>
  <c r="AK573" i="28"/>
  <c r="AK591" i="28"/>
  <c r="AK504" i="28"/>
  <c r="AK867" i="28"/>
  <c r="AK279" i="28"/>
  <c r="AK679" i="28"/>
  <c r="AK990" i="28"/>
  <c r="AK325" i="28"/>
  <c r="AK733" i="28"/>
  <c r="AK825" i="28"/>
  <c r="AK855" i="28"/>
  <c r="AK261" i="28"/>
  <c r="AK422" i="28"/>
  <c r="AK803" i="28"/>
  <c r="AK677" i="28"/>
  <c r="AK674" i="28"/>
  <c r="AK264" i="28"/>
  <c r="AK777" i="28"/>
  <c r="AK876" i="28"/>
  <c r="AK652" i="28"/>
  <c r="AK616" i="28"/>
  <c r="AK349" i="28"/>
  <c r="AK883" i="28"/>
  <c r="AK603" i="28"/>
  <c r="AK667" i="28"/>
  <c r="AK179" i="28"/>
  <c r="AK488" i="28"/>
  <c r="AK270" i="28"/>
  <c r="AK351" i="28"/>
  <c r="AK398" i="28"/>
  <c r="AK716" i="28"/>
  <c r="AK813" i="28"/>
  <c r="AK364" i="28"/>
  <c r="AK748" i="28"/>
  <c r="AK203" i="28"/>
  <c r="AK312" i="28"/>
  <c r="AK440" i="28"/>
  <c r="AK703" i="28"/>
  <c r="AK426" i="28"/>
  <c r="AK362" i="28"/>
  <c r="AK842" i="28"/>
  <c r="AK940" i="28"/>
  <c r="AK169" i="28"/>
  <c r="AK997" i="28"/>
  <c r="AK819" i="28"/>
  <c r="AK252" i="28"/>
  <c r="AK508" i="28"/>
  <c r="AK757" i="28"/>
  <c r="AK485" i="28"/>
  <c r="AK275" i="28"/>
  <c r="AK302" i="28"/>
  <c r="AK184" i="28"/>
  <c r="AK516" i="28"/>
  <c r="AK477" i="28"/>
  <c r="AK254" i="28"/>
  <c r="AK547" i="28"/>
  <c r="AK239" i="28"/>
  <c r="AK491" i="28"/>
  <c r="AK678" i="28"/>
  <c r="AK896" i="28"/>
  <c r="AK625" i="28"/>
  <c r="AK304" i="28"/>
  <c r="AK872" i="28"/>
  <c r="AK785" i="28"/>
  <c r="AK513" i="28"/>
  <c r="AK544" i="28"/>
  <c r="AK502" i="28"/>
  <c r="AK384" i="28"/>
  <c r="AK163" i="28"/>
  <c r="AK781" i="28"/>
  <c r="AK178" i="28"/>
  <c r="AK497" i="28"/>
  <c r="AK847" i="28"/>
  <c r="AK671" i="28"/>
  <c r="AK903" i="28"/>
  <c r="AK554" i="28"/>
  <c r="AK517" i="28"/>
  <c r="AK374" i="28"/>
  <c r="AK330" i="28"/>
  <c r="AK973" i="28"/>
  <c r="AK395" i="28"/>
  <c r="AK635" i="28"/>
  <c r="AK168" i="28"/>
  <c r="AK605" i="28"/>
  <c r="AK831" i="28"/>
  <c r="AK523" i="28"/>
  <c r="AK790" i="28"/>
  <c r="AK403" i="28"/>
  <c r="AK228" i="28"/>
  <c r="AK372" i="28"/>
  <c r="AK229" i="28"/>
  <c r="AK408" i="28"/>
  <c r="AK409" i="28"/>
  <c r="AK177" i="28"/>
  <c r="AK569" i="28"/>
  <c r="AK699" i="28"/>
  <c r="AK240" i="28"/>
  <c r="AK922" i="28"/>
  <c r="AK755" i="28"/>
  <c r="AK877" i="28"/>
  <c r="AK749" i="28"/>
  <c r="AK972" i="28"/>
  <c r="AK534" i="28"/>
  <c r="AK957" i="28"/>
  <c r="AK383" i="28"/>
  <c r="AK746" i="28"/>
  <c r="AK196" i="28"/>
  <c r="AK843" i="28"/>
  <c r="AK711" i="28"/>
  <c r="AK941" i="28"/>
  <c r="AK377" i="28"/>
  <c r="AK815" i="28"/>
  <c r="AK348" i="28"/>
  <c r="AK216" i="28"/>
  <c r="AK404" i="28"/>
  <c r="AK208" i="28"/>
  <c r="AK443" i="28"/>
  <c r="AK260" i="28"/>
  <c r="AK165" i="28"/>
  <c r="AK295" i="28"/>
  <c r="AK500" i="28"/>
  <c r="AK589" i="28"/>
  <c r="AK503" i="28"/>
  <c r="AK849" i="28"/>
  <c r="AK381" i="28"/>
  <c r="AK230" i="28"/>
  <c r="AK378" i="28"/>
  <c r="AK601" i="28"/>
  <c r="AK740" i="28"/>
  <c r="AK969" i="28"/>
  <c r="AK968" i="28"/>
  <c r="AK360" i="28"/>
  <c r="AK459" i="28"/>
  <c r="AK397" i="28"/>
  <c r="AK439" i="28"/>
  <c r="AK949" i="28"/>
  <c r="AK681" i="28"/>
  <c r="AK484" i="28"/>
  <c r="AK451" i="28"/>
  <c r="AK971" i="28"/>
  <c r="AK323" i="28"/>
  <c r="AK767" i="28"/>
  <c r="AK963" i="28"/>
  <c r="AK481" i="28"/>
  <c r="AK860" i="28"/>
  <c r="AK784" i="28"/>
  <c r="AK731" i="28"/>
  <c r="AK326" i="28"/>
  <c r="AK212" i="28"/>
  <c r="AK734" i="28"/>
  <c r="AK751" i="28"/>
  <c r="AK555" i="28"/>
  <c r="AK587" i="28"/>
  <c r="AK267" i="28"/>
  <c r="AK943" i="28"/>
  <c r="AK536" i="28"/>
  <c r="AK450" i="28"/>
  <c r="AK967" i="28"/>
  <c r="AK857" i="28"/>
  <c r="AK908" i="28"/>
  <c r="AK249" i="28"/>
  <c r="AK428" i="28"/>
  <c r="AK401" i="28"/>
  <c r="AK866" i="28"/>
  <c r="AK418" i="28"/>
  <c r="AK769" i="28"/>
  <c r="AK271" i="28"/>
  <c r="AK817" i="28"/>
  <c r="AK199" i="28"/>
  <c r="AK776" i="28"/>
  <c r="AK961" i="28"/>
  <c r="AK993" i="28"/>
  <c r="AK759" i="28"/>
  <c r="AK778" i="28"/>
  <c r="AK830" i="28"/>
  <c r="AK274" i="28"/>
  <c r="AK354" i="28"/>
  <c r="AK691" i="28"/>
  <c r="AK358" i="28"/>
  <c r="AK764" i="28"/>
  <c r="AK560" i="28"/>
  <c r="AK844" i="28"/>
  <c r="AK794" i="28"/>
  <c r="AK939" i="28"/>
  <c r="AK331" i="28"/>
  <c r="AK773" i="28"/>
  <c r="AK774" i="28"/>
  <c r="AK935" i="28"/>
  <c r="AK658" i="28"/>
  <c r="AK645" i="28"/>
  <c r="AK686" i="28"/>
  <c r="AK724" i="28"/>
  <c r="AK805" i="28"/>
  <c r="AK353" i="28"/>
  <c r="AK176" i="28"/>
  <c r="AK266" i="28"/>
  <c r="AK902" i="28"/>
  <c r="AK487" i="28"/>
  <c r="AK994" i="28"/>
  <c r="AK643" i="28"/>
  <c r="AK499" i="28"/>
  <c r="AK982" i="28"/>
  <c r="AK672" i="28"/>
  <c r="AK361" i="28"/>
  <c r="AK367" i="28"/>
  <c r="AK463" i="28"/>
  <c r="AK420" i="28"/>
  <c r="AK529" i="28"/>
  <c r="AK469" i="28"/>
  <c r="AK355" i="28"/>
  <c r="AK207" i="28"/>
  <c r="AK814" i="28"/>
  <c r="AK932" i="28"/>
  <c r="AK917" i="28"/>
  <c r="AK689" i="28"/>
  <c r="AK900" i="28"/>
  <c r="AK801" i="28"/>
  <c r="AK887" i="28"/>
  <c r="AK613" i="28"/>
  <c r="AK467" i="28"/>
  <c r="AK341" i="28"/>
  <c r="AK782" i="28"/>
  <c r="AK382" i="28"/>
  <c r="AK272" i="28"/>
  <c r="AK243" i="28"/>
  <c r="AK826" i="28"/>
  <c r="AK299" i="28"/>
  <c r="AK623" i="28"/>
  <c r="AK461" i="28"/>
  <c r="AK269" i="28"/>
  <c r="AK739" i="28"/>
  <c r="AK694" i="28"/>
  <c r="AK192" i="28"/>
  <c r="AK417" i="28"/>
  <c r="AK662" i="28"/>
  <c r="AK850" i="28"/>
  <c r="AK714" i="28"/>
  <c r="AK853" i="28"/>
  <c r="AK906" i="28"/>
  <c r="AK728" i="28"/>
  <c r="AK650" i="28"/>
  <c r="AK580" i="28"/>
  <c r="AK828" i="28"/>
  <c r="AK962" i="28"/>
  <c r="AK806" i="28"/>
  <c r="AK245" i="28"/>
  <c r="AK303" i="28"/>
  <c r="AK898" i="28"/>
  <c r="AK600" i="28"/>
  <c r="AK538" i="28"/>
  <c r="AK595" i="28"/>
  <c r="AK576" i="28"/>
  <c r="AK253" i="28"/>
  <c r="AK193" i="28"/>
  <c r="AK318" i="28"/>
  <c r="AK238" i="28"/>
  <c r="AK718" i="28"/>
  <c r="AK951" i="28"/>
  <c r="AK205" i="28"/>
  <c r="AK588" i="28"/>
  <c r="AK905" i="28"/>
  <c r="AK454" i="28"/>
  <c r="AK617" i="28"/>
  <c r="AK741" i="28"/>
  <c r="AK665" i="28"/>
  <c r="AK953" i="28"/>
  <c r="AK548" i="28"/>
  <c r="AK506" i="28"/>
  <c r="AK933" i="28"/>
  <c r="AK965" i="28"/>
  <c r="AK282" i="28"/>
  <c r="AK432" i="28"/>
  <c r="AK816" i="28"/>
  <c r="AK235" i="28"/>
  <c r="AK976" i="28"/>
  <c r="AK738" i="28"/>
  <c r="AK574" i="28"/>
  <c r="AK592" i="28"/>
  <c r="AK437" i="28"/>
  <c r="AK375" i="28"/>
  <c r="AK756" i="28"/>
  <c r="AK670" i="28"/>
  <c r="AK259" i="28"/>
  <c r="AK436" i="28"/>
  <c r="AK693" i="28"/>
  <c r="AK232" i="28"/>
  <c r="AK498" i="28"/>
  <c r="AK779" i="28"/>
  <c r="AK317" i="28"/>
  <c r="AK685" i="28"/>
  <c r="AK246" i="28"/>
  <c r="AK646" i="28"/>
  <c r="AK455" i="28"/>
  <c r="AK553" i="28"/>
  <c r="AK414" i="28"/>
  <c r="AK986" i="28"/>
  <c r="AK531" i="28"/>
  <c r="AK568" i="28"/>
  <c r="AK654" i="28"/>
  <c r="AK927" i="28"/>
  <c r="AK412" i="28"/>
  <c r="AK291" i="28"/>
  <c r="AK599" i="28"/>
  <c r="AK510" i="28"/>
  <c r="AK947" i="28"/>
  <c r="AK340" i="28"/>
  <c r="AK647" i="28"/>
  <c r="AK920" i="28"/>
  <c r="AK425" i="28"/>
  <c r="AK181" i="28"/>
  <c r="AK910" i="28"/>
  <c r="AK725" i="28"/>
  <c r="AK314" i="28"/>
  <c r="AK747" i="28"/>
  <c r="AK698" i="28"/>
  <c r="AK373" i="28"/>
  <c r="AK290" i="28"/>
  <c r="AK189" i="28"/>
  <c r="AK980" i="28"/>
  <c r="AK620" i="28"/>
  <c r="AK218" i="28"/>
  <c r="AK931" i="28"/>
  <c r="AK977" i="28"/>
  <c r="AK166" i="28"/>
  <c r="AK446" i="28"/>
  <c r="AK937" i="28"/>
  <c r="AK770" i="28"/>
  <c r="AK890" i="28"/>
  <c r="AK624" i="28"/>
  <c r="AK435" i="28"/>
  <c r="AK795" i="28"/>
  <c r="AK960" i="28"/>
  <c r="AK515" i="28"/>
  <c r="AK661" i="28"/>
  <c r="AK634" i="28"/>
  <c r="AK950" i="28"/>
  <c r="AK572" i="28"/>
  <c r="AK701" i="28"/>
  <c r="AK1002" i="28"/>
  <c r="AK730" i="28"/>
  <c r="AK215" i="28"/>
  <c r="AK307" i="28"/>
  <c r="AK327" i="28"/>
  <c r="AK946" i="28"/>
  <c r="AK938" i="28"/>
  <c r="AK186" i="28"/>
  <c r="AK797" i="28"/>
  <c r="AK171" i="28"/>
  <c r="AK737" i="28"/>
  <c r="AK164" i="28"/>
  <c r="AK204" i="28"/>
  <c r="AK999" i="28"/>
  <c r="AK427" i="28"/>
  <c r="AK511" i="28"/>
  <c r="AK190" i="28"/>
  <c r="AK442" i="28"/>
  <c r="AK666" i="28"/>
  <c r="AK915" i="28"/>
  <c r="AK233" i="28"/>
  <c r="AK483" i="28"/>
  <c r="AK350" i="28"/>
  <c r="AK567" i="28"/>
  <c r="AK277" i="28"/>
  <c r="AK886" i="28"/>
  <c r="AK657" i="28"/>
  <c r="AK424" i="28"/>
  <c r="AK416" i="28"/>
  <c r="AK870" i="28"/>
  <c r="AK631" i="28"/>
  <c r="AK1000" i="28"/>
  <c r="AK474" i="28"/>
  <c r="AK742" i="28"/>
  <c r="AK862" i="28"/>
  <c r="AK320" i="28"/>
  <c r="AK704" i="28"/>
  <c r="AK339" i="28"/>
  <c r="AK250" i="28"/>
  <c r="AK390" i="28"/>
  <c r="AK824" i="28"/>
  <c r="AK926" i="28"/>
  <c r="AK669" i="28"/>
  <c r="AK726" i="28"/>
  <c r="AK405" i="28"/>
  <c r="AK904" i="28"/>
  <c r="AK729" i="28"/>
  <c r="AK262" i="28"/>
  <c r="AK315" i="28"/>
  <c r="AK522" i="28"/>
  <c r="AK558" i="28"/>
  <c r="AK369" i="28"/>
  <c r="AK722" i="28"/>
  <c r="AK930" i="28"/>
  <c r="AK284" i="28"/>
  <c r="AK812" i="28"/>
  <c r="AK329" i="28"/>
  <c r="AK172" i="28"/>
  <c r="AK995" i="28"/>
  <c r="AK415" i="28"/>
  <c r="AK328" i="28"/>
  <c r="AK845" i="28"/>
  <c r="AK227" i="28"/>
  <c r="AK161" i="28"/>
  <c r="AK556" i="28"/>
  <c r="AK421" i="28"/>
  <c r="AK475" i="28"/>
  <c r="AK869" i="28"/>
  <c r="AK545" i="28"/>
  <c r="AK732" i="28"/>
  <c r="AK301" i="28"/>
  <c r="AK697" i="28"/>
  <c r="AK979" i="28"/>
  <c r="AK899" i="28"/>
  <c r="AK981" i="28"/>
  <c r="AK512" i="28"/>
  <c r="AM2" i="28" l="1" a="1"/>
  <c r="AN67" i="28" s="1"/>
  <c r="AN41" i="28" l="1"/>
  <c r="AN53" i="28"/>
  <c r="AN54" i="28"/>
  <c r="AN11" i="28"/>
  <c r="AN57" i="28"/>
  <c r="AN3" i="28"/>
  <c r="AN46" i="28"/>
  <c r="AN39" i="28"/>
  <c r="AN45" i="28"/>
  <c r="AN16" i="28"/>
  <c r="AN59" i="28"/>
  <c r="AN43" i="28"/>
  <c r="AN17" i="28"/>
  <c r="AN29" i="28"/>
  <c r="AN24" i="28"/>
  <c r="AM2" i="28"/>
  <c r="AN2" i="28" s="1"/>
  <c r="AN31" i="28"/>
  <c r="AN21" i="28"/>
  <c r="AN62" i="28"/>
  <c r="AN34" i="28"/>
  <c r="AN9" i="28"/>
  <c r="AN61" i="28"/>
  <c r="AN37" i="28"/>
  <c r="AN13" i="28"/>
  <c r="AN36" i="28"/>
  <c r="AN40" i="28"/>
  <c r="AN56" i="28"/>
  <c r="AN4" i="28"/>
  <c r="AN18" i="28"/>
  <c r="AN10" i="28"/>
  <c r="AN44" i="28"/>
  <c r="AN49" i="28"/>
  <c r="AN47" i="28"/>
  <c r="AN58" i="28"/>
  <c r="AN33" i="28"/>
  <c r="AN25" i="28"/>
  <c r="AN15" i="28"/>
  <c r="AN30" i="28"/>
  <c r="AN28" i="28"/>
  <c r="AN26" i="28"/>
  <c r="AN20" i="28"/>
  <c r="AN38" i="28"/>
  <c r="AN50" i="28"/>
  <c r="AN22" i="28"/>
  <c r="AN19" i="28"/>
  <c r="AN51" i="28"/>
  <c r="AN12" i="28"/>
  <c r="AN35" i="28"/>
  <c r="AN60" i="28"/>
  <c r="AN8" i="28"/>
  <c r="AN52" i="28"/>
  <c r="AN5" i="28"/>
  <c r="AN14" i="28"/>
  <c r="AN55" i="28"/>
  <c r="AN48" i="28"/>
  <c r="AN66" i="28"/>
  <c r="AN6" i="28"/>
  <c r="AN7" i="28"/>
  <c r="AN64" i="28"/>
  <c r="AN23" i="28"/>
  <c r="AN63" i="28"/>
  <c r="AN27" i="28"/>
  <c r="AN42" i="28"/>
  <c r="AN32" i="28"/>
  <c r="AN65" i="2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Jeanmaire, Philippe</author>
    <author>CONSEQUENCE, Wendy</author>
    <author>Jacquot Samuel</author>
    <author>Keller, Olivier</author>
  </authors>
  <commentList>
    <comment ref="G1" authorId="0" shapeId="0" xr:uid="{00000000-0006-0000-0500-000001000000}">
      <text>
        <r>
          <rPr>
            <b/>
            <sz val="9"/>
            <color indexed="81"/>
            <rFont val="Tahoma"/>
            <family val="2"/>
          </rPr>
          <t>Jeanmaire, Philippe:</t>
        </r>
        <r>
          <rPr>
            <sz val="9"/>
            <color indexed="81"/>
            <rFont val="Tahoma"/>
            <family val="2"/>
          </rPr>
          <t xml:space="preserve">
Rename
</t>
        </r>
      </text>
    </comment>
    <comment ref="K1" authorId="1" shapeId="0" xr:uid="{00000000-0006-0000-0500-000002000000}">
      <text>
        <r>
          <rPr>
            <b/>
            <sz val="9"/>
            <color indexed="81"/>
            <rFont val="Tahoma"/>
            <family val="2"/>
          </rPr>
          <t>CONSEQUENCE, Wendy:</t>
        </r>
        <r>
          <rPr>
            <sz val="9"/>
            <color indexed="81"/>
            <rFont val="Tahoma"/>
            <family val="2"/>
          </rPr>
          <t xml:space="preserve">
uniquement si FarSite</t>
        </r>
      </text>
    </comment>
    <comment ref="S1" authorId="0" shapeId="0" xr:uid="{00000000-0006-0000-0500-000003000000}">
      <text>
        <r>
          <rPr>
            <b/>
            <sz val="9"/>
            <color indexed="81"/>
            <rFont val="Tahoma"/>
            <family val="2"/>
          </rPr>
          <t>Jeanmaire, Philippe:</t>
        </r>
        <r>
          <rPr>
            <sz val="9"/>
            <color indexed="81"/>
            <rFont val="Tahoma"/>
            <family val="2"/>
          </rPr>
          <t xml:space="preserve">
Date on which the customer sends the request</t>
        </r>
      </text>
    </comment>
    <comment ref="T1" authorId="0" shapeId="0" xr:uid="{00000000-0006-0000-0500-000004000000}">
      <text>
        <r>
          <rPr>
            <b/>
            <sz val="9"/>
            <color indexed="81"/>
            <rFont val="Tahoma"/>
            <family val="2"/>
          </rPr>
          <t>Jeanmaire, Philippe:</t>
        </r>
        <r>
          <rPr>
            <sz val="9"/>
            <color indexed="81"/>
            <rFont val="Tahoma"/>
            <family val="2"/>
          </rPr>
          <t xml:space="preserve">
Deadline date by which the contractor must make known his willingness to make an offer</t>
        </r>
      </text>
    </comment>
    <comment ref="U1" authorId="0" shapeId="0" xr:uid="{00000000-0006-0000-0500-000005000000}">
      <text>
        <r>
          <rPr>
            <b/>
            <sz val="9"/>
            <color indexed="81"/>
            <rFont val="Tahoma"/>
            <family val="2"/>
          </rPr>
          <t>Jeanmaire, Philippe:</t>
        </r>
        <r>
          <rPr>
            <sz val="9"/>
            <color indexed="81"/>
            <rFont val="Tahoma"/>
            <family val="2"/>
          </rPr>
          <t xml:space="preserve">
Deadline date by which the contractor must present his list of proposed qualified external service providers.
At least 4 working days as from the “Y/N date”</t>
        </r>
      </text>
    </comment>
    <comment ref="AJ1" authorId="2" shapeId="0" xr:uid="{00000000-0006-0000-0500-00000C000000}">
      <text>
        <r>
          <rPr>
            <b/>
            <sz val="9"/>
            <color indexed="81"/>
            <rFont val="Tahoma"/>
            <family val="2"/>
          </rPr>
          <t>Jacquot Samuel:</t>
        </r>
        <r>
          <rPr>
            <sz val="9"/>
            <color indexed="81"/>
            <rFont val="Tahoma"/>
            <family val="2"/>
          </rPr>
          <t xml:space="preserve">
S = signé
T = terminé</t>
        </r>
      </text>
    </comment>
    <comment ref="B41" authorId="3" shapeId="0" xr:uid="{82CA610F-F41C-4426-B160-57F60396857E}">
      <text>
        <r>
          <rPr>
            <b/>
            <sz val="9"/>
            <color indexed="81"/>
            <rFont val="Tahoma"/>
            <family val="2"/>
          </rPr>
          <t>Corrigé (Offer fausse)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Jeanmaire, Philippe</author>
    <author>Keller, Olivier</author>
    <author>PEON, Gilles</author>
    <author>VENDRAME, Christophe</author>
  </authors>
  <commentList>
    <comment ref="D2" authorId="0" shapeId="0" xr:uid="{00000000-0006-0000-0600-000001000000}">
      <text>
        <r>
          <rPr>
            <b/>
            <sz val="9"/>
            <color indexed="81"/>
            <rFont val="Tahoma"/>
            <family val="2"/>
          </rPr>
          <t>Jeanmaire, Philippe:</t>
        </r>
        <r>
          <rPr>
            <sz val="9"/>
            <color indexed="81"/>
            <rFont val="Tahoma"/>
            <family val="2"/>
          </rPr>
          <t xml:space="preserve">
Utiliser la ref de l'offre</t>
        </r>
      </text>
    </comment>
    <comment ref="E2" authorId="1" shapeId="0" xr:uid="{A43DA134-C3BC-45C9-89B1-63090FF5F0D4}">
      <text>
        <r>
          <rPr>
            <b/>
            <sz val="9"/>
            <color indexed="81"/>
            <rFont val="Tahoma"/>
            <family val="2"/>
          </rPr>
          <t>(BL = Baseline ;
NB = New Business)</t>
        </r>
      </text>
    </comment>
    <comment ref="T2" authorId="0" shapeId="0" xr:uid="{00000000-0006-0000-0600-000002000000}">
      <text>
        <r>
          <rPr>
            <b/>
            <sz val="9"/>
            <color indexed="81"/>
            <rFont val="Tahoma"/>
            <family val="2"/>
          </rPr>
          <t>Jeanmaire, Philippe:</t>
        </r>
        <r>
          <rPr>
            <sz val="9"/>
            <color indexed="81"/>
            <rFont val="Tahoma"/>
            <family val="2"/>
          </rPr>
          <t xml:space="preserve">
pour cascade
</t>
        </r>
      </text>
    </comment>
    <comment ref="T15" authorId="2" shapeId="0" xr:uid="{BD434EA4-7638-48F6-9FF3-022360F15B06}">
      <text>
        <r>
          <rPr>
            <b/>
            <sz val="9"/>
            <color indexed="81"/>
            <rFont val="Tahoma"/>
            <family val="2"/>
          </rPr>
          <t>PEON, Gilles:</t>
        </r>
        <r>
          <rPr>
            <sz val="9"/>
            <color indexed="81"/>
            <rFont val="Tahoma"/>
            <family val="2"/>
          </rPr>
          <t xml:space="preserve">
Montant dans CS : 443,55</t>
        </r>
      </text>
    </comment>
    <comment ref="T24" authorId="2" shapeId="0" xr:uid="{00000000-0006-0000-0600-000004000000}">
      <text>
        <r>
          <rPr>
            <b/>
            <sz val="9"/>
            <color indexed="81"/>
            <rFont val="Tahoma"/>
            <family val="2"/>
          </rPr>
          <t>PEON, Gilles:</t>
        </r>
        <r>
          <rPr>
            <sz val="9"/>
            <color indexed="81"/>
            <rFont val="Tahoma"/>
            <family val="2"/>
          </rPr>
          <t xml:space="preserve">
Montant dans CS : 536,96</t>
        </r>
      </text>
    </comment>
    <comment ref="BJ53" authorId="1" shapeId="0" xr:uid="{0B67E409-2292-46A5-B5B3-EB727B77BEAE}">
      <text>
        <r>
          <rPr>
            <b/>
            <sz val="9"/>
            <color indexed="81"/>
            <rFont val="Tahoma"/>
            <family val="2"/>
          </rPr>
          <t>Facture EDDA validée</t>
        </r>
      </text>
    </comment>
    <comment ref="BZ76" authorId="1" shapeId="0" xr:uid="{190ABE75-6028-4D3A-8591-B033709F7FB7}">
      <text>
        <r>
          <rPr>
            <b/>
            <sz val="9"/>
            <color indexed="81"/>
            <rFont val="Tahoma"/>
            <family val="2"/>
          </rPr>
          <t>Fin de SC : 28/02/2026</t>
        </r>
      </text>
    </comment>
    <comment ref="B80" authorId="1" shapeId="0" xr:uid="{A1819B6F-A96E-449E-BE6F-537436B817F5}">
      <text>
        <r>
          <rPr>
            <b/>
            <sz val="9"/>
            <color indexed="81"/>
            <rFont val="Tahoma"/>
            <family val="2"/>
          </rPr>
          <t>Contrat annulé</t>
        </r>
      </text>
    </comment>
    <comment ref="B86" authorId="1" shapeId="0" xr:uid="{BFA112B5-17BA-46D9-A6CF-520BA934AF8A}">
      <text>
        <r>
          <rPr>
            <b/>
            <sz val="9"/>
            <color indexed="81"/>
            <rFont val="Tahoma"/>
            <family val="2"/>
          </rPr>
          <t>Contrat annulé</t>
        </r>
        <r>
          <rPr>
            <sz val="9"/>
            <color indexed="81"/>
            <rFont val="Tahoma"/>
            <family val="2"/>
          </rPr>
          <t xml:space="preserve">
</t>
        </r>
      </text>
    </comment>
    <comment ref="V93" authorId="3" shapeId="0" xr:uid="{2ECD5F71-A29E-45E9-B794-6A72340DC13F}">
      <text>
        <r>
          <rPr>
            <b/>
            <sz val="9"/>
            <color indexed="81"/>
            <rFont val="Tahoma"/>
            <family val="2"/>
          </rPr>
          <t>VENDRAME, Christophe:</t>
        </r>
        <r>
          <rPr>
            <sz val="9"/>
            <color indexed="81"/>
            <rFont val="Tahoma"/>
            <family val="2"/>
          </rPr>
          <t xml:space="preserve">
+2000€ : frais</t>
        </r>
      </text>
    </comment>
    <comment ref="B98" authorId="1" shapeId="0" xr:uid="{241483FD-710C-4637-9210-04986A96EBA5}">
      <text>
        <r>
          <rPr>
            <b/>
            <sz val="9"/>
            <color indexed="81"/>
            <rFont val="Tahoma"/>
            <family val="2"/>
          </rPr>
          <t>-3 jours non facturables car fin de délai de SC atteinte (30/09/2024)</t>
        </r>
      </text>
    </comment>
    <comment ref="T102" authorId="2" shapeId="0" xr:uid="{00000000-0006-0000-0600-000003000000}">
      <text>
        <r>
          <rPr>
            <b/>
            <sz val="9"/>
            <color indexed="81"/>
            <rFont val="Tahoma"/>
            <family val="2"/>
          </rPr>
          <t>PEON, Gilles:</t>
        </r>
        <r>
          <rPr>
            <sz val="9"/>
            <color indexed="81"/>
            <rFont val="Tahoma"/>
            <family val="2"/>
          </rPr>
          <t xml:space="preserve">
Montant dans CS : 443,55</t>
        </r>
      </text>
    </comment>
    <comment ref="BJ106" authorId="1" shapeId="0" xr:uid="{4BAF4D3F-E9FB-4FA7-8050-28A3A2488438}">
      <text>
        <r>
          <rPr>
            <b/>
            <sz val="9"/>
            <color indexed="81"/>
            <rFont val="Tahoma"/>
            <family val="2"/>
          </rPr>
          <t>Facture EDDA validée</t>
        </r>
      </text>
    </comment>
    <comment ref="B107" authorId="1" shapeId="0" xr:uid="{02AA7DBD-56F4-41EE-B84F-45DF5E0596C4}">
      <text>
        <r>
          <rPr>
            <b/>
            <sz val="9"/>
            <color indexed="81"/>
            <rFont val="Tahoma"/>
            <family val="2"/>
          </rPr>
          <t>Offre refusée</t>
        </r>
      </text>
    </comment>
    <comment ref="BJ108" authorId="1" shapeId="0" xr:uid="{FECE3DD3-18FC-4375-AE8E-F968A924878C}">
      <text>
        <r>
          <rPr>
            <b/>
            <sz val="9"/>
            <color indexed="81"/>
            <rFont val="Tahoma"/>
            <family val="2"/>
          </rPr>
          <t>Facture EDDA validée</t>
        </r>
      </text>
    </comment>
    <comment ref="BJ113" authorId="1" shapeId="0" xr:uid="{3B3D9538-9DCA-4E24-A41D-5C0E2AC77511}">
      <text>
        <r>
          <rPr>
            <b/>
            <sz val="9"/>
            <color indexed="81"/>
            <rFont val="Tahoma"/>
            <family val="2"/>
          </rPr>
          <t>Facture EDDA validée</t>
        </r>
      </text>
    </comment>
    <comment ref="BJ116" authorId="1" shapeId="0" xr:uid="{C48761D9-56C6-4A52-B43D-2C05352E66A6}">
      <text>
        <r>
          <rPr>
            <b/>
            <sz val="9"/>
            <color indexed="81"/>
            <rFont val="Tahoma"/>
            <charset val="1"/>
          </rPr>
          <t>Facture EDDA validée</t>
        </r>
      </text>
    </comment>
    <comment ref="BJ119" authorId="1" shapeId="0" xr:uid="{A293074D-216C-4ECC-AA84-65D51D962780}">
      <text>
        <r>
          <rPr>
            <b/>
            <sz val="9"/>
            <color indexed="81"/>
            <rFont val="Tahoma"/>
            <family val="2"/>
          </rPr>
          <t>Facture EDDA validée</t>
        </r>
      </text>
    </comment>
    <comment ref="BJ125" authorId="1" shapeId="0" xr:uid="{E89E4C7B-1322-4329-8BF8-498CA82ADE9E}">
      <text>
        <r>
          <rPr>
            <b/>
            <sz val="9"/>
            <color indexed="81"/>
            <rFont val="Tahoma"/>
            <family val="2"/>
          </rPr>
          <t>Facture EDDA validée</t>
        </r>
      </text>
    </comment>
    <comment ref="BJ128" authorId="1" shapeId="0" xr:uid="{FBBC28A8-A217-4C6E-8A29-F53621CF3B8D}">
      <text>
        <r>
          <rPr>
            <b/>
            <sz val="9"/>
            <color indexed="81"/>
            <rFont val="Tahoma"/>
            <family val="2"/>
          </rPr>
          <t>Facture EDDA validée</t>
        </r>
      </text>
    </comment>
    <comment ref="BJ129" authorId="1" shapeId="0" xr:uid="{2A383B5E-92B6-4F46-A6B8-276296AA8BA5}">
      <text>
        <r>
          <rPr>
            <b/>
            <sz val="9"/>
            <color indexed="81"/>
            <rFont val="Tahoma"/>
            <family val="2"/>
          </rPr>
          <t>Facture EDDA validée</t>
        </r>
      </text>
    </comment>
    <comment ref="B142" authorId="1" shapeId="0" xr:uid="{C62DE052-4C3F-4F46-9226-08F3D9D26A4E}">
      <text>
        <r>
          <rPr>
            <b/>
            <sz val="9"/>
            <color indexed="81"/>
            <rFont val="Tahoma"/>
            <family val="2"/>
          </rPr>
          <t>Remplacement demandé par DIGIT</t>
        </r>
      </text>
    </comment>
    <comment ref="U142" authorId="1" shapeId="0" xr:uid="{65D6D232-7EE8-4CDA-AF98-8CCA659D332B}">
      <text>
        <r>
          <rPr>
            <b/>
            <sz val="9"/>
            <color indexed="81"/>
            <rFont val="Tahoma"/>
            <family val="2"/>
          </rPr>
          <t>Remplacement demandé par DIGIT</t>
        </r>
      </text>
    </comment>
    <comment ref="U144" authorId="1" shapeId="0" xr:uid="{00BB08D8-8DB0-4F19-AC5A-889BDB8ED659}">
      <text>
        <r>
          <rPr>
            <b/>
            <sz val="9"/>
            <color indexed="81"/>
            <rFont val="Tahoma"/>
            <family val="2"/>
          </rPr>
          <t>dont 10 jours de KT (gratuits)</t>
        </r>
      </text>
    </comment>
    <comment ref="BJ144" authorId="1" shapeId="0" xr:uid="{F0A44673-995C-4761-928B-0282E7ADD39E}">
      <text>
        <r>
          <rPr>
            <b/>
            <sz val="9"/>
            <color indexed="81"/>
            <rFont val="Tahoma"/>
            <family val="2"/>
          </rPr>
          <t>Les 10 premiers jours ne doivent pas être facturés au client (gratuité)</t>
        </r>
      </text>
    </comment>
    <comment ref="BJ148" authorId="1" shapeId="0" xr:uid="{B15289AF-8071-43F9-BBB6-D4E1FF067E76}">
      <text>
        <r>
          <rPr>
            <b/>
            <sz val="9"/>
            <color indexed="81"/>
            <rFont val="Tahoma"/>
            <family val="2"/>
          </rPr>
          <t>Facture EDDA validée</t>
        </r>
      </text>
    </comment>
    <comment ref="BZ148" authorId="1" shapeId="0" xr:uid="{80A4FCE8-DB13-48A1-9FDD-A69B9CEC742F}">
      <text>
        <r>
          <rPr>
            <b/>
            <sz val="9"/>
            <color indexed="81"/>
            <rFont val="Tahoma"/>
            <family val="2"/>
          </rPr>
          <t>Fin de SC : 31/12/2025</t>
        </r>
      </text>
    </comment>
    <comment ref="BJ152" authorId="1" shapeId="0" xr:uid="{2518059A-3B3D-44C2-BFCB-F8F6AD40D7C4}">
      <text>
        <r>
          <rPr>
            <b/>
            <sz val="9"/>
            <color indexed="81"/>
            <rFont val="Tahoma"/>
            <family val="2"/>
          </rPr>
          <t>Facture EDDA validée</t>
        </r>
      </text>
    </comment>
    <comment ref="BZ157" authorId="1" shapeId="0" xr:uid="{C304C17D-CDC4-4517-9B12-73C8E159B76E}">
      <text>
        <r>
          <rPr>
            <b/>
            <sz val="9"/>
            <color indexed="81"/>
            <rFont val="Tahoma"/>
            <family val="2"/>
          </rPr>
          <t>Fin de SC : 31/12/2025</t>
        </r>
      </text>
    </comment>
    <comment ref="BJ159" authorId="1" shapeId="0" xr:uid="{E3D43B29-7EFB-49C5-B01A-C36BA88FBA3D}">
      <text>
        <r>
          <rPr>
            <b/>
            <sz val="9"/>
            <color indexed="81"/>
            <rFont val="Tahoma"/>
            <family val="2"/>
          </rPr>
          <t>Facture EDDA validée</t>
        </r>
      </text>
    </comment>
    <comment ref="BJ160" authorId="1" shapeId="0" xr:uid="{0BD8464C-D146-4DB8-8E35-1FE8F5C8A80F}">
      <text>
        <r>
          <rPr>
            <b/>
            <sz val="9"/>
            <color indexed="81"/>
            <rFont val="Tahoma"/>
            <family val="2"/>
          </rPr>
          <t>Facture EDDA validée</t>
        </r>
      </text>
    </comment>
    <comment ref="BZ168" authorId="1" shapeId="0" xr:uid="{F7423EA6-411B-4DE7-8B4D-BE8530A9D91D}">
      <text>
        <r>
          <rPr>
            <b/>
            <sz val="9"/>
            <color indexed="81"/>
            <rFont val="Tahoma"/>
            <family val="2"/>
          </rPr>
          <t>Fin de SC :
31/10/2026</t>
        </r>
      </text>
    </comment>
    <comment ref="BZ169" authorId="1" shapeId="0" xr:uid="{8743FBC0-EA25-44A6-9426-BA31A10A83F8}">
      <text>
        <r>
          <rPr>
            <b/>
            <sz val="9"/>
            <color indexed="81"/>
            <rFont val="Tahoma"/>
            <family val="2"/>
          </rPr>
          <t>Fin de SC :
31/10/2026</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Jeanmaire, Philippe</author>
  </authors>
  <commentList>
    <comment ref="D2" authorId="0" shapeId="0" xr:uid="{00000000-0006-0000-0700-000001000000}">
      <text>
        <r>
          <rPr>
            <b/>
            <sz val="9"/>
            <color indexed="81"/>
            <rFont val="Tahoma"/>
            <family val="2"/>
          </rPr>
          <t>Jeanmaire, Philippe:</t>
        </r>
        <r>
          <rPr>
            <sz val="9"/>
            <color indexed="81"/>
            <rFont val="Tahoma"/>
            <family val="2"/>
          </rPr>
          <t xml:space="preserve">
Utiliser la ref de l'offre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Keller, Olivier</author>
  </authors>
  <commentList>
    <comment ref="AH27" authorId="0" shapeId="0" xr:uid="{96BD8B2A-2ACB-47F6-98AE-AF58CCC93481}">
      <text>
        <r>
          <rPr>
            <b/>
            <sz val="9"/>
            <color indexed="81"/>
            <rFont val="Tahoma"/>
            <family val="2"/>
          </rPr>
          <t>Fin de contrat anticipé.</t>
        </r>
      </text>
    </comment>
    <comment ref="C34" authorId="0" shapeId="0" xr:uid="{A60803F0-EB02-4406-B73E-DA303BFDB607}">
      <text>
        <r>
          <rPr>
            <b/>
            <sz val="9"/>
            <color indexed="81"/>
            <rFont val="Tahoma"/>
            <family val="2"/>
          </rPr>
          <t>Pas de renouvellement en attente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8E68DA7-4DBA-41C0-BED5-58E59B421CA6}" keepAlive="1" name="Requête - Exclusions Total" description="Connexion à la requête « Exclusions Total » dans le classeur." type="5" refreshedVersion="0" background="1">
    <dbPr connection="Provider=Microsoft.Mashup.OleDb.1;Data Source=$Workbook$;Location=&quot;Exclusions Total&quot;;Extended Properties=&quot;&quot;" command="SELECT * FROM [Exclusions Total]"/>
  </connection>
  <connection id="2" xr16:uid="{FD93A9B1-4CC8-4EA5-9D63-080EA28326EE}" keepAlive="1" name="Requête - Total Elligible CS for Stats - RUN" description="Connexion à la requête « Total Elligible CS for Stats - RUN » dans le classeur." type="5" refreshedVersion="8" background="1" saveData="1">
    <dbPr connection="Provider=Microsoft.Mashup.OleDb.1;Data Source=$Workbook$;Location=&quot;Total Elligible CS for Stats - RUN&quot;;Extended Properties=&quot;&quot;" command="SELECT * FROM [Total Elligible CS for Stats - RUN]"/>
  </connection>
  <connection id="3" xr16:uid="{E1F20758-1F2B-407F-B082-2B0C8A5A46EC}" keepAlive="1" name="Requête - Total Elligible CS Table for Stats - RUN" description="Connexion à la requête « Total Elligible CS Table for Stats - RUN » dans le classeur." type="5" refreshedVersion="8" background="1" saveData="1">
    <dbPr connection="Provider=Microsoft.Mashup.OleDb.1;Data Source=$Workbook$;Location=&quot;Total Elligible CS Table for Stats - RUN&quot;;Extended Properties=&quot;&quot;" command="SELECT * FROM [Total Elligible CS Table for Stats - RUN]"/>
  </connection>
  <connection id="4" xr16:uid="{FD3ED099-E63E-4A2F-9E40-98008817A614}" keepAlive="1" name="Requête - Total Received CS for Stats - ALL" description="Connexion à la requête « Total Received CS for Stats - ALL » dans le classeur." type="5" refreshedVersion="0" background="1">
    <dbPr connection="Provider=Microsoft.Mashup.OleDb.1;Data Source=$Workbook$;Location=&quot;Total Received CS for Stats - ALL&quot;;Extended Properties=&quot;&quot;" command="SELECT * FROM [Total Received CS for Stats - ALL]"/>
  </connection>
  <connection id="5" xr16:uid="{6578796A-8648-44EF-BA32-C2F6609B55E7}" keepAlive="1" name="Requête - Total Received CS for Stats - RUN" description="Connexion à la requête « Total Received CS for Stats - RUN » dans le classeur." type="5" refreshedVersion="0" background="1">
    <dbPr connection="Provider=Microsoft.Mashup.OleDb.1;Data Source=$Workbook$;Location=&quot;Total Received CS for Stats - RUN&quot;;Extended Properties=&quot;&quot;" command="SELECT * FROM [Total Received CS for Stats - RUN]"/>
  </connection>
  <connection id="6" xr16:uid="{495BFDEC-943F-4813-8971-AE50F1AB7F74}" keepAlive="1" name="Requête - Total Received CS Table for Stats - ALL" description="Connexion à la requête « Total Received CS Table for Stats - ALL » dans le classeur." type="5" refreshedVersion="8" background="1" saveData="1">
    <dbPr connection="Provider=Microsoft.Mashup.OleDb.1;Data Source=$Workbook$;Location=&quot;Total Received CS Table for Stats - ALL&quot;;Extended Properties=&quot;&quot;" command="SELECT * FROM [Total Received CS Table for Stats - ALL]"/>
  </connection>
  <connection id="7" xr16:uid="{D20BF71D-1867-46CC-B618-D1EC85CCEC87}" keepAlive="1" name="Requête - Total Received CS Table for Stats - RUN" description="Connexion à la requête « Total Received CS Table for Stats - RUN » dans le classeur." type="5" refreshedVersion="8" background="1" saveData="1">
    <dbPr connection="Provider=Microsoft.Mashup.OleDb.1;Data Source=$Workbook$;Location=&quot;Total Received CS Table for Stats - RUN&quot;;Extended Properties=&quot;&quot;" command="SELECT * FROM [Total Received CS Table for Stats - RUN]"/>
  </connection>
  <connection id="8" xr16:uid="{00000000-0015-0000-FFFF-FFFF00000000}" keepAlive="1" name="ThisWorkbookDataModel" description="This connection is used by Excel for communication between the workbook and embedded PowerPivot data, and should not be manually edited or deleted." type="5" refreshedVersion="4">
    <dbPr connection="Provider=MSOLAP.5;Persist Security Info=True;Initial Catalog=Microsoft_SQLServer_AnalysisServices;Data Source=$Embedded$;MDX Compatibility=1;Safety Options=2;MDX Missing Member Mode=Error;Optimize Response=3;Cell Error Mode=TextValue;ConnectTo=11.0" command="Sandbox" commandType="1"/>
    <olapPr sendLocale="1" rowDrillCount="1000"/>
    <extLst>
      <ext xmlns:x14="http://schemas.microsoft.com/office/spreadsheetml/2009/9/main" uri="{D79990A0-CA42-45e3-83F4-45C500A0EAA5}">
        <x14:connection culture="" embeddedDataId="Microsoft_SQLServer_AnalysisServices"/>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<sst xmlns="http://schemas.openxmlformats.org/spreadsheetml/2006/main" count="14351" uniqueCount="6208">
  <si>
    <t>Profil</t>
  </si>
  <si>
    <t>Ressource</t>
  </si>
  <si>
    <t>Production</t>
  </si>
  <si>
    <t>ID</t>
  </si>
  <si>
    <t>Service</t>
  </si>
  <si>
    <t>Description</t>
  </si>
  <si>
    <t>F</t>
  </si>
  <si>
    <t>P</t>
  </si>
  <si>
    <t>FP</t>
  </si>
  <si>
    <t>ETP</t>
  </si>
  <si>
    <t>GO</t>
  </si>
  <si>
    <t>Reponse_CS</t>
  </si>
  <si>
    <t>NOGO</t>
  </si>
  <si>
    <t>Total</t>
  </si>
  <si>
    <t>NF</t>
  </si>
  <si>
    <t>Budget</t>
  </si>
  <si>
    <t>KPI-OffreRep</t>
  </si>
  <si>
    <t>KPI-OffreDate</t>
  </si>
  <si>
    <t xml:space="preserve"> </t>
  </si>
  <si>
    <t>Admin fees Régie
(1,5 %)</t>
  </si>
  <si>
    <t>Facturation Consortium</t>
  </si>
  <si>
    <t>PO à mentionner</t>
  </si>
  <si>
    <t>PO xxxxx</t>
  </si>
  <si>
    <t>-</t>
  </si>
  <si>
    <t>PO (budget restant)</t>
  </si>
  <si>
    <t>Prix-Level1</t>
  </si>
  <si>
    <t>Prix-Level2</t>
  </si>
  <si>
    <t>Prix-Level0</t>
  </si>
  <si>
    <t>Prix-Level3</t>
  </si>
  <si>
    <t>Prix-Level4</t>
  </si>
  <si>
    <t>Prix-Level5</t>
  </si>
  <si>
    <t>Prix-Level6</t>
  </si>
  <si>
    <t>Prix-Level7</t>
  </si>
  <si>
    <t>Prix-Level8</t>
  </si>
  <si>
    <t>Prix-Level9</t>
  </si>
  <si>
    <t>Prix-Level10</t>
  </si>
  <si>
    <t>Database developer</t>
  </si>
  <si>
    <t>Front-end developer</t>
  </si>
  <si>
    <t>Back-end developer</t>
  </si>
  <si>
    <t>Full-stack developer</t>
  </si>
  <si>
    <t>Service desk agent</t>
  </si>
  <si>
    <t>User Documentation and Training person</t>
  </si>
  <si>
    <t>Web Operations Manager</t>
  </si>
  <si>
    <t>IS Tester</t>
  </si>
  <si>
    <t>Configuration / Deployment manager</t>
  </si>
  <si>
    <t>Infrastructure System engineer</t>
  </si>
  <si>
    <t>Linux consultant</t>
  </si>
  <si>
    <t>MacOS consultant</t>
  </si>
  <si>
    <t>Lot</t>
  </si>
  <si>
    <t>Level</t>
  </si>
  <si>
    <t>Data base architect</t>
  </si>
  <si>
    <t>Mobile developer</t>
  </si>
  <si>
    <t>System integration and workflow specialist</t>
  </si>
  <si>
    <t>Application/Cloud architect</t>
  </si>
  <si>
    <t>Project Manager</t>
  </si>
  <si>
    <t>Interface designer</t>
  </si>
  <si>
    <t>Business analyst</t>
  </si>
  <si>
    <t>Customer relationship management specialist</t>
  </si>
  <si>
    <t>Support manager</t>
  </si>
  <si>
    <t>Test automation specialist</t>
  </si>
  <si>
    <t>Quality assurance manager</t>
  </si>
  <si>
    <t>Database/application administrator</t>
  </si>
  <si>
    <t>System administrator</t>
  </si>
  <si>
    <t>Software packaging engineer</t>
  </si>
  <si>
    <t>SOA operations specialist</t>
  </si>
  <si>
    <t>CLOUD operations specialist</t>
  </si>
  <si>
    <t>Data warehouse and reporting developer</t>
  </si>
  <si>
    <t>Data Scientist</t>
  </si>
  <si>
    <t xml:space="preserve">Blockchain specialist </t>
  </si>
  <si>
    <t>Workplace security specialist</t>
  </si>
  <si>
    <t>Expert in DevSecOps</t>
  </si>
  <si>
    <t>Expert in secure development</t>
  </si>
  <si>
    <t>Expert product owner</t>
  </si>
  <si>
    <t>Enterprise architect</t>
  </si>
  <si>
    <t>User eXperience expert</t>
  </si>
  <si>
    <t>Security infrastructure architect</t>
  </si>
  <si>
    <t>DWP system engineer</t>
  </si>
  <si>
    <t>GIS expert</t>
  </si>
  <si>
    <t>Expert in information &amp; document management</t>
  </si>
  <si>
    <t>Onboarding manager</t>
  </si>
  <si>
    <t>Operating system deployment and update expert</t>
  </si>
  <si>
    <t>Business Intelligence expert</t>
  </si>
  <si>
    <t>Secure data and document exchange expert</t>
  </si>
  <si>
    <t>Expert in AI/ NLP/ ML</t>
  </si>
  <si>
    <t>Augmented / Virtual Reality expert</t>
  </si>
  <si>
    <t>TALAN</t>
  </si>
  <si>
    <t>EDDA</t>
  </si>
  <si>
    <t>TREMEND</t>
  </si>
  <si>
    <t>Wavestone</t>
  </si>
  <si>
    <t>Database developer-FAR</t>
  </si>
  <si>
    <t>Front-end developer-FAR</t>
  </si>
  <si>
    <t>Back-end developer-FAR</t>
  </si>
  <si>
    <t>Full-stack developer-FAR</t>
  </si>
  <si>
    <t>Service desk agent-FAR</t>
  </si>
  <si>
    <t>User Documentation and Training person-FAR</t>
  </si>
  <si>
    <t>Web Operations Manager-FAR</t>
  </si>
  <si>
    <t>IS Tester-FAR</t>
  </si>
  <si>
    <t>Configuration / Deployment manager-FAR</t>
  </si>
  <si>
    <t>Infrastructure System engineer-FAR</t>
  </si>
  <si>
    <t>Linux consultant-FAR</t>
  </si>
  <si>
    <t>MacOS consultant-FAR</t>
  </si>
  <si>
    <t>Data base architect-FAR</t>
  </si>
  <si>
    <t>Mobile developer-FAR</t>
  </si>
  <si>
    <t>System integration and workflow specialist-FAR</t>
  </si>
  <si>
    <t>Application/Cloud architect-FAR</t>
  </si>
  <si>
    <t>Project Manager-FAR</t>
  </si>
  <si>
    <t>Interface designer-FAR</t>
  </si>
  <si>
    <t>Business analyst-FAR</t>
  </si>
  <si>
    <t>Customer relationship management specialist-FAR</t>
  </si>
  <si>
    <t>Support manager-FAR</t>
  </si>
  <si>
    <t>Test automation specialist-FAR</t>
  </si>
  <si>
    <t>Quality assurance manager-FAR</t>
  </si>
  <si>
    <t>Database/application administrator-FAR</t>
  </si>
  <si>
    <t>System administrator-FAR</t>
  </si>
  <si>
    <t>Software packaging engineer-FAR</t>
  </si>
  <si>
    <t>SOA operations specialist-FAR</t>
  </si>
  <si>
    <t>CLOUD operations specialist-FAR</t>
  </si>
  <si>
    <t>Data warehouse and reporting developer-FAR</t>
  </si>
  <si>
    <t>Data Scientist-FAR</t>
  </si>
  <si>
    <t>Blockchain specialist -FAR</t>
  </si>
  <si>
    <t>Workplace security specialist-FAR</t>
  </si>
  <si>
    <t>Expert in DevSecOps-FAR</t>
  </si>
  <si>
    <t>Expert in secure development-FAR</t>
  </si>
  <si>
    <t>Expert product owner-FAR</t>
  </si>
  <si>
    <t>Enterprise architect-FAR</t>
  </si>
  <si>
    <t>User eXperience expert-FAR</t>
  </si>
  <si>
    <t>Security infrastructure architect-FAR</t>
  </si>
  <si>
    <t>DWP system engineer-FAR</t>
  </si>
  <si>
    <t>GIS expert-FAR</t>
  </si>
  <si>
    <t>Expert in information &amp; document management-FAR</t>
  </si>
  <si>
    <t>Onboarding manager-FAR</t>
  </si>
  <si>
    <t>Operating system deployment and update expert-FAR</t>
  </si>
  <si>
    <t>Business Intelligence expert-FAR</t>
  </si>
  <si>
    <t>Secure data and document exchange expert-FAR</t>
  </si>
  <si>
    <t>Expert in AI/ NLP/ ML-FAR</t>
  </si>
  <si>
    <t>Augmented / Virtual Reality expert-FAR</t>
  </si>
  <si>
    <t>TM</t>
  </si>
  <si>
    <t>DG</t>
  </si>
  <si>
    <t>Lot 1</t>
  </si>
  <si>
    <t>Lot 2</t>
  </si>
  <si>
    <t>Lot 3</t>
  </si>
  <si>
    <t>Institution</t>
  </si>
  <si>
    <t>Libelle</t>
  </si>
  <si>
    <t>EC</t>
  </si>
  <si>
    <t>European Commission</t>
  </si>
  <si>
    <t>European Research Council Executive Agency</t>
  </si>
  <si>
    <t>ERCEA</t>
  </si>
  <si>
    <t>European Education and Culture Executive Agency</t>
  </si>
  <si>
    <t>EACEA</t>
  </si>
  <si>
    <t>European Climate, Infrastructure and Environment Executive Agency</t>
  </si>
  <si>
    <t>CINEA</t>
  </si>
  <si>
    <t>European Research Executive Agency</t>
  </si>
  <si>
    <t>REA</t>
  </si>
  <si>
    <t>European Innovation Council and SMEs Executive Agency</t>
  </si>
  <si>
    <t>EIASME</t>
  </si>
  <si>
    <t>The Health and Digital Executive Agency</t>
  </si>
  <si>
    <t>HaDEA</t>
  </si>
  <si>
    <t>Euratom Supply Agency</t>
  </si>
  <si>
    <t>ESA</t>
  </si>
  <si>
    <t>Reference</t>
  </si>
  <si>
    <t>Offer description</t>
  </si>
  <si>
    <t>Company</t>
  </si>
  <si>
    <t xml:space="preserve">Request date </t>
  </si>
  <si>
    <t>Y/N deadline</t>
  </si>
  <si>
    <t>Proposal deadline date</t>
  </si>
  <si>
    <t>Delivery_Mode</t>
  </si>
  <si>
    <t>ON_SITE</t>
  </si>
  <si>
    <t>FAR_SITE</t>
  </si>
  <si>
    <t>Delivery mode</t>
  </si>
  <si>
    <t>Label</t>
  </si>
  <si>
    <t>Started</t>
  </si>
  <si>
    <t>On-Going</t>
  </si>
  <si>
    <t>CS_State</t>
  </si>
  <si>
    <t>START</t>
  </si>
  <si>
    <t>PENDING</t>
  </si>
  <si>
    <t>CS start date</t>
  </si>
  <si>
    <t>CS end date</t>
  </si>
  <si>
    <t>CS State</t>
  </si>
  <si>
    <t>Closed</t>
  </si>
  <si>
    <t>CLOSE</t>
  </si>
  <si>
    <t>CS signature date</t>
  </si>
  <si>
    <t>CS DIGIT signature date</t>
  </si>
  <si>
    <t>Commited amount</t>
  </si>
  <si>
    <t>Profile</t>
  </si>
  <si>
    <t>Standard</t>
  </si>
  <si>
    <t>Specialised</t>
  </si>
  <si>
    <t>Expert/Niche</t>
  </si>
  <si>
    <t>Institution/agency</t>
  </si>
  <si>
    <t>CS Start date</t>
  </si>
  <si>
    <t>Profile in €</t>
  </si>
  <si>
    <t>Commited days</t>
  </si>
  <si>
    <t>Commited</t>
  </si>
  <si>
    <t>State</t>
  </si>
  <si>
    <t>Remaining</t>
  </si>
  <si>
    <t>Producted days</t>
  </si>
  <si>
    <t>Producted amounts</t>
  </si>
  <si>
    <t>Remaining days</t>
  </si>
  <si>
    <t>Remaining amount</t>
  </si>
  <si>
    <t>Consumed</t>
  </si>
  <si>
    <t>Somme de Producted days</t>
  </si>
  <si>
    <t>IT specialist / expert profile</t>
  </si>
  <si>
    <t>IT specialist / expert profile-FAR</t>
  </si>
  <si>
    <t>CGI BE</t>
  </si>
  <si>
    <t>CGI LUX</t>
  </si>
  <si>
    <t>Board, Reporting Consortium Imagin'IT</t>
  </si>
  <si>
    <t>sept-2022</t>
  </si>
  <si>
    <t>oct-2022</t>
  </si>
  <si>
    <t>nov-2022</t>
  </si>
  <si>
    <t>dec-2022</t>
  </si>
  <si>
    <t>May-2023</t>
  </si>
  <si>
    <t>Jan-2023</t>
  </si>
  <si>
    <t>Feb-2023</t>
  </si>
  <si>
    <t>Mar-2023</t>
  </si>
  <si>
    <t>Apr-2023</t>
  </si>
  <si>
    <t>Jun-2023</t>
  </si>
  <si>
    <t>Jul-2023</t>
  </si>
  <si>
    <t>Aug-2023</t>
  </si>
  <si>
    <t>Sept-2023</t>
  </si>
  <si>
    <t>Oct-2023</t>
  </si>
  <si>
    <t>Nov-2023</t>
  </si>
  <si>
    <t>Dec-2023</t>
  </si>
  <si>
    <t>Jan-2024</t>
  </si>
  <si>
    <t>NEAR_SITE</t>
  </si>
  <si>
    <t>Mode</t>
  </si>
  <si>
    <t>Competition</t>
  </si>
  <si>
    <t>Cascade</t>
  </si>
  <si>
    <t>Expected days</t>
  </si>
  <si>
    <t>Expected amounts</t>
  </si>
  <si>
    <t>Expected</t>
  </si>
  <si>
    <t>Days</t>
  </si>
  <si>
    <t>% Days</t>
  </si>
  <si>
    <t>Amount</t>
  </si>
  <si>
    <t>% Amount</t>
  </si>
  <si>
    <t>T2/2022</t>
  </si>
  <si>
    <t>Contracts</t>
  </si>
  <si>
    <t>Detail</t>
  </si>
  <si>
    <t>T3/2022</t>
  </si>
  <si>
    <t>T4/2022</t>
  </si>
  <si>
    <t>Production sold</t>
  </si>
  <si>
    <t>Received invoice</t>
  </si>
  <si>
    <t>TJM Average Consortium</t>
  </si>
  <si>
    <t>Document type</t>
  </si>
  <si>
    <t>DIGITTMII-000214-6000053863-REQ-01</t>
  </si>
  <si>
    <t/>
  </si>
  <si>
    <t>DIGIT.B.4</t>
  </si>
  <si>
    <t>Initial Request</t>
  </si>
  <si>
    <t>DIGIT.B.1</t>
  </si>
  <si>
    <t>JUST</t>
  </si>
  <si>
    <t>SG</t>
  </si>
  <si>
    <t>REGIO</t>
  </si>
  <si>
    <t>RTD</t>
  </si>
  <si>
    <t>EMPL</t>
  </si>
  <si>
    <t>MOVE</t>
  </si>
  <si>
    <t>HR.DS</t>
  </si>
  <si>
    <t>DIGIT.D.2</t>
  </si>
  <si>
    <t>SANTE</t>
  </si>
  <si>
    <t>DIGITTMII-002416-6000053863-REQ-01</t>
  </si>
  <si>
    <t>BEN MILOUD, Djamila</t>
  </si>
  <si>
    <t>DIGITTMII-002819-6000053863-REQ-01</t>
  </si>
  <si>
    <t>POCHON, Régis</t>
  </si>
  <si>
    <t>DIGITTMII-003463-6000053863-REQ-01</t>
  </si>
  <si>
    <t>MASTRANDREA, Brabara Maria</t>
  </si>
  <si>
    <t>DIGITTMII-003743-6000053863-REQ-01</t>
  </si>
  <si>
    <t>WHYE, Gregory</t>
  </si>
  <si>
    <t>DIGITTMII-000659-6000053863-REQ-01</t>
  </si>
  <si>
    <t>DIGIT.D.3</t>
  </si>
  <si>
    <t>LOPES GONÇALVES, Débora</t>
  </si>
  <si>
    <t>DIGITTMII-001410-6000053863-REQ-01</t>
  </si>
  <si>
    <t>VASILIKIOTIS, Themistoklis</t>
  </si>
  <si>
    <t>DIGITTMII-001415-6000053863-REQ-01</t>
  </si>
  <si>
    <t>SARBU, Cornelia</t>
  </si>
  <si>
    <t>DIGITTMII-001416-6000053863-REQ-01</t>
  </si>
  <si>
    <t>DIAZ MUNOZ, Jaime</t>
  </si>
  <si>
    <t>KATHAL, Tanisha</t>
  </si>
  <si>
    <t>DIGITTMII-001772-6000053863-REQ-01</t>
  </si>
  <si>
    <t>SANTE.R.1</t>
  </si>
  <si>
    <t>DIGITTMII-001774-6000053863-REQ-01</t>
  </si>
  <si>
    <t>VAN DE GUCHT, Pascal</t>
  </si>
  <si>
    <t>DIGITTMII-001940-6000053863-REQ-01</t>
  </si>
  <si>
    <t>COOKE, Justin</t>
  </si>
  <si>
    <t>DIGIT.D.1</t>
  </si>
  <si>
    <t>DIGITTMII-001957-6000053863-REQ-01</t>
  </si>
  <si>
    <t>ADAM, Pietras</t>
  </si>
  <si>
    <t>DIGITTMII-002098-6000053863-REQ-01</t>
  </si>
  <si>
    <t>DE ANDRES DEL CASTILLO, David</t>
  </si>
  <si>
    <t>DIGITTMII-002150-6000053863-REQ-01</t>
  </si>
  <si>
    <t>NICULESCU, Calin</t>
  </si>
  <si>
    <t>DIGITTMII-002474-6000053863-REQ-01</t>
  </si>
  <si>
    <t>ADAM, Nathalie</t>
  </si>
  <si>
    <t>DIGITTMII-002906-6000053863-REQ-01</t>
  </si>
  <si>
    <t xml:space="preserve">TURCITU, Mihai-Alexandru </t>
  </si>
  <si>
    <t>DIGITTMII-002931-6000053863-REQ-01</t>
  </si>
  <si>
    <t>DOUHAIZENET, Gael</t>
  </si>
  <si>
    <t>DIGITTMII-003098-6000053863-REQ-01</t>
  </si>
  <si>
    <t>STROOBANTS, Luc</t>
  </si>
  <si>
    <t>DIGITTMII-003129-6000053863-REQ-01</t>
  </si>
  <si>
    <t>KIRIMLIDOU, Dimoula</t>
  </si>
  <si>
    <t>DIGITTMII-003241-6000053863-REQ-01</t>
  </si>
  <si>
    <t xml:space="preserve">ESCRIBANO, Ruben </t>
  </si>
  <si>
    <t>DIGIT.B.3</t>
  </si>
  <si>
    <t>RTD.I.3</t>
  </si>
  <si>
    <t>DIGITTMII-003344-6000053863-REQ-01</t>
  </si>
  <si>
    <t>MEDAN, Andrei</t>
  </si>
  <si>
    <t>DIGITTMII-003389-6000053863-REQ-01</t>
  </si>
  <si>
    <t>CHATTERJEE, Pallavi</t>
  </si>
  <si>
    <t>DIGITTMII-003431-6000053863-REQ-01</t>
  </si>
  <si>
    <t>SANTILLI, Antonio</t>
  </si>
  <si>
    <t>DIGITTMII-003533-6000053863-REQ-01</t>
  </si>
  <si>
    <t>OLLINGER, Yannick</t>
  </si>
  <si>
    <t>DIGITTMII-004430-6000053863-REQ-01</t>
  </si>
  <si>
    <t>Activity Code</t>
  </si>
  <si>
    <t>GAGO CABEZAS, Irma</t>
  </si>
  <si>
    <t>DIGITTMII-004446-6000053863-REQ-01</t>
  </si>
  <si>
    <t>DEVLEESCHOUWER, Sophie</t>
  </si>
  <si>
    <t>Annex MOU TALAN</t>
  </si>
  <si>
    <t>Annex MOU EDDA (+CGI Lux)</t>
  </si>
  <si>
    <t>Annex MOU WaveStone</t>
  </si>
  <si>
    <t>Forfait IT equipment</t>
  </si>
  <si>
    <t>Forfait Near-Site</t>
  </si>
  <si>
    <t>DIGITTMII-002829-6000053863-REQ-01</t>
  </si>
  <si>
    <t>TRINDADE-SALGUEIRO, Nuno</t>
  </si>
  <si>
    <t>DIGITTMII-004504-6000053863-REQ-01</t>
  </si>
  <si>
    <t>ADESANYA, Kehinde</t>
  </si>
  <si>
    <t>REA D.2.003</t>
  </si>
  <si>
    <t>DIGITTMII-002191-6000053863-REQ-01</t>
  </si>
  <si>
    <t>FREIRE FERREIRA, Carlos Miguel</t>
  </si>
  <si>
    <t>DIGITTMII-003143-6000053863-REQ-01</t>
  </si>
  <si>
    <t>PAPASPYROU, Vasileios</t>
  </si>
  <si>
    <t>Expected invoices (reminder ie to be invoiced)</t>
  </si>
  <si>
    <t>DIGITTMII-004465-6000053863-REQ-01</t>
  </si>
  <si>
    <t>DEBSKI, Tomasz</t>
  </si>
  <si>
    <t>NF Travelling</t>
  </si>
  <si>
    <t>REQUEST_STATE</t>
  </si>
  <si>
    <t>Request State</t>
  </si>
  <si>
    <t>1 - ACKNOWLEDGED</t>
  </si>
  <si>
    <t>2 - WILLING</t>
  </si>
  <si>
    <t>4 - PROPOSED</t>
  </si>
  <si>
    <t>3 - DECLINED</t>
  </si>
  <si>
    <t>5 - ACCEPTED</t>
  </si>
  <si>
    <t>6 - NOT ACCEPTED</t>
  </si>
  <si>
    <t>7 - CANCELED</t>
  </si>
  <si>
    <t>8 - UNKNKOWN</t>
  </si>
  <si>
    <t>ACCEPTED_REFERENCES</t>
  </si>
  <si>
    <t>DIGITTMII-005124-DIGITTMII-001957-MOD-01-6000053863-REQ-01</t>
  </si>
  <si>
    <t>Has Expenses?</t>
  </si>
  <si>
    <t>YES</t>
  </si>
  <si>
    <t>NO</t>
  </si>
  <si>
    <t>YN</t>
  </si>
  <si>
    <t>Cost/day</t>
  </si>
  <si>
    <t>LORENC, Adrian</t>
  </si>
  <si>
    <t>Expenses</t>
  </si>
  <si>
    <t>Invoice to send (Expenses)</t>
  </si>
  <si>
    <t>Invoice to send (Production)</t>
  </si>
  <si>
    <t>Modification Request</t>
  </si>
  <si>
    <t>Modification request</t>
  </si>
  <si>
    <t>Modification Request signature date</t>
  </si>
  <si>
    <t>Ressource 1</t>
  </si>
  <si>
    <t>Effective start date - Ressource 1</t>
  </si>
  <si>
    <t>Effective end date - Ressource 1</t>
  </si>
  <si>
    <t>Import Ressource</t>
  </si>
  <si>
    <t>ID Import ressources</t>
  </si>
  <si>
    <t>Filtered Ressources List</t>
  </si>
  <si>
    <t>Expenses ID</t>
  </si>
  <si>
    <t>EXPENSES_REF</t>
  </si>
  <si>
    <t>Filtered_Expenses_Ref</t>
  </si>
  <si>
    <t>The other columns should be filled in as the corresponding information becomes available</t>
  </si>
  <si>
    <t>If more than one candidate has been accepted for the Request, use the columns Ressource 2 and Ressouce 3 as needed</t>
  </si>
  <si>
    <t>Has expenses?</t>
  </si>
  <si>
    <t xml:space="preserve">---------------            LOT 2             --------------- </t>
  </si>
  <si>
    <t xml:space="preserve">---------------            LOT 3             --------------- </t>
  </si>
  <si>
    <t>Expenses management</t>
  </si>
  <si>
    <t>Offer management</t>
  </si>
  <si>
    <t>CS management</t>
  </si>
  <si>
    <t>Place of delivery</t>
  </si>
  <si>
    <t>Place of execution</t>
  </si>
  <si>
    <t>Fields used for restricting combo-boxes :</t>
  </si>
  <si>
    <t>DIGIT Contact Email</t>
  </si>
  <si>
    <t>DIGIT Contact Name</t>
  </si>
  <si>
    <t>D'AOUT Laurent</t>
  </si>
  <si>
    <t>VISKUBINA Veronika</t>
  </si>
  <si>
    <t>HOC Wilfried</t>
  </si>
  <si>
    <t>SVANLAND Ann-Sofie</t>
  </si>
  <si>
    <t>BONACINI Stefania</t>
  </si>
  <si>
    <t>YIANNAKIDI Charalampia</t>
  </si>
  <si>
    <t>VARGAS Natalia</t>
  </si>
  <si>
    <t>DELFOSSE Isabelle</t>
  </si>
  <si>
    <t>SCHEUERMANN Britta</t>
  </si>
  <si>
    <t>BROCCART Anthony</t>
  </si>
  <si>
    <t>BARDI Monia</t>
  </si>
  <si>
    <t>MARIN Ancuta-Nadia</t>
  </si>
  <si>
    <t>BERTIGLIA Paolo</t>
  </si>
  <si>
    <t>TSHIALA DE WOUTERS D'OPLINTER Francoise</t>
  </si>
  <si>
    <t>ERDMANN Andrzej</t>
  </si>
  <si>
    <t>MARCONI Sonia</t>
  </si>
  <si>
    <t>HANNAN Vicky</t>
  </si>
  <si>
    <t>DIMITRAKOPOULOU Panagiota</t>
  </si>
  <si>
    <t>DOLET Laurence</t>
  </si>
  <si>
    <t>DOMINGUEZ GONZALEZ Elena</t>
  </si>
  <si>
    <t>Laurent.D'AOUT@ec.europa.eu</t>
  </si>
  <si>
    <t>Veronika.VISKUBINA@ec.europa.eu</t>
  </si>
  <si>
    <t>Wilfried.HOC@ec.europa.eu</t>
  </si>
  <si>
    <t>Ann-Sofie.Svanland@ec.europa.eu</t>
  </si>
  <si>
    <t>Stefania.BONACINI@ec.europa.eu</t>
  </si>
  <si>
    <t>Charalampia.YIANNAKIDI@ec.europa.eu</t>
  </si>
  <si>
    <t>natalia.vargas@ec.europa.eu</t>
  </si>
  <si>
    <t>Isabelle.DELFOSSE@ec.europa.eu</t>
  </si>
  <si>
    <t>Britta.SCHEUERMANN@ec.europa.eu</t>
  </si>
  <si>
    <t>Anthony.BROCCART@ec.europa.eu</t>
  </si>
  <si>
    <t>Monia.BARDI@ec.europa.eu</t>
  </si>
  <si>
    <t>Ancuta-Nadia.MARIN@ec.europa.eu</t>
  </si>
  <si>
    <t>Paolo.BERTIGLIA@ec.europa.eu</t>
  </si>
  <si>
    <t>Francoise.TSHIALA-DE-WOUTERS@ec.europa.eu</t>
  </si>
  <si>
    <t>Andrzej.ERDMANN@ec.europa.eu</t>
  </si>
  <si>
    <t>Sonia.MARCONI@ec.europa.eu</t>
  </si>
  <si>
    <t>Vicky.Hannan@ec.europa.eu</t>
  </si>
  <si>
    <t>Panagiota.DIMITRAKOPOULOU@ec.europa.eu</t>
  </si>
  <si>
    <t>Laurence.DOLET@ec.europa.eu</t>
  </si>
  <si>
    <t>Elena.DOMINGUEZ-GONZALEZ@ec.europa.eu</t>
  </si>
  <si>
    <t>Expert Sharepoint</t>
  </si>
  <si>
    <t>D3.002 - EU Send - OM min lvl 0 max lvl 10 - new</t>
  </si>
  <si>
    <t>Expert in BI - 1</t>
  </si>
  <si>
    <t>Full-Stack Developer (FSD) level 7-8 Near-site in Java, Spring, Hibernate, Angular</t>
  </si>
  <si>
    <t>APPLICATION/CLOUD ARCHITECT with expertise in Java EE full stack</t>
  </si>
  <si>
    <t>Project Manager (PM)</t>
  </si>
  <si>
    <t>Onboarding manager for EUROPASS project</t>
  </si>
  <si>
    <t>2022-D1.003.370 - NEW - DIGIT TMII - Full Stack Developer L6/7</t>
  </si>
  <si>
    <t>Project manager (PM) level 9</t>
  </si>
  <si>
    <t>Onboarding manager for Europass project</t>
  </si>
  <si>
    <t>Project manager</t>
  </si>
  <si>
    <t>2022-D1.002.352- NEW - DIGIT TMII - Full stack developer L7/8</t>
  </si>
  <si>
    <t>Back-end developer (BED)  Lev 10</t>
  </si>
  <si>
    <t>Full Stack Developer for policy supporting systems</t>
  </si>
  <si>
    <t>Project manager (PM) level 2</t>
  </si>
  <si>
    <t>2022-D1.001.505 - NEW - DIGIT TMII - DS- L6/7</t>
  </si>
  <si>
    <t>Trade Policy Information Systems</t>
  </si>
  <si>
    <t>IT Services for Security System</t>
  </si>
  <si>
    <t>Project manager (PM)</t>
  </si>
  <si>
    <t>D3.003 - EULOGIN -Request Full stack developer Level min0-max10 (5)</t>
  </si>
  <si>
    <t>Full stack Developer Level 8 Far-Site Comref</t>
  </si>
  <si>
    <t>IT Services for e-Grants Management System</t>
  </si>
  <si>
    <t>IT Architecture, Operations and Common Components</t>
  </si>
  <si>
    <t>Data-warehouse &amp; report. devel</t>
  </si>
  <si>
    <t>D3.001 - TESTA - Project Manager level min9-max10 (10)</t>
  </si>
  <si>
    <t>D3.001 - TESTA - On-boarding Manager level min8-max9 (9)</t>
  </si>
  <si>
    <t>Project manager (PM) level 8</t>
  </si>
  <si>
    <t>Brussels</t>
  </si>
  <si>
    <t>Luxembourg</t>
  </si>
  <si>
    <t>04/08/2022 23:59</t>
  </si>
  <si>
    <t>26/08/2022 23:59</t>
  </si>
  <si>
    <t>06/09/2022 23:59</t>
  </si>
  <si>
    <t>21/09/2022 23:59</t>
  </si>
  <si>
    <t>10/10/2022 23:59</t>
  </si>
  <si>
    <t>26/09/2022 23:59</t>
  </si>
  <si>
    <t>05/10/2022 23:59</t>
  </si>
  <si>
    <t>20/09/2022 23:59</t>
  </si>
  <si>
    <t>11/10/2022 23:59</t>
  </si>
  <si>
    <t>12/10/2022 23:59</t>
  </si>
  <si>
    <t>19/10/2022 23:59</t>
  </si>
  <si>
    <t>17/10/2022 23:59</t>
  </si>
  <si>
    <t>25/10/2022 23:59</t>
  </si>
  <si>
    <t>28/10/2022 23:59</t>
  </si>
  <si>
    <t>07/11/2022 23:59</t>
  </si>
  <si>
    <t>10/11/2022 23:59</t>
  </si>
  <si>
    <t>21/10/2022 23:59</t>
  </si>
  <si>
    <t>26/10/2022 23:59</t>
  </si>
  <si>
    <t>27/10/2022 23:59</t>
  </si>
  <si>
    <t>09/11/2022 23:59</t>
  </si>
  <si>
    <t>25/11/2022 23:59</t>
  </si>
  <si>
    <t>21/11/2022 23:59</t>
  </si>
  <si>
    <t>10/08/2022 23:59</t>
  </si>
  <si>
    <t>01/09/2022 23:59</t>
  </si>
  <si>
    <t>12/09/2022 23:59</t>
  </si>
  <si>
    <t>27/09/2022 23:59</t>
  </si>
  <si>
    <t>14/10/2022 23:59</t>
  </si>
  <si>
    <t>30/09/2022 23:59</t>
  </si>
  <si>
    <t>18/10/2022 23:59</t>
  </si>
  <si>
    <t>31/10/2022 23:59</t>
  </si>
  <si>
    <t>11/11/2022 23:59</t>
  </si>
  <si>
    <t>16/11/2022 23:59</t>
  </si>
  <si>
    <t>03/11/2022 23:59</t>
  </si>
  <si>
    <t>04/11/2022 23:59</t>
  </si>
  <si>
    <t>15/11/2022 23:59</t>
  </si>
  <si>
    <t>01/12/2022 23:59</t>
  </si>
  <si>
    <t>Greece</t>
  </si>
  <si>
    <t>Belgium</t>
  </si>
  <si>
    <t>Portugal</t>
  </si>
  <si>
    <t>Romania</t>
  </si>
  <si>
    <t>Czechia</t>
  </si>
  <si>
    <t>The status of the request, as categorised in the execution reports. Only requests with 5 - ACCEPTED in this column will be available for selection in the CS management tab.</t>
  </si>
  <si>
    <t>1.</t>
  </si>
  <si>
    <t>2.</t>
  </si>
  <si>
    <t>3.</t>
  </si>
  <si>
    <t>4.</t>
  </si>
  <si>
    <t>Select the reference in the dropdown list. The other fields will be auto-completed with the values from the Offer management tab. If more than one ressource has been inputted for the request, the ressources will need to be selected manually.</t>
  </si>
  <si>
    <t>Input the committed days in the Commited Days column</t>
  </si>
  <si>
    <t>Input the expected days in the columns from "P" to "FP"</t>
  </si>
  <si>
    <t>5.</t>
  </si>
  <si>
    <t>6.</t>
  </si>
  <si>
    <t>Select the reference in the dropdown list. Only requests with YES in the column "Has expenses?" in the Offer management tab will be availble for selection.</t>
  </si>
  <si>
    <t>Select the ressource from the dropdown</t>
  </si>
  <si>
    <t>If the expense is defined as a cost/day in the request, input it in the "Cost/day" column, otherwise, input "/"</t>
  </si>
  <si>
    <t>If the expense is defined as a cost/day in the request, input the commited days in the "Expected days" column, otherwise, input "/"</t>
  </si>
  <si>
    <t>If the expense is not defined as a cost/day in the request (ie. Travel expenses, PES, etc.), input the commited amount in the "Commited amount" column.</t>
  </si>
  <si>
    <t>Does the Request mention expenses? (Are expenses included in the price of the request?). Also, if the request is dedicated to expenses (ie : PES), input YES in this column. Only requests with YES in this column will be available for selection in the Expenses management tab.</t>
  </si>
  <si>
    <t>Actual Shares (Production sold - Acceptable invoices)</t>
  </si>
  <si>
    <t>Jours Fériés Lux</t>
  </si>
  <si>
    <t>The minimum required columns are colored orange. These columns are used by the auto-completion functions in this document</t>
  </si>
  <si>
    <t>Input the Produced days from the timesheets in the columns between "F" and "P". If the produced days are known, but the timesheets haven't been received yet, input the number in the "P" column.</t>
  </si>
  <si>
    <r>
      <t xml:space="preserve">Move the "P" column as needed, using </t>
    </r>
    <r>
      <rPr>
        <b/>
        <sz val="10"/>
        <rFont val="Arial"/>
        <family val="2"/>
      </rPr>
      <t>cut</t>
    </r>
    <r>
      <rPr>
        <sz val="10"/>
        <rFont val="Arial"/>
        <family val="2"/>
      </rPr>
      <t xml:space="preserve"> and paste</t>
    </r>
  </si>
  <si>
    <r>
      <t xml:space="preserve">As with the CS management tab, input the relant information in columns from "F" to "FP", but </t>
    </r>
    <r>
      <rPr>
        <b/>
        <sz val="10"/>
        <rFont val="Arial"/>
        <family val="2"/>
      </rPr>
      <t>instead of days, input the amount per month.</t>
    </r>
    <r>
      <rPr>
        <sz val="10"/>
        <rFont val="Arial"/>
        <family val="2"/>
      </rPr>
      <t xml:space="preserve"> The "P" column will be automatically completed, based on information from the CS management tab : Produced amount + amount in column "P". If an amount is inputted before column "P", the amount will be updated automatically.</t>
    </r>
  </si>
  <si>
    <t>DIGITTMII-005085-6000053863-REQ-01</t>
  </si>
  <si>
    <t>Provision of extra services for FAR SITE consultant
2 travels per year included travel + daily allowance + accommodation</t>
  </si>
  <si>
    <t>PES</t>
  </si>
  <si>
    <t>DIGITTMII-005232-6000053863-REQ-01</t>
  </si>
  <si>
    <t xml:space="preserve">provision for missions that are to be performed in other locations
than the normal place of work – and on the explicit written request of the Commission.
</t>
  </si>
  <si>
    <t>MEJRI, Mohamed</t>
  </si>
  <si>
    <t>DIGITTMII-005154-6000053863-REQ-01</t>
  </si>
  <si>
    <t>LIOP - IT Expert</t>
  </si>
  <si>
    <t>DI GIACOMO, Debora</t>
  </si>
  <si>
    <t>SZIRANYI Zsofia</t>
  </si>
  <si>
    <t>Zsofia.SZIRANYI@ec.europa.eu</t>
  </si>
  <si>
    <t>N/A</t>
  </si>
  <si>
    <t>10/01/2023 15:55:08</t>
  </si>
  <si>
    <t>24/01/2023 23:59</t>
  </si>
  <si>
    <t>PES (in initial request)</t>
  </si>
  <si>
    <t>DIGITTMII-004019-6000053863-REQ-01</t>
  </si>
  <si>
    <t>Request for a FSD</t>
  </si>
  <si>
    <t>PRANGE-GSTOEHL Heiko</t>
  </si>
  <si>
    <t>Heiko.PRANGE-GSTOEHL@ec.europa.eu</t>
  </si>
  <si>
    <t>10/01/2023 10:59:08</t>
  </si>
  <si>
    <t>16/01/2023 23:59</t>
  </si>
  <si>
    <t>25/01/2023 23:59</t>
  </si>
  <si>
    <t>DUMITRU, Florin-Gabriel</t>
  </si>
  <si>
    <t>DIGITTMII-005337-6000053863-REQ-01</t>
  </si>
  <si>
    <t>02/03/2023 19:17:13</t>
  </si>
  <si>
    <t>06/03/2023 23:59</t>
  </si>
  <si>
    <t>10/03/2023 23:59</t>
  </si>
  <si>
    <t>BINTZ, Adrien</t>
  </si>
  <si>
    <t>DIGITTMII-005400-DIGITTMII-001940-EXT-01-6000053863-REQ-01</t>
  </si>
  <si>
    <t>31/01/2023 16:04:55</t>
  </si>
  <si>
    <t>DIGITTMII-005585-DIGITTMII-003344-EXT-01-6000053863-REQ-01</t>
  </si>
  <si>
    <t>CRET Felicia-Ioana</t>
  </si>
  <si>
    <t>Felicia-Ioana.CRET@ec.europa.eu</t>
  </si>
  <si>
    <t>10/02/2023 09:53:21</t>
  </si>
  <si>
    <t>DIGITTMII-005592-DIGITTMII-002150-EXT-01-6000053863-REQ-01</t>
  </si>
  <si>
    <t>10/02/2023 10:38:11</t>
  </si>
  <si>
    <t>DIGITTMII-005727-DIGITTMII-000214-EXT-01-6000053863-REQ-01</t>
  </si>
  <si>
    <t>15/02/2023 16:10:10</t>
  </si>
  <si>
    <t>SAYTEE, Meatau Larry</t>
  </si>
  <si>
    <t>DIGITTMII-005981-DIGITTMII-003389-EXT-01-6000053863-REQ-01</t>
  </si>
  <si>
    <t>02/03/2023 11:39:46</t>
  </si>
  <si>
    <t>DIGITTMII-005922-DIGITTMII-001415-EXT-01-6000053863-REQ-01</t>
  </si>
  <si>
    <t>28/02/2023 15:18:48</t>
  </si>
  <si>
    <t>DIGITTMII-006275-DIGITTMII-003533-EXT-01-6000053863-REQ-01</t>
  </si>
  <si>
    <t>Extension PM lev. 9 OLLINGER following CS 3533</t>
  </si>
  <si>
    <t>13/03/2023 13:21:03</t>
  </si>
  <si>
    <t>DIGITTMII-006542-DIGITTMII-003463-EXT-01-6000053863-REQ-01</t>
  </si>
  <si>
    <t>ASIAIN FERNANDEZ Teresa</t>
  </si>
  <si>
    <t>Teresa.Asiain-Fernandez@ec.europa.eu</t>
  </si>
  <si>
    <t>23/03/2023 09:54:41</t>
  </si>
  <si>
    <t>DIGITTMII-006621-DIGITTMII-002474-EXT-01-6000053863-REQ-01</t>
  </si>
  <si>
    <t>2023-B1-002.058 - EXT - DIGIT TMII - ADAM - suite CS 2474</t>
  </si>
  <si>
    <t>27/03/2023 12:01:34</t>
  </si>
  <si>
    <t>DIGITTMII-006710-DIGITTMII-001957-EXT-01-6000053863-REQ-01</t>
  </si>
  <si>
    <t>2022-D1.003.372 - NEW - DIGIT TMII - Full Stack Developer L6/7</t>
  </si>
  <si>
    <t>31/03/2023 13:54:43</t>
  </si>
  <si>
    <t>DIGITTMII-006713-DIGITTMII-002931-EXT-01-6000053863-REQ-01</t>
  </si>
  <si>
    <t>2023-B1.001.032 - EXT - DIGIT TMII - Douhaizenet - suite CS 2931</t>
  </si>
  <si>
    <t>30/03/2023 10:42:17</t>
  </si>
  <si>
    <t>DIGITTMII-006870-DIGITTMII-003743-EXT-01-6000053863-REQ-01</t>
  </si>
  <si>
    <t>Extension PM level 9 WHYE  suite CS 3743</t>
  </si>
  <si>
    <t>04/04/2023 10:49:06</t>
  </si>
  <si>
    <t>DIGITTMII-006985-DIGITTMII-001410-EXT-01-6000053863-REQ-01</t>
  </si>
  <si>
    <t>11/04/2023 15:34:23</t>
  </si>
  <si>
    <t>VASILIKIOTIS, Themis</t>
  </si>
  <si>
    <t>DIGITTMII-006994-DIGITTMII-001416-EXT-01-6000053863-REQ-01</t>
  </si>
  <si>
    <t>11/04/2023 17:14:02</t>
  </si>
  <si>
    <t>PIETRAS, Adam</t>
  </si>
  <si>
    <t>T1/2023</t>
  </si>
  <si>
    <t>DIGITTMII-007384-DIGITTMII-002098-EXT-01-6000053863-REQ-01</t>
  </si>
  <si>
    <t>Extension PM level 9 DE ANDRÉS DEL CASTILLO suite CS 2098</t>
  </si>
  <si>
    <t>DIGITTMII-007373-DIGITTMII-002906-EXT-01-6000053863-REQ-01</t>
  </si>
  <si>
    <t>Extension PM level 2 TURCITU suite CS 2906</t>
  </si>
  <si>
    <t>DIGITTMII-007455-DIGITTMII-002819-EXT-01-6000053863-REQ-01</t>
  </si>
  <si>
    <t xml:space="preserve"> Extension Back-end developer (BED) Lev 10 POCHON suite CS 2819</t>
  </si>
  <si>
    <t>/</t>
  </si>
  <si>
    <t>LEFTER, Diana</t>
  </si>
  <si>
    <t>DIGITTMII-007314-DIGITTMII-006710-MOD-01-6000053863-REQ-01</t>
  </si>
  <si>
    <t>DIGITTMII-007691-DIGITTMII-004504-MOD-05-6000053863-REQ-01</t>
  </si>
  <si>
    <t>Replacement ADESANYA with Diana LEFTER</t>
  </si>
  <si>
    <t>DIGITTMII-007512-DIGITTMII-001772-EXT-01-6000053863-REQ-01</t>
  </si>
  <si>
    <t>DIGIT.R.2</t>
  </si>
  <si>
    <t xml:space="preserve">	DIGITTMII-007029-6000053863-REQ-01</t>
  </si>
  <si>
    <t>Project Manager for budget &amp; financial IT tools - New</t>
  </si>
  <si>
    <t>SABĂU, Răzvan-Eugen</t>
  </si>
  <si>
    <t>DIGITTMII-003772-6000053863-REQ-01</t>
  </si>
  <si>
    <t>D3.003 - EU Provisioning - Onboarding manager level 0-10</t>
  </si>
  <si>
    <t>Brussels / Luxembourg</t>
  </si>
  <si>
    <t>28/03/2023 14:53:45</t>
  </si>
  <si>
    <t>30/03/2023 23:59</t>
  </si>
  <si>
    <t>05/04/2023 23:59</t>
  </si>
  <si>
    <t>IERVOLINO, Andrea</t>
  </si>
  <si>
    <t>DIGITTMII-006067-6000053863-REQ-01</t>
  </si>
  <si>
    <t>WIHP JUNIOR PLATFORM DEVELOPER  FAR SITE-6</t>
  </si>
  <si>
    <t>Bulgaria</t>
  </si>
  <si>
    <t>MESZAROS Matyas Tamas</t>
  </si>
  <si>
    <t>Matyas.MESZAROS@ec.europa.eu</t>
  </si>
  <si>
    <t>20/04/2023 13:50:41</t>
  </si>
  <si>
    <t>24/04/2023 23:59</t>
  </si>
  <si>
    <t>28/04/2023 23:59</t>
  </si>
  <si>
    <t>VISICH, Valeryy</t>
  </si>
  <si>
    <t>T2/2023</t>
  </si>
  <si>
    <t>Ref To Exclude Lot 1</t>
  </si>
  <si>
    <t>Ref To Exclude Lot 2</t>
  </si>
  <si>
    <t>Ref To Exclude Lot 3</t>
  </si>
  <si>
    <t>Total to Exclude</t>
  </si>
  <si>
    <t>DIGITTMII-000001</t>
  </si>
  <si>
    <t>DIGITTMII-000009</t>
  </si>
  <si>
    <t>DIGITTMII-000005</t>
  </si>
  <si>
    <t>DIGITTMII-000002</t>
  </si>
  <si>
    <t>DIGITTMII-000013</t>
  </si>
  <si>
    <t>DIGITTMII-000008</t>
  </si>
  <si>
    <t>DIGITTMII-000003</t>
  </si>
  <si>
    <t>DIGITTMII-000014</t>
  </si>
  <si>
    <t>DIGITTMII-000016</t>
  </si>
  <si>
    <t>DIGITTMII-000004</t>
  </si>
  <si>
    <t>DIGITTMII-000019</t>
  </si>
  <si>
    <t>DIGITTMII-000024</t>
  </si>
  <si>
    <t>DIGITTMII-000006</t>
  </si>
  <si>
    <t>DIGITTMII-000020</t>
  </si>
  <si>
    <t>DIGITTMII-000050</t>
  </si>
  <si>
    <t>DIGITTMII-000007</t>
  </si>
  <si>
    <t>DIGITTMII-000021</t>
  </si>
  <si>
    <t>DIGITTMII-000051</t>
  </si>
  <si>
    <t>DIGITTMII-000010</t>
  </si>
  <si>
    <t>DIGITTMII-000026</t>
  </si>
  <si>
    <t>DIGITTMII-000052</t>
  </si>
  <si>
    <t>DIGITTMII-000012</t>
  </si>
  <si>
    <t>DIGITTMII-000028</t>
  </si>
  <si>
    <t>DIGITTMII-000055</t>
  </si>
  <si>
    <t>DIGITTMII-000017</t>
  </si>
  <si>
    <t>DIGITTMII-000029</t>
  </si>
  <si>
    <t>DIGITTMII-000093</t>
  </si>
  <si>
    <t>DIGITTMII-000018</t>
  </si>
  <si>
    <t>DIGITTMII-000030</t>
  </si>
  <si>
    <t>DIGITTMII-000110</t>
  </si>
  <si>
    <t>DIGITTMII-000022</t>
  </si>
  <si>
    <t>DIGITTMII-000031</t>
  </si>
  <si>
    <t>DIGITTMII-000116</t>
  </si>
  <si>
    <t>DIGITTMII-000023</t>
  </si>
  <si>
    <t>DIGITTMII-000032</t>
  </si>
  <si>
    <t>DIGITTMII-000117</t>
  </si>
  <si>
    <t>DIGITTMII-000025</t>
  </si>
  <si>
    <t>DIGITTMII-000033</t>
  </si>
  <si>
    <t>DIGITTMII-000118</t>
  </si>
  <si>
    <t>DIGITTMII-000027</t>
  </si>
  <si>
    <t>DIGITTMII-000034</t>
  </si>
  <si>
    <t>DIGITTMII-000119</t>
  </si>
  <si>
    <t>DIGITTMII-000039</t>
  </si>
  <si>
    <t>DIGITTMII-000035</t>
  </si>
  <si>
    <t>DIGITTMII-000126</t>
  </si>
  <si>
    <t>DIGITTMII-000040</t>
  </si>
  <si>
    <t>DIGITTMII-000036</t>
  </si>
  <si>
    <t>DIGITTMII-000128</t>
  </si>
  <si>
    <t>DIGITTMII-000043</t>
  </si>
  <si>
    <t>DIGITTMII-000037</t>
  </si>
  <si>
    <t>DIGITTMII-000130</t>
  </si>
  <si>
    <t>DIGITTMII-000044</t>
  </si>
  <si>
    <t>DIGITTMII-000038</t>
  </si>
  <si>
    <t>DIGITTMII-000142</t>
  </si>
  <si>
    <t>DIGITTMII-000047</t>
  </si>
  <si>
    <t>DIGITTMII-000041</t>
  </si>
  <si>
    <t>DIGITTMII-000151</t>
  </si>
  <si>
    <t>DIGITTMII-000063</t>
  </si>
  <si>
    <t>DIGITTMII-000042</t>
  </si>
  <si>
    <t>DIGITTMII-000173</t>
  </si>
  <si>
    <t>DIGITTMII-000067</t>
  </si>
  <si>
    <t>DIGITTMII-000045</t>
  </si>
  <si>
    <t>DIGITTMII-000192</t>
  </si>
  <si>
    <t>DIGITTMII-000068</t>
  </si>
  <si>
    <t>DIGITTMII-000046</t>
  </si>
  <si>
    <t>DIGITTMII-000200</t>
  </si>
  <si>
    <t>DIGITTMII-000069</t>
  </si>
  <si>
    <t>DIGITTMII-000048</t>
  </si>
  <si>
    <t>DIGITTMII-000201</t>
  </si>
  <si>
    <t>DIGITTMII-000071</t>
  </si>
  <si>
    <t>DIGITTMII-000049</t>
  </si>
  <si>
    <t>DIGITTMII-000212</t>
  </si>
  <si>
    <t>DIGITTMII-000072</t>
  </si>
  <si>
    <t>DIGITTMII-000053</t>
  </si>
  <si>
    <t>DIGITTMII-000213</t>
  </si>
  <si>
    <t>DIGITTMII-000074</t>
  </si>
  <si>
    <t>DIGITTMII-000054</t>
  </si>
  <si>
    <t>DIGITTMII-000216</t>
  </si>
  <si>
    <t>DIGITTMII-000075</t>
  </si>
  <si>
    <t>DIGITTMII-000056</t>
  </si>
  <si>
    <t>DIGITTMII-000220</t>
  </si>
  <si>
    <t>DIGITTMII-000078</t>
  </si>
  <si>
    <t>DIGITTMII-000057</t>
  </si>
  <si>
    <t>DIGITTMII-000222</t>
  </si>
  <si>
    <t>DIGITTMII-000081</t>
  </si>
  <si>
    <t>DIGITTMII-000058</t>
  </si>
  <si>
    <t>DIGITTMII-000227</t>
  </si>
  <si>
    <t>DIGITTMII-000082</t>
  </si>
  <si>
    <t>DIGITTMII-000059</t>
  </si>
  <si>
    <t>DIGITTMII-000228</t>
  </si>
  <si>
    <t>DIGITTMII-000083</t>
  </si>
  <si>
    <t>DIGITTMII-000060</t>
  </si>
  <si>
    <t>DIGITTMII-000229</t>
  </si>
  <si>
    <t>DIGITTMII-000084</t>
  </si>
  <si>
    <t>DIGITTMII-000061</t>
  </si>
  <si>
    <t>DIGITTMII-000230</t>
  </si>
  <si>
    <t>DIGITTMII-000091</t>
  </si>
  <si>
    <t>DIGITTMII-000062</t>
  </si>
  <si>
    <t>DIGITTMII-000231</t>
  </si>
  <si>
    <t>DIGITTMII-000095</t>
  </si>
  <si>
    <t>DIGITTMII-000064</t>
  </si>
  <si>
    <t>DIGITTMII-000232</t>
  </si>
  <si>
    <t>DIGITTMII-000096</t>
  </si>
  <si>
    <t>DIGITTMII-000065</t>
  </si>
  <si>
    <t>DIGITTMII-000234</t>
  </si>
  <si>
    <t>DIGITTMII-000097</t>
  </si>
  <si>
    <t>DIGITTMII-000066</t>
  </si>
  <si>
    <t>DIGITTMII-000237</t>
  </si>
  <si>
    <t>DIGITTMII-000101</t>
  </si>
  <si>
    <t>DIGITTMII-000070</t>
  </si>
  <si>
    <t>DIGITTMII-000243</t>
  </si>
  <si>
    <t>DIGITTMII-000103</t>
  </si>
  <si>
    <t>DIGITTMII-000073</t>
  </si>
  <si>
    <t>DIGITTMII-000249</t>
  </si>
  <si>
    <t>DIGITTMII-000105</t>
  </si>
  <si>
    <t>DIGITTMII-000076</t>
  </si>
  <si>
    <t>DIGITTMII-000250</t>
  </si>
  <si>
    <t>DIGITTMII-000111</t>
  </si>
  <si>
    <t>DIGITTMII-000077</t>
  </si>
  <si>
    <t>DIGITTMII-000253</t>
  </si>
  <si>
    <t>DIGITTMII-000135</t>
  </si>
  <si>
    <t>DIGITTMII-000079</t>
  </si>
  <si>
    <t>DIGITTMII-000254</t>
  </si>
  <si>
    <t>DIGITTMII-000150</t>
  </si>
  <si>
    <t>DIGITTMII-000080</t>
  </si>
  <si>
    <t>DIGITTMII-000255</t>
  </si>
  <si>
    <t>DIGITTMII-000153</t>
  </si>
  <si>
    <t>DIGITTMII-000086</t>
  </si>
  <si>
    <t>DIGITTMII-000256</t>
  </si>
  <si>
    <t>DIGITTMII-000157</t>
  </si>
  <si>
    <t>DIGITTMII-000087</t>
  </si>
  <si>
    <t>DIGITTMII-000258</t>
  </si>
  <si>
    <t>DIGITTMII-000162</t>
  </si>
  <si>
    <t>DIGITTMII-000088</t>
  </si>
  <si>
    <t>DIGITTMII-000259</t>
  </si>
  <si>
    <t>DIGITTMII-000166</t>
  </si>
  <si>
    <t>DIGITTMII-000089</t>
  </si>
  <si>
    <t>DIGITTMII-000260</t>
  </si>
  <si>
    <t>DIGITTMII-000168</t>
  </si>
  <si>
    <t>DIGITTMII-000090</t>
  </si>
  <si>
    <t>DIGITTMII-000264</t>
  </si>
  <si>
    <t>DIGITTMII-000174</t>
  </si>
  <si>
    <t>DIGITTMII-000092</t>
  </si>
  <si>
    <t>DIGITTMII-000265</t>
  </si>
  <si>
    <t>DIGITTMII-000184</t>
  </si>
  <si>
    <t>DIGITTMII-000094</t>
  </si>
  <si>
    <t>DIGITTMII-000267</t>
  </si>
  <si>
    <t>DIGITTMII-000185</t>
  </si>
  <si>
    <t>DIGITTMII-000098</t>
  </si>
  <si>
    <t>DIGITTMII-000276</t>
  </si>
  <si>
    <t>DIGITTMII-000187</t>
  </si>
  <si>
    <t>DIGITTMII-000099</t>
  </si>
  <si>
    <t>DIGITTMII-000281</t>
  </si>
  <si>
    <t>DIGITTMII-000188</t>
  </si>
  <si>
    <t>DIGITTMII-000100</t>
  </si>
  <si>
    <t>DIGITTMII-000283</t>
  </si>
  <si>
    <t>DIGITTMII-000191</t>
  </si>
  <si>
    <t>DIGITTMII-000102</t>
  </si>
  <si>
    <t>DIGITTMII-000284</t>
  </si>
  <si>
    <t>DIGITTMII-000195</t>
  </si>
  <si>
    <t>DIGITTMII-000104</t>
  </si>
  <si>
    <t>DIGITTMII-000291</t>
  </si>
  <si>
    <t>DIGITTMII-000198</t>
  </si>
  <si>
    <t>DIGITTMII-000106</t>
  </si>
  <si>
    <t>DIGITTMII-000294</t>
  </si>
  <si>
    <t>DIGITTMII-000210</t>
  </si>
  <si>
    <t>DIGITTMII-000107</t>
  </si>
  <si>
    <t>DIGITTMII-000297</t>
  </si>
  <si>
    <t>DIGITTMII-000214</t>
  </si>
  <si>
    <t>DIGITTMII-000108</t>
  </si>
  <si>
    <t>DIGITTMII-000304</t>
  </si>
  <si>
    <t>DIGITTMII-000225</t>
  </si>
  <si>
    <t>DIGITTMII-000109</t>
  </si>
  <si>
    <t>DIGITTMII-000329</t>
  </si>
  <si>
    <t>DIGITTMII-000233</t>
  </si>
  <si>
    <t>DIGITTMII-000112</t>
  </si>
  <si>
    <t>DIGITTMII-000330</t>
  </si>
  <si>
    <t>DIGITTMII-000236</t>
  </si>
  <si>
    <t>DIGITTMII-000113</t>
  </si>
  <si>
    <t>DIGITTMII-000331</t>
  </si>
  <si>
    <t>DIGITTMII-000238</t>
  </si>
  <si>
    <t>DIGITTMII-000114</t>
  </si>
  <si>
    <t>DIGITTMII-000334</t>
  </si>
  <si>
    <t>DIGITTMII-000263</t>
  </si>
  <si>
    <t>DIGITTMII-000115</t>
  </si>
  <si>
    <t>DIGITTMII-000343</t>
  </si>
  <si>
    <t>DIGITTMII-000269</t>
  </si>
  <si>
    <t>DIGITTMII-000120</t>
  </si>
  <si>
    <t>DIGITTMII-000345</t>
  </si>
  <si>
    <t>DIGITTMII-000270</t>
  </si>
  <si>
    <t>DIGITTMII-000121</t>
  </si>
  <si>
    <t>DIGITTMII-000347</t>
  </si>
  <si>
    <t>DIGITTMII-000271</t>
  </si>
  <si>
    <t>DIGITTMII-000122</t>
  </si>
  <si>
    <t>DIGITTMII-000348</t>
  </si>
  <si>
    <t>DIGITTMII-000285</t>
  </si>
  <si>
    <t>DIGITTMII-000123</t>
  </si>
  <si>
    <t>DIGITTMII-000352</t>
  </si>
  <si>
    <t>DIGITTMII-000288</t>
  </si>
  <si>
    <t>DIGITTMII-000124</t>
  </si>
  <si>
    <t>DIGITTMII-000353</t>
  </si>
  <si>
    <t>DIGITTMII-000289</t>
  </si>
  <si>
    <t>DIGITTMII-000125</t>
  </si>
  <si>
    <t>DIGITTMII-000354</t>
  </si>
  <si>
    <t>DIGITTMII-000295</t>
  </si>
  <si>
    <t>DIGITTMII-000127</t>
  </si>
  <si>
    <t>DIGITTMII-000356</t>
  </si>
  <si>
    <t>DIGITTMII-000318</t>
  </si>
  <si>
    <t>DIGITTMII-000129</t>
  </si>
  <si>
    <t>DIGITTMII-000357</t>
  </si>
  <si>
    <t>DIGITTMII-000322</t>
  </si>
  <si>
    <t>DIGITTMII-000131</t>
  </si>
  <si>
    <t>DIGITTMII-000358</t>
  </si>
  <si>
    <t>DIGITTMII-000323</t>
  </si>
  <si>
    <t>DIGITTMII-000132</t>
  </si>
  <si>
    <t>DIGITTMII-000364</t>
  </si>
  <si>
    <t>DIGITTMII-000324</t>
  </si>
  <si>
    <t>DIGITTMII-000133</t>
  </si>
  <si>
    <t>DIGITTMII-000365</t>
  </si>
  <si>
    <t>DIGITTMII-000325</t>
  </si>
  <si>
    <t>DIGITTMII-000134</t>
  </si>
  <si>
    <t>DIGITTMII-000367</t>
  </si>
  <si>
    <t>DIGITTMII-000327</t>
  </si>
  <si>
    <t>DIGITTMII-000136</t>
  </si>
  <si>
    <t>DIGITTMII-000368</t>
  </si>
  <si>
    <t>DIGITTMII-000332</t>
  </si>
  <si>
    <t>DIGITTMII-000137</t>
  </si>
  <si>
    <t>DIGITTMII-000370</t>
  </si>
  <si>
    <t>DIGITTMII-000346</t>
  </si>
  <si>
    <t>DIGITTMII-000138</t>
  </si>
  <si>
    <t>DIGITTMII-000371</t>
  </si>
  <si>
    <t>DIGITTMII-000375</t>
  </si>
  <si>
    <t>DIGITTMII-000139</t>
  </si>
  <si>
    <t>DIGITTMII-000384</t>
  </si>
  <si>
    <t>DIGITTMII-000376</t>
  </si>
  <si>
    <t>DIGITTMII-000140</t>
  </si>
  <si>
    <t>DIGITTMII-000387</t>
  </si>
  <si>
    <t>DIGITTMII-000379</t>
  </si>
  <si>
    <t>DIGITTMII-000141</t>
  </si>
  <si>
    <t>DIGITTMII-000390</t>
  </si>
  <si>
    <t>DIGITTMII-000381</t>
  </si>
  <si>
    <t>DIGITTMII-000143</t>
  </si>
  <si>
    <t>DIGITTMII-000391</t>
  </si>
  <si>
    <t>DIGITTMII-000385</t>
  </si>
  <si>
    <t>DIGITTMII-000144</t>
  </si>
  <si>
    <t>DIGITTMII-000392</t>
  </si>
  <si>
    <t>DIGITTMII-000388</t>
  </si>
  <si>
    <t>DIGITTMII-000145</t>
  </si>
  <si>
    <t>DIGITTMII-000417</t>
  </si>
  <si>
    <t>DIGITTMII-000393</t>
  </si>
  <si>
    <t>DIGITTMII-000146</t>
  </si>
  <si>
    <t>DIGITTMII-000420</t>
  </si>
  <si>
    <t>DIGITTMII-000396</t>
  </si>
  <si>
    <t>DIGITTMII-000147</t>
  </si>
  <si>
    <t>DIGITTMII-000422</t>
  </si>
  <si>
    <t>DIGITTMII-000397</t>
  </si>
  <si>
    <t>DIGITTMII-000148</t>
  </si>
  <si>
    <t>DIGITTMII-000423</t>
  </si>
  <si>
    <t>DIGITTMII-000398</t>
  </si>
  <si>
    <t>DIGITTMII-000149</t>
  </si>
  <si>
    <t>DIGITTMII-000424</t>
  </si>
  <si>
    <t>DIGITTMII-000407</t>
  </si>
  <si>
    <t>DIGITTMII-000152</t>
  </si>
  <si>
    <t>DIGITTMII-000433</t>
  </si>
  <si>
    <t>DIGITTMII-000409</t>
  </si>
  <si>
    <t>DIGITTMII-000154</t>
  </si>
  <si>
    <t>DIGITTMII-000436</t>
  </si>
  <si>
    <t>DIGITTMII-000416</t>
  </si>
  <si>
    <t>DIGITTMII-000155</t>
  </si>
  <si>
    <t>DIGITTMII-000442</t>
  </si>
  <si>
    <t>DIGITTMII-000418</t>
  </si>
  <si>
    <t>DIGITTMII-000156</t>
  </si>
  <si>
    <t>DIGITTMII-000445</t>
  </si>
  <si>
    <t>DIGITTMII-000419</t>
  </si>
  <si>
    <t>DIGITTMII-000158</t>
  </si>
  <si>
    <t>DIGITTMII-000446</t>
  </si>
  <si>
    <t>DIGITTMII-000428</t>
  </si>
  <si>
    <t>DIGITTMII-000159</t>
  </si>
  <si>
    <t>DIGITTMII-000448</t>
  </si>
  <si>
    <t>DIGITTMII-000431</t>
  </si>
  <si>
    <t>DIGITTMII-000161</t>
  </si>
  <si>
    <t>DIGITTMII-000449</t>
  </si>
  <si>
    <t>DIGITTMII-000439</t>
  </si>
  <si>
    <t>DIGITTMII-000163</t>
  </si>
  <si>
    <t>DIGITTMII-000450</t>
  </si>
  <si>
    <t>DIGITTMII-000441</t>
  </si>
  <si>
    <t>DIGITTMII-000165</t>
  </si>
  <si>
    <t>DIGITTMII-000451</t>
  </si>
  <si>
    <t>DIGITTMII-000447</t>
  </si>
  <si>
    <t>DIGITTMII-000167</t>
  </si>
  <si>
    <t>DIGITTMII-000452</t>
  </si>
  <si>
    <t>DIGITTMII-000454</t>
  </si>
  <si>
    <t>DIGITTMII-000169</t>
  </si>
  <si>
    <t>DIGITTMII-000463</t>
  </si>
  <si>
    <t>DIGITTMII-000456</t>
  </si>
  <si>
    <t>DIGITTMII-000170</t>
  </si>
  <si>
    <t>DIGITTMII-000469</t>
  </si>
  <si>
    <t>DIGITTMII-000459</t>
  </si>
  <si>
    <t>DIGITTMII-000171</t>
  </si>
  <si>
    <t>DIGITTMII-000471</t>
  </si>
  <si>
    <t>DIGITTMII-000460</t>
  </si>
  <si>
    <t>DIGITTMII-000172</t>
  </si>
  <si>
    <t>DIGITTMII-000476</t>
  </si>
  <si>
    <t>DIGITTMII-000461</t>
  </si>
  <si>
    <t>DIGITTMII-000175</t>
  </si>
  <si>
    <t>DIGITTMII-000479</t>
  </si>
  <si>
    <t>DIGITTMII-000475</t>
  </si>
  <si>
    <t>DIGITTMII-000176</t>
  </si>
  <si>
    <t>DIGITTMII-000483</t>
  </si>
  <si>
    <t>DIGITTMII-000487</t>
  </si>
  <si>
    <t>DIGITTMII-000177</t>
  </si>
  <si>
    <t>DIGITTMII-000484</t>
  </si>
  <si>
    <t>DIGITTMII-000499</t>
  </si>
  <si>
    <t>DIGITTMII-000178</t>
  </si>
  <si>
    <t>DIGITTMII-000486</t>
  </si>
  <si>
    <t>DIGITTMII-000508</t>
  </si>
  <si>
    <t>DIGITTMII-000179</t>
  </si>
  <si>
    <t>DIGITTMII-000488</t>
  </si>
  <si>
    <t>DIGITTMII-000516</t>
  </si>
  <si>
    <t>DIGITTMII-000180</t>
  </si>
  <si>
    <t>DIGITTMII-000490</t>
  </si>
  <si>
    <t>DIGITTMII-000518</t>
  </si>
  <si>
    <t>DIGITTMII-000181</t>
  </si>
  <si>
    <t>DIGITTMII-000491</t>
  </si>
  <si>
    <t>DIGITTMII-000520</t>
  </si>
  <si>
    <t>DIGITTMII-000182</t>
  </si>
  <si>
    <t>DIGITTMII-000495</t>
  </si>
  <si>
    <t>DIGITTMII-000538</t>
  </si>
  <si>
    <t>DIGITTMII-000183</t>
  </si>
  <si>
    <t>DIGITTMII-000496</t>
  </si>
  <si>
    <t>DIGITTMII-000551</t>
  </si>
  <si>
    <t>DIGITTMII-000186</t>
  </si>
  <si>
    <t>DIGITTMII-000503</t>
  </si>
  <si>
    <t>DIGITTMII-000562</t>
  </si>
  <si>
    <t>DIGITTMII-000189</t>
  </si>
  <si>
    <t>DIGITTMII-000506</t>
  </si>
  <si>
    <t>DIGITTMII-000574</t>
  </si>
  <si>
    <t>DIGITTMII-000190</t>
  </si>
  <si>
    <t>DIGITTMII-000507</t>
  </si>
  <si>
    <t>DIGITTMII-000577</t>
  </si>
  <si>
    <t>DIGITTMII-000193</t>
  </si>
  <si>
    <t>DIGITTMII-000512</t>
  </si>
  <si>
    <t>DIGITTMII-000594</t>
  </si>
  <si>
    <t>DIGITTMII-000194</t>
  </si>
  <si>
    <t>DIGITTMII-000521</t>
  </si>
  <si>
    <t>DIGITTMII-000601</t>
  </si>
  <si>
    <t>DIGITTMII-000196</t>
  </si>
  <si>
    <t>DIGITTMII-000525</t>
  </si>
  <si>
    <t>DIGITTMII-000603</t>
  </si>
  <si>
    <t>DIGITTMII-000199</t>
  </si>
  <si>
    <t>DIGITTMII-000526</t>
  </si>
  <si>
    <t>DIGITTMII-000604</t>
  </si>
  <si>
    <t>DIGITTMII-000202</t>
  </si>
  <si>
    <t>DIGITTMII-000527</t>
  </si>
  <si>
    <t>DIGITTMII-000624</t>
  </si>
  <si>
    <t>DIGITTMII-000203</t>
  </si>
  <si>
    <t>DIGITTMII-000528</t>
  </si>
  <si>
    <t>DIGITTMII-000625</t>
  </si>
  <si>
    <t>DIGITTMII-000204</t>
  </si>
  <si>
    <t>DIGITTMII-000531</t>
  </si>
  <si>
    <t>DIGITTMII-000644</t>
  </si>
  <si>
    <t>DIGITTMII-000205</t>
  </si>
  <si>
    <t>DIGITTMII-000533</t>
  </si>
  <si>
    <t>DIGITTMII-000654</t>
  </si>
  <si>
    <t>DIGITTMII-000206</t>
  </si>
  <si>
    <t>DIGITTMII-000536</t>
  </si>
  <si>
    <t>DIGITTMII-000658</t>
  </si>
  <si>
    <t>DIGITTMII-000207</t>
  </si>
  <si>
    <t>DIGITTMII-000539</t>
  </si>
  <si>
    <t>DIGITTMII-000691</t>
  </si>
  <si>
    <t>DIGITTMII-000208</t>
  </si>
  <si>
    <t>DIGITTMII-000541</t>
  </si>
  <si>
    <t>DIGITTMII-000714</t>
  </si>
  <si>
    <t>DIGITTMII-000209</t>
  </si>
  <si>
    <t>DIGITTMII-000546</t>
  </si>
  <si>
    <t>DIGITTMII-000720</t>
  </si>
  <si>
    <t>DIGITTMII-000211</t>
  </si>
  <si>
    <t>DIGITTMII-000556</t>
  </si>
  <si>
    <t>DIGITTMII-000735</t>
  </si>
  <si>
    <t>DIGITTMII-000215</t>
  </si>
  <si>
    <t>DIGITTMII-000558</t>
  </si>
  <si>
    <t>DIGITTMII-000737</t>
  </si>
  <si>
    <t>DIGITTMII-000217</t>
  </si>
  <si>
    <t>DIGITTMII-000564</t>
  </si>
  <si>
    <t>DIGITTMII-000744</t>
  </si>
  <si>
    <t>DIGITTMII-000218</t>
  </si>
  <si>
    <t>DIGITTMII-000571</t>
  </si>
  <si>
    <t>DIGITTMII-000745</t>
  </si>
  <si>
    <t>DIGITTMII-000219</t>
  </si>
  <si>
    <t>DIGITTMII-000581</t>
  </si>
  <si>
    <t>DIGITTMII-000754</t>
  </si>
  <si>
    <t>DIGITTMII-000221</t>
  </si>
  <si>
    <t>DIGITTMII-000583</t>
  </si>
  <si>
    <t>DIGITTMII-000756</t>
  </si>
  <si>
    <t>DIGITTMII-000223</t>
  </si>
  <si>
    <t>DIGITTMII-000585</t>
  </si>
  <si>
    <t>DIGITTMII-000757</t>
  </si>
  <si>
    <t>DIGITTMII-000226</t>
  </si>
  <si>
    <t>DIGITTMII-000586</t>
  </si>
  <si>
    <t>DIGITTMII-000795</t>
  </si>
  <si>
    <t>DIGITTMII-000235</t>
  </si>
  <si>
    <t>DIGITTMII-000591</t>
  </si>
  <si>
    <t>DIGITTMII-000801</t>
  </si>
  <si>
    <t>DIGITTMII-000239</t>
  </si>
  <si>
    <t>DIGITTMII-000595</t>
  </si>
  <si>
    <t>DIGITTMII-000810</t>
  </si>
  <si>
    <t>DIGITTMII-000240</t>
  </si>
  <si>
    <t>DIGITTMII-000597</t>
  </si>
  <si>
    <t>DIGITTMII-000811</t>
  </si>
  <si>
    <t>DIGITTMII-000241</t>
  </si>
  <si>
    <t>DIGITTMII-000605</t>
  </si>
  <si>
    <t>DIGITTMII-000822</t>
  </si>
  <si>
    <t>DIGITTMII-000242</t>
  </si>
  <si>
    <t>DIGITTMII-000609</t>
  </si>
  <si>
    <t>DIGITTMII-000845</t>
  </si>
  <si>
    <t>DIGITTMII-000244</t>
  </si>
  <si>
    <t>DIGITTMII-000611</t>
  </si>
  <si>
    <t>DIGITTMII-000846</t>
  </si>
  <si>
    <t>DIGITTMII-000245</t>
  </si>
  <si>
    <t>DIGITTMII-000617</t>
  </si>
  <si>
    <t>DIGITTMII-000847</t>
  </si>
  <si>
    <t>DIGITTMII-000246</t>
  </si>
  <si>
    <t>DIGITTMII-000618</t>
  </si>
  <si>
    <t>DIGITTMII-000849</t>
  </si>
  <si>
    <t>DIGITTMII-000247</t>
  </si>
  <si>
    <t>DIGITTMII-000619</t>
  </si>
  <si>
    <t>DIGITTMII-000852</t>
  </si>
  <si>
    <t>DIGITTMII-000248</t>
  </si>
  <si>
    <t>DIGITTMII-000626</t>
  </si>
  <si>
    <t>DIGITTMII-000854</t>
  </si>
  <si>
    <t>DIGITTMII-000251</t>
  </si>
  <si>
    <t>DIGITTMII-000627</t>
  </si>
  <si>
    <t>DIGITTMII-000864</t>
  </si>
  <si>
    <t>DIGITTMII-000252</t>
  </si>
  <si>
    <t>DIGITTMII-000632</t>
  </si>
  <si>
    <t>DIGITTMII-000867</t>
  </si>
  <si>
    <t>DIGITTMII-000257</t>
  </si>
  <si>
    <t>DIGITTMII-000635</t>
  </si>
  <si>
    <t>DIGITTMII-000871</t>
  </si>
  <si>
    <t>DIGITTMII-000261</t>
  </si>
  <si>
    <t>DIGITTMII-000640</t>
  </si>
  <si>
    <t>DIGITTMII-000881</t>
  </si>
  <si>
    <t>DIGITTMII-000262</t>
  </si>
  <si>
    <t>DIGITTMII-000641</t>
  </si>
  <si>
    <t>DIGITTMII-000898</t>
  </si>
  <si>
    <t>DIGITTMII-000266</t>
  </si>
  <si>
    <t>DIGITTMII-000645</t>
  </si>
  <si>
    <t>DIGITTMII-000903</t>
  </si>
  <si>
    <t>DIGITTMII-000268</t>
  </si>
  <si>
    <t>DIGITTMII-000646</t>
  </si>
  <si>
    <t>DIGITTMII-000906</t>
  </si>
  <si>
    <t>DIGITTMII-000272</t>
  </si>
  <si>
    <t>DIGITTMII-000648</t>
  </si>
  <si>
    <t>DIGITTMII-000909</t>
  </si>
  <si>
    <t>DIGITTMII-000273</t>
  </si>
  <si>
    <t>DIGITTMII-000649</t>
  </si>
  <si>
    <t>DIGITTMII-000912</t>
  </si>
  <si>
    <t>DIGITTMII-000274</t>
  </si>
  <si>
    <t>DIGITTMII-000651</t>
  </si>
  <si>
    <t>DIGITTMII-000918</t>
  </si>
  <si>
    <t>DIGITTMII-000275</t>
  </si>
  <si>
    <t>DIGITTMII-000656</t>
  </si>
  <si>
    <t>DIGITTMII-000920</t>
  </si>
  <si>
    <t>DIGITTMII-000277</t>
  </si>
  <si>
    <t>DIGITTMII-000659</t>
  </si>
  <si>
    <t>DIGITTMII-000931</t>
  </si>
  <si>
    <t>DIGITTMII-000278</t>
  </si>
  <si>
    <t>DIGITTMII-000660</t>
  </si>
  <si>
    <t>DIGITTMII-000932</t>
  </si>
  <si>
    <t>DIGITTMII-000279</t>
  </si>
  <si>
    <t>DIGITTMII-000664</t>
  </si>
  <si>
    <t>DIGITTMII-000943</t>
  </si>
  <si>
    <t>DIGITTMII-000280</t>
  </si>
  <si>
    <t>DIGITTMII-000667</t>
  </si>
  <si>
    <t>DIGITTMII-000944</t>
  </si>
  <si>
    <t>DIGITTMII-000282</t>
  </si>
  <si>
    <t>DIGITTMII-000669</t>
  </si>
  <si>
    <t>DIGITTMII-000953</t>
  </si>
  <si>
    <t>DIGITTMII-000286</t>
  </si>
  <si>
    <t>DIGITTMII-000670</t>
  </si>
  <si>
    <t>DIGITTMII-000959</t>
  </si>
  <si>
    <t>DIGITTMII-000287</t>
  </si>
  <si>
    <t>DIGITTMII-000677</t>
  </si>
  <si>
    <t>DIGITTMII-000974</t>
  </si>
  <si>
    <t>DIGITTMII-000290</t>
  </si>
  <si>
    <t>DIGITTMII-000682</t>
  </si>
  <si>
    <t>DIGITTMII-000975</t>
  </si>
  <si>
    <t>DIGITTMII-000292</t>
  </si>
  <si>
    <t>DIGITTMII-000698</t>
  </si>
  <si>
    <t>DIGITTMII-000978</t>
  </si>
  <si>
    <t>DIGITTMII-000293</t>
  </si>
  <si>
    <t>DIGITTMII-000699</t>
  </si>
  <si>
    <t>DIGITTMII-000979</t>
  </si>
  <si>
    <t>DIGITTMII-000296</t>
  </si>
  <si>
    <t>DIGITTMII-000701</t>
  </si>
  <si>
    <t>DIGITTMII-000982</t>
  </si>
  <si>
    <t>DIGITTMII-000298</t>
  </si>
  <si>
    <t>DIGITTMII-000702</t>
  </si>
  <si>
    <t>DIGITTMII-000985</t>
  </si>
  <si>
    <t>DIGITTMII-000299</t>
  </si>
  <si>
    <t>DIGITTMII-000706</t>
  </si>
  <si>
    <t>DIGITTMII-000991</t>
  </si>
  <si>
    <t>DIGITTMII-000300</t>
  </si>
  <si>
    <t>DIGITTMII-000715</t>
  </si>
  <si>
    <t>DIGITTMII-000994</t>
  </si>
  <si>
    <t>DIGITTMII-000301</t>
  </si>
  <si>
    <t>DIGITTMII-000724</t>
  </si>
  <si>
    <t>DIGITTMII-000998</t>
  </si>
  <si>
    <t>DIGITTMII-000302</t>
  </si>
  <si>
    <t>DIGITTMII-000726</t>
  </si>
  <si>
    <t>DIGITTMII-001000</t>
  </si>
  <si>
    <t>DIGITTMII-000303</t>
  </si>
  <si>
    <t>DIGITTMII-000732</t>
  </si>
  <si>
    <t>DIGITTMII-001003</t>
  </si>
  <si>
    <t>DIGITTMII-000305</t>
  </si>
  <si>
    <t>DIGITTMII-000733</t>
  </si>
  <si>
    <t>DIGITTMII-001017</t>
  </si>
  <si>
    <t>DIGITTMII-000306</t>
  </si>
  <si>
    <t>DIGITTMII-000734</t>
  </si>
  <si>
    <t>DIGITTMII-001021</t>
  </si>
  <si>
    <t>DIGITTMII-000307</t>
  </si>
  <si>
    <t>DIGITTMII-000738</t>
  </si>
  <si>
    <t>DIGITTMII-001026</t>
  </si>
  <si>
    <t>DIGITTMII-000308</t>
  </si>
  <si>
    <t>DIGITTMII-000740</t>
  </si>
  <si>
    <t>DIGITTMII-001031</t>
  </si>
  <si>
    <t>DIGITTMII-000310</t>
  </si>
  <si>
    <t>DIGITTMII-000742</t>
  </si>
  <si>
    <t>DIGITTMII-001079</t>
  </si>
  <si>
    <t>DIGITTMII-000311</t>
  </si>
  <si>
    <t>DIGITTMII-000743</t>
  </si>
  <si>
    <t>DIGITTMII-001080</t>
  </si>
  <si>
    <t>DIGITTMII-000312</t>
  </si>
  <si>
    <t>DIGITTMII-000746</t>
  </si>
  <si>
    <t>DIGITTMII-001081</t>
  </si>
  <si>
    <t>DIGITTMII-000313</t>
  </si>
  <si>
    <t>DIGITTMII-000747</t>
  </si>
  <si>
    <t>DIGITTMII-001085</t>
  </si>
  <si>
    <t>DIGITTMII-000314</t>
  </si>
  <si>
    <t>DIGITTMII-000748</t>
  </si>
  <si>
    <t>DIGITTMII-001090</t>
  </si>
  <si>
    <t>DIGITTMII-000315</t>
  </si>
  <si>
    <t>DIGITTMII-000759</t>
  </si>
  <si>
    <t>DIGITTMII-001097</t>
  </si>
  <si>
    <t>DIGITTMII-000316</t>
  </si>
  <si>
    <t>DIGITTMII-000760</t>
  </si>
  <si>
    <t>DIGITTMII-001105</t>
  </si>
  <si>
    <t>DIGITTMII-000317</t>
  </si>
  <si>
    <t>DIGITTMII-000761</t>
  </si>
  <si>
    <t>DIGITTMII-001108</t>
  </si>
  <si>
    <t>DIGITTMII-000319</t>
  </si>
  <si>
    <t>DIGITTMII-000762</t>
  </si>
  <si>
    <t>DIGITTMII-001118</t>
  </si>
  <si>
    <t>DIGITTMII-000320</t>
  </si>
  <si>
    <t>DIGITTMII-000764</t>
  </si>
  <si>
    <t>DIGITTMII-001121</t>
  </si>
  <si>
    <t>DIGITTMII-000321</t>
  </si>
  <si>
    <t>DIGITTMII-000769</t>
  </si>
  <si>
    <t>DIGITTMII-001122</t>
  </si>
  <si>
    <t>DIGITTMII-000326</t>
  </si>
  <si>
    <t>DIGITTMII-000771</t>
  </si>
  <si>
    <t>DIGITTMII-001123</t>
  </si>
  <si>
    <t>DIGITTMII-000328</t>
  </si>
  <si>
    <t>DIGITTMII-000772</t>
  </si>
  <si>
    <t>DIGITTMII-001127</t>
  </si>
  <si>
    <t>DIGITTMII-000333</t>
  </si>
  <si>
    <t>DIGITTMII-000774</t>
  </si>
  <si>
    <t>DIGITTMII-001133</t>
  </si>
  <si>
    <t>DIGITTMII-000335</t>
  </si>
  <si>
    <t>DIGITTMII-000779</t>
  </si>
  <si>
    <t>DIGITTMII-001142</t>
  </si>
  <si>
    <t>DIGITTMII-000336</t>
  </si>
  <si>
    <t>DIGITTMII-000782</t>
  </si>
  <si>
    <t>DIGITTMII-001148</t>
  </si>
  <si>
    <t>DIGITTMII-000337</t>
  </si>
  <si>
    <t>DIGITTMII-000785</t>
  </si>
  <si>
    <t>DIGITTMII-001156</t>
  </si>
  <si>
    <t>DIGITTMII-000338</t>
  </si>
  <si>
    <t>DIGITTMII-000790</t>
  </si>
  <si>
    <t>DIGITTMII-001163</t>
  </si>
  <si>
    <t>DIGITTMII-000339</t>
  </si>
  <si>
    <t>DIGITTMII-000792</t>
  </si>
  <si>
    <t>DIGITTMII-001164</t>
  </si>
  <si>
    <t>DIGITTMII-000340</t>
  </si>
  <si>
    <t>DIGITTMII-000793</t>
  </si>
  <si>
    <t>DIGITTMII-001165</t>
  </si>
  <si>
    <t>DIGITTMII-000341</t>
  </si>
  <si>
    <t>DIGITTMII-000796</t>
  </si>
  <si>
    <t>DIGITTMII-001184</t>
  </si>
  <si>
    <t>DIGITTMII-000342</t>
  </si>
  <si>
    <t>DIGITTMII-000800</t>
  </si>
  <si>
    <t>DIGITTMII-001205</t>
  </si>
  <si>
    <t>DIGITTMII-000344</t>
  </si>
  <si>
    <t>DIGITTMII-000802</t>
  </si>
  <si>
    <t>DIGITTMII-001224</t>
  </si>
  <si>
    <t>DIGITTMII-000349</t>
  </si>
  <si>
    <t>DIGITTMII-000803</t>
  </si>
  <si>
    <t>DIGITTMII-001272</t>
  </si>
  <si>
    <t>DIGITTMII-000350</t>
  </si>
  <si>
    <t>DIGITTMII-000813</t>
  </si>
  <si>
    <t>DIGITTMII-001274</t>
  </si>
  <si>
    <t>DIGITTMII-000351</t>
  </si>
  <si>
    <t>DIGITTMII-000814</t>
  </si>
  <si>
    <t>DIGITTMII-001282</t>
  </si>
  <si>
    <t>DIGITTMII-000355</t>
  </si>
  <si>
    <t>DIGITTMII-000815</t>
  </si>
  <si>
    <t>DIGITTMII-001283</t>
  </si>
  <si>
    <t>DIGITTMII-000359</t>
  </si>
  <si>
    <t>DIGITTMII-000819</t>
  </si>
  <si>
    <t>DIGITTMII-001287</t>
  </si>
  <si>
    <t>DIGITTMII-000360</t>
  </si>
  <si>
    <t>DIGITTMII-000820</t>
  </si>
  <si>
    <t>DIGITTMII-001295</t>
  </si>
  <si>
    <t>DIGITTMII-000361</t>
  </si>
  <si>
    <t>DIGITTMII-000821</t>
  </si>
  <si>
    <t>DIGITTMII-001311</t>
  </si>
  <si>
    <t>DIGITTMII-000362</t>
  </si>
  <si>
    <t>DIGITTMII-000823</t>
  </si>
  <si>
    <t>DIGITTMII-001315</t>
  </si>
  <si>
    <t>DIGITTMII-000363</t>
  </si>
  <si>
    <t>DIGITTMII-000826</t>
  </si>
  <si>
    <t>DIGITTMII-001327</t>
  </si>
  <si>
    <t>DIGITTMII-000366</t>
  </si>
  <si>
    <t>DIGITTMII-000828</t>
  </si>
  <si>
    <t>DIGITTMII-001329</t>
  </si>
  <si>
    <t>DIGITTMII-000369</t>
  </si>
  <si>
    <t>DIGITTMII-000829</t>
  </si>
  <si>
    <t>DIGITTMII-001336</t>
  </si>
  <si>
    <t>DIGITTMII-000372</t>
  </si>
  <si>
    <t>DIGITTMII-000830</t>
  </si>
  <si>
    <t>DIGITTMII-001337</t>
  </si>
  <si>
    <t>DIGITTMII-000373</t>
  </si>
  <si>
    <t>DIGITTMII-000833</t>
  </si>
  <si>
    <t>DIGITTMII-001343</t>
  </si>
  <si>
    <t>DIGITTMII-000374</t>
  </si>
  <si>
    <t>DIGITTMII-000834</t>
  </si>
  <si>
    <t>DIGITTMII-001345</t>
  </si>
  <si>
    <t>DIGITTMII-000377</t>
  </si>
  <si>
    <t>DIGITTMII-000836</t>
  </si>
  <si>
    <t>DIGITTMII-001347</t>
  </si>
  <si>
    <t>DIGITTMII-000378</t>
  </si>
  <si>
    <t>DIGITTMII-000837</t>
  </si>
  <si>
    <t>DIGITTMII-001377</t>
  </si>
  <si>
    <t>DIGITTMII-000380</t>
  </si>
  <si>
    <t>DIGITTMII-000839</t>
  </si>
  <si>
    <t>DIGITTMII-001378</t>
  </si>
  <si>
    <t>DIGITTMII-000382</t>
  </si>
  <si>
    <t>DIGITTMII-000840</t>
  </si>
  <si>
    <t>DIGITTMII-001379</t>
  </si>
  <si>
    <t>DIGITTMII-000383</t>
  </si>
  <si>
    <t>DIGITTMII-000844</t>
  </si>
  <si>
    <t>DIGITTMII-001381</t>
  </si>
  <si>
    <t>DIGITTMII-000386</t>
  </si>
  <si>
    <t>DIGITTMII-000848</t>
  </si>
  <si>
    <t>DIGITTMII-001382</t>
  </si>
  <si>
    <t>DIGITTMII-000389</t>
  </si>
  <si>
    <t>DIGITTMII-000850</t>
  </si>
  <si>
    <t>DIGITTMII-001398</t>
  </si>
  <si>
    <t>DIGITTMII-000394</t>
  </si>
  <si>
    <t>DIGITTMII-000851</t>
  </si>
  <si>
    <t>DIGITTMII-001412</t>
  </si>
  <si>
    <t>DIGITTMII-000395</t>
  </si>
  <si>
    <t>DIGITTMII-000857</t>
  </si>
  <si>
    <t>DIGITTMII-001413</t>
  </si>
  <si>
    <t>DIGITTMII-000399</t>
  </si>
  <si>
    <t>DIGITTMII-000860</t>
  </si>
  <si>
    <t>DIGITTMII-001415</t>
  </si>
  <si>
    <t>DIGITTMII-000400</t>
  </si>
  <si>
    <t>DIGITTMII-000863</t>
  </si>
  <si>
    <t>DIGITTMII-001416</t>
  </si>
  <si>
    <t>DIGITTMII-000401</t>
  </si>
  <si>
    <t>DIGITTMII-000876</t>
  </si>
  <si>
    <t>DIGITTMII-001418</t>
  </si>
  <si>
    <t>DIGITTMII-000402</t>
  </si>
  <si>
    <t>DIGITTMII-000884</t>
  </si>
  <si>
    <t>DIGITTMII-001421</t>
  </si>
  <si>
    <t>DIGITTMII-000403</t>
  </si>
  <si>
    <t>DIGITTMII-000889</t>
  </si>
  <si>
    <t>DIGITTMII-001447</t>
  </si>
  <si>
    <t>DIGITTMII-000404</t>
  </si>
  <si>
    <t>DIGITTMII-000897</t>
  </si>
  <si>
    <t>DIGITTMII-001449</t>
  </si>
  <si>
    <t>DIGITTMII-000405</t>
  </si>
  <si>
    <t>DIGITTMII-000900</t>
  </si>
  <si>
    <t>DIGITTMII-001464</t>
  </si>
  <si>
    <t>DIGITTMII-000406</t>
  </si>
  <si>
    <t>DIGITTMII-000901</t>
  </si>
  <si>
    <t>DIGITTMII-001465</t>
  </si>
  <si>
    <t>DIGITTMII-000408</t>
  </si>
  <si>
    <t>DIGITTMII-000902</t>
  </si>
  <si>
    <t>DIGITTMII-001467</t>
  </si>
  <si>
    <t>DIGITTMII-000410</t>
  </si>
  <si>
    <t>DIGITTMII-000905</t>
  </si>
  <si>
    <t>DIGITTMII-001469</t>
  </si>
  <si>
    <t>DIGITTMII-000411</t>
  </si>
  <si>
    <t>DIGITTMII-000910</t>
  </si>
  <si>
    <t>DIGITTMII-001471</t>
  </si>
  <si>
    <t>DIGITTMII-000412</t>
  </si>
  <si>
    <t>DIGITTMII-000919</t>
  </si>
  <si>
    <t>DIGITTMII-001473</t>
  </si>
  <si>
    <t>DIGITTMII-000413</t>
  </si>
  <si>
    <t>DIGITTMII-000923</t>
  </si>
  <si>
    <t>DIGITTMII-001474</t>
  </si>
  <si>
    <t>DIGITTMII-000414</t>
  </si>
  <si>
    <t>DIGITTMII-000926</t>
  </si>
  <si>
    <t>DIGITTMII-001491</t>
  </si>
  <si>
    <t>DIGITTMII-000415</t>
  </si>
  <si>
    <t>DIGITTMII-000927</t>
  </si>
  <si>
    <t>DIGITTMII-001492</t>
  </si>
  <si>
    <t>DIGITTMII-000421</t>
  </si>
  <si>
    <t>DIGITTMII-000935</t>
  </si>
  <si>
    <t>DIGITTMII-001509</t>
  </si>
  <si>
    <t>DIGITTMII-000425</t>
  </si>
  <si>
    <t>DIGITTMII-000940</t>
  </si>
  <si>
    <t>DIGITTMII-001513</t>
  </si>
  <si>
    <t>DIGITTMII-000426</t>
  </si>
  <si>
    <t>DIGITTMII-000941</t>
  </si>
  <si>
    <t>DIGITTMII-001515</t>
  </si>
  <si>
    <t>DIGITTMII-000427</t>
  </si>
  <si>
    <t>DIGITTMII-000949</t>
  </si>
  <si>
    <t>DIGITTMII-001517</t>
  </si>
  <si>
    <t>DIGITTMII-000429</t>
  </si>
  <si>
    <t>DIGITTMII-000954</t>
  </si>
  <si>
    <t>DIGITTMII-001518</t>
  </si>
  <si>
    <t>DIGITTMII-000430</t>
  </si>
  <si>
    <t>DIGITTMII-000962</t>
  </si>
  <si>
    <t>DIGITTMII-001519</t>
  </si>
  <si>
    <t>DIGITTMII-000432</t>
  </si>
  <si>
    <t>DIGITTMII-000966</t>
  </si>
  <si>
    <t>DIGITTMII-001521</t>
  </si>
  <si>
    <t>DIGITTMII-000434</t>
  </si>
  <si>
    <t>DIGITTMII-000967</t>
  </si>
  <si>
    <t>DIGITTMII-001523</t>
  </si>
  <si>
    <t>DIGITTMII-000435</t>
  </si>
  <si>
    <t>DIGITTMII-000972</t>
  </si>
  <si>
    <t>DIGITTMII-001524</t>
  </si>
  <si>
    <t>DIGITTMII-000437</t>
  </si>
  <si>
    <t>DIGITTMII-000973</t>
  </si>
  <si>
    <t>DIGITTMII-001526</t>
  </si>
  <si>
    <t>DIGITTMII-000438</t>
  </si>
  <si>
    <t>DIGITTMII-000981</t>
  </si>
  <si>
    <t>DIGITTMII-001538</t>
  </si>
  <si>
    <t>DIGITTMII-000440</t>
  </si>
  <si>
    <t>DIGITTMII-000983</t>
  </si>
  <si>
    <t>DIGITTMII-001557</t>
  </si>
  <si>
    <t>DIGITTMII-000443</t>
  </si>
  <si>
    <t>DIGITTMII-000987</t>
  </si>
  <si>
    <t>DIGITTMII-001558</t>
  </si>
  <si>
    <t>DIGITTMII-000444</t>
  </si>
  <si>
    <t>DIGITTMII-000996</t>
  </si>
  <si>
    <t>DIGITTMII-001559</t>
  </si>
  <si>
    <t>DIGITTMII-000453</t>
  </si>
  <si>
    <t>DIGITTMII-001004</t>
  </si>
  <si>
    <t>DIGITTMII-001560</t>
  </si>
  <si>
    <t>DIGITTMII-000455</t>
  </si>
  <si>
    <t>DIGITTMII-001005</t>
  </si>
  <si>
    <t>DIGITTMII-001561</t>
  </si>
  <si>
    <t>DIGITTMII-000457</t>
  </si>
  <si>
    <t>DIGITTMII-001006</t>
  </si>
  <si>
    <t>DIGITTMII-001562</t>
  </si>
  <si>
    <t>DIGITTMII-000458</t>
  </si>
  <si>
    <t>DIGITTMII-001010</t>
  </si>
  <si>
    <t>DIGITTMII-001563</t>
  </si>
  <si>
    <t>DIGITTMII-000462</t>
  </si>
  <si>
    <t>DIGITTMII-001022</t>
  </si>
  <si>
    <t>DIGITTMII-001577</t>
  </si>
  <si>
    <t>DIGITTMII-000464</t>
  </si>
  <si>
    <t>DIGITTMII-001023</t>
  </si>
  <si>
    <t>DIGITTMII-001584</t>
  </si>
  <si>
    <t>DIGITTMII-000465</t>
  </si>
  <si>
    <t>DIGITTMII-001024</t>
  </si>
  <si>
    <t>DIGITTMII-001590</t>
  </si>
  <si>
    <t>DIGITTMII-000466</t>
  </si>
  <si>
    <t>DIGITTMII-001027</t>
  </si>
  <si>
    <t>DIGITTMII-001599</t>
  </si>
  <si>
    <t>DIGITTMII-000467</t>
  </si>
  <si>
    <t>DIGITTMII-001032</t>
  </si>
  <si>
    <t>DIGITTMII-001603</t>
  </si>
  <si>
    <t>DIGITTMII-000468</t>
  </si>
  <si>
    <t>DIGITTMII-001033</t>
  </si>
  <si>
    <t>DIGITTMII-001614</t>
  </si>
  <si>
    <t>DIGITTMII-000470</t>
  </si>
  <si>
    <t>DIGITTMII-001034</t>
  </si>
  <si>
    <t>DIGITTMII-001619</t>
  </si>
  <si>
    <t>DIGITTMII-000472</t>
  </si>
  <si>
    <t>DIGITTMII-001040</t>
  </si>
  <si>
    <t>DIGITTMII-001623</t>
  </si>
  <si>
    <t>DIGITTMII-000473</t>
  </si>
  <si>
    <t>DIGITTMII-001044</t>
  </si>
  <si>
    <t>DIGITTMII-001625</t>
  </si>
  <si>
    <t>DIGITTMII-000474</t>
  </si>
  <si>
    <t>DIGITTMII-001046</t>
  </si>
  <si>
    <t>DIGITTMII-001627</t>
  </si>
  <si>
    <t>DIGITTMII-000477</t>
  </si>
  <si>
    <t>DIGITTMII-001047</t>
  </si>
  <si>
    <t>DIGITTMII-001632</t>
  </si>
  <si>
    <t>DIGITTMII-000478</t>
  </si>
  <si>
    <t>DIGITTMII-001048</t>
  </si>
  <si>
    <t>DIGITTMII-001644</t>
  </si>
  <si>
    <t>DIGITTMII-000480</t>
  </si>
  <si>
    <t>DIGITTMII-001050</t>
  </si>
  <si>
    <t>DIGITTMII-001647</t>
  </si>
  <si>
    <t>DIGITTMII-000482</t>
  </si>
  <si>
    <t>DIGITTMII-001051</t>
  </si>
  <si>
    <t>DIGITTMII-001649</t>
  </si>
  <si>
    <t>DIGITTMII-000485</t>
  </si>
  <si>
    <t>DIGITTMII-001053</t>
  </si>
  <si>
    <t>DIGITTMII-001650</t>
  </si>
  <si>
    <t>DIGITTMII-000489</t>
  </si>
  <si>
    <t>DIGITTMII-001054</t>
  </si>
  <si>
    <t>DIGITTMII-001651</t>
  </si>
  <si>
    <t>DIGITTMII-000492</t>
  </si>
  <si>
    <t>DIGITTMII-001056</t>
  </si>
  <si>
    <t>DIGITTMII-001654</t>
  </si>
  <si>
    <t>DIGITTMII-000493</t>
  </si>
  <si>
    <t>DIGITTMII-001061</t>
  </si>
  <si>
    <t>DIGITTMII-001656</t>
  </si>
  <si>
    <t>DIGITTMII-000494</t>
  </si>
  <si>
    <t>DIGITTMII-001062</t>
  </si>
  <si>
    <t>DIGITTMII-001657</t>
  </si>
  <si>
    <t>DIGITTMII-000497</t>
  </si>
  <si>
    <t>DIGITTMII-001063</t>
  </si>
  <si>
    <t>DIGITTMII-001658</t>
  </si>
  <si>
    <t>DIGITTMII-000498</t>
  </si>
  <si>
    <t>DIGITTMII-001069</t>
  </si>
  <si>
    <t>DIGITTMII-001662</t>
  </si>
  <si>
    <t>DIGITTMII-000500</t>
  </si>
  <si>
    <t>DIGITTMII-001071</t>
  </si>
  <si>
    <t>DIGITTMII-001665</t>
  </si>
  <si>
    <t>DIGITTMII-000501</t>
  </si>
  <si>
    <t>DIGITTMII-001074</t>
  </si>
  <si>
    <t>DIGITTMII-001666</t>
  </si>
  <si>
    <t>DIGITTMII-000502</t>
  </si>
  <si>
    <t>DIGITTMII-001077</t>
  </si>
  <si>
    <t>DIGITTMII-001673</t>
  </si>
  <si>
    <t>DIGITTMII-000504</t>
  </si>
  <si>
    <t>DIGITTMII-001084</t>
  </si>
  <si>
    <t>DIGITTMII-001681</t>
  </si>
  <si>
    <t>DIGITTMII-000505</t>
  </si>
  <si>
    <t>DIGITTMII-001089</t>
  </si>
  <si>
    <t>DIGITTMII-001699</t>
  </si>
  <si>
    <t>DIGITTMII-000509</t>
  </si>
  <si>
    <t>DIGITTMII-001092</t>
  </si>
  <si>
    <t>DIGITTMII-001704</t>
  </si>
  <si>
    <t>DIGITTMII-000510</t>
  </si>
  <si>
    <t>DIGITTMII-001094</t>
  </si>
  <si>
    <t>DIGITTMII-001709</t>
  </si>
  <si>
    <t>DIGITTMII-000511</t>
  </si>
  <si>
    <t>DIGITTMII-001095</t>
  </si>
  <si>
    <t>DIGITTMII-001717</t>
  </si>
  <si>
    <t>DIGITTMII-000513</t>
  </si>
  <si>
    <t>DIGITTMII-001101</t>
  </si>
  <si>
    <t>DIGITTMII-001718</t>
  </si>
  <si>
    <t>DIGITTMII-000514</t>
  </si>
  <si>
    <t>DIGITTMII-001106</t>
  </si>
  <si>
    <t>DIGITTMII-001728</t>
  </si>
  <si>
    <t>DIGITTMII-000515</t>
  </si>
  <si>
    <t>DIGITTMII-001110</t>
  </si>
  <si>
    <t>DIGITTMII-001732</t>
  </si>
  <si>
    <t>DIGITTMII-000517</t>
  </si>
  <si>
    <t>DIGITTMII-001115</t>
  </si>
  <si>
    <t>DIGITTMII-001734</t>
  </si>
  <si>
    <t>DIGITTMII-000519</t>
  </si>
  <si>
    <t>DIGITTMII-001129</t>
  </si>
  <si>
    <t>DIGITTMII-001735</t>
  </si>
  <si>
    <t>DIGITTMII-000522</t>
  </si>
  <si>
    <t>DIGITTMII-001131</t>
  </si>
  <si>
    <t>DIGITTMII-001762</t>
  </si>
  <si>
    <t>DIGITTMII-000523</t>
  </si>
  <si>
    <t>DIGITTMII-001140</t>
  </si>
  <si>
    <t>DIGITTMII-001763</t>
  </si>
  <si>
    <t>DIGITTMII-000524</t>
  </si>
  <si>
    <t>DIGITTMII-001144</t>
  </si>
  <si>
    <t>DIGITTMII-001767</t>
  </si>
  <si>
    <t>DIGITTMII-000529</t>
  </si>
  <si>
    <t>DIGITTMII-001146</t>
  </si>
  <si>
    <t>DIGITTMII-001773</t>
  </si>
  <si>
    <t>DIGITTMII-000530</t>
  </si>
  <si>
    <t>DIGITTMII-001150</t>
  </si>
  <si>
    <t>DIGITTMII-001775</t>
  </si>
  <si>
    <t>DIGITTMII-000532</t>
  </si>
  <si>
    <t>DIGITTMII-001151</t>
  </si>
  <si>
    <t>DIGITTMII-001779</t>
  </si>
  <si>
    <t>DIGITTMII-000534</t>
  </si>
  <si>
    <t>DIGITTMII-001152</t>
  </si>
  <si>
    <t>DIGITTMII-001793</t>
  </si>
  <si>
    <t>DIGITTMII-000535</t>
  </si>
  <si>
    <t>DIGITTMII-001153</t>
  </si>
  <si>
    <t>DIGITTMII-001796</t>
  </si>
  <si>
    <t>DIGITTMII-000537</t>
  </si>
  <si>
    <t>DIGITTMII-001154</t>
  </si>
  <si>
    <t>DIGITTMII-001799</t>
  </si>
  <si>
    <t>DIGITTMII-000540</t>
  </si>
  <si>
    <t>DIGITTMII-001159</t>
  </si>
  <si>
    <t>DIGITTMII-001802</t>
  </si>
  <si>
    <t>DIGITTMII-000545</t>
  </si>
  <si>
    <t>DIGITTMII-001166</t>
  </si>
  <si>
    <t>DIGITTMII-001804</t>
  </si>
  <si>
    <t>DIGITTMII-000547</t>
  </si>
  <si>
    <t>DIGITTMII-001168</t>
  </si>
  <si>
    <t>DIGITTMII-001810</t>
  </si>
  <si>
    <t>DIGITTMII-000548</t>
  </si>
  <si>
    <t>DIGITTMII-001169</t>
  </si>
  <si>
    <t>DIGITTMII-001815</t>
  </si>
  <si>
    <t>DIGITTMII-000549</t>
  </si>
  <si>
    <t>DIGITTMII-001174</t>
  </si>
  <si>
    <t>DIGITTMII-001820</t>
  </si>
  <si>
    <t>DIGITTMII-000550</t>
  </si>
  <si>
    <t>DIGITTMII-001175</t>
  </si>
  <si>
    <t>DIGITTMII-001821</t>
  </si>
  <si>
    <t>DIGITTMII-000552</t>
  </si>
  <si>
    <t>DIGITTMII-001178</t>
  </si>
  <si>
    <t>DIGITTMII-001822</t>
  </si>
  <si>
    <t>DIGITTMII-000553</t>
  </si>
  <si>
    <t>DIGITTMII-001179</t>
  </si>
  <si>
    <t>DIGITTMII-001823</t>
  </si>
  <si>
    <t>DIGITTMII-000554</t>
  </si>
  <si>
    <t>DIGITTMII-001183</t>
  </si>
  <si>
    <t>DIGITTMII-001829</t>
  </si>
  <si>
    <t>DIGITTMII-000555</t>
  </si>
  <si>
    <t>DIGITTMII-001189</t>
  </si>
  <si>
    <t>DIGITTMII-001831</t>
  </si>
  <si>
    <t>DIGITTMII-000557</t>
  </si>
  <si>
    <t>DIGITTMII-001191</t>
  </si>
  <si>
    <t>DIGITTMII-001833</t>
  </si>
  <si>
    <t>DIGITTMII-000559</t>
  </si>
  <si>
    <t>DIGITTMII-001192</t>
  </si>
  <si>
    <t>DIGITTMII-001859</t>
  </si>
  <si>
    <t>DIGITTMII-000560</t>
  </si>
  <si>
    <t>DIGITTMII-001196</t>
  </si>
  <si>
    <t>DIGITTMII-001871</t>
  </si>
  <si>
    <t>DIGITTMII-000561</t>
  </si>
  <si>
    <t>DIGITTMII-001197</t>
  </si>
  <si>
    <t>DIGITTMII-001880</t>
  </si>
  <si>
    <t>DIGITTMII-000563</t>
  </si>
  <si>
    <t>DIGITTMII-001198</t>
  </si>
  <si>
    <t>DIGITTMII-001896</t>
  </si>
  <si>
    <t>DIGITTMII-000565</t>
  </si>
  <si>
    <t>DIGITTMII-001199</t>
  </si>
  <si>
    <t>DIGITTMII-001900</t>
  </si>
  <si>
    <t>DIGITTMII-000566</t>
  </si>
  <si>
    <t>DIGITTMII-001200</t>
  </si>
  <si>
    <t>DIGITTMII-001904</t>
  </si>
  <si>
    <t>DIGITTMII-000567</t>
  </si>
  <si>
    <t>DIGITTMII-001206</t>
  </si>
  <si>
    <t>DIGITTMII-001917</t>
  </si>
  <si>
    <t>DIGITTMII-000568</t>
  </si>
  <si>
    <t>DIGITTMII-001215</t>
  </si>
  <si>
    <t>DIGITTMII-001920</t>
  </si>
  <si>
    <t>DIGITTMII-000569</t>
  </si>
  <si>
    <t>DIGITTMII-001217</t>
  </si>
  <si>
    <t>DIGITTMII-001921</t>
  </si>
  <si>
    <t>DIGITTMII-000570</t>
  </si>
  <si>
    <t>DIGITTMII-001220</t>
  </si>
  <si>
    <t>DIGITTMII-001922</t>
  </si>
  <si>
    <t>DIGITTMII-000572</t>
  </si>
  <si>
    <t>DIGITTMII-001221</t>
  </si>
  <si>
    <t>DIGITTMII-001957</t>
  </si>
  <si>
    <t>DIGITTMII-000573</t>
  </si>
  <si>
    <t>DIGITTMII-001225</t>
  </si>
  <si>
    <t>DIGITTMII-001962</t>
  </si>
  <si>
    <t>DIGITTMII-000575</t>
  </si>
  <si>
    <t>DIGITTMII-001227</t>
  </si>
  <si>
    <t>DIGITTMII-001964</t>
  </si>
  <si>
    <t>DIGITTMII-000576</t>
  </si>
  <si>
    <t>DIGITTMII-001228</t>
  </si>
  <si>
    <t>DIGITTMII-001971</t>
  </si>
  <si>
    <t>DIGITTMII-000578</t>
  </si>
  <si>
    <t>DIGITTMII-001230</t>
  </si>
  <si>
    <t>DIGITTMII-001972</t>
  </si>
  <si>
    <t>DIGITTMII-000579</t>
  </si>
  <si>
    <t>DIGITTMII-001233</t>
  </si>
  <si>
    <t>DIGITTMII-001973</t>
  </si>
  <si>
    <t>DIGITTMII-000580</t>
  </si>
  <si>
    <t>DIGITTMII-001234</t>
  </si>
  <si>
    <t>DIGITTMII-001989</t>
  </si>
  <si>
    <t>DIGITTMII-000582</t>
  </si>
  <si>
    <t>DIGITTMII-001235</t>
  </si>
  <si>
    <t>DIGITTMII-002019</t>
  </si>
  <si>
    <t>DIGITTMII-000584</t>
  </si>
  <si>
    <t>DIGITTMII-001237</t>
  </si>
  <si>
    <t>DIGITTMII-002024</t>
  </si>
  <si>
    <t>DIGITTMII-000587</t>
  </si>
  <si>
    <t>DIGITTMII-001238</t>
  </si>
  <si>
    <t>DIGITTMII-002031</t>
  </si>
  <si>
    <t>DIGITTMII-000590</t>
  </si>
  <si>
    <t>DIGITTMII-001242</t>
  </si>
  <si>
    <t>DIGITTMII-002037</t>
  </si>
  <si>
    <t>DIGITTMII-000592</t>
  </si>
  <si>
    <t>DIGITTMII-001243</t>
  </si>
  <si>
    <t>DIGITTMII-002067</t>
  </si>
  <si>
    <t>DIGITTMII-000593</t>
  </si>
  <si>
    <t>DIGITTMII-001244</t>
  </si>
  <si>
    <t>DIGITTMII-002079</t>
  </si>
  <si>
    <t>DIGITTMII-000596</t>
  </si>
  <si>
    <t>DIGITTMII-001245</t>
  </si>
  <si>
    <t>DIGITTMII-002092</t>
  </si>
  <si>
    <t>DIGITTMII-000598</t>
  </si>
  <si>
    <t>DIGITTMII-001247</t>
  </si>
  <si>
    <t>DIGITTMII-002112</t>
  </si>
  <si>
    <t>DIGITTMII-000599</t>
  </si>
  <si>
    <t>DIGITTMII-001249</t>
  </si>
  <si>
    <t>DIGITTMII-002118</t>
  </si>
  <si>
    <t>DIGITTMII-000600</t>
  </si>
  <si>
    <t>DIGITTMII-001259</t>
  </si>
  <si>
    <t>DIGITTMII-002120</t>
  </si>
  <si>
    <t>DIGITTMII-000602</t>
  </si>
  <si>
    <t>DIGITTMII-001262</t>
  </si>
  <si>
    <t>DIGITTMII-002127</t>
  </si>
  <si>
    <t>DIGITTMII-000606</t>
  </si>
  <si>
    <t>DIGITTMII-001265</t>
  </si>
  <si>
    <t>DIGITTMII-002136</t>
  </si>
  <si>
    <t>DIGITTMII-000607</t>
  </si>
  <si>
    <t>DIGITTMII-001269</t>
  </si>
  <si>
    <t>DIGITTMII-002138</t>
  </si>
  <si>
    <t>DIGITTMII-000608</t>
  </si>
  <si>
    <t>DIGITTMII-001270</t>
  </si>
  <si>
    <t>DIGITTMII-002139</t>
  </si>
  <si>
    <t>DIGITTMII-000610</t>
  </si>
  <si>
    <t>DIGITTMII-001273</t>
  </si>
  <si>
    <t>DIGITTMII-002142</t>
  </si>
  <si>
    <t>DIGITTMII-000612</t>
  </si>
  <si>
    <t>DIGITTMII-001277</t>
  </si>
  <si>
    <t>DIGITTMII-002143</t>
  </si>
  <si>
    <t>DIGITTMII-000613</t>
  </si>
  <si>
    <t>DIGITTMII-001279</t>
  </si>
  <si>
    <t>DIGITTMII-002147</t>
  </si>
  <si>
    <t>DIGITTMII-000614</t>
  </si>
  <si>
    <t>DIGITTMII-001280</t>
  </si>
  <si>
    <t>DIGITTMII-002149</t>
  </si>
  <si>
    <t>DIGITTMII-000615</t>
  </si>
  <si>
    <t>DIGITTMII-001289</t>
  </si>
  <si>
    <t>DIGITTMII-002172</t>
  </si>
  <si>
    <t>DIGITTMII-000616</t>
  </si>
  <si>
    <t>DIGITTMII-001290</t>
  </si>
  <si>
    <t>DIGITTMII-002174</t>
  </si>
  <si>
    <t>DIGITTMII-000620</t>
  </si>
  <si>
    <t>DIGITTMII-001291</t>
  </si>
  <si>
    <t>DIGITTMII-002177</t>
  </si>
  <si>
    <t>DIGITTMII-000621</t>
  </si>
  <si>
    <t>DIGITTMII-001293</t>
  </si>
  <si>
    <t>DIGITTMII-002185</t>
  </si>
  <si>
    <t>DIGITTMII-000622</t>
  </si>
  <si>
    <t>DIGITTMII-001294</t>
  </si>
  <si>
    <t>DIGITTMII-002186</t>
  </si>
  <si>
    <t>DIGITTMII-000623</t>
  </si>
  <si>
    <t>DIGITTMII-001300</t>
  </si>
  <si>
    <t>DIGITTMII-002190</t>
  </si>
  <si>
    <t>DIGITTMII-000628</t>
  </si>
  <si>
    <t>DIGITTMII-001301</t>
  </si>
  <si>
    <t>DIGITTMII-002192</t>
  </si>
  <si>
    <t>DIGITTMII-000629</t>
  </si>
  <si>
    <t>DIGITTMII-001310</t>
  </si>
  <si>
    <t>DIGITTMII-002206</t>
  </si>
  <si>
    <t>DIGITTMII-000630</t>
  </si>
  <si>
    <t>DIGITTMII-001312</t>
  </si>
  <si>
    <t>DIGITTMII-002207</t>
  </si>
  <si>
    <t>DIGITTMII-000631</t>
  </si>
  <si>
    <t>DIGITTMII-001317</t>
  </si>
  <si>
    <t>DIGITTMII-002210</t>
  </si>
  <si>
    <t>DIGITTMII-000633</t>
  </si>
  <si>
    <t>DIGITTMII-001319</t>
  </si>
  <si>
    <t>DIGITTMII-002213</t>
  </si>
  <si>
    <t>DIGITTMII-000634</t>
  </si>
  <si>
    <t>DIGITTMII-001321</t>
  </si>
  <si>
    <t>DIGITTMII-002214</t>
  </si>
  <si>
    <t>DIGITTMII-000636</t>
  </si>
  <si>
    <t>DIGITTMII-001328</t>
  </si>
  <si>
    <t>DIGITTMII-002215</t>
  </si>
  <si>
    <t>DIGITTMII-000637</t>
  </si>
  <si>
    <t>DIGITTMII-001333</t>
  </si>
  <si>
    <t>DIGITTMII-002216</t>
  </si>
  <si>
    <t>DIGITTMII-000638</t>
  </si>
  <si>
    <t>DIGITTMII-001341</t>
  </si>
  <si>
    <t>DIGITTMII-002218</t>
  </si>
  <si>
    <t>DIGITTMII-000639</t>
  </si>
  <si>
    <t>DIGITTMII-001360</t>
  </si>
  <si>
    <t>DIGITTMII-002227</t>
  </si>
  <si>
    <t>DIGITTMII-000642</t>
  </si>
  <si>
    <t>DIGITTMII-001366</t>
  </si>
  <si>
    <t>DIGITTMII-002233</t>
  </si>
  <si>
    <t>DIGITTMII-000643</t>
  </si>
  <si>
    <t>DIGITTMII-001368</t>
  </si>
  <si>
    <t>DIGITTMII-002237</t>
  </si>
  <si>
    <t>DIGITTMII-000647</t>
  </si>
  <si>
    <t>DIGITTMII-001370</t>
  </si>
  <si>
    <t>DIGITTMII-002240</t>
  </si>
  <si>
    <t>DIGITTMII-000650</t>
  </si>
  <si>
    <t>DIGITTMII-001372</t>
  </si>
  <si>
    <t>DIGITTMII-002241</t>
  </si>
  <si>
    <t>DIGITTMII-000652</t>
  </si>
  <si>
    <t>DIGITTMII-001374</t>
  </si>
  <si>
    <t>DIGITTMII-002251</t>
  </si>
  <si>
    <t>DIGITTMII-000653</t>
  </si>
  <si>
    <t>DIGITTMII-001384</t>
  </si>
  <si>
    <t>DIGITTMII-002255</t>
  </si>
  <si>
    <t>DIGITTMII-000655</t>
  </si>
  <si>
    <t>DIGITTMII-001389</t>
  </si>
  <si>
    <t>DIGITTMII-002260</t>
  </si>
  <si>
    <t>DIGITTMII-000657</t>
  </si>
  <si>
    <t>DIGITTMII-001393</t>
  </si>
  <si>
    <t>DIGITTMII-002269</t>
  </si>
  <si>
    <t>DIGITTMII-000661</t>
  </si>
  <si>
    <t>DIGITTMII-001394</t>
  </si>
  <si>
    <t>DIGITTMII-002272</t>
  </si>
  <si>
    <t>DIGITTMII-000662</t>
  </si>
  <si>
    <t>DIGITTMII-001395</t>
  </si>
  <si>
    <t>DIGITTMII-002282</t>
  </si>
  <si>
    <t>DIGITTMII-000663</t>
  </si>
  <si>
    <t>DIGITTMII-001396</t>
  </si>
  <si>
    <t>DIGITTMII-002293</t>
  </si>
  <si>
    <t>DIGITTMII-000665</t>
  </si>
  <si>
    <t>DIGITTMII-001397</t>
  </si>
  <si>
    <t>DIGITTMII-002299</t>
  </si>
  <si>
    <t>DIGITTMII-000666</t>
  </si>
  <si>
    <t>DIGITTMII-001399</t>
  </si>
  <si>
    <t>DIGITTMII-002301</t>
  </si>
  <si>
    <t>DIGITTMII-000668</t>
  </si>
  <si>
    <t>DIGITTMII-001401</t>
  </si>
  <si>
    <t>DIGITTMII-002302</t>
  </si>
  <si>
    <t>DIGITTMII-000671</t>
  </si>
  <si>
    <t>DIGITTMII-001402</t>
  </si>
  <si>
    <t>DIGITTMII-002303</t>
  </si>
  <si>
    <t>DIGITTMII-000672</t>
  </si>
  <si>
    <t>DIGITTMII-001404</t>
  </si>
  <si>
    <t>DIGITTMII-002309</t>
  </si>
  <si>
    <t>DIGITTMII-000673</t>
  </si>
  <si>
    <t>DIGITTMII-001405</t>
  </si>
  <si>
    <t>DIGITTMII-002314</t>
  </si>
  <si>
    <t>DIGITTMII-000674</t>
  </si>
  <si>
    <t>DIGITTMII-001410</t>
  </si>
  <si>
    <t>DIGITTMII-002321</t>
  </si>
  <si>
    <t>DIGITTMII-000675</t>
  </si>
  <si>
    <t>DIGITTMII-001417</t>
  </si>
  <si>
    <t>DIGITTMII-002329</t>
  </si>
  <si>
    <t>DIGITTMII-000676</t>
  </si>
  <si>
    <t>DIGITTMII-001419</t>
  </si>
  <si>
    <t>DIGITTMII-002334</t>
  </si>
  <si>
    <t>DIGITTMII-000678</t>
  </si>
  <si>
    <t>DIGITTMII-001425</t>
  </si>
  <si>
    <t>DIGITTMII-002338</t>
  </si>
  <si>
    <t>DIGITTMII-000679</t>
  </si>
  <si>
    <t>DIGITTMII-001434</t>
  </si>
  <si>
    <t>DIGITTMII-002342</t>
  </si>
  <si>
    <t>DIGITTMII-000680</t>
  </si>
  <si>
    <t>DIGITTMII-001436</t>
  </si>
  <si>
    <t>DIGITTMII-002345</t>
  </si>
  <si>
    <t>DIGITTMII-000681</t>
  </si>
  <si>
    <t>DIGITTMII-001438</t>
  </si>
  <si>
    <t>DIGITTMII-002351</t>
  </si>
  <si>
    <t>DIGITTMII-000683</t>
  </si>
  <si>
    <t>DIGITTMII-001439</t>
  </si>
  <si>
    <t>DIGITTMII-002354</t>
  </si>
  <si>
    <t>DIGITTMII-000684</t>
  </si>
  <si>
    <t>DIGITTMII-001441</t>
  </si>
  <si>
    <t>DIGITTMII-002361</t>
  </si>
  <si>
    <t>DIGITTMII-000685</t>
  </si>
  <si>
    <t>DIGITTMII-001443</t>
  </si>
  <si>
    <t>DIGITTMII-002362</t>
  </si>
  <si>
    <t>DIGITTMII-000686</t>
  </si>
  <si>
    <t>DIGITTMII-001445</t>
  </si>
  <si>
    <t>DIGITTMII-002363</t>
  </si>
  <si>
    <t>DIGITTMII-000687</t>
  </si>
  <si>
    <t>DIGITTMII-001446</t>
  </si>
  <si>
    <t>DIGITTMII-002364</t>
  </si>
  <si>
    <t>DIGITTMII-000688</t>
  </si>
  <si>
    <t>DIGITTMII-001448</t>
  </si>
  <si>
    <t>DIGITTMII-002366</t>
  </si>
  <si>
    <t>DIGITTMII-000689</t>
  </si>
  <si>
    <t>DIGITTMII-001451</t>
  </si>
  <si>
    <t>DIGITTMII-002369</t>
  </si>
  <si>
    <t>DIGITTMII-000690</t>
  </si>
  <si>
    <t>DIGITTMII-001453</t>
  </si>
  <si>
    <t>DIGITTMII-002371</t>
  </si>
  <si>
    <t>DIGITTMII-000692</t>
  </si>
  <si>
    <t>DIGITTMII-001454</t>
  </si>
  <si>
    <t>DIGITTMII-002372</t>
  </si>
  <si>
    <t>DIGITTMII-000693</t>
  </si>
  <si>
    <t>DIGITTMII-001456</t>
  </si>
  <si>
    <t>DIGITTMII-002374</t>
  </si>
  <si>
    <t>DIGITTMII-000694</t>
  </si>
  <si>
    <t>DIGITTMII-001457</t>
  </si>
  <si>
    <t>DIGITTMII-002384</t>
  </si>
  <si>
    <t>DIGITTMII-000695</t>
  </si>
  <si>
    <t>DIGITTMII-001458</t>
  </si>
  <si>
    <t>DIGITTMII-002391</t>
  </si>
  <si>
    <t>DIGITTMII-000696</t>
  </si>
  <si>
    <t>DIGITTMII-001460</t>
  </si>
  <si>
    <t>DIGITTMII-002392</t>
  </si>
  <si>
    <t>DIGITTMII-000697</t>
  </si>
  <si>
    <t>DIGITTMII-001462</t>
  </si>
  <si>
    <t>DIGITTMII-002396</t>
  </si>
  <si>
    <t>DIGITTMII-000700</t>
  </si>
  <si>
    <t>DIGITTMII-001466</t>
  </si>
  <si>
    <t>DIGITTMII-002399</t>
  </si>
  <si>
    <t>DIGITTMII-000703</t>
  </si>
  <si>
    <t>DIGITTMII-001468</t>
  </si>
  <si>
    <t>DIGITTMII-002405</t>
  </si>
  <si>
    <t>DIGITTMII-000704</t>
  </si>
  <si>
    <t>DIGITTMII-001470</t>
  </si>
  <si>
    <t>DIGITTMII-002411</t>
  </si>
  <si>
    <t>DIGITTMII-000705</t>
  </si>
  <si>
    <t>DIGITTMII-001477</t>
  </si>
  <si>
    <t>DIGITTMII-002414</t>
  </si>
  <si>
    <t>DIGITTMII-000707</t>
  </si>
  <si>
    <t>DIGITTMII-001482</t>
  </si>
  <si>
    <t>DIGITTMII-002430</t>
  </si>
  <si>
    <t>DIGITTMII-000708</t>
  </si>
  <si>
    <t>DIGITTMII-001484</t>
  </si>
  <si>
    <t>DIGITTMII-002433</t>
  </si>
  <si>
    <t>DIGITTMII-000709</t>
  </si>
  <si>
    <t>DIGITTMII-001485</t>
  </si>
  <si>
    <t>DIGITTMII-002456</t>
  </si>
  <si>
    <t>DIGITTMII-000710</t>
  </si>
  <si>
    <t>DIGITTMII-001486</t>
  </si>
  <si>
    <t>DIGITTMII-002474</t>
  </si>
  <si>
    <t>DIGITTMII-000711</t>
  </si>
  <si>
    <t>DIGITTMII-001487</t>
  </si>
  <si>
    <t>DIGITTMII-002480</t>
  </si>
  <si>
    <t>DIGITTMII-000712</t>
  </si>
  <si>
    <t>DIGITTMII-001489</t>
  </si>
  <si>
    <t>DIGITTMII-002485</t>
  </si>
  <si>
    <t>DIGITTMII-000713</t>
  </si>
  <si>
    <t>DIGITTMII-001497</t>
  </si>
  <si>
    <t>DIGITTMII-002503</t>
  </si>
  <si>
    <t>DIGITTMII-000716</t>
  </si>
  <si>
    <t>DIGITTMII-001503</t>
  </si>
  <si>
    <t>DIGITTMII-002518</t>
  </si>
  <si>
    <t>DIGITTMII-000717</t>
  </si>
  <si>
    <t>DIGITTMII-001508</t>
  </si>
  <si>
    <t>DIGITTMII-002527</t>
  </si>
  <si>
    <t>DIGITTMII-000718</t>
  </si>
  <si>
    <t>DIGITTMII-001510</t>
  </si>
  <si>
    <t>DIGITTMII-002531</t>
  </si>
  <si>
    <t>DIGITTMII-000719</t>
  </si>
  <si>
    <t>DIGITTMII-001534</t>
  </si>
  <si>
    <t>DIGITTMII-002532</t>
  </si>
  <si>
    <t>DIGITTMII-000721</t>
  </si>
  <si>
    <t>DIGITTMII-001537</t>
  </si>
  <si>
    <t>DIGITTMII-002553</t>
  </si>
  <si>
    <t>DIGITTMII-000722</t>
  </si>
  <si>
    <t>DIGITTMII-001539</t>
  </si>
  <si>
    <t>DIGITTMII-002560</t>
  </si>
  <si>
    <t>DIGITTMII-000723</t>
  </si>
  <si>
    <t>DIGITTMII-001541</t>
  </si>
  <si>
    <t>DIGITTMII-002571</t>
  </si>
  <si>
    <t>DIGITTMII-000725</t>
  </si>
  <si>
    <t>DIGITTMII-001543</t>
  </si>
  <si>
    <t>DIGITTMII-002575</t>
  </si>
  <si>
    <t>DIGITTMII-000727</t>
  </si>
  <si>
    <t>DIGITTMII-001544</t>
  </si>
  <si>
    <t>DIGITTMII-002577</t>
  </si>
  <si>
    <t>DIGITTMII-000728</t>
  </si>
  <si>
    <t>DIGITTMII-001546</t>
  </si>
  <si>
    <t>DIGITTMII-002585</t>
  </si>
  <si>
    <t>DIGITTMII-000729</t>
  </si>
  <si>
    <t>DIGITTMII-001547</t>
  </si>
  <si>
    <t>DIGITTMII-002589</t>
  </si>
  <si>
    <t>DIGITTMII-000730</t>
  </si>
  <si>
    <t>DIGITTMII-001548</t>
  </si>
  <si>
    <t>DIGITTMII-002605</t>
  </si>
  <si>
    <t>DIGITTMII-000731</t>
  </si>
  <si>
    <t>DIGITTMII-001550</t>
  </si>
  <si>
    <t>DIGITTMII-002628</t>
  </si>
  <si>
    <t>DIGITTMII-000736</t>
  </si>
  <si>
    <t>DIGITTMII-001552</t>
  </si>
  <si>
    <t>DIGITTMII-002657</t>
  </si>
  <si>
    <t>DIGITTMII-000739</t>
  </si>
  <si>
    <t>DIGITTMII-001556</t>
  </si>
  <si>
    <t>DIGITTMII-002662</t>
  </si>
  <si>
    <t>DIGITTMII-000741</t>
  </si>
  <si>
    <t>DIGITTMII-001570</t>
  </si>
  <si>
    <t>DIGITTMII-002663</t>
  </si>
  <si>
    <t>DIGITTMII-000749</t>
  </si>
  <si>
    <t>DIGITTMII-001579</t>
  </si>
  <si>
    <t>DIGITTMII-002667</t>
  </si>
  <si>
    <t>DIGITTMII-000750</t>
  </si>
  <si>
    <t>DIGITTMII-001580</t>
  </si>
  <si>
    <t>DIGITTMII-002669</t>
  </si>
  <si>
    <t>DIGITTMII-000751</t>
  </si>
  <si>
    <t>DIGITTMII-001586</t>
  </si>
  <si>
    <t>DIGITTMII-002674</t>
  </si>
  <si>
    <t>DIGITTMII-000752</t>
  </si>
  <si>
    <t>DIGITTMII-001588</t>
  </si>
  <si>
    <t>DIGITTMII-002683</t>
  </si>
  <si>
    <t>DIGITTMII-000753</t>
  </si>
  <si>
    <t>DIGITTMII-001591</t>
  </si>
  <si>
    <t>DIGITTMII-002696</t>
  </si>
  <si>
    <t>DIGITTMII-000755</t>
  </si>
  <si>
    <t>DIGITTMII-001592</t>
  </si>
  <si>
    <t>DIGITTMII-002697</t>
  </si>
  <si>
    <t>DIGITTMII-000758</t>
  </si>
  <si>
    <t>DIGITTMII-001594</t>
  </si>
  <si>
    <t>DIGITTMII-002703</t>
  </si>
  <si>
    <t>DIGITTMII-000763</t>
  </si>
  <si>
    <t>DIGITTMII-001595</t>
  </si>
  <si>
    <t>DIGITTMII-002713</t>
  </si>
  <si>
    <t>DIGITTMII-000765</t>
  </si>
  <si>
    <t>DIGITTMII-001598</t>
  </si>
  <si>
    <t>DIGITTMII-002750</t>
  </si>
  <si>
    <t>DIGITTMII-000766</t>
  </si>
  <si>
    <t>DIGITTMII-001604</t>
  </si>
  <si>
    <t>DIGITTMII-002768</t>
  </si>
  <si>
    <t>DIGITTMII-000767</t>
  </si>
  <si>
    <t>DIGITTMII-001607</t>
  </si>
  <si>
    <t>DIGITTMII-002770</t>
  </si>
  <si>
    <t>DIGITTMII-000768</t>
  </si>
  <si>
    <t>DIGITTMII-001608</t>
  </si>
  <si>
    <t>DIGITTMII-002771</t>
  </si>
  <si>
    <t>DIGITTMII-000770</t>
  </si>
  <si>
    <t>DIGITTMII-001612</t>
  </si>
  <si>
    <t>DIGITTMII-002777</t>
  </si>
  <si>
    <t>DIGITTMII-000773</t>
  </si>
  <si>
    <t>DIGITTMII-001628</t>
  </si>
  <si>
    <t>DIGITTMII-002782</t>
  </si>
  <si>
    <t>DIGITTMII-000775</t>
  </si>
  <si>
    <t>DIGITTMII-001636</t>
  </si>
  <si>
    <t>DIGITTMII-002783</t>
  </si>
  <si>
    <t>DIGITTMII-000776</t>
  </si>
  <si>
    <t>DIGITTMII-001638</t>
  </si>
  <si>
    <t>DIGITTMII-002787</t>
  </si>
  <si>
    <t>DIGITTMII-000777</t>
  </si>
  <si>
    <t>DIGITTMII-001642</t>
  </si>
  <si>
    <t>DIGITTMII-002794</t>
  </si>
  <si>
    <t>DIGITTMII-000778</t>
  </si>
  <si>
    <t>DIGITTMII-001643</t>
  </si>
  <si>
    <t>DIGITTMII-002803</t>
  </si>
  <si>
    <t>DIGITTMII-000780</t>
  </si>
  <si>
    <t>DIGITTMII-001655</t>
  </si>
  <si>
    <t>DIGITTMII-002804</t>
  </si>
  <si>
    <t>DIGITTMII-000781</t>
  </si>
  <si>
    <t>DIGITTMII-001659</t>
  </si>
  <si>
    <t>DIGITTMII-002806</t>
  </si>
  <si>
    <t>DIGITTMII-000783</t>
  </si>
  <si>
    <t>DIGITTMII-001670</t>
  </si>
  <si>
    <t>DIGITTMII-002815</t>
  </si>
  <si>
    <t>DIGITTMII-000784</t>
  </si>
  <si>
    <t>DIGITTMII-001672</t>
  </si>
  <si>
    <t>DIGITTMII-002818</t>
  </si>
  <si>
    <t>DIGITTMII-000786</t>
  </si>
  <si>
    <t>DIGITTMII-001675</t>
  </si>
  <si>
    <t>DIGITTMII-002819</t>
  </si>
  <si>
    <t>DIGITTMII-000787</t>
  </si>
  <si>
    <t>DIGITTMII-001677</t>
  </si>
  <si>
    <t>DIGITTMII-002828</t>
  </si>
  <si>
    <t>DIGITTMII-000788</t>
  </si>
  <si>
    <t>DIGITTMII-001678</t>
  </si>
  <si>
    <t>DIGITTMII-002829</t>
  </si>
  <si>
    <t>DIGITTMII-000789</t>
  </si>
  <si>
    <t>DIGITTMII-001683</t>
  </si>
  <si>
    <t>DIGITTMII-002831</t>
  </si>
  <si>
    <t>DIGITTMII-000791</t>
  </si>
  <si>
    <t>DIGITTMII-001685</t>
  </si>
  <si>
    <t>DIGITTMII-002833</t>
  </si>
  <si>
    <t>DIGITTMII-000794</t>
  </si>
  <si>
    <t>DIGITTMII-001688</t>
  </si>
  <si>
    <t>DIGITTMII-002835</t>
  </si>
  <si>
    <t>DIGITTMII-000797</t>
  </si>
  <si>
    <t>DIGITTMII-001696</t>
  </si>
  <si>
    <t>DIGITTMII-002837</t>
  </si>
  <si>
    <t>DIGITTMII-000798</t>
  </si>
  <si>
    <t>DIGITTMII-001698</t>
  </si>
  <si>
    <t>DIGITTMII-002839</t>
  </si>
  <si>
    <t>DIGITTMII-000799</t>
  </si>
  <si>
    <t>DIGITTMII-001703</t>
  </si>
  <si>
    <t>DIGITTMII-002841</t>
  </si>
  <si>
    <t>DIGITTMII-000804</t>
  </si>
  <si>
    <t>DIGITTMII-001705</t>
  </si>
  <si>
    <t>DIGITTMII-002845</t>
  </si>
  <si>
    <t>DIGITTMII-000805</t>
  </si>
  <si>
    <t>DIGITTMII-001715</t>
  </si>
  <si>
    <t>DIGITTMII-002850</t>
  </si>
  <si>
    <t>DIGITTMII-000806</t>
  </si>
  <si>
    <t>DIGITTMII-001719</t>
  </si>
  <si>
    <t>DIGITTMII-002854</t>
  </si>
  <si>
    <t>DIGITTMII-000807</t>
  </si>
  <si>
    <t>DIGITTMII-001726</t>
  </si>
  <si>
    <t>DIGITTMII-002857</t>
  </si>
  <si>
    <t>DIGITTMII-000808</t>
  </si>
  <si>
    <t>DIGITTMII-001736</t>
  </si>
  <si>
    <t>DIGITTMII-002858</t>
  </si>
  <si>
    <t>DIGITTMII-000809</t>
  </si>
  <si>
    <t>DIGITTMII-001739</t>
  </si>
  <si>
    <t>DIGITTMII-002860</t>
  </si>
  <si>
    <t>DIGITTMII-000812</t>
  </si>
  <si>
    <t>DIGITTMII-001741</t>
  </si>
  <si>
    <t>DIGITTMII-002881</t>
  </si>
  <si>
    <t>DIGITTMII-000816</t>
  </si>
  <si>
    <t>DIGITTMII-001742</t>
  </si>
  <si>
    <t>DIGITTMII-002886</t>
  </si>
  <si>
    <t>DIGITTMII-000817</t>
  </si>
  <si>
    <t>DIGITTMII-001744</t>
  </si>
  <si>
    <t>DIGITTMII-002895</t>
  </si>
  <si>
    <t>DIGITTMII-000818</t>
  </si>
  <si>
    <t>DIGITTMII-001750</t>
  </si>
  <si>
    <t>DIGITTMII-002902</t>
  </si>
  <si>
    <t>DIGITTMII-000824</t>
  </si>
  <si>
    <t>DIGITTMII-001752</t>
  </si>
  <si>
    <t>DIGITTMII-002904</t>
  </si>
  <si>
    <t>DIGITTMII-000825</t>
  </si>
  <si>
    <t>DIGITTMII-001764</t>
  </si>
  <si>
    <t>DIGITTMII-002905</t>
  </si>
  <si>
    <t>DIGITTMII-000827</t>
  </si>
  <si>
    <t>DIGITTMII-001765</t>
  </si>
  <si>
    <t>DIGITTMII-002936</t>
  </si>
  <si>
    <t>DIGITTMII-000831</t>
  </si>
  <si>
    <t>DIGITTMII-001766</t>
  </si>
  <si>
    <t>DIGITTMII-002938</t>
  </si>
  <si>
    <t>DIGITTMII-000832</t>
  </si>
  <si>
    <t>DIGITTMII-001768</t>
  </si>
  <si>
    <t>DIGITTMII-002947</t>
  </si>
  <si>
    <t>DIGITTMII-000835</t>
  </si>
  <si>
    <t>DIGITTMII-001770</t>
  </si>
  <si>
    <t>DIGITTMII-002949</t>
  </si>
  <si>
    <t>DIGITTMII-000838</t>
  </si>
  <si>
    <t>DIGITTMII-001771</t>
  </si>
  <si>
    <t>DIGITTMII-002952</t>
  </si>
  <si>
    <t>DIGITTMII-000841</t>
  </si>
  <si>
    <t>DIGITTMII-001776</t>
  </si>
  <si>
    <t>DIGITTMII-002960</t>
  </si>
  <si>
    <t>DIGITTMII-000842</t>
  </si>
  <si>
    <t>DIGITTMII-001780</t>
  </si>
  <si>
    <t>DIGITTMII-002966</t>
  </si>
  <si>
    <t>DIGITTMII-000843</t>
  </si>
  <si>
    <t>DIGITTMII-001781</t>
  </si>
  <si>
    <t>DIGITTMII-002971</t>
  </si>
  <si>
    <t>DIGITTMII-000853</t>
  </si>
  <si>
    <t>DIGITTMII-001783</t>
  </si>
  <si>
    <t>DIGITTMII-002976</t>
  </si>
  <si>
    <t>DIGITTMII-000855</t>
  </si>
  <si>
    <t>DIGITTMII-001790</t>
  </si>
  <si>
    <t>DIGITTMII-002986</t>
  </si>
  <si>
    <t>DIGITTMII-000856</t>
  </si>
  <si>
    <t>DIGITTMII-001791</t>
  </si>
  <si>
    <t>DIGITTMII-002988</t>
  </si>
  <si>
    <t>DIGITTMII-000858</t>
  </si>
  <si>
    <t>DIGITTMII-001792</t>
  </si>
  <si>
    <t>DIGITTMII-002991</t>
  </si>
  <si>
    <t>DIGITTMII-000859</t>
  </si>
  <si>
    <t>DIGITTMII-001807</t>
  </si>
  <si>
    <t>DIGITTMII-003003</t>
  </si>
  <si>
    <t>DIGITTMII-000861</t>
  </si>
  <si>
    <t>DIGITTMII-001808</t>
  </si>
  <si>
    <t>DIGITTMII-003005</t>
  </si>
  <si>
    <t>DIGITTMII-000862</t>
  </si>
  <si>
    <t>DIGITTMII-001812</t>
  </si>
  <si>
    <t>DIGITTMII-003015</t>
  </si>
  <si>
    <t>DIGITTMII-000865</t>
  </si>
  <si>
    <t>DIGITTMII-001819</t>
  </si>
  <si>
    <t>DIGITTMII-003016</t>
  </si>
  <si>
    <t>DIGITTMII-000866</t>
  </si>
  <si>
    <t>DIGITTMII-001824</t>
  </si>
  <si>
    <t>DIGITTMII-003021</t>
  </si>
  <si>
    <t>DIGITTMII-000868</t>
  </si>
  <si>
    <t>DIGITTMII-001825</t>
  </si>
  <si>
    <t>DIGITTMII-003026</t>
  </si>
  <si>
    <t>DIGITTMII-000869</t>
  </si>
  <si>
    <t>DIGITTMII-001832</t>
  </si>
  <si>
    <t>DIGITTMII-003042</t>
  </si>
  <si>
    <t>DIGITTMII-000870</t>
  </si>
  <si>
    <t>DIGITTMII-001834</t>
  </si>
  <si>
    <t>DIGITTMII-003051</t>
  </si>
  <si>
    <t>DIGITTMII-000872</t>
  </si>
  <si>
    <t>DIGITTMII-001835</t>
  </si>
  <si>
    <t>DIGITTMII-003055</t>
  </si>
  <si>
    <t>DIGITTMII-000873</t>
  </si>
  <si>
    <t>DIGITTMII-001836</t>
  </si>
  <si>
    <t>DIGITTMII-003058</t>
  </si>
  <si>
    <t>DIGITTMII-000874</t>
  </si>
  <si>
    <t>DIGITTMII-001839</t>
  </si>
  <si>
    <t>DIGITTMII-003072</t>
  </si>
  <si>
    <t>DIGITTMII-000875</t>
  </si>
  <si>
    <t>DIGITTMII-001844</t>
  </si>
  <si>
    <t>DIGITTMII-003073</t>
  </si>
  <si>
    <t>DIGITTMII-000877</t>
  </si>
  <si>
    <t>DIGITTMII-001845</t>
  </si>
  <si>
    <t>DIGITTMII-003074</t>
  </si>
  <si>
    <t>DIGITTMII-000878</t>
  </si>
  <si>
    <t>DIGITTMII-001848</t>
  </si>
  <si>
    <t>DIGITTMII-003075</t>
  </si>
  <si>
    <t>DIGITTMII-000879</t>
  </si>
  <si>
    <t>DIGITTMII-001850</t>
  </si>
  <si>
    <t>DIGITTMII-003092</t>
  </si>
  <si>
    <t>DIGITTMII-000880</t>
  </si>
  <si>
    <t>DIGITTMII-001852</t>
  </si>
  <si>
    <t>DIGITTMII-003102</t>
  </si>
  <si>
    <t>DIGITTMII-000882</t>
  </si>
  <si>
    <t>DIGITTMII-001853</t>
  </si>
  <si>
    <t>DIGITTMII-003106</t>
  </si>
  <si>
    <t>DIGITTMII-000883</t>
  </si>
  <si>
    <t>DIGITTMII-001856</t>
  </si>
  <si>
    <t>DIGITTMII-003119</t>
  </si>
  <si>
    <t>DIGITTMII-000885</t>
  </si>
  <si>
    <t>DIGITTMII-001858</t>
  </si>
  <si>
    <t>DIGITTMII-003127</t>
  </si>
  <si>
    <t>DIGITTMII-000886</t>
  </si>
  <si>
    <t>DIGITTMII-001863</t>
  </si>
  <si>
    <t>DIGITTMII-003134</t>
  </si>
  <si>
    <t>DIGITTMII-000887</t>
  </si>
  <si>
    <t>DIGITTMII-001864</t>
  </si>
  <si>
    <t>DIGITTMII-003137</t>
  </si>
  <si>
    <t>DIGITTMII-000888</t>
  </si>
  <si>
    <t>DIGITTMII-001870</t>
  </si>
  <si>
    <t>DIGITTMII-003147</t>
  </si>
  <si>
    <t>DIGITTMII-000890</t>
  </si>
  <si>
    <t>DIGITTMII-001872</t>
  </si>
  <si>
    <t>DIGITTMII-003148</t>
  </si>
  <si>
    <t>DIGITTMII-000891</t>
  </si>
  <si>
    <t>DIGITTMII-001887</t>
  </si>
  <si>
    <t>DIGITTMII-003149</t>
  </si>
  <si>
    <t>DIGITTMII-000892</t>
  </si>
  <si>
    <t>DIGITTMII-001892</t>
  </si>
  <si>
    <t>DIGITTMII-003152</t>
  </si>
  <si>
    <t>DIGITTMII-000893</t>
  </si>
  <si>
    <t>DIGITTMII-001893</t>
  </si>
  <si>
    <t>DIGITTMII-003153</t>
  </si>
  <si>
    <t>DIGITTMII-000894</t>
  </si>
  <si>
    <t>DIGITTMII-001907</t>
  </si>
  <si>
    <t>DIGITTMII-003155</t>
  </si>
  <si>
    <t>DIGITTMII-000895</t>
  </si>
  <si>
    <t>DIGITTMII-001911</t>
  </si>
  <si>
    <t>DIGITTMII-003156</t>
  </si>
  <si>
    <t>DIGITTMII-000896</t>
  </si>
  <si>
    <t>DIGITTMII-001913</t>
  </si>
  <si>
    <t>DIGITTMII-003159</t>
  </si>
  <si>
    <t>DIGITTMII-000899</t>
  </si>
  <si>
    <t>DIGITTMII-001915</t>
  </si>
  <si>
    <t>DIGITTMII-003160</t>
  </si>
  <si>
    <t>DIGITTMII-000904</t>
  </si>
  <si>
    <t>DIGITTMII-001930</t>
  </si>
  <si>
    <t>DIGITTMII-003161</t>
  </si>
  <si>
    <t>DIGITTMII-000907</t>
  </si>
  <si>
    <t>DIGITTMII-001933</t>
  </si>
  <si>
    <t>DIGITTMII-003179</t>
  </si>
  <si>
    <t>DIGITTMII-000908</t>
  </si>
  <si>
    <t>DIGITTMII-001934</t>
  </si>
  <si>
    <t>DIGITTMII-003181</t>
  </si>
  <si>
    <t>DIGITTMII-000911</t>
  </si>
  <si>
    <t>DIGITTMII-001939</t>
  </si>
  <si>
    <t>DIGITTMII-003184</t>
  </si>
  <si>
    <t>DIGITTMII-000913</t>
  </si>
  <si>
    <t>DIGITTMII-001940</t>
  </si>
  <si>
    <t>DIGITTMII-003186</t>
  </si>
  <si>
    <t>DIGITTMII-000914</t>
  </si>
  <si>
    <t>DIGITTMII-001944</t>
  </si>
  <si>
    <t>DIGITTMII-003191</t>
  </si>
  <si>
    <t>DIGITTMII-000915</t>
  </si>
  <si>
    <t>DIGITTMII-001949</t>
  </si>
  <si>
    <t>DIGITTMII-003197</t>
  </si>
  <si>
    <t>DIGITTMII-000916</t>
  </si>
  <si>
    <t>DIGITTMII-001950</t>
  </si>
  <si>
    <t>DIGITTMII-003198</t>
  </si>
  <si>
    <t>DIGITTMII-000917</t>
  </si>
  <si>
    <t>DIGITTMII-001952</t>
  </si>
  <si>
    <t>DIGITTMII-003200</t>
  </si>
  <si>
    <t>DIGITTMII-000921</t>
  </si>
  <si>
    <t>DIGITTMII-001953</t>
  </si>
  <si>
    <t>DIGITTMII-003201</t>
  </si>
  <si>
    <t>DIGITTMII-000922</t>
  </si>
  <si>
    <t>DIGITTMII-001956</t>
  </si>
  <si>
    <t>DIGITTMII-003204</t>
  </si>
  <si>
    <t>DIGITTMII-000924</t>
  </si>
  <si>
    <t>DIGITTMII-001958</t>
  </si>
  <si>
    <t>DIGITTMII-003232</t>
  </si>
  <si>
    <t>DIGITTMII-000925</t>
  </si>
  <si>
    <t>DIGITTMII-001959</t>
  </si>
  <si>
    <t>DIGITTMII-003234</t>
  </si>
  <si>
    <t>DIGITTMII-000928</t>
  </si>
  <si>
    <t>DIGITTMII-001963</t>
  </si>
  <si>
    <t>DIGITTMII-003235</t>
  </si>
  <si>
    <t>DIGITTMII-000929</t>
  </si>
  <si>
    <t>DIGITTMII-001967</t>
  </si>
  <si>
    <t>DIGITTMII-003241</t>
  </si>
  <si>
    <t>DIGITTMII-000930</t>
  </si>
  <si>
    <t>DIGITTMII-001968</t>
  </si>
  <si>
    <t>DIGITTMII-003256</t>
  </si>
  <si>
    <t>DIGITTMII-000933</t>
  </si>
  <si>
    <t>DIGITTMII-001969</t>
  </si>
  <si>
    <t>DIGITTMII-003257</t>
  </si>
  <si>
    <t>DIGITTMII-000934</t>
  </si>
  <si>
    <t>DIGITTMII-001970</t>
  </si>
  <si>
    <t>DIGITTMII-003263</t>
  </si>
  <si>
    <t>DIGITTMII-000936</t>
  </si>
  <si>
    <t>DIGITTMII-001974</t>
  </si>
  <si>
    <t>DIGITTMII-003284</t>
  </si>
  <si>
    <t>DIGITTMII-000937</t>
  </si>
  <si>
    <t>DIGITTMII-001980</t>
  </si>
  <si>
    <t>DIGITTMII-003286</t>
  </si>
  <si>
    <t>DIGITTMII-000938</t>
  </si>
  <si>
    <t>DIGITTMII-001982</t>
  </si>
  <si>
    <t>DIGITTMII-003289</t>
  </si>
  <si>
    <t>DIGITTMII-000939</t>
  </si>
  <si>
    <t>DIGITTMII-001983</t>
  </si>
  <si>
    <t>DIGITTMII-003290</t>
  </si>
  <si>
    <t>DIGITTMII-000942</t>
  </si>
  <si>
    <t>DIGITTMII-001985</t>
  </si>
  <si>
    <t>DIGITTMII-003294</t>
  </si>
  <si>
    <t>DIGITTMII-000945</t>
  </si>
  <si>
    <t>DIGITTMII-001994</t>
  </si>
  <si>
    <t>DIGITTMII-003295</t>
  </si>
  <si>
    <t>DIGITTMII-000946</t>
  </si>
  <si>
    <t>DIGITTMII-001995</t>
  </si>
  <si>
    <t>DIGITTMII-003296</t>
  </si>
  <si>
    <t>DIGITTMII-000947</t>
  </si>
  <si>
    <t>DIGITTMII-001996</t>
  </si>
  <si>
    <t>DIGITTMII-003297</t>
  </si>
  <si>
    <t>DIGITTMII-000948</t>
  </si>
  <si>
    <t>DIGITTMII-001998</t>
  </si>
  <si>
    <t>DIGITTMII-003298</t>
  </si>
  <si>
    <t>DIGITTMII-000950</t>
  </si>
  <si>
    <t>DIGITTMII-001999</t>
  </si>
  <si>
    <t>DIGITTMII-003300</t>
  </si>
  <si>
    <t>DIGITTMII-000951</t>
  </si>
  <si>
    <t>DIGITTMII-002001</t>
  </si>
  <si>
    <t>DIGITTMII-003301</t>
  </si>
  <si>
    <t>DIGITTMII-000952</t>
  </si>
  <si>
    <t>DIGITTMII-002004</t>
  </si>
  <si>
    <t>DIGITTMII-003310</t>
  </si>
  <si>
    <t>DIGITTMII-000955</t>
  </si>
  <si>
    <t>DIGITTMII-002006</t>
  </si>
  <si>
    <t>DIGITTMII-003319</t>
  </si>
  <si>
    <t>DIGITTMII-000956</t>
  </si>
  <si>
    <t>DIGITTMII-002009</t>
  </si>
  <si>
    <t>DIGITTMII-003327</t>
  </si>
  <si>
    <t>DIGITTMII-000957</t>
  </si>
  <si>
    <t>DIGITTMII-002010</t>
  </si>
  <si>
    <t>DIGITTMII-003328</t>
  </si>
  <si>
    <t>DIGITTMII-000958</t>
  </si>
  <si>
    <t>DIGITTMII-002011</t>
  </si>
  <si>
    <t>DIGITTMII-003331</t>
  </si>
  <si>
    <t>DIGITTMII-000960</t>
  </si>
  <si>
    <t>DIGITTMII-002013</t>
  </si>
  <si>
    <t>DIGITTMII-003335</t>
  </si>
  <si>
    <t>DIGITTMII-000961</t>
  </si>
  <si>
    <t>DIGITTMII-002014</t>
  </si>
  <si>
    <t>DIGITTMII-003339</t>
  </si>
  <si>
    <t>DIGITTMII-000963</t>
  </si>
  <si>
    <t>DIGITTMII-002015</t>
  </si>
  <si>
    <t>DIGITTMII-003344</t>
  </si>
  <si>
    <t>DIGITTMII-000964</t>
  </si>
  <si>
    <t>DIGITTMII-002016</t>
  </si>
  <si>
    <t>DIGITTMII-003347</t>
  </si>
  <si>
    <t>DIGITTMII-000965</t>
  </si>
  <si>
    <t>DIGITTMII-002018</t>
  </si>
  <si>
    <t>DIGITTMII-003354</t>
  </si>
  <si>
    <t>DIGITTMII-000968</t>
  </si>
  <si>
    <t>DIGITTMII-002020</t>
  </si>
  <si>
    <t>DIGITTMII-003355</t>
  </si>
  <si>
    <t>DIGITTMII-000969</t>
  </si>
  <si>
    <t>DIGITTMII-002021</t>
  </si>
  <si>
    <t>DIGITTMII-003358</t>
  </si>
  <si>
    <t>DIGITTMII-000970</t>
  </si>
  <si>
    <t>DIGITTMII-002022</t>
  </si>
  <si>
    <t>DIGITTMII-003377</t>
  </si>
  <si>
    <t>DIGITTMII-000971</t>
  </si>
  <si>
    <t>DIGITTMII-002023</t>
  </si>
  <si>
    <t>DIGITTMII-003378</t>
  </si>
  <si>
    <t>DIGITTMII-000976</t>
  </si>
  <si>
    <t>DIGITTMII-002029</t>
  </si>
  <si>
    <t>DIGITTMII-003394</t>
  </si>
  <si>
    <t>DIGITTMII-000977</t>
  </si>
  <si>
    <t>DIGITTMII-002032</t>
  </si>
  <si>
    <t>DIGITTMII-003398</t>
  </si>
  <si>
    <t>DIGITTMII-000980</t>
  </si>
  <si>
    <t>DIGITTMII-002033</t>
  </si>
  <si>
    <t>DIGITTMII-003407</t>
  </si>
  <si>
    <t>DIGITTMII-000984</t>
  </si>
  <si>
    <t>DIGITTMII-002034</t>
  </si>
  <si>
    <t>DIGITTMII-003416</t>
  </si>
  <si>
    <t>DIGITTMII-000986</t>
  </si>
  <si>
    <t>DIGITTMII-002035</t>
  </si>
  <si>
    <t>DIGITTMII-003420</t>
  </si>
  <si>
    <t>DIGITTMII-000988</t>
  </si>
  <si>
    <t>DIGITTMII-002039</t>
  </si>
  <si>
    <t>DIGITTMII-003426</t>
  </si>
  <si>
    <t>DIGITTMII-000989</t>
  </si>
  <si>
    <t>DIGITTMII-002040</t>
  </si>
  <si>
    <t>DIGITTMII-003431</t>
  </si>
  <si>
    <t>DIGITTMII-000990</t>
  </si>
  <si>
    <t>DIGITTMII-002041</t>
  </si>
  <si>
    <t>DIGITTMII-003433</t>
  </si>
  <si>
    <t>DIGITTMII-000992</t>
  </si>
  <si>
    <t>DIGITTMII-002043</t>
  </si>
  <si>
    <t>DIGITTMII-003435</t>
  </si>
  <si>
    <t>DIGITTMII-000993</t>
  </si>
  <si>
    <t>DIGITTMII-002045</t>
  </si>
  <si>
    <t>DIGITTMII-003442</t>
  </si>
  <si>
    <t>DIGITTMII-000995</t>
  </si>
  <si>
    <t>DIGITTMII-002046</t>
  </si>
  <si>
    <t>DIGITTMII-003447</t>
  </si>
  <si>
    <t>DIGITTMII-000997</t>
  </si>
  <si>
    <t>DIGITTMII-002048</t>
  </si>
  <si>
    <t>DIGITTMII-003451</t>
  </si>
  <si>
    <t>DIGITTMII-000999</t>
  </si>
  <si>
    <t>DIGITTMII-002050</t>
  </si>
  <si>
    <t>DIGITTMII-003462</t>
  </si>
  <si>
    <t>DIGITTMII-001001</t>
  </si>
  <si>
    <t>DIGITTMII-002052</t>
  </si>
  <si>
    <t>DIGITTMII-003465</t>
  </si>
  <si>
    <t>DIGITTMII-001002</t>
  </si>
  <si>
    <t>DIGITTMII-002054</t>
  </si>
  <si>
    <t>DIGITTMII-003472</t>
  </si>
  <si>
    <t>DIGITTMII-001007</t>
  </si>
  <si>
    <t>DIGITTMII-002055</t>
  </si>
  <si>
    <t>DIGITTMII-003475</t>
  </si>
  <si>
    <t>DIGITTMII-001008</t>
  </si>
  <si>
    <t>DIGITTMII-002058</t>
  </si>
  <si>
    <t>DIGITTMII-003480</t>
  </si>
  <si>
    <t>DIGITTMII-001009</t>
  </si>
  <si>
    <t>DIGITTMII-002059</t>
  </si>
  <si>
    <t>DIGITTMII-003482</t>
  </si>
  <si>
    <t>DIGITTMII-001011</t>
  </si>
  <si>
    <t>DIGITTMII-002060</t>
  </si>
  <si>
    <t>DIGITTMII-003506</t>
  </si>
  <si>
    <t>DIGITTMII-001012</t>
  </si>
  <si>
    <t>DIGITTMII-002062</t>
  </si>
  <si>
    <t>DIGITTMII-003511</t>
  </si>
  <si>
    <t>DIGITTMII-001013</t>
  </si>
  <si>
    <t>DIGITTMII-002070</t>
  </si>
  <si>
    <t>DIGITTMII-003514</t>
  </si>
  <si>
    <t>DIGITTMII-001014</t>
  </si>
  <si>
    <t>DIGITTMII-002072</t>
  </si>
  <si>
    <t>DIGITTMII-003525</t>
  </si>
  <si>
    <t>DIGITTMII-001015</t>
  </si>
  <si>
    <t>DIGITTMII-002077</t>
  </si>
  <si>
    <t>DIGITTMII-003526</t>
  </si>
  <si>
    <t>DIGITTMII-001016</t>
  </si>
  <si>
    <t>DIGITTMII-002080</t>
  </si>
  <si>
    <t>DIGITTMII-003527</t>
  </si>
  <si>
    <t>DIGITTMII-001018</t>
  </si>
  <si>
    <t>DIGITTMII-002081</t>
  </si>
  <si>
    <t>DIGITTMII-003530</t>
  </si>
  <si>
    <t>DIGITTMII-001019</t>
  </si>
  <si>
    <t>DIGITTMII-002084</t>
  </si>
  <si>
    <t>DIGITTMII-003546</t>
  </si>
  <si>
    <t>DIGITTMII-001020</t>
  </si>
  <si>
    <t>DIGITTMII-002085</t>
  </si>
  <si>
    <t>DIGITTMII-003553</t>
  </si>
  <si>
    <t>DIGITTMII-001025</t>
  </si>
  <si>
    <t>DIGITTMII-002094</t>
  </si>
  <si>
    <t>DIGITTMII-003563</t>
  </si>
  <si>
    <t>DIGITTMII-001028</t>
  </si>
  <si>
    <t>DIGITTMII-002095</t>
  </si>
  <si>
    <t>DIGITTMII-003575</t>
  </si>
  <si>
    <t>DIGITTMII-001029</t>
  </si>
  <si>
    <t>DIGITTMII-002099</t>
  </si>
  <si>
    <t>DIGITTMII-003580</t>
  </si>
  <si>
    <t>DIGITTMII-001035</t>
  </si>
  <si>
    <t>DIGITTMII-002106</t>
  </si>
  <si>
    <t>DIGITTMII-003585</t>
  </si>
  <si>
    <t>DIGITTMII-001036</t>
  </si>
  <si>
    <t>DIGITTMII-002107</t>
  </si>
  <si>
    <t>DIGITTMII-003595</t>
  </si>
  <si>
    <t>DIGITTMII-001037</t>
  </si>
  <si>
    <t>DIGITTMII-002109</t>
  </si>
  <si>
    <t>DIGITTMII-003596</t>
  </si>
  <si>
    <t>DIGITTMII-001038</t>
  </si>
  <si>
    <t>DIGITTMII-002111</t>
  </si>
  <si>
    <t>DIGITTMII-003610</t>
  </si>
  <si>
    <t>DIGITTMII-001039</t>
  </si>
  <si>
    <t>DIGITTMII-002122</t>
  </si>
  <si>
    <t>DIGITTMII-003617</t>
  </si>
  <si>
    <t>DIGITTMII-001042</t>
  </si>
  <si>
    <t>DIGITTMII-002129</t>
  </si>
  <si>
    <t>DIGITTMII-003620</t>
  </si>
  <si>
    <t>DIGITTMII-001043</t>
  </si>
  <si>
    <t>DIGITTMII-002131</t>
  </si>
  <si>
    <t>DIGITTMII-003625</t>
  </si>
  <si>
    <t>DIGITTMII-001045</t>
  </si>
  <si>
    <t>DIGITTMII-002135</t>
  </si>
  <si>
    <t>DIGITTMII-003630</t>
  </si>
  <si>
    <t>DIGITTMII-001049</t>
  </si>
  <si>
    <t>DIGITTMII-002146</t>
  </si>
  <si>
    <t>DIGITTMII-003631</t>
  </si>
  <si>
    <t>DIGITTMII-001052</t>
  </si>
  <si>
    <t>DIGITTMII-002148</t>
  </si>
  <si>
    <t>DIGITTMII-003634</t>
  </si>
  <si>
    <t>DIGITTMII-001055</t>
  </si>
  <si>
    <t>DIGITTMII-002150</t>
  </si>
  <si>
    <t>DIGITTMII-003635</t>
  </si>
  <si>
    <t>DIGITTMII-001057</t>
  </si>
  <si>
    <t>DIGITTMII-002154</t>
  </si>
  <si>
    <t>DIGITTMII-003636</t>
  </si>
  <si>
    <t>DIGITTMII-001058</t>
  </si>
  <si>
    <t>DIGITTMII-002156</t>
  </si>
  <si>
    <t>DIGITTMII-003638</t>
  </si>
  <si>
    <t>DIGITTMII-001059</t>
  </si>
  <si>
    <t>DIGITTMII-002158</t>
  </si>
  <si>
    <t>DIGITTMII-003641</t>
  </si>
  <si>
    <t>DIGITTMII-001060</t>
  </si>
  <si>
    <t>DIGITTMII-002161</t>
  </si>
  <si>
    <t>DIGITTMII-003651</t>
  </si>
  <si>
    <t>DIGITTMII-001064</t>
  </si>
  <si>
    <t>DIGITTMII-002163</t>
  </si>
  <si>
    <t>DIGITTMII-003652</t>
  </si>
  <si>
    <t>DIGITTMII-001065</t>
  </si>
  <si>
    <t>DIGITTMII-002165</t>
  </si>
  <si>
    <t>DIGITTMII-003662</t>
  </si>
  <si>
    <t>DIGITTMII-001066</t>
  </si>
  <si>
    <t>DIGITTMII-002170</t>
  </si>
  <si>
    <t>DIGITTMII-003667</t>
  </si>
  <si>
    <t>DIGITTMII-001067</t>
  </si>
  <si>
    <t>DIGITTMII-002171</t>
  </si>
  <si>
    <t>DIGITTMII-003677</t>
  </si>
  <si>
    <t>DIGITTMII-001068</t>
  </si>
  <si>
    <t>DIGITTMII-002173</t>
  </si>
  <si>
    <t>DIGITTMII-003678</t>
  </si>
  <si>
    <t>DIGITTMII-001070</t>
  </si>
  <si>
    <t>DIGITTMII-002180</t>
  </si>
  <si>
    <t>DIGITTMII-003688</t>
  </si>
  <si>
    <t>DIGITTMII-001072</t>
  </si>
  <si>
    <t>DIGITTMII-002182</t>
  </si>
  <si>
    <t>DIGITTMII-003707</t>
  </si>
  <si>
    <t>DIGITTMII-001073</t>
  </si>
  <si>
    <t>DIGITTMII-002184</t>
  </si>
  <si>
    <t>DIGITTMII-003721</t>
  </si>
  <si>
    <t>DIGITTMII-001075</t>
  </si>
  <si>
    <t>DIGITTMII-002187</t>
  </si>
  <si>
    <t>DIGITTMII-003722</t>
  </si>
  <si>
    <t>DIGITTMII-001076</t>
  </si>
  <si>
    <t>DIGITTMII-002193</t>
  </si>
  <si>
    <t>DIGITTMII-003725</t>
  </si>
  <si>
    <t>DIGITTMII-001078</t>
  </si>
  <si>
    <t>DIGITTMII-002194</t>
  </si>
  <si>
    <t>DIGITTMII-003739</t>
  </si>
  <si>
    <t>DIGITTMII-001082</t>
  </si>
  <si>
    <t>DIGITTMII-002197</t>
  </si>
  <si>
    <t>DIGITTMII-003745</t>
  </si>
  <si>
    <t>DIGITTMII-001083</t>
  </si>
  <si>
    <t>DIGITTMII-002201</t>
  </si>
  <si>
    <t>DIGITTMII-003747</t>
  </si>
  <si>
    <t>DIGITTMII-001086</t>
  </si>
  <si>
    <t>DIGITTMII-002220</t>
  </si>
  <si>
    <t>DIGITTMII-003750</t>
  </si>
  <si>
    <t>DIGITTMII-001087</t>
  </si>
  <si>
    <t>DIGITTMII-002222</t>
  </si>
  <si>
    <t>DIGITTMII-003761</t>
  </si>
  <si>
    <t>DIGITTMII-001088</t>
  </si>
  <si>
    <t>DIGITTMII-002223</t>
  </si>
  <si>
    <t>DIGITTMII-003771</t>
  </si>
  <si>
    <t>DIGITTMII-001091</t>
  </si>
  <si>
    <t>DIGITTMII-002225</t>
  </si>
  <si>
    <t>DIGITTMII-003776</t>
  </si>
  <si>
    <t>DIGITTMII-001093</t>
  </si>
  <si>
    <t>DIGITTMII-002229</t>
  </si>
  <si>
    <t>DIGITTMII-003779</t>
  </si>
  <si>
    <t>DIGITTMII-001096</t>
  </si>
  <si>
    <t>DIGITTMII-002232</t>
  </si>
  <si>
    <t>DIGITTMII-003783</t>
  </si>
  <si>
    <t>DIGITTMII-001098</t>
  </si>
  <si>
    <t>DIGITTMII-002238</t>
  </si>
  <si>
    <t>DIGITTMII-003788</t>
  </si>
  <si>
    <t>DIGITTMII-001099</t>
  </si>
  <si>
    <t>DIGITTMII-002239</t>
  </si>
  <si>
    <t>DIGITTMII-003791</t>
  </si>
  <si>
    <t>DIGITTMII-001100</t>
  </si>
  <si>
    <t>DIGITTMII-002242</t>
  </si>
  <si>
    <t>DIGITTMII-003797</t>
  </si>
  <si>
    <t>DIGITTMII-001102</t>
  </si>
  <si>
    <t>DIGITTMII-002247</t>
  </si>
  <si>
    <t>DIGITTMII-003800</t>
  </si>
  <si>
    <t>DIGITTMII-001103</t>
  </si>
  <si>
    <t>DIGITTMII-002248</t>
  </si>
  <si>
    <t>DIGITTMII-003801</t>
  </si>
  <si>
    <t>DIGITTMII-001104</t>
  </si>
  <si>
    <t>DIGITTMII-002249</t>
  </si>
  <si>
    <t>DIGITTMII-003826</t>
  </si>
  <si>
    <t>DIGITTMII-001107</t>
  </si>
  <si>
    <t>DIGITTMII-002250</t>
  </si>
  <si>
    <t>DIGITTMII-003837</t>
  </si>
  <si>
    <t>DIGITTMII-001109</t>
  </si>
  <si>
    <t>DIGITTMII-002253</t>
  </si>
  <si>
    <t>DIGITTMII-003847</t>
  </si>
  <si>
    <t>DIGITTMII-001111</t>
  </si>
  <si>
    <t>DIGITTMII-002254</t>
  </si>
  <si>
    <t>DIGITTMII-003848</t>
  </si>
  <si>
    <t>DIGITTMII-001112</t>
  </si>
  <si>
    <t>DIGITTMII-002256</t>
  </si>
  <si>
    <t>DIGITTMII-003855</t>
  </si>
  <si>
    <t>DIGITTMII-001113</t>
  </si>
  <si>
    <t>DIGITTMII-002259</t>
  </si>
  <si>
    <t>DIGITTMII-003875</t>
  </si>
  <si>
    <t>DIGITTMII-001114</t>
  </si>
  <si>
    <t>DIGITTMII-002262</t>
  </si>
  <si>
    <t>DIGITTMII-003876</t>
  </si>
  <si>
    <t>DIGITTMII-001116</t>
  </si>
  <si>
    <t>DIGITTMII-002268</t>
  </si>
  <si>
    <t>DIGITTMII-003883</t>
  </si>
  <si>
    <t>DIGITTMII-001117</t>
  </si>
  <si>
    <t>DIGITTMII-002270</t>
  </si>
  <si>
    <t>DIGITTMII-003890</t>
  </si>
  <si>
    <t>DIGITTMII-001119</t>
  </si>
  <si>
    <t>DIGITTMII-002271</t>
  </si>
  <si>
    <t>DIGITTMII-003896</t>
  </si>
  <si>
    <t>DIGITTMII-001120</t>
  </si>
  <si>
    <t>DIGITTMII-002273</t>
  </si>
  <si>
    <t>DIGITTMII-003899</t>
  </si>
  <si>
    <t>DIGITTMII-001124</t>
  </si>
  <si>
    <t>DIGITTMII-002275</t>
  </si>
  <si>
    <t>DIGITTMII-003901</t>
  </si>
  <si>
    <t>DIGITTMII-001125</t>
  </si>
  <si>
    <t>DIGITTMII-002277</t>
  </si>
  <si>
    <t>DIGITTMII-003902</t>
  </si>
  <si>
    <t>DIGITTMII-001130</t>
  </si>
  <si>
    <t>DIGITTMII-002279</t>
  </si>
  <si>
    <t>DIGITTMII-003904</t>
  </si>
  <si>
    <t>DIGITTMII-001134</t>
  </si>
  <si>
    <t>DIGITTMII-002280</t>
  </si>
  <si>
    <t>DIGITTMII-003929</t>
  </si>
  <si>
    <t>DIGITTMII-001135</t>
  </si>
  <si>
    <t>DIGITTMII-002297</t>
  </si>
  <si>
    <t>DIGITTMII-003933</t>
  </si>
  <si>
    <t>DIGITTMII-001136</t>
  </si>
  <si>
    <t>DIGITTMII-002310</t>
  </si>
  <si>
    <t>DIGITTMII-003936</t>
  </si>
  <si>
    <t>DIGITTMII-001137</t>
  </si>
  <si>
    <t>DIGITTMII-002311</t>
  </si>
  <si>
    <t>DIGITTMII-003939</t>
  </si>
  <si>
    <t>DIGITTMII-001138</t>
  </si>
  <si>
    <t>DIGITTMII-002313</t>
  </si>
  <si>
    <t>DIGITTMII-003946</t>
  </si>
  <si>
    <t>DIGITTMII-001139</t>
  </si>
  <si>
    <t>DIGITTMII-002323</t>
  </si>
  <si>
    <t>DIGITTMII-003955</t>
  </si>
  <si>
    <t>DIGITTMII-001141</t>
  </si>
  <si>
    <t>DIGITTMII-002324</t>
  </si>
  <si>
    <t>DIGITTMII-003967</t>
  </si>
  <si>
    <t>DIGITTMII-001143</t>
  </si>
  <si>
    <t>DIGITTMII-002327</t>
  </si>
  <si>
    <t>DIGITTMII-003977</t>
  </si>
  <si>
    <t>DIGITTMII-001145</t>
  </si>
  <si>
    <t>DIGITTMII-002331</t>
  </si>
  <si>
    <t>DIGITTMII-003980</t>
  </si>
  <si>
    <t>DIGITTMII-001147</t>
  </si>
  <si>
    <t>DIGITTMII-002337</t>
  </si>
  <si>
    <t>DIGITTMII-003982</t>
  </si>
  <si>
    <t>DIGITTMII-001149</t>
  </si>
  <si>
    <t>DIGITTMII-002341</t>
  </si>
  <si>
    <t>DIGITTMII-003985</t>
  </si>
  <si>
    <t>DIGITTMII-001155</t>
  </si>
  <si>
    <t>DIGITTMII-002346</t>
  </si>
  <si>
    <t>DIGITTMII-004002</t>
  </si>
  <si>
    <t>DIGITTMII-001157</t>
  </si>
  <si>
    <t>DIGITTMII-002350</t>
  </si>
  <si>
    <t>DIGITTMII-004005</t>
  </si>
  <si>
    <t>DIGITTMII-001158</t>
  </si>
  <si>
    <t>DIGITTMII-002353</t>
  </si>
  <si>
    <t>DIGITTMII-004006</t>
  </si>
  <si>
    <t>DIGITTMII-001160</t>
  </si>
  <si>
    <t>DIGITTMII-002355</t>
  </si>
  <si>
    <t>DIGITTMII-004007</t>
  </si>
  <si>
    <t>DIGITTMII-001161</t>
  </si>
  <si>
    <t>DIGITTMII-002359</t>
  </si>
  <si>
    <t>DIGITTMII-004008</t>
  </si>
  <si>
    <t>DIGITTMII-001162</t>
  </si>
  <si>
    <t>DIGITTMII-002367</t>
  </si>
  <si>
    <t>DIGITTMII-004010</t>
  </si>
  <si>
    <t>DIGITTMII-001167</t>
  </si>
  <si>
    <t>DIGITTMII-002373</t>
  </si>
  <si>
    <t>DIGITTMII-004011</t>
  </si>
  <si>
    <t>DIGITTMII-001170</t>
  </si>
  <si>
    <t>DIGITTMII-002375</t>
  </si>
  <si>
    <t>DIGITTMII-004019</t>
  </si>
  <si>
    <t>DIGITTMII-001171</t>
  </si>
  <si>
    <t>DIGITTMII-002376</t>
  </si>
  <si>
    <t>DIGITTMII-004024</t>
  </si>
  <si>
    <t>DIGITTMII-001172</t>
  </si>
  <si>
    <t>DIGITTMII-002379</t>
  </si>
  <si>
    <t>DIGITTMII-004026</t>
  </si>
  <si>
    <t>DIGITTMII-001173</t>
  </si>
  <si>
    <t>DIGITTMII-002381</t>
  </si>
  <si>
    <t>DIGITTMII-004027</t>
  </si>
  <si>
    <t>DIGITTMII-001176</t>
  </si>
  <si>
    <t>DIGITTMII-002383</t>
  </si>
  <si>
    <t>DIGITTMII-004028</t>
  </si>
  <si>
    <t>DIGITTMII-001177</t>
  </si>
  <si>
    <t>DIGITTMII-002385</t>
  </si>
  <si>
    <t>DIGITTMII-004029</t>
  </si>
  <si>
    <t>DIGITTMII-001180</t>
  </si>
  <si>
    <t>DIGITTMII-002387</t>
  </si>
  <si>
    <t>DIGITTMII-004039</t>
  </si>
  <si>
    <t>DIGITTMII-001181</t>
  </si>
  <si>
    <t>DIGITTMII-002395</t>
  </si>
  <si>
    <t>DIGITTMII-004072</t>
  </si>
  <si>
    <t>DIGITTMII-001182</t>
  </si>
  <si>
    <t>DIGITTMII-002398</t>
  </si>
  <si>
    <t>DIGITTMII-004075</t>
  </si>
  <si>
    <t>DIGITTMII-001185</t>
  </si>
  <si>
    <t>DIGITTMII-002404</t>
  </si>
  <si>
    <t>DIGITTMII-004078</t>
  </si>
  <si>
    <t>DIGITTMII-001186</t>
  </si>
  <si>
    <t>DIGITTMII-002406</t>
  </si>
  <si>
    <t>DIGITTMII-004079</t>
  </si>
  <si>
    <t>DIGITTMII-001187</t>
  </si>
  <si>
    <t>DIGITTMII-002407</t>
  </si>
  <si>
    <t>DIGITTMII-004080</t>
  </si>
  <si>
    <t>DIGITTMII-001188</t>
  </si>
  <si>
    <t>DIGITTMII-002408</t>
  </si>
  <si>
    <t>DIGITTMII-004081</t>
  </si>
  <si>
    <t>DIGITTMII-001190</t>
  </si>
  <si>
    <t>DIGITTMII-002413</t>
  </si>
  <si>
    <t>DIGITTMII-004110</t>
  </si>
  <si>
    <t>DIGITTMII-001193</t>
  </si>
  <si>
    <t>DIGITTMII-002415</t>
  </si>
  <si>
    <t>DIGITTMII-004116</t>
  </si>
  <si>
    <t>DIGITTMII-001194</t>
  </si>
  <si>
    <t>DIGITTMII-002418</t>
  </si>
  <si>
    <t>DIGITTMII-004139</t>
  </si>
  <si>
    <t>DIGITTMII-001195</t>
  </si>
  <si>
    <t>DIGITTMII-002420</t>
  </si>
  <si>
    <t>DIGITTMII-004158</t>
  </si>
  <si>
    <t>DIGITTMII-001201</t>
  </si>
  <si>
    <t>DIGITTMII-002421</t>
  </si>
  <si>
    <t>DIGITTMII-004165</t>
  </si>
  <si>
    <t>DIGITTMII-001203</t>
  </si>
  <si>
    <t>DIGITTMII-002427</t>
  </si>
  <si>
    <t>DIGITTMII-004175</t>
  </si>
  <si>
    <t>DIGITTMII-001207</t>
  </si>
  <si>
    <t>DIGITTMII-002428</t>
  </si>
  <si>
    <t>DIGITTMII-004177</t>
  </si>
  <si>
    <t>DIGITTMII-001208</t>
  </si>
  <si>
    <t>DIGITTMII-002431</t>
  </si>
  <si>
    <t>DIGITTMII-004192</t>
  </si>
  <si>
    <t>DIGITTMII-001209</t>
  </si>
  <si>
    <t>DIGITTMII-002432</t>
  </si>
  <si>
    <t>DIGITTMII-004204</t>
  </si>
  <si>
    <t>DIGITTMII-001210</t>
  </si>
  <si>
    <t>DIGITTMII-002435</t>
  </si>
  <si>
    <t>DIGITTMII-004213</t>
  </si>
  <si>
    <t>DIGITTMII-001211</t>
  </si>
  <si>
    <t>DIGITTMII-002436</t>
  </si>
  <si>
    <t>DIGITTMII-004219</t>
  </si>
  <si>
    <t>DIGITTMII-001212</t>
  </si>
  <si>
    <t>DIGITTMII-002438</t>
  </si>
  <si>
    <t>DIGITTMII-004220</t>
  </si>
  <si>
    <t>DIGITTMII-001213</t>
  </si>
  <si>
    <t>DIGITTMII-002443</t>
  </si>
  <si>
    <t>DIGITTMII-004253</t>
  </si>
  <si>
    <t>DIGITTMII-001214</t>
  </si>
  <si>
    <t>DIGITTMII-002445</t>
  </si>
  <si>
    <t>DIGITTMII-004284</t>
  </si>
  <si>
    <t>DIGITTMII-001216</t>
  </si>
  <si>
    <t>DIGITTMII-002448</t>
  </si>
  <si>
    <t>DIGITTMII-004285</t>
  </si>
  <si>
    <t>DIGITTMII-001218</t>
  </si>
  <si>
    <t>DIGITTMII-002449</t>
  </si>
  <si>
    <t>DIGITTMII-004287</t>
  </si>
  <si>
    <t>DIGITTMII-001219</t>
  </si>
  <si>
    <t>DIGITTMII-002451</t>
  </si>
  <si>
    <t>DIGITTMII-004296</t>
  </si>
  <si>
    <t>DIGITTMII-001222</t>
  </si>
  <si>
    <t>DIGITTMII-002452</t>
  </si>
  <si>
    <t>DIGITTMII-004298</t>
  </si>
  <si>
    <t>DIGITTMII-001223</t>
  </si>
  <si>
    <t>DIGITTMII-002455</t>
  </si>
  <si>
    <t>DIGITTMII-004306</t>
  </si>
  <si>
    <t>DIGITTMII-001226</t>
  </si>
  <si>
    <t>DIGITTMII-002457</t>
  </si>
  <si>
    <t>DIGITTMII-004309</t>
  </si>
  <si>
    <t>DIGITTMII-001229</t>
  </si>
  <si>
    <t>DIGITTMII-002458</t>
  </si>
  <si>
    <t>DIGITTMII-004312</t>
  </si>
  <si>
    <t>DIGITTMII-001231</t>
  </si>
  <si>
    <t>DIGITTMII-002459</t>
  </si>
  <si>
    <t>DIGITTMII-004316</t>
  </si>
  <si>
    <t>DIGITTMII-001232</t>
  </si>
  <si>
    <t>DIGITTMII-002460</t>
  </si>
  <si>
    <t>DIGITTMII-004317</t>
  </si>
  <si>
    <t>DIGITTMII-001236</t>
  </si>
  <si>
    <t>DIGITTMII-002461</t>
  </si>
  <si>
    <t>DIGITTMII-004321</t>
  </si>
  <si>
    <t>DIGITTMII-001239</t>
  </si>
  <si>
    <t>DIGITTMII-002467</t>
  </si>
  <si>
    <t>DIGITTMII-004324</t>
  </si>
  <si>
    <t>DIGITTMII-001240</t>
  </si>
  <si>
    <t>DIGITTMII-002469</t>
  </si>
  <si>
    <t>DIGITTMII-004328</t>
  </si>
  <si>
    <t>DIGITTMII-001241</t>
  </si>
  <si>
    <t>DIGITTMII-002478</t>
  </si>
  <si>
    <t>DIGITTMII-004332</t>
  </si>
  <si>
    <t>DIGITTMII-001250</t>
  </si>
  <si>
    <t>DIGITTMII-002479</t>
  </si>
  <si>
    <t>DIGITTMII-004335</t>
  </si>
  <si>
    <t>DIGITTMII-001251</t>
  </si>
  <si>
    <t>DIGITTMII-002481</t>
  </si>
  <si>
    <t>DIGITTMII-004342</t>
  </si>
  <si>
    <t>DIGITTMII-001252</t>
  </si>
  <si>
    <t>DIGITTMII-002482</t>
  </si>
  <si>
    <t>DIGITTMII-004345</t>
  </si>
  <si>
    <t>DIGITTMII-001253</t>
  </si>
  <si>
    <t>DIGITTMII-002483</t>
  </si>
  <si>
    <t>DIGITTMII-004354</t>
  </si>
  <si>
    <t>DIGITTMII-001254</t>
  </si>
  <si>
    <t>DIGITTMII-002484</t>
  </si>
  <si>
    <t>DIGITTMII-004359</t>
  </si>
  <si>
    <t>DIGITTMII-001257</t>
  </si>
  <si>
    <t>DIGITTMII-002486</t>
  </si>
  <si>
    <t>DIGITTMII-004365</t>
  </si>
  <si>
    <t>DIGITTMII-001258</t>
  </si>
  <si>
    <t>DIGITTMII-002487</t>
  </si>
  <si>
    <t>DIGITTMII-004366</t>
  </si>
  <si>
    <t>DIGITTMII-001260</t>
  </si>
  <si>
    <t>DIGITTMII-002488</t>
  </si>
  <si>
    <t>DIGITTMII-004386</t>
  </si>
  <si>
    <t>DIGITTMII-001261</t>
  </si>
  <si>
    <t>DIGITTMII-002490</t>
  </si>
  <si>
    <t>DIGITTMII-004388</t>
  </si>
  <si>
    <t>DIGITTMII-001263</t>
  </si>
  <si>
    <t>DIGITTMII-002492</t>
  </si>
  <si>
    <t>DIGITTMII-004389</t>
  </si>
  <si>
    <t>DIGITTMII-001264</t>
  </si>
  <si>
    <t>DIGITTMII-002495</t>
  </si>
  <si>
    <t>DIGITTMII-004399</t>
  </si>
  <si>
    <t>DIGITTMII-001266</t>
  </si>
  <si>
    <t>DIGITTMII-002504</t>
  </si>
  <si>
    <t>DIGITTMII-004412</t>
  </si>
  <si>
    <t>DIGITTMII-001267</t>
  </si>
  <si>
    <t>DIGITTMII-002507</t>
  </si>
  <si>
    <t>DIGITTMII-004419</t>
  </si>
  <si>
    <t>DIGITTMII-001268</t>
  </si>
  <si>
    <t>DIGITTMII-002517</t>
  </si>
  <si>
    <t>DIGITTMII-004429</t>
  </si>
  <si>
    <t>DIGITTMII-001271</t>
  </si>
  <si>
    <t>DIGITTMII-002523</t>
  </si>
  <si>
    <t>DIGITTMII-004437</t>
  </si>
  <si>
    <t>DIGITTMII-001275</t>
  </si>
  <si>
    <t>DIGITTMII-002524</t>
  </si>
  <si>
    <t>DIGITTMII-004439</t>
  </si>
  <si>
    <t>DIGITTMII-001276</t>
  </si>
  <si>
    <t>DIGITTMII-002525</t>
  </si>
  <si>
    <t>DIGITTMII-004441</t>
  </si>
  <si>
    <t>DIGITTMII-001278</t>
  </si>
  <si>
    <t>DIGITTMII-002526</t>
  </si>
  <si>
    <t>DIGITTMII-004448</t>
  </si>
  <si>
    <t>DIGITTMII-001281</t>
  </si>
  <si>
    <t>DIGITTMII-002529</t>
  </si>
  <si>
    <t>DIGITTMII-004452</t>
  </si>
  <si>
    <t>DIGITTMII-001284</t>
  </si>
  <si>
    <t>DIGITTMII-002535</t>
  </si>
  <si>
    <t>DIGITTMII-004484</t>
  </si>
  <si>
    <t>DIGITTMII-001285</t>
  </si>
  <si>
    <t>DIGITTMII-002537</t>
  </si>
  <si>
    <t>DIGITTMII-004486</t>
  </si>
  <si>
    <t>DIGITTMII-001286</t>
  </si>
  <si>
    <t>DIGITTMII-002538</t>
  </si>
  <si>
    <t>DIGITTMII-004487</t>
  </si>
  <si>
    <t>DIGITTMII-001288</t>
  </si>
  <si>
    <t>DIGITTMII-002539</t>
  </si>
  <si>
    <t>DIGITTMII-004497</t>
  </si>
  <si>
    <t>DIGITTMII-001292</t>
  </si>
  <si>
    <t>DIGITTMII-002540</t>
  </si>
  <si>
    <t>DIGITTMII-004516</t>
  </si>
  <si>
    <t>DIGITTMII-001296</t>
  </si>
  <si>
    <t>DIGITTMII-002544</t>
  </si>
  <si>
    <t>DIGITTMII-004521</t>
  </si>
  <si>
    <t>DIGITTMII-001297</t>
  </si>
  <si>
    <t>DIGITTMII-002545</t>
  </si>
  <si>
    <t>DIGITTMII-004526</t>
  </si>
  <si>
    <t>DIGITTMII-001298</t>
  </si>
  <si>
    <t>DIGITTMII-002546</t>
  </si>
  <si>
    <t>DIGITTMII-004543</t>
  </si>
  <si>
    <t>DIGITTMII-001299</t>
  </si>
  <si>
    <t>DIGITTMII-002547</t>
  </si>
  <si>
    <t>DIGITTMII-004546</t>
  </si>
  <si>
    <t>DIGITTMII-001302</t>
  </si>
  <si>
    <t>DIGITTMII-002557</t>
  </si>
  <si>
    <t>DIGITTMII-004554</t>
  </si>
  <si>
    <t>DIGITTMII-001303</t>
  </si>
  <si>
    <t>DIGITTMII-002558</t>
  </si>
  <si>
    <t>DIGITTMII-004556</t>
  </si>
  <si>
    <t>DIGITTMII-001304</t>
  </si>
  <si>
    <t>DIGITTMII-002561</t>
  </si>
  <si>
    <t>DIGITTMII-004561</t>
  </si>
  <si>
    <t>DIGITTMII-001305</t>
  </si>
  <si>
    <t>DIGITTMII-002565</t>
  </si>
  <si>
    <t>DIGITTMII-004571</t>
  </si>
  <si>
    <t>DIGITTMII-001306</t>
  </si>
  <si>
    <t>DIGITTMII-002566</t>
  </si>
  <si>
    <t>DIGITTMII-004576</t>
  </si>
  <si>
    <t>DIGITTMII-001307</t>
  </si>
  <si>
    <t>DIGITTMII-002567</t>
  </si>
  <si>
    <t>DIGITTMII-004597</t>
  </si>
  <si>
    <t>DIGITTMII-001308</t>
  </si>
  <si>
    <t>DIGITTMII-002568</t>
  </si>
  <si>
    <t>DIGITTMII-004608</t>
  </si>
  <si>
    <t>DIGITTMII-001309</t>
  </si>
  <si>
    <t>DIGITTMII-002572</t>
  </si>
  <si>
    <t>DIGITTMII-004632</t>
  </si>
  <si>
    <t>DIGITTMII-001313</t>
  </si>
  <si>
    <t>DIGITTMII-002573</t>
  </si>
  <si>
    <t>DIGITTMII-004633</t>
  </si>
  <si>
    <t>DIGITTMII-001314</t>
  </si>
  <si>
    <t>DIGITTMII-002576</t>
  </si>
  <si>
    <t>DIGITTMII-004634</t>
  </si>
  <si>
    <t>DIGITTMII-001316</t>
  </si>
  <si>
    <t>DIGITTMII-002578</t>
  </si>
  <si>
    <t>DIGITTMII-004637</t>
  </si>
  <si>
    <t>DIGITTMII-001318</t>
  </si>
  <si>
    <t>DIGITTMII-002588</t>
  </si>
  <si>
    <t>DIGITTMII-004650</t>
  </si>
  <si>
    <t>DIGITTMII-001322</t>
  </si>
  <si>
    <t>DIGITTMII-002592</t>
  </si>
  <si>
    <t>DIGITTMII-004654</t>
  </si>
  <si>
    <t>DIGITTMII-001323</t>
  </si>
  <si>
    <t>DIGITTMII-002593</t>
  </si>
  <si>
    <t>DIGITTMII-004658</t>
  </si>
  <si>
    <t>DIGITTMII-001324</t>
  </si>
  <si>
    <t>DIGITTMII-002595</t>
  </si>
  <si>
    <t>DIGITTMII-004682</t>
  </si>
  <si>
    <t>DIGITTMII-001325</t>
  </si>
  <si>
    <t>DIGITTMII-002596</t>
  </si>
  <si>
    <t>DIGITTMII-004727</t>
  </si>
  <si>
    <t>DIGITTMII-001326</t>
  </si>
  <si>
    <t>DIGITTMII-002598</t>
  </si>
  <si>
    <t>DIGITTMII-004734</t>
  </si>
  <si>
    <t>DIGITTMII-001330</t>
  </si>
  <si>
    <t>DIGITTMII-002599</t>
  </si>
  <si>
    <t>DIGITTMII-004747</t>
  </si>
  <si>
    <t>DIGITTMII-001331</t>
  </si>
  <si>
    <t>DIGITTMII-002602</t>
  </si>
  <si>
    <t>DIGITTMII-004749</t>
  </si>
  <si>
    <t>DIGITTMII-001332</t>
  </si>
  <si>
    <t>DIGITTMII-002604</t>
  </si>
  <si>
    <t>DIGITTMII-004754</t>
  </si>
  <si>
    <t>DIGITTMII-001334</t>
  </si>
  <si>
    <t>DIGITTMII-002608</t>
  </si>
  <si>
    <t>DIGITTMII-004755</t>
  </si>
  <si>
    <t>DIGITTMII-001335</t>
  </si>
  <si>
    <t>DIGITTMII-002609</t>
  </si>
  <si>
    <t>DIGITTMII-004768</t>
  </si>
  <si>
    <t>DIGITTMII-001338</t>
  </si>
  <si>
    <t>DIGITTMII-002611</t>
  </si>
  <si>
    <t>DIGITTMII-004779</t>
  </si>
  <si>
    <t>DIGITTMII-001339</t>
  </si>
  <si>
    <t>DIGITTMII-002613</t>
  </si>
  <si>
    <t>DIGITTMII-004794</t>
  </si>
  <si>
    <t>DIGITTMII-001342</t>
  </si>
  <si>
    <t>DIGITTMII-002614</t>
  </si>
  <si>
    <t>DIGITTMII-004808</t>
  </si>
  <si>
    <t>DIGITTMII-001344</t>
  </si>
  <si>
    <t>DIGITTMII-002618</t>
  </si>
  <si>
    <t>DIGITTMII-004829</t>
  </si>
  <si>
    <t>DIGITTMII-001346</t>
  </si>
  <si>
    <t>DIGITTMII-002626</t>
  </si>
  <si>
    <t>DIGITTMII-004837</t>
  </si>
  <si>
    <t>DIGITTMII-001348</t>
  </si>
  <si>
    <t>DIGITTMII-002627</t>
  </si>
  <si>
    <t>DIGITTMII-004845</t>
  </si>
  <si>
    <t>DIGITTMII-001349</t>
  </si>
  <si>
    <t>DIGITTMII-002634</t>
  </si>
  <si>
    <t>DIGITTMII-004854</t>
  </si>
  <si>
    <t>DIGITTMII-001350</t>
  </si>
  <si>
    <t>DIGITTMII-002636</t>
  </si>
  <si>
    <t>DIGITTMII-004872</t>
  </si>
  <si>
    <t>DIGITTMII-001351</t>
  </si>
  <si>
    <t>DIGITTMII-002637</t>
  </si>
  <si>
    <t>DIGITTMII-004895</t>
  </si>
  <si>
    <t>DIGITTMII-001352</t>
  </si>
  <si>
    <t>DIGITTMII-002640</t>
  </si>
  <si>
    <t>DIGITTMII-004897</t>
  </si>
  <si>
    <t>DIGITTMII-001353</t>
  </si>
  <si>
    <t>DIGITTMII-002643</t>
  </si>
  <si>
    <t>DIGITTMII-004898</t>
  </si>
  <si>
    <t>DIGITTMII-001354</t>
  </si>
  <si>
    <t>DIGITTMII-002651</t>
  </si>
  <si>
    <t>DIGITTMII-004899</t>
  </si>
  <si>
    <t>DIGITTMII-001355</t>
  </si>
  <si>
    <t>DIGITTMII-002670</t>
  </si>
  <si>
    <t>DIGITTMII-004902</t>
  </si>
  <si>
    <t>DIGITTMII-001356</t>
  </si>
  <si>
    <t>DIGITTMII-002671</t>
  </si>
  <si>
    <t>DIGITTMII-004942</t>
  </si>
  <si>
    <t>DIGITTMII-001357</t>
  </si>
  <si>
    <t>DIGITTMII-002673</t>
  </si>
  <si>
    <t>DIGITTMII-004944</t>
  </si>
  <si>
    <t>DIGITTMII-001358</t>
  </si>
  <si>
    <t>DIGITTMII-002678</t>
  </si>
  <si>
    <t>DIGITTMII-004945</t>
  </si>
  <si>
    <t>DIGITTMII-001359</t>
  </si>
  <si>
    <t>DIGITTMII-002687</t>
  </si>
  <si>
    <t>DIGITTMII-004955</t>
  </si>
  <si>
    <t>DIGITTMII-001361</t>
  </si>
  <si>
    <t>DIGITTMII-002688</t>
  </si>
  <si>
    <t>DIGITTMII-004975</t>
  </si>
  <si>
    <t>DIGITTMII-001362</t>
  </si>
  <si>
    <t>DIGITTMII-002689</t>
  </si>
  <si>
    <t>DIGITTMII-001363</t>
  </si>
  <si>
    <t>DIGITTMII-002700</t>
  </si>
  <si>
    <t>DIGITTMII-001364</t>
  </si>
  <si>
    <t>DIGITTMII-002707</t>
  </si>
  <si>
    <t>DIGITTMII-001365</t>
  </si>
  <si>
    <t>DIGITTMII-002711</t>
  </si>
  <si>
    <t>DIGITTMII-001367</t>
  </si>
  <si>
    <t>DIGITTMII-002715</t>
  </si>
  <si>
    <t>DIGITTMII-001369</t>
  </si>
  <si>
    <t>DIGITTMII-002717</t>
  </si>
  <si>
    <t>DIGITTMII-001371</t>
  </si>
  <si>
    <t>DIGITTMII-002718</t>
  </si>
  <si>
    <t>DIGITTMII-001373</t>
  </si>
  <si>
    <t>DIGITTMII-002721</t>
  </si>
  <si>
    <t>DIGITTMII-001375</t>
  </si>
  <si>
    <t>DIGITTMII-002722</t>
  </si>
  <si>
    <t>DIGITTMII-001376</t>
  </si>
  <si>
    <t>DIGITTMII-002723</t>
  </si>
  <si>
    <t>DIGITTMII-001380</t>
  </si>
  <si>
    <t>DIGITTMII-002724</t>
  </si>
  <si>
    <t>DIGITTMII-001383</t>
  </si>
  <si>
    <t>DIGITTMII-002730</t>
  </si>
  <si>
    <t>DIGITTMII-001385</t>
  </si>
  <si>
    <t>DIGITTMII-002732</t>
  </si>
  <si>
    <t>DIGITTMII-001386</t>
  </si>
  <si>
    <t>DIGITTMII-002734</t>
  </si>
  <si>
    <t>DIGITTMII-001387</t>
  </si>
  <si>
    <t>DIGITTMII-002735</t>
  </si>
  <si>
    <t>DIGITTMII-001388</t>
  </si>
  <si>
    <t>DIGITTMII-002740</t>
  </si>
  <si>
    <t>DIGITTMII-001390</t>
  </si>
  <si>
    <t>DIGITTMII-002741</t>
  </si>
  <si>
    <t>DIGITTMII-001391</t>
  </si>
  <si>
    <t>DIGITTMII-002743</t>
  </si>
  <si>
    <t>DIGITTMII-001392</t>
  </si>
  <si>
    <t>DIGITTMII-002745</t>
  </si>
  <si>
    <t>DIGITTMII-001400</t>
  </si>
  <si>
    <t>DIGITTMII-002746</t>
  </si>
  <si>
    <t>DIGITTMII-001403</t>
  </si>
  <si>
    <t>DIGITTMII-002751</t>
  </si>
  <si>
    <t>DIGITTMII-001406</t>
  </si>
  <si>
    <t>DIGITTMII-002752</t>
  </si>
  <si>
    <t>DIGITTMII-001407</t>
  </si>
  <si>
    <t>DIGITTMII-002753</t>
  </si>
  <si>
    <t>DIGITTMII-001408</t>
  </si>
  <si>
    <t>DIGITTMII-002755</t>
  </si>
  <si>
    <t>DIGITTMII-001409</t>
  </si>
  <si>
    <t>DIGITTMII-002756</t>
  </si>
  <si>
    <t>DIGITTMII-001411</t>
  </si>
  <si>
    <t>DIGITTMII-002757</t>
  </si>
  <si>
    <t>DIGITTMII-001414</t>
  </si>
  <si>
    <t>DIGITTMII-002758</t>
  </si>
  <si>
    <t>DIGITTMII-001420</t>
  </si>
  <si>
    <t>DIGITTMII-002759</t>
  </si>
  <si>
    <t>DIGITTMII-001422</t>
  </si>
  <si>
    <t>DIGITTMII-002760</t>
  </si>
  <si>
    <t>DIGITTMII-001423</t>
  </si>
  <si>
    <t>DIGITTMII-002763</t>
  </si>
  <si>
    <t>DIGITTMII-001424</t>
  </si>
  <si>
    <t>DIGITTMII-002766</t>
  </si>
  <si>
    <t>DIGITTMII-001426</t>
  </si>
  <si>
    <t>DIGITTMII-002769</t>
  </si>
  <si>
    <t>DIGITTMII-001427</t>
  </si>
  <si>
    <t>DIGITTMII-002786</t>
  </si>
  <si>
    <t>DIGITTMII-001428</t>
  </si>
  <si>
    <t>DIGITTMII-002789</t>
  </si>
  <si>
    <t>DIGITTMII-001430</t>
  </si>
  <si>
    <t>DIGITTMII-002790</t>
  </si>
  <si>
    <t>DIGITTMII-001431</t>
  </si>
  <si>
    <t>DIGITTMII-002792</t>
  </si>
  <si>
    <t>DIGITTMII-001432</t>
  </si>
  <si>
    <t>DIGITTMII-002795</t>
  </si>
  <si>
    <t>DIGITTMII-001433</t>
  </si>
  <si>
    <t>DIGITTMII-002796</t>
  </si>
  <si>
    <t>DIGITTMII-001435</t>
  </si>
  <si>
    <t>DIGITTMII-002797</t>
  </si>
  <si>
    <t>DIGITTMII-001437</t>
  </si>
  <si>
    <t>DIGITTMII-002800</t>
  </si>
  <si>
    <t>DIGITTMII-001440</t>
  </si>
  <si>
    <t>DIGITTMII-002802</t>
  </si>
  <si>
    <t>DIGITTMII-001442</t>
  </si>
  <si>
    <t>DIGITTMII-002810</t>
  </si>
  <si>
    <t>DIGITTMII-001444</t>
  </si>
  <si>
    <t>DIGITTMII-002811</t>
  </si>
  <si>
    <t>DIGITTMII-001450</t>
  </si>
  <si>
    <t>DIGITTMII-002813</t>
  </si>
  <si>
    <t>DIGITTMII-001452</t>
  </si>
  <si>
    <t>DIGITTMII-002814</t>
  </si>
  <si>
    <t>DIGITTMII-001455</t>
  </si>
  <si>
    <t>DIGITTMII-002817</t>
  </si>
  <si>
    <t>DIGITTMII-001459</t>
  </si>
  <si>
    <t>DIGITTMII-002821</t>
  </si>
  <si>
    <t>DIGITTMII-001461</t>
  </si>
  <si>
    <t>DIGITTMII-002822</t>
  </si>
  <si>
    <t>DIGITTMII-001463</t>
  </si>
  <si>
    <t>DIGITTMII-002834</t>
  </si>
  <si>
    <t>DIGITTMII-001472</t>
  </si>
  <si>
    <t>DIGITTMII-002836</t>
  </si>
  <si>
    <t>DIGITTMII-001476</t>
  </si>
  <si>
    <t>DIGITTMII-002843</t>
  </si>
  <si>
    <t>DIGITTMII-001478</t>
  </si>
  <si>
    <t>DIGITTMII-002847</t>
  </si>
  <si>
    <t>DIGITTMII-001479</t>
  </si>
  <si>
    <t>DIGITTMII-002848</t>
  </si>
  <si>
    <t>DIGITTMII-001480</t>
  </si>
  <si>
    <t>DIGITTMII-002849</t>
  </si>
  <si>
    <t>DIGITTMII-001481</t>
  </si>
  <si>
    <t>DIGITTMII-002852</t>
  </si>
  <si>
    <t>DIGITTMII-001483</t>
  </si>
  <si>
    <t>DIGITTMII-002855</t>
  </si>
  <si>
    <t>DIGITTMII-001488</t>
  </si>
  <si>
    <t>DIGITTMII-002859</t>
  </si>
  <si>
    <t>DIGITTMII-001490</t>
  </si>
  <si>
    <t>DIGITTMII-002866</t>
  </si>
  <si>
    <t>DIGITTMII-001493</t>
  </si>
  <si>
    <t>DIGITTMII-002867</t>
  </si>
  <si>
    <t>DIGITTMII-001494</t>
  </si>
  <si>
    <t>DIGITTMII-002868</t>
  </si>
  <si>
    <t>DIGITTMII-001495</t>
  </si>
  <si>
    <t>DIGITTMII-002870</t>
  </si>
  <si>
    <t>DIGITTMII-001496</t>
  </si>
  <si>
    <t>DIGITTMII-002878</t>
  </si>
  <si>
    <t>DIGITTMII-001499</t>
  </si>
  <si>
    <t>DIGITTMII-002880</t>
  </si>
  <si>
    <t>DIGITTMII-001500</t>
  </si>
  <si>
    <t>DIGITTMII-002884</t>
  </si>
  <si>
    <t>DIGITTMII-001501</t>
  </si>
  <si>
    <t>DIGITTMII-002887</t>
  </si>
  <si>
    <t>DIGITTMII-001502</t>
  </si>
  <si>
    <t>DIGITTMII-002890</t>
  </si>
  <si>
    <t>DIGITTMII-001504</t>
  </si>
  <si>
    <t>DIGITTMII-002896</t>
  </si>
  <si>
    <t>DIGITTMII-001505</t>
  </si>
  <si>
    <t>DIGITTMII-002897</t>
  </si>
  <si>
    <t>DIGITTMII-001506</t>
  </si>
  <si>
    <t>DIGITTMII-002898</t>
  </si>
  <si>
    <t>DIGITTMII-001507</t>
  </si>
  <si>
    <t>DIGITTMII-002900</t>
  </si>
  <si>
    <t>DIGITTMII-001511</t>
  </si>
  <si>
    <t>DIGITTMII-002908</t>
  </si>
  <si>
    <t>DIGITTMII-001512</t>
  </si>
  <si>
    <t>DIGITTMII-002915</t>
  </si>
  <si>
    <t>DIGITTMII-001514</t>
  </si>
  <si>
    <t>DIGITTMII-002916</t>
  </si>
  <si>
    <t>DIGITTMII-001516</t>
  </si>
  <si>
    <t>DIGITTMII-002917</t>
  </si>
  <si>
    <t>DIGITTMII-001520</t>
  </si>
  <si>
    <t>DIGITTMII-002918</t>
  </si>
  <si>
    <t>DIGITTMII-001522</t>
  </si>
  <si>
    <t>DIGITTMII-002920</t>
  </si>
  <si>
    <t>DIGITTMII-001525</t>
  </si>
  <si>
    <t>DIGITTMII-002924</t>
  </si>
  <si>
    <t>DIGITTMII-001527</t>
  </si>
  <si>
    <t>DIGITTMII-002926</t>
  </si>
  <si>
    <t>DIGITTMII-001528</t>
  </si>
  <si>
    <t>DIGITTMII-002927</t>
  </si>
  <si>
    <t>DIGITTMII-001529</t>
  </si>
  <si>
    <t>DIGITTMII-002929</t>
  </si>
  <si>
    <t>DIGITTMII-001530</t>
  </si>
  <si>
    <t>DIGITTMII-002932</t>
  </si>
  <si>
    <t>DIGITTMII-001531</t>
  </si>
  <si>
    <t>DIGITTMII-002934</t>
  </si>
  <si>
    <t>DIGITTMII-001532</t>
  </si>
  <si>
    <t>DIGITTMII-002940</t>
  </si>
  <si>
    <t>DIGITTMII-001533</t>
  </si>
  <si>
    <t>DIGITTMII-002944</t>
  </si>
  <si>
    <t>DIGITTMII-001535</t>
  </si>
  <si>
    <t>DIGITTMII-002946</t>
  </si>
  <si>
    <t>DIGITTMII-001536</t>
  </si>
  <si>
    <t>DIGITTMII-002948</t>
  </si>
  <si>
    <t>DIGITTMII-001540</t>
  </si>
  <si>
    <t>DIGITTMII-002950</t>
  </si>
  <si>
    <t>DIGITTMII-001542</t>
  </si>
  <si>
    <t>DIGITTMII-002954</t>
  </si>
  <si>
    <t>DIGITTMII-001545</t>
  </si>
  <si>
    <t>DIGITTMII-002956</t>
  </si>
  <si>
    <t>DIGITTMII-001549</t>
  </si>
  <si>
    <t>DIGITTMII-002957</t>
  </si>
  <si>
    <t>DIGITTMII-001551</t>
  </si>
  <si>
    <t>DIGITTMII-002962</t>
  </si>
  <si>
    <t>DIGITTMII-001553</t>
  </si>
  <si>
    <t>DIGITTMII-002963</t>
  </si>
  <si>
    <t>DIGITTMII-001554</t>
  </si>
  <si>
    <t>DIGITTMII-002972</t>
  </si>
  <si>
    <t>DIGITTMII-001564</t>
  </si>
  <si>
    <t>DIGITTMII-002974</t>
  </si>
  <si>
    <t>DIGITTMII-001565</t>
  </si>
  <si>
    <t>DIGITTMII-002975</t>
  </si>
  <si>
    <t>DIGITTMII-001566</t>
  </si>
  <si>
    <t>DIGITTMII-002978</t>
  </si>
  <si>
    <t>DIGITTMII-001567</t>
  </si>
  <si>
    <t>DIGITTMII-002979</t>
  </si>
  <si>
    <t>DIGITTMII-001568</t>
  </si>
  <si>
    <t>DIGITTMII-002980</t>
  </si>
  <si>
    <t>DIGITTMII-001569</t>
  </si>
  <si>
    <t>DIGITTMII-002983</t>
  </si>
  <si>
    <t>DIGITTMII-001571</t>
  </si>
  <si>
    <t>DIGITTMII-002984</t>
  </si>
  <si>
    <t>DIGITTMII-001572</t>
  </si>
  <si>
    <t>DIGITTMII-002987</t>
  </si>
  <si>
    <t>DIGITTMII-001573</t>
  </si>
  <si>
    <t>DIGITTMII-002990</t>
  </si>
  <si>
    <t>DIGITTMII-001574</t>
  </si>
  <si>
    <t>DIGITTMII-002992</t>
  </si>
  <si>
    <t>DIGITTMII-001575</t>
  </si>
  <si>
    <t>DIGITTMII-002994</t>
  </si>
  <si>
    <t>DIGITTMII-001576</t>
  </si>
  <si>
    <t>DIGITTMII-002995</t>
  </si>
  <si>
    <t>DIGITTMII-001578</t>
  </si>
  <si>
    <t>DIGITTMII-002996</t>
  </si>
  <si>
    <t>DIGITTMII-001581</t>
  </si>
  <si>
    <t>DIGITTMII-002997</t>
  </si>
  <si>
    <t>DIGITTMII-001582</t>
  </si>
  <si>
    <t>DIGITTMII-002998</t>
  </si>
  <si>
    <t>DIGITTMII-001583</t>
  </si>
  <si>
    <t>DIGITTMII-003000</t>
  </si>
  <si>
    <t>DIGITTMII-001585</t>
  </si>
  <si>
    <t>DIGITTMII-003001</t>
  </si>
  <si>
    <t>DIGITTMII-001587</t>
  </si>
  <si>
    <t>DIGITTMII-003014</t>
  </si>
  <si>
    <t>DIGITTMII-001589</t>
  </si>
  <si>
    <t>DIGITTMII-003017</t>
  </si>
  <si>
    <t>DIGITTMII-001596</t>
  </si>
  <si>
    <t>DIGITTMII-003020</t>
  </si>
  <si>
    <t>DIGITTMII-001600</t>
  </si>
  <si>
    <t>DIGITTMII-003022</t>
  </si>
  <si>
    <t>DIGITTMII-001601</t>
  </si>
  <si>
    <t>DIGITTMII-003023</t>
  </si>
  <si>
    <t>DIGITTMII-001602</t>
  </si>
  <si>
    <t>DIGITTMII-003024</t>
  </si>
  <si>
    <t>DIGITTMII-001606</t>
  </si>
  <si>
    <t>DIGITTMII-003027</t>
  </si>
  <si>
    <t>DIGITTMII-001609</t>
  </si>
  <si>
    <t>DIGITTMII-003029</t>
  </si>
  <si>
    <t>DIGITTMII-001610</t>
  </si>
  <si>
    <t>DIGITTMII-003035</t>
  </si>
  <si>
    <t>DIGITTMII-001611</t>
  </si>
  <si>
    <t>DIGITTMII-003037</t>
  </si>
  <si>
    <t>DIGITTMII-001613</t>
  </si>
  <si>
    <t>DIGITTMII-003043</t>
  </si>
  <si>
    <t>DIGITTMII-001615</t>
  </si>
  <si>
    <t>DIGITTMII-003047</t>
  </si>
  <si>
    <t>DIGITTMII-001616</t>
  </si>
  <si>
    <t>DIGITTMII-003053</t>
  </si>
  <si>
    <t>DIGITTMII-001617</t>
  </si>
  <si>
    <t>DIGITTMII-003059</t>
  </si>
  <si>
    <t>DIGITTMII-001618</t>
  </si>
  <si>
    <t>DIGITTMII-003060</t>
  </si>
  <si>
    <t>DIGITTMII-001620</t>
  </si>
  <si>
    <t>DIGITTMII-003061</t>
  </si>
  <si>
    <t>DIGITTMII-001621</t>
  </si>
  <si>
    <t>DIGITTMII-003071</t>
  </si>
  <si>
    <t>DIGITTMII-001622</t>
  </si>
  <si>
    <t>DIGITTMII-003076</t>
  </si>
  <si>
    <t>DIGITTMII-001624</t>
  </si>
  <si>
    <t>DIGITTMII-003080</t>
  </si>
  <si>
    <t>DIGITTMII-001626</t>
  </si>
  <si>
    <t>DIGITTMII-003086</t>
  </si>
  <si>
    <t>DIGITTMII-001629</t>
  </si>
  <si>
    <t>DIGITTMII-003090</t>
  </si>
  <si>
    <t>DIGITTMII-001630</t>
  </si>
  <si>
    <t>DIGITTMII-003094</t>
  </si>
  <si>
    <t>DIGITTMII-001631</t>
  </si>
  <si>
    <t>DIGITTMII-003096</t>
  </si>
  <si>
    <t>DIGITTMII-001633</t>
  </si>
  <si>
    <t>DIGITTMII-003098</t>
  </si>
  <si>
    <t>DIGITTMII-001634</t>
  </si>
  <si>
    <t>DIGITTMII-003099</t>
  </si>
  <si>
    <t>DIGITTMII-001635</t>
  </si>
  <si>
    <t>DIGITTMII-003100</t>
  </si>
  <si>
    <t>DIGITTMII-001637</t>
  </si>
  <si>
    <t>DIGITTMII-003107</t>
  </si>
  <si>
    <t>DIGITTMII-001639</t>
  </si>
  <si>
    <t>DIGITTMII-003111</t>
  </si>
  <si>
    <t>DIGITTMII-001640</t>
  </si>
  <si>
    <t>DIGITTMII-003114</t>
  </si>
  <si>
    <t>DIGITTMII-001641</t>
  </si>
  <si>
    <t>DIGITTMII-003115</t>
  </si>
  <si>
    <t>DIGITTMII-001645</t>
  </si>
  <si>
    <t>DIGITTMII-003116</t>
  </si>
  <si>
    <t>DIGITTMII-001646</t>
  </si>
  <si>
    <t>DIGITTMII-003120</t>
  </si>
  <si>
    <t>DIGITTMII-001648</t>
  </si>
  <si>
    <t>DIGITTMII-003123</t>
  </si>
  <si>
    <t>DIGITTMII-001652</t>
  </si>
  <si>
    <t>DIGITTMII-003126</t>
  </si>
  <si>
    <t>DIGITTMII-001653</t>
  </si>
  <si>
    <t>DIGITTMII-003129</t>
  </si>
  <si>
    <t>DIGITTMII-001660</t>
  </si>
  <si>
    <t>DIGITTMII-003133</t>
  </si>
  <si>
    <t>DIGITTMII-001661</t>
  </si>
  <si>
    <t>DIGITTMII-003154</t>
  </si>
  <si>
    <t>DIGITTMII-001663</t>
  </si>
  <si>
    <t>DIGITTMII-003157</t>
  </si>
  <si>
    <t>DIGITTMII-001664</t>
  </si>
  <si>
    <t>DIGITTMII-003158</t>
  </si>
  <si>
    <t>DIGITTMII-001667</t>
  </si>
  <si>
    <t>DIGITTMII-003170</t>
  </si>
  <si>
    <t>DIGITTMII-001668</t>
  </si>
  <si>
    <t>DIGITTMII-003171</t>
  </si>
  <si>
    <t>DIGITTMII-001669</t>
  </si>
  <si>
    <t>DIGITTMII-003175</t>
  </si>
  <si>
    <t>DIGITTMII-001671</t>
  </si>
  <si>
    <t>DIGITTMII-003183</t>
  </si>
  <si>
    <t>DIGITTMII-001674</t>
  </si>
  <si>
    <t>DIGITTMII-003188</t>
  </si>
  <si>
    <t>DIGITTMII-001676</t>
  </si>
  <si>
    <t>DIGITTMII-003193</t>
  </si>
  <si>
    <t>DIGITTMII-001679</t>
  </si>
  <si>
    <t>DIGITTMII-003194</t>
  </si>
  <si>
    <t>DIGITTMII-001680</t>
  </si>
  <si>
    <t>DIGITTMII-003195</t>
  </si>
  <si>
    <t>DIGITTMII-001682</t>
  </si>
  <si>
    <t>DIGITTMII-003196</t>
  </si>
  <si>
    <t>DIGITTMII-001684</t>
  </si>
  <si>
    <t>DIGITTMII-003202</t>
  </si>
  <si>
    <t>DIGITTMII-001686</t>
  </si>
  <si>
    <t>DIGITTMII-003205</t>
  </si>
  <si>
    <t>DIGITTMII-001687</t>
  </si>
  <si>
    <t>DIGITTMII-003208</t>
  </si>
  <si>
    <t>DIGITTMII-001689</t>
  </si>
  <si>
    <t>DIGITTMII-003213</t>
  </si>
  <si>
    <t>DIGITTMII-001690</t>
  </si>
  <si>
    <t>DIGITTMII-003223</t>
  </si>
  <si>
    <t>DIGITTMII-001691</t>
  </si>
  <si>
    <t>DIGITTMII-003230</t>
  </si>
  <si>
    <t>DIGITTMII-001692</t>
  </si>
  <si>
    <t>DIGITTMII-003231</t>
  </si>
  <si>
    <t>DIGITTMII-001693</t>
  </si>
  <si>
    <t>DIGITTMII-003236</t>
  </si>
  <si>
    <t>DIGITTMII-001694</t>
  </si>
  <si>
    <t>DIGITTMII-003239</t>
  </si>
  <si>
    <t>DIGITTMII-001695</t>
  </si>
  <si>
    <t>DIGITTMII-003249</t>
  </si>
  <si>
    <t>DIGITTMII-001697</t>
  </si>
  <si>
    <t>DIGITTMII-003250</t>
  </si>
  <si>
    <t>DIGITTMII-001700</t>
  </si>
  <si>
    <t>DIGITTMII-003251</t>
  </si>
  <si>
    <t>DIGITTMII-001701</t>
  </si>
  <si>
    <t>DIGITTMII-003252</t>
  </si>
  <si>
    <t>DIGITTMII-001702</t>
  </si>
  <si>
    <t>DIGITTMII-003253</t>
  </si>
  <si>
    <t>DIGITTMII-001706</t>
  </si>
  <si>
    <t>DIGITTMII-003254</t>
  </si>
  <si>
    <t>DIGITTMII-001707</t>
  </si>
  <si>
    <t>DIGITTMII-003258</t>
  </si>
  <si>
    <t>DIGITTMII-001708</t>
  </si>
  <si>
    <t>DIGITTMII-003260</t>
  </si>
  <si>
    <t>DIGITTMII-001710</t>
  </si>
  <si>
    <t>DIGITTMII-003267</t>
  </si>
  <si>
    <t>DIGITTMII-001711</t>
  </si>
  <si>
    <t>DIGITTMII-003268</t>
  </si>
  <si>
    <t>DIGITTMII-001712</t>
  </si>
  <si>
    <t>DIGITTMII-003269</t>
  </si>
  <si>
    <t>DIGITTMII-001713</t>
  </si>
  <si>
    <t>DIGITTMII-003271</t>
  </si>
  <si>
    <t>DIGITTMII-001714</t>
  </si>
  <si>
    <t>DIGITTMII-003272</t>
  </si>
  <si>
    <t>DIGITTMII-001716</t>
  </si>
  <si>
    <t>DIGITTMII-003273</t>
  </si>
  <si>
    <t>DIGITTMII-001720</t>
  </si>
  <si>
    <t>DIGITTMII-003274</t>
  </si>
  <si>
    <t>DIGITTMII-001721</t>
  </si>
  <si>
    <t>DIGITTMII-003275</t>
  </si>
  <si>
    <t>DIGITTMII-001722</t>
  </si>
  <si>
    <t>DIGITTMII-003293</t>
  </si>
  <si>
    <t>DIGITTMII-001723</t>
  </si>
  <si>
    <t>DIGITTMII-003303</t>
  </si>
  <si>
    <t>DIGITTMII-001724</t>
  </si>
  <si>
    <t>DIGITTMII-003304</t>
  </si>
  <si>
    <t>DIGITTMII-001725</t>
  </si>
  <si>
    <t>DIGITTMII-003306</t>
  </si>
  <si>
    <t>DIGITTMII-001727</t>
  </si>
  <si>
    <t>DIGITTMII-003308</t>
  </si>
  <si>
    <t>DIGITTMII-001729</t>
  </si>
  <si>
    <t>DIGITTMII-003309</t>
  </si>
  <si>
    <t>DIGITTMII-001730</t>
  </si>
  <si>
    <t>DIGITTMII-003314</t>
  </si>
  <si>
    <t>DIGITTMII-001731</t>
  </si>
  <si>
    <t>DIGITTMII-003316</t>
  </si>
  <si>
    <t>DIGITTMII-001733</t>
  </si>
  <si>
    <t>DIGITTMII-003317</t>
  </si>
  <si>
    <t>DIGITTMII-001737</t>
  </si>
  <si>
    <t>DIGITTMII-003318</t>
  </si>
  <si>
    <t>DIGITTMII-001738</t>
  </si>
  <si>
    <t>DIGITTMII-003323</t>
  </si>
  <si>
    <t>DIGITTMII-001740</t>
  </si>
  <si>
    <t>DIGITTMII-003324</t>
  </si>
  <si>
    <t>DIGITTMII-001743</t>
  </si>
  <si>
    <t>DIGITTMII-003326</t>
  </si>
  <si>
    <t>DIGITTMII-001745</t>
  </si>
  <si>
    <t>DIGITTMII-003329</t>
  </si>
  <si>
    <t>DIGITTMII-001746</t>
  </si>
  <si>
    <t>DIGITTMII-003330</t>
  </si>
  <si>
    <t>DIGITTMII-001747</t>
  </si>
  <si>
    <t>DIGITTMII-003333</t>
  </si>
  <si>
    <t>DIGITTMII-001748</t>
  </si>
  <si>
    <t>DIGITTMII-003336</t>
  </si>
  <si>
    <t>DIGITTMII-001749</t>
  </si>
  <si>
    <t>DIGITTMII-003337</t>
  </si>
  <si>
    <t>DIGITTMII-001751</t>
  </si>
  <si>
    <t>DIGITTMII-003341</t>
  </si>
  <si>
    <t>DIGITTMII-001753</t>
  </si>
  <si>
    <t>DIGITTMII-003345</t>
  </si>
  <si>
    <t>DIGITTMII-001754</t>
  </si>
  <si>
    <t>DIGITTMII-003348</t>
  </si>
  <si>
    <t>DIGITTMII-001756</t>
  </si>
  <si>
    <t>DIGITTMII-003351</t>
  </si>
  <si>
    <t>DIGITTMII-001757</t>
  </si>
  <si>
    <t>DIGITTMII-003356</t>
  </si>
  <si>
    <t>DIGITTMII-001758</t>
  </si>
  <si>
    <t>DIGITTMII-003357</t>
  </si>
  <si>
    <t>DIGITTMII-001759</t>
  </si>
  <si>
    <t>DIGITTMII-003360</t>
  </si>
  <si>
    <t>DIGITTMII-001760</t>
  </si>
  <si>
    <t>DIGITTMII-003361</t>
  </si>
  <si>
    <t>DIGITTMII-001761</t>
  </si>
  <si>
    <t>DIGITTMII-003362</t>
  </si>
  <si>
    <t>DIGITTMII-001769</t>
  </si>
  <si>
    <t>DIGITTMII-003364</t>
  </si>
  <si>
    <t>DIGITTMII-001772</t>
  </si>
  <si>
    <t>DIGITTMII-003379</t>
  </si>
  <si>
    <t>DIGITTMII-001774</t>
  </si>
  <si>
    <t>DIGITTMII-003382</t>
  </si>
  <si>
    <t>DIGITTMII-001777</t>
  </si>
  <si>
    <t>DIGITTMII-003385</t>
  </si>
  <si>
    <t>DIGITTMII-001778</t>
  </si>
  <si>
    <t>DIGITTMII-003389</t>
  </si>
  <si>
    <t>DIGITTMII-001782</t>
  </si>
  <si>
    <t>DIGITTMII-003391</t>
  </si>
  <si>
    <t>DIGITTMII-001784</t>
  </si>
  <si>
    <t>DIGITTMII-003392</t>
  </si>
  <si>
    <t>DIGITTMII-001785</t>
  </si>
  <si>
    <t>DIGITTMII-003393</t>
  </si>
  <si>
    <t>DIGITTMII-001786</t>
  </si>
  <si>
    <t>DIGITTMII-003396</t>
  </si>
  <si>
    <t>DIGITTMII-001787</t>
  </si>
  <si>
    <t>DIGITTMII-003400</t>
  </si>
  <si>
    <t>DIGITTMII-001788</t>
  </si>
  <si>
    <t>DIGITTMII-003403</t>
  </si>
  <si>
    <t>DIGITTMII-001789</t>
  </si>
  <si>
    <t>DIGITTMII-003405</t>
  </si>
  <si>
    <t>DIGITTMII-001794</t>
  </si>
  <si>
    <t>DIGITTMII-003408</t>
  </si>
  <si>
    <t>DIGITTMII-001795</t>
  </si>
  <si>
    <t>DIGITTMII-003409</t>
  </si>
  <si>
    <t>DIGITTMII-001797</t>
  </si>
  <si>
    <t>DIGITTMII-003411</t>
  </si>
  <si>
    <t>DIGITTMII-001798</t>
  </si>
  <si>
    <t>DIGITTMII-003412</t>
  </si>
  <si>
    <t>DIGITTMII-001800</t>
  </si>
  <si>
    <t>DIGITTMII-003415</t>
  </si>
  <si>
    <t>DIGITTMII-001801</t>
  </si>
  <si>
    <t>DIGITTMII-003422</t>
  </si>
  <si>
    <t>DIGITTMII-001803</t>
  </si>
  <si>
    <t>DIGITTMII-003424</t>
  </si>
  <si>
    <t>DIGITTMII-001805</t>
  </si>
  <si>
    <t>DIGITTMII-003429</t>
  </si>
  <si>
    <t>DIGITTMII-001806</t>
  </si>
  <si>
    <t>DIGITTMII-003436</t>
  </si>
  <si>
    <t>DIGITTMII-001809</t>
  </si>
  <si>
    <t>DIGITTMII-003437</t>
  </si>
  <si>
    <t>DIGITTMII-001811</t>
  </si>
  <si>
    <t>DIGITTMII-003445</t>
  </si>
  <si>
    <t>DIGITTMII-001813</t>
  </si>
  <si>
    <t>DIGITTMII-003458</t>
  </si>
  <si>
    <t>DIGITTMII-001814</t>
  </si>
  <si>
    <t>DIGITTMII-003466</t>
  </si>
  <si>
    <t>DIGITTMII-001816</t>
  </si>
  <si>
    <t>DIGITTMII-003471</t>
  </si>
  <si>
    <t>DIGITTMII-001817</t>
  </si>
  <si>
    <t>DIGITTMII-003476</t>
  </si>
  <si>
    <t>DIGITTMII-001818</t>
  </si>
  <si>
    <t>DIGITTMII-003478</t>
  </si>
  <si>
    <t>DIGITTMII-001826</t>
  </si>
  <si>
    <t>DIGITTMII-003484</t>
  </si>
  <si>
    <t>DIGITTMII-001827</t>
  </si>
  <si>
    <t>DIGITTMII-003486</t>
  </si>
  <si>
    <t>DIGITTMII-001828</t>
  </si>
  <si>
    <t>DIGITTMII-003488</t>
  </si>
  <si>
    <t>DIGITTMII-001830</t>
  </si>
  <si>
    <t>DIGITTMII-003489</t>
  </si>
  <si>
    <t>DIGITTMII-001837</t>
  </si>
  <si>
    <t>DIGITTMII-003491</t>
  </si>
  <si>
    <t>DIGITTMII-001838</t>
  </si>
  <si>
    <t>DIGITTMII-003495</t>
  </si>
  <si>
    <t>DIGITTMII-001840</t>
  </si>
  <si>
    <t>DIGITTMII-003499</t>
  </si>
  <si>
    <t>DIGITTMII-001841</t>
  </si>
  <si>
    <t>DIGITTMII-003501</t>
  </si>
  <si>
    <t>DIGITTMII-001842</t>
  </si>
  <si>
    <t>DIGITTMII-003509</t>
  </si>
  <si>
    <t>DIGITTMII-001843</t>
  </si>
  <si>
    <t>DIGITTMII-003512</t>
  </si>
  <si>
    <t>DIGITTMII-001846</t>
  </si>
  <si>
    <t>DIGITTMII-003513</t>
  </si>
  <si>
    <t>DIGITTMII-001847</t>
  </si>
  <si>
    <t>DIGITTMII-003516</t>
  </si>
  <si>
    <t>DIGITTMII-001849</t>
  </si>
  <si>
    <t>DIGITTMII-003517</t>
  </si>
  <si>
    <t>DIGITTMII-001851</t>
  </si>
  <si>
    <t>DIGITTMII-003519</t>
  </si>
  <si>
    <t>DIGITTMII-001854</t>
  </si>
  <si>
    <t>DIGITTMII-003521</t>
  </si>
  <si>
    <t>DIGITTMII-001855</t>
  </si>
  <si>
    <t>DIGITTMII-003522</t>
  </si>
  <si>
    <t>DIGITTMII-001857</t>
  </si>
  <si>
    <t>DIGITTMII-003524</t>
  </si>
  <si>
    <t>DIGITTMII-001860</t>
  </si>
  <si>
    <t>DIGITTMII-003536</t>
  </si>
  <si>
    <t>DIGITTMII-001861</t>
  </si>
  <si>
    <t>DIGITTMII-003539</t>
  </si>
  <si>
    <t>DIGITTMII-001862</t>
  </si>
  <si>
    <t>DIGITTMII-003541</t>
  </si>
  <si>
    <t>DIGITTMII-001865</t>
  </si>
  <si>
    <t>DIGITTMII-003542</t>
  </si>
  <si>
    <t>DIGITTMII-001866</t>
  </si>
  <si>
    <t>DIGITTMII-003543</t>
  </si>
  <si>
    <t>DIGITTMII-001867</t>
  </si>
  <si>
    <t>DIGITTMII-003549</t>
  </si>
  <si>
    <t>DIGITTMII-001868</t>
  </si>
  <si>
    <t>DIGITTMII-003550</t>
  </si>
  <si>
    <t>DIGITTMII-001869</t>
  </si>
  <si>
    <t>DIGITTMII-003551</t>
  </si>
  <si>
    <t>DIGITTMII-001873</t>
  </si>
  <si>
    <t>DIGITTMII-003555</t>
  </si>
  <si>
    <t>DIGITTMII-001874</t>
  </si>
  <si>
    <t>DIGITTMII-003557</t>
  </si>
  <si>
    <t>DIGITTMII-001875</t>
  </si>
  <si>
    <t>DIGITTMII-003559</t>
  </si>
  <si>
    <t>DIGITTMII-001876</t>
  </si>
  <si>
    <t>DIGITTMII-003560</t>
  </si>
  <si>
    <t>DIGITTMII-001877</t>
  </si>
  <si>
    <t>DIGITTMII-003562</t>
  </si>
  <si>
    <t>DIGITTMII-001878</t>
  </si>
  <si>
    <t>DIGITTMII-003565</t>
  </si>
  <si>
    <t>DIGITTMII-001879</t>
  </si>
  <si>
    <t>DIGITTMII-003568</t>
  </si>
  <si>
    <t>DIGITTMII-001881</t>
  </si>
  <si>
    <t>DIGITTMII-003572</t>
  </si>
  <si>
    <t>DIGITTMII-001882</t>
  </si>
  <si>
    <t>DIGITTMII-003573</t>
  </si>
  <si>
    <t>DIGITTMII-001883</t>
  </si>
  <si>
    <t>DIGITTMII-003576</t>
  </si>
  <si>
    <t>DIGITTMII-001884</t>
  </si>
  <si>
    <t>DIGITTMII-003578</t>
  </si>
  <si>
    <t>DIGITTMII-001885</t>
  </si>
  <si>
    <t>DIGITTMII-003579</t>
  </si>
  <si>
    <t>DIGITTMII-001886</t>
  </si>
  <si>
    <t>DIGITTMII-003582</t>
  </si>
  <si>
    <t>DIGITTMII-001888</t>
  </si>
  <si>
    <t>DIGITTMII-003586</t>
  </si>
  <si>
    <t>DIGITTMII-001889</t>
  </si>
  <si>
    <t>DIGITTMII-003587</t>
  </si>
  <si>
    <t>DIGITTMII-001890</t>
  </si>
  <si>
    <t>DIGITTMII-003588</t>
  </si>
  <si>
    <t>DIGITTMII-001891</t>
  </si>
  <si>
    <t>DIGITTMII-003590</t>
  </si>
  <si>
    <t>DIGITTMII-001895</t>
  </si>
  <si>
    <t>DIGITTMII-003591</t>
  </si>
  <si>
    <t>DIGITTMII-001897</t>
  </si>
  <si>
    <t>DIGITTMII-003593</t>
  </si>
  <si>
    <t>DIGITTMII-001898</t>
  </si>
  <si>
    <t>DIGITTMII-003597</t>
  </si>
  <si>
    <t>DIGITTMII-001899</t>
  </si>
  <si>
    <t>DIGITTMII-003606</t>
  </si>
  <si>
    <t>DIGITTMII-001901</t>
  </si>
  <si>
    <t>DIGITTMII-003611</t>
  </si>
  <si>
    <t>DIGITTMII-001902</t>
  </si>
  <si>
    <t>DIGITTMII-003626</t>
  </si>
  <si>
    <t>DIGITTMII-001903</t>
  </si>
  <si>
    <t>DIGITTMII-003637</t>
  </si>
  <si>
    <t>DIGITTMII-001905</t>
  </si>
  <si>
    <t>DIGITTMII-003648</t>
  </si>
  <si>
    <t>DIGITTMII-001906</t>
  </si>
  <si>
    <t>DIGITTMII-003653</t>
  </si>
  <si>
    <t>DIGITTMII-001908</t>
  </si>
  <si>
    <t>DIGITTMII-003656</t>
  </si>
  <si>
    <t>DIGITTMII-001909</t>
  </si>
  <si>
    <t>DIGITTMII-003659</t>
  </si>
  <si>
    <t>DIGITTMII-001910</t>
  </si>
  <si>
    <t>DIGITTMII-003661</t>
  </si>
  <si>
    <t>DIGITTMII-001912</t>
  </si>
  <si>
    <t>DIGITTMII-003664</t>
  </si>
  <si>
    <t>DIGITTMII-001914</t>
  </si>
  <si>
    <t>DIGITTMII-003665</t>
  </si>
  <si>
    <t>DIGITTMII-001916</t>
  </si>
  <si>
    <t>DIGITTMII-003669</t>
  </si>
  <si>
    <t>DIGITTMII-001918</t>
  </si>
  <si>
    <t>DIGITTMII-003670</t>
  </si>
  <si>
    <t>DIGITTMII-001919</t>
  </si>
  <si>
    <t>DIGITTMII-003709</t>
  </si>
  <si>
    <t>DIGITTMII-001923</t>
  </si>
  <si>
    <t>DIGITTMII-003710</t>
  </si>
  <si>
    <t>DIGITTMII-001924</t>
  </si>
  <si>
    <t>DIGITTMII-003711</t>
  </si>
  <si>
    <t>DIGITTMII-001925</t>
  </si>
  <si>
    <t>DIGITTMII-003712</t>
  </si>
  <si>
    <t>DIGITTMII-001926</t>
  </si>
  <si>
    <t>DIGITTMII-003713</t>
  </si>
  <si>
    <t>DIGITTMII-001927</t>
  </si>
  <si>
    <t>DIGITTMII-003714</t>
  </si>
  <si>
    <t>DIGITTMII-001928</t>
  </si>
  <si>
    <t>DIGITTMII-003715</t>
  </si>
  <si>
    <t>DIGITTMII-001929</t>
  </si>
  <si>
    <t>DIGITTMII-003717</t>
  </si>
  <si>
    <t>DIGITTMII-001931</t>
  </si>
  <si>
    <t>DIGITTMII-003718</t>
  </si>
  <si>
    <t>DIGITTMII-001932</t>
  </si>
  <si>
    <t>DIGITTMII-003726</t>
  </si>
  <si>
    <t>DIGITTMII-001935</t>
  </si>
  <si>
    <t>DIGITTMII-003727</t>
  </si>
  <si>
    <t>DIGITTMII-001936</t>
  </si>
  <si>
    <t>DIGITTMII-003728</t>
  </si>
  <si>
    <t>DIGITTMII-001937</t>
  </si>
  <si>
    <t>DIGITTMII-003730</t>
  </si>
  <si>
    <t>DIGITTMII-001938</t>
  </si>
  <si>
    <t>DIGITTMII-003732</t>
  </si>
  <si>
    <t>DIGITTMII-001941</t>
  </si>
  <si>
    <t>DIGITTMII-003735</t>
  </si>
  <si>
    <t>DIGITTMII-001942</t>
  </si>
  <si>
    <t>DIGITTMII-003738</t>
  </si>
  <si>
    <t>DIGITTMII-001943</t>
  </si>
  <si>
    <t>DIGITTMII-003741</t>
  </si>
  <si>
    <t>DIGITTMII-001945</t>
  </si>
  <si>
    <t>DIGITTMII-003746</t>
  </si>
  <si>
    <t>DIGITTMII-001946</t>
  </si>
  <si>
    <t>DIGITTMII-003749</t>
  </si>
  <si>
    <t>DIGITTMII-001947</t>
  </si>
  <si>
    <t>DIGITTMII-003753</t>
  </si>
  <si>
    <t>DIGITTMII-001948</t>
  </si>
  <si>
    <t>DIGITTMII-003754</t>
  </si>
  <si>
    <t>DIGITTMII-001951</t>
  </si>
  <si>
    <t>DIGITTMII-003756</t>
  </si>
  <si>
    <t>DIGITTMII-001954</t>
  </si>
  <si>
    <t>DIGITTMII-003759</t>
  </si>
  <si>
    <t>DIGITTMII-001955</t>
  </si>
  <si>
    <t>DIGITTMII-003760</t>
  </si>
  <si>
    <t>DIGITTMII-001960</t>
  </si>
  <si>
    <t>DIGITTMII-003765</t>
  </si>
  <si>
    <t>DIGITTMII-001961</t>
  </si>
  <si>
    <t>DIGITTMII-003768</t>
  </si>
  <si>
    <t>DIGITTMII-001965</t>
  </si>
  <si>
    <t>DIGITTMII-003770</t>
  </si>
  <si>
    <t>DIGITTMII-001966</t>
  </si>
  <si>
    <t>DIGITTMII-003772</t>
  </si>
  <si>
    <t>DIGITTMII-001975</t>
  </si>
  <si>
    <t>DIGITTMII-003773</t>
  </si>
  <si>
    <t>DIGITTMII-001976</t>
  </si>
  <si>
    <t>DIGITTMII-003774</t>
  </si>
  <si>
    <t>DIGITTMII-001977</t>
  </si>
  <si>
    <t>DIGITTMII-003777</t>
  </si>
  <si>
    <t>DIGITTMII-001978</t>
  </si>
  <si>
    <t>DIGITTMII-003792</t>
  </si>
  <si>
    <t>DIGITTMII-001979</t>
  </si>
  <si>
    <t>DIGITTMII-003796</t>
  </si>
  <si>
    <t>DIGITTMII-001981</t>
  </si>
  <si>
    <t>DIGITTMII-003802</t>
  </si>
  <si>
    <t>DIGITTMII-001984</t>
  </si>
  <si>
    <t>DIGITTMII-003806</t>
  </si>
  <si>
    <t>DIGITTMII-001986</t>
  </si>
  <si>
    <t>DIGITTMII-003809</t>
  </si>
  <si>
    <t>DIGITTMII-001987</t>
  </si>
  <si>
    <t>DIGITTMII-003811</t>
  </si>
  <si>
    <t>DIGITTMII-001988</t>
  </si>
  <si>
    <t>DIGITTMII-003819</t>
  </si>
  <si>
    <t>DIGITTMII-001990</t>
  </si>
  <si>
    <t>DIGITTMII-003827</t>
  </si>
  <si>
    <t>DIGITTMII-001991</t>
  </si>
  <si>
    <t>DIGITTMII-003828</t>
  </si>
  <si>
    <t>DIGITTMII-001992</t>
  </si>
  <si>
    <t>DIGITTMII-003831</t>
  </si>
  <si>
    <t>DIGITTMII-001993</t>
  </si>
  <si>
    <t>DIGITTMII-003832</t>
  </si>
  <si>
    <t>DIGITTMII-001997</t>
  </si>
  <si>
    <t>DIGITTMII-003834</t>
  </si>
  <si>
    <t>DIGITTMII-002000</t>
  </si>
  <si>
    <t>DIGITTMII-003835</t>
  </si>
  <si>
    <t>DIGITTMII-002002</t>
  </si>
  <si>
    <t>DIGITTMII-003836</t>
  </si>
  <si>
    <t>DIGITTMII-002003</t>
  </si>
  <si>
    <t>DIGITTMII-003838</t>
  </si>
  <si>
    <t>DIGITTMII-002005</t>
  </si>
  <si>
    <t>DIGITTMII-003840</t>
  </si>
  <si>
    <t>DIGITTMII-002007</t>
  </si>
  <si>
    <t>DIGITTMII-003841</t>
  </si>
  <si>
    <t>DIGITTMII-002008</t>
  </si>
  <si>
    <t>DIGITTMII-003843</t>
  </si>
  <si>
    <t>DIGITTMII-002012</t>
  </si>
  <si>
    <t>DIGITTMII-003845</t>
  </si>
  <si>
    <t>DIGITTMII-002017</t>
  </si>
  <si>
    <t>DIGITTMII-003846</t>
  </si>
  <si>
    <t>DIGITTMII-002025</t>
  </si>
  <si>
    <t>DIGITTMII-003854</t>
  </si>
  <si>
    <t>DIGITTMII-002026</t>
  </si>
  <si>
    <t>DIGITTMII-003856</t>
  </si>
  <si>
    <t>DIGITTMII-002027</t>
  </si>
  <si>
    <t>DIGITTMII-003857</t>
  </si>
  <si>
    <t>DIGITTMII-002028</t>
  </si>
  <si>
    <t>DIGITTMII-003859</t>
  </si>
  <si>
    <t>DIGITTMII-002030</t>
  </si>
  <si>
    <t>DIGITTMII-003861</t>
  </si>
  <si>
    <t>DIGITTMII-002036</t>
  </si>
  <si>
    <t>DIGITTMII-003862</t>
  </si>
  <si>
    <t>DIGITTMII-002038</t>
  </si>
  <si>
    <t>DIGITTMII-003863</t>
  </si>
  <si>
    <t>DIGITTMII-002044</t>
  </si>
  <si>
    <t>DIGITTMII-003866</t>
  </si>
  <si>
    <t>DIGITTMII-002047</t>
  </si>
  <si>
    <t>DIGITTMII-003867</t>
  </si>
  <si>
    <t>DIGITTMII-002049</t>
  </si>
  <si>
    <t>DIGITTMII-003868</t>
  </si>
  <si>
    <t>DIGITTMII-002051</t>
  </si>
  <si>
    <t>DIGITTMII-003869</t>
  </si>
  <si>
    <t>DIGITTMII-002053</t>
  </si>
  <si>
    <t>DIGITTMII-003871</t>
  </si>
  <si>
    <t>DIGITTMII-002056</t>
  </si>
  <si>
    <t>DIGITTMII-003874</t>
  </si>
  <si>
    <t>DIGITTMII-002057</t>
  </si>
  <si>
    <t>DIGITTMII-003880</t>
  </si>
  <si>
    <t>DIGITTMII-002061</t>
  </si>
  <si>
    <t>DIGITTMII-003882</t>
  </si>
  <si>
    <t>DIGITTMII-002063</t>
  </si>
  <si>
    <t>DIGITTMII-003884</t>
  </si>
  <si>
    <t>DIGITTMII-002064</t>
  </si>
  <si>
    <t>DIGITTMII-003887</t>
  </si>
  <si>
    <t>DIGITTMII-002065</t>
  </si>
  <si>
    <t>DIGITTMII-003889</t>
  </si>
  <si>
    <t>DIGITTMII-002066</t>
  </si>
  <si>
    <t>DIGITTMII-003893</t>
  </si>
  <si>
    <t>DIGITTMII-002068</t>
  </si>
  <si>
    <t>DIGITTMII-003897</t>
  </si>
  <si>
    <t>DIGITTMII-002069</t>
  </si>
  <si>
    <t>DIGITTMII-003914</t>
  </si>
  <si>
    <t>DIGITTMII-002071</t>
  </si>
  <si>
    <t>DIGITTMII-003915</t>
  </si>
  <si>
    <t>DIGITTMII-002073</t>
  </si>
  <si>
    <t>DIGITTMII-003916</t>
  </si>
  <si>
    <t>DIGITTMII-002074</t>
  </si>
  <si>
    <t>DIGITTMII-003919</t>
  </si>
  <si>
    <t>DIGITTMII-002075</t>
  </si>
  <si>
    <t>DIGITTMII-003923</t>
  </si>
  <si>
    <t>DIGITTMII-002076</t>
  </si>
  <si>
    <t>DIGITTMII-003925</t>
  </si>
  <si>
    <t>DIGITTMII-002078</t>
  </si>
  <si>
    <t>DIGITTMII-003926</t>
  </si>
  <si>
    <t>DIGITTMII-002082</t>
  </si>
  <si>
    <t>DIGITTMII-003934</t>
  </si>
  <si>
    <t>DIGITTMII-002083</t>
  </si>
  <si>
    <t>DIGITTMII-003935</t>
  </si>
  <si>
    <t>DIGITTMII-002086</t>
  </si>
  <si>
    <t>DIGITTMII-003941</t>
  </si>
  <si>
    <t>DIGITTMII-002087</t>
  </si>
  <si>
    <t>DIGITTMII-003942</t>
  </si>
  <si>
    <t>DIGITTMII-002088</t>
  </si>
  <si>
    <t>DIGITTMII-003947</t>
  </si>
  <si>
    <t>DIGITTMII-002089</t>
  </si>
  <si>
    <t>DIGITTMII-003949</t>
  </si>
  <si>
    <t>DIGITTMII-002090</t>
  </si>
  <si>
    <t>DIGITTMII-003958</t>
  </si>
  <si>
    <t>DIGITTMII-002091</t>
  </si>
  <si>
    <t>DIGITTMII-003960</t>
  </si>
  <si>
    <t>DIGITTMII-002093</t>
  </si>
  <si>
    <t>DIGITTMII-003964</t>
  </si>
  <si>
    <t>DIGITTMII-002096</t>
  </si>
  <si>
    <t>DIGITTMII-003965</t>
  </si>
  <si>
    <t>DIGITTMII-002097</t>
  </si>
  <si>
    <t>DIGITTMII-003968</t>
  </si>
  <si>
    <t>DIGITTMII-002098</t>
  </si>
  <si>
    <t>DIGITTMII-003972</t>
  </si>
  <si>
    <t>DIGITTMII-002100</t>
  </si>
  <si>
    <t>DIGITTMII-003973</t>
  </si>
  <si>
    <t>DIGITTMII-002101</t>
  </si>
  <si>
    <t>DIGITTMII-003974</t>
  </si>
  <si>
    <t>DIGITTMII-002102</t>
  </si>
  <si>
    <t>DIGITTMII-003978</t>
  </si>
  <si>
    <t>DIGITTMII-002103</t>
  </si>
  <si>
    <t>DIGITTMII-003979</t>
  </si>
  <si>
    <t>DIGITTMII-002104</t>
  </si>
  <si>
    <t>DIGITTMII-003983</t>
  </si>
  <si>
    <t>DIGITTMII-002105</t>
  </si>
  <si>
    <t>DIGITTMII-003988</t>
  </si>
  <si>
    <t>DIGITTMII-002108</t>
  </si>
  <si>
    <t>DIGITTMII-003994</t>
  </si>
  <si>
    <t>DIGITTMII-002110</t>
  </si>
  <si>
    <t>DIGITTMII-003996</t>
  </si>
  <si>
    <t>DIGITTMII-002113</t>
  </si>
  <si>
    <t>DIGITTMII-003997</t>
  </si>
  <si>
    <t>DIGITTMII-002114</t>
  </si>
  <si>
    <t>DIGITTMII-003998</t>
  </si>
  <si>
    <t>DIGITTMII-002115</t>
  </si>
  <si>
    <t>DIGITTMII-004000</t>
  </si>
  <si>
    <t>DIGITTMII-002116</t>
  </si>
  <si>
    <t>DIGITTMII-004001</t>
  </si>
  <si>
    <t>DIGITTMII-002117</t>
  </si>
  <si>
    <t>DIGITTMII-004014</t>
  </si>
  <si>
    <t>DIGITTMII-002119</t>
  </si>
  <si>
    <t>DIGITTMII-004015</t>
  </si>
  <si>
    <t>DIGITTMII-002121</t>
  </si>
  <si>
    <t>DIGITTMII-004016</t>
  </si>
  <si>
    <t>DIGITTMII-002123</t>
  </si>
  <si>
    <t>DIGITTMII-004023</t>
  </si>
  <si>
    <t>DIGITTMII-002124</t>
  </si>
  <si>
    <t>DIGITTMII-004033</t>
  </si>
  <si>
    <t>DIGITTMII-002125</t>
  </si>
  <si>
    <t>DIGITTMII-004041</t>
  </si>
  <si>
    <t>DIGITTMII-002126</t>
  </si>
  <si>
    <t>DIGITTMII-004048</t>
  </si>
  <si>
    <t>DIGITTMII-002128</t>
  </si>
  <si>
    <t>DIGITTMII-004051</t>
  </si>
  <si>
    <t>DIGITTMII-002130</t>
  </si>
  <si>
    <t>DIGITTMII-004052</t>
  </si>
  <si>
    <t>DIGITTMII-002132</t>
  </si>
  <si>
    <t>DIGITTMII-004057</t>
  </si>
  <si>
    <t>DIGITTMII-002133</t>
  </si>
  <si>
    <t>DIGITTMII-004059</t>
  </si>
  <si>
    <t>DIGITTMII-002134</t>
  </si>
  <si>
    <t>DIGITTMII-004061</t>
  </si>
  <si>
    <t>DIGITTMII-002137</t>
  </si>
  <si>
    <t>DIGITTMII-004065</t>
  </si>
  <si>
    <t>DIGITTMII-002140</t>
  </si>
  <si>
    <t>DIGITTMII-004067</t>
  </si>
  <si>
    <t>DIGITTMII-002141</t>
  </si>
  <si>
    <t>DIGITTMII-004071</t>
  </si>
  <si>
    <t>DIGITTMII-002144</t>
  </si>
  <si>
    <t>DIGITTMII-004074</t>
  </si>
  <si>
    <t>DIGITTMII-002145</t>
  </si>
  <si>
    <t>DIGITTMII-004084</t>
  </si>
  <si>
    <t>DIGITTMII-002151</t>
  </si>
  <si>
    <t>DIGITTMII-004085</t>
  </si>
  <si>
    <t>DIGITTMII-002152</t>
  </si>
  <si>
    <t>DIGITTMII-004090</t>
  </si>
  <si>
    <t>DIGITTMII-002153</t>
  </si>
  <si>
    <t>DIGITTMII-004092</t>
  </si>
  <si>
    <t>DIGITTMII-002155</t>
  </si>
  <si>
    <t>DIGITTMII-004095</t>
  </si>
  <si>
    <t>DIGITTMII-002157</t>
  </si>
  <si>
    <t>DIGITTMII-004099</t>
  </si>
  <si>
    <t>DIGITTMII-002159</t>
  </si>
  <si>
    <t>DIGITTMII-004105</t>
  </si>
  <si>
    <t>DIGITTMII-002160</t>
  </si>
  <si>
    <t>DIGITTMII-004106</t>
  </si>
  <si>
    <t>DIGITTMII-002162</t>
  </si>
  <si>
    <t>DIGITTMII-004107</t>
  </si>
  <si>
    <t>DIGITTMII-002164</t>
  </si>
  <si>
    <t>DIGITTMII-004114</t>
  </si>
  <si>
    <t>DIGITTMII-002166</t>
  </si>
  <si>
    <t>DIGITTMII-004118</t>
  </si>
  <si>
    <t>DIGITTMII-002167</t>
  </si>
  <si>
    <t>DIGITTMII-004126</t>
  </si>
  <si>
    <t>DIGITTMII-002168</t>
  </si>
  <si>
    <t>DIGITTMII-004127</t>
  </si>
  <si>
    <t>DIGITTMII-002169</t>
  </si>
  <si>
    <t>DIGITTMII-004128</t>
  </si>
  <si>
    <t>DIGITTMII-002175</t>
  </si>
  <si>
    <t>DIGITTMII-004133</t>
  </si>
  <si>
    <t>DIGITTMII-002176</t>
  </si>
  <si>
    <t>DIGITTMII-004134</t>
  </si>
  <si>
    <t>DIGITTMII-002178</t>
  </si>
  <si>
    <t>DIGITTMII-004135</t>
  </si>
  <si>
    <t>DIGITTMII-002179</t>
  </si>
  <si>
    <t>DIGITTMII-004137</t>
  </si>
  <si>
    <t>DIGITTMII-002181</t>
  </si>
  <si>
    <t>DIGITTMII-004138</t>
  </si>
  <si>
    <t>DIGITTMII-002183</t>
  </si>
  <si>
    <t>DIGITTMII-004142</t>
  </si>
  <si>
    <t>DIGITTMII-002188</t>
  </si>
  <si>
    <t>DIGITTMII-004155</t>
  </si>
  <si>
    <t>DIGITTMII-002189</t>
  </si>
  <si>
    <t>DIGITTMII-004156</t>
  </si>
  <si>
    <t>DIGITTMII-002191</t>
  </si>
  <si>
    <t>DIGITTMII-004157</t>
  </si>
  <si>
    <t>DIGITTMII-002195</t>
  </si>
  <si>
    <t>DIGITTMII-004159</t>
  </si>
  <si>
    <t>DIGITTMII-002196</t>
  </si>
  <si>
    <t>DIGITTMII-004161</t>
  </si>
  <si>
    <t>DIGITTMII-002198</t>
  </si>
  <si>
    <t>DIGITTMII-004162</t>
  </si>
  <si>
    <t>DIGITTMII-002199</t>
  </si>
  <si>
    <t>DIGITTMII-004163</t>
  </si>
  <si>
    <t>DIGITTMII-002200</t>
  </si>
  <si>
    <t>DIGITTMII-004164</t>
  </si>
  <si>
    <t>DIGITTMII-002202</t>
  </si>
  <si>
    <t>DIGITTMII-004166</t>
  </si>
  <si>
    <t>DIGITTMII-002203</t>
  </si>
  <si>
    <t>DIGITTMII-004168</t>
  </si>
  <si>
    <t>DIGITTMII-002204</t>
  </si>
  <si>
    <t>DIGITTMII-004169</t>
  </si>
  <si>
    <t>DIGITTMII-002205</t>
  </si>
  <si>
    <t>DIGITTMII-004171</t>
  </si>
  <si>
    <t>DIGITTMII-002208</t>
  </si>
  <si>
    <t>DIGITTMII-004176</t>
  </si>
  <si>
    <t>DIGITTMII-002209</t>
  </si>
  <si>
    <t>DIGITTMII-004178</t>
  </si>
  <si>
    <t>DIGITTMII-002211</t>
  </si>
  <si>
    <t>DIGITTMII-004182</t>
  </si>
  <si>
    <t>DIGITTMII-002212</t>
  </si>
  <si>
    <t>DIGITTMII-004183</t>
  </si>
  <si>
    <t>DIGITTMII-002217</t>
  </si>
  <si>
    <t>DIGITTMII-004184</t>
  </si>
  <si>
    <t>DIGITTMII-002219</t>
  </si>
  <si>
    <t>DIGITTMII-004188</t>
  </si>
  <si>
    <t>DIGITTMII-002221</t>
  </si>
  <si>
    <t>DIGITTMII-004189</t>
  </si>
  <si>
    <t>DIGITTMII-002224</t>
  </si>
  <si>
    <t>DIGITTMII-004191</t>
  </si>
  <si>
    <t>DIGITTMII-002226</t>
  </si>
  <si>
    <t>DIGITTMII-004194</t>
  </si>
  <si>
    <t>DIGITTMII-002228</t>
  </si>
  <si>
    <t>DIGITTMII-004195</t>
  </si>
  <si>
    <t>DIGITTMII-002231</t>
  </si>
  <si>
    <t>DIGITTMII-004196</t>
  </si>
  <si>
    <t>DIGITTMII-002234</t>
  </si>
  <si>
    <t>DIGITTMII-004199</t>
  </si>
  <si>
    <t>DIGITTMII-002235</t>
  </si>
  <si>
    <t>DIGITTMII-004226</t>
  </si>
  <si>
    <t>DIGITTMII-002236</t>
  </si>
  <si>
    <t>DIGITTMII-004228</t>
  </si>
  <si>
    <t>DIGITTMII-002243</t>
  </si>
  <si>
    <t>DIGITTMII-004230</t>
  </si>
  <si>
    <t>DIGITTMII-002244</t>
  </si>
  <si>
    <t>DIGITTMII-004231</t>
  </si>
  <si>
    <t>DIGITTMII-002245</t>
  </si>
  <si>
    <t>DIGITTMII-004232</t>
  </si>
  <si>
    <t>DIGITTMII-002246</t>
  </si>
  <si>
    <t>DIGITTMII-004234</t>
  </si>
  <si>
    <t>DIGITTMII-002252</t>
  </si>
  <si>
    <t>DIGITTMII-004235</t>
  </si>
  <si>
    <t>DIGITTMII-002257</t>
  </si>
  <si>
    <t>DIGITTMII-004236</t>
  </si>
  <si>
    <t>DIGITTMII-002258</t>
  </si>
  <si>
    <t>DIGITTMII-004237</t>
  </si>
  <si>
    <t>DIGITTMII-002261</t>
  </si>
  <si>
    <t>DIGITTMII-004238</t>
  </si>
  <si>
    <t>DIGITTMII-002263</t>
  </si>
  <si>
    <t>DIGITTMII-004239</t>
  </si>
  <si>
    <t>DIGITTMII-002264</t>
  </si>
  <si>
    <t>DIGITTMII-004240</t>
  </si>
  <si>
    <t>DIGITTMII-002265</t>
  </si>
  <si>
    <t>DIGITTMII-004242</t>
  </si>
  <si>
    <t>DIGITTMII-002266</t>
  </si>
  <si>
    <t>DIGITTMII-004244</t>
  </si>
  <si>
    <t>DIGITTMII-002274</t>
  </si>
  <si>
    <t>DIGITTMII-004247</t>
  </si>
  <si>
    <t>DIGITTMII-002276</t>
  </si>
  <si>
    <t>DIGITTMII-004248</t>
  </si>
  <si>
    <t>DIGITTMII-002278</t>
  </si>
  <si>
    <t>DIGITTMII-004250</t>
  </si>
  <si>
    <t>DIGITTMII-002281</t>
  </si>
  <si>
    <t>DIGITTMII-004254</t>
  </si>
  <si>
    <t>DIGITTMII-002283</t>
  </si>
  <si>
    <t>DIGITTMII-004255</t>
  </si>
  <si>
    <t>DIGITTMII-002284</t>
  </si>
  <si>
    <t>DIGITTMII-004256</t>
  </si>
  <si>
    <t>DIGITTMII-002285</t>
  </si>
  <si>
    <t>DIGITTMII-004259</t>
  </si>
  <si>
    <t>DIGITTMII-002286</t>
  </si>
  <si>
    <t>DIGITTMII-004260</t>
  </si>
  <si>
    <t>DIGITTMII-002287</t>
  </si>
  <si>
    <t>DIGITTMII-004261</t>
  </si>
  <si>
    <t>DIGITTMII-002289</t>
  </si>
  <si>
    <t>DIGITTMII-004263</t>
  </si>
  <si>
    <t>DIGITTMII-002290</t>
  </si>
  <si>
    <t>DIGITTMII-004268</t>
  </si>
  <si>
    <t>DIGITTMII-002291</t>
  </si>
  <si>
    <t>DIGITTMII-004270</t>
  </si>
  <si>
    <t>DIGITTMII-002292</t>
  </si>
  <si>
    <t>DIGITTMII-004274</t>
  </si>
  <si>
    <t>DIGITTMII-002294</t>
  </si>
  <si>
    <t>DIGITTMII-004276</t>
  </si>
  <si>
    <t>DIGITTMII-002295</t>
  </si>
  <si>
    <t>DIGITTMII-004279</t>
  </si>
  <si>
    <t>DIGITTMII-002296</t>
  </si>
  <si>
    <t>DIGITTMII-004283</t>
  </si>
  <si>
    <t>DIGITTMII-002298</t>
  </si>
  <si>
    <t>DIGITTMII-004288</t>
  </si>
  <si>
    <t>DIGITTMII-002300</t>
  </si>
  <si>
    <t>DIGITTMII-004289</t>
  </si>
  <si>
    <t>DIGITTMII-002304</t>
  </si>
  <si>
    <t>DIGITTMII-004299</t>
  </si>
  <si>
    <t>DIGITTMII-002305</t>
  </si>
  <si>
    <t>DIGITTMII-004303</t>
  </si>
  <si>
    <t>DIGITTMII-002306</t>
  </si>
  <si>
    <t>DIGITTMII-004305</t>
  </si>
  <si>
    <t>DIGITTMII-002307</t>
  </si>
  <si>
    <t>DIGITTMII-004318</t>
  </si>
  <si>
    <t>DIGITTMII-002308</t>
  </si>
  <si>
    <t>DIGITTMII-004320</t>
  </si>
  <si>
    <t>DIGITTMII-002312</t>
  </si>
  <si>
    <t>DIGITTMII-004330</t>
  </si>
  <si>
    <t>DIGITTMII-002315</t>
  </si>
  <si>
    <t>DIGITTMII-004333</t>
  </si>
  <si>
    <t>DIGITTMII-002316</t>
  </si>
  <si>
    <t>DIGITTMII-004334</t>
  </si>
  <si>
    <t>DIGITTMII-002317</t>
  </si>
  <si>
    <t>DIGITTMII-004336</t>
  </si>
  <si>
    <t>DIGITTMII-002318</t>
  </si>
  <si>
    <t>DIGITTMII-004337</t>
  </si>
  <si>
    <t>DIGITTMII-002319</t>
  </si>
  <si>
    <t>DIGITTMII-004338</t>
  </si>
  <si>
    <t>DIGITTMII-002320</t>
  </si>
  <si>
    <t>DIGITTMII-004339</t>
  </si>
  <si>
    <t>DIGITTMII-002322</t>
  </si>
  <si>
    <t>DIGITTMII-004340</t>
  </si>
  <si>
    <t>DIGITTMII-002325</t>
  </si>
  <si>
    <t>DIGITTMII-004343</t>
  </si>
  <si>
    <t>DIGITTMII-002326</t>
  </si>
  <si>
    <t>DIGITTMII-004344</t>
  </si>
  <si>
    <t>DIGITTMII-002328</t>
  </si>
  <si>
    <t>DIGITTMII-004347</t>
  </si>
  <si>
    <t>DIGITTMII-002330</t>
  </si>
  <si>
    <t>DIGITTMII-004348</t>
  </si>
  <si>
    <t>DIGITTMII-002332</t>
  </si>
  <si>
    <t>DIGITTMII-004358</t>
  </si>
  <si>
    <t>DIGITTMII-002333</t>
  </si>
  <si>
    <t>DIGITTMII-004360</t>
  </si>
  <si>
    <t>DIGITTMII-002335</t>
  </si>
  <si>
    <t>DIGITTMII-004370</t>
  </si>
  <si>
    <t>DIGITTMII-002336</t>
  </si>
  <si>
    <t>DIGITTMII-004372</t>
  </si>
  <si>
    <t>DIGITTMII-002339</t>
  </si>
  <si>
    <t>DIGITTMII-004373</t>
  </si>
  <si>
    <t>DIGITTMII-002340</t>
  </si>
  <si>
    <t>DIGITTMII-004377</t>
  </si>
  <si>
    <t>DIGITTMII-002343</t>
  </si>
  <si>
    <t>DIGITTMII-004380</t>
  </si>
  <si>
    <t>DIGITTMII-002344</t>
  </si>
  <si>
    <t>DIGITTMII-004382</t>
  </si>
  <si>
    <t>DIGITTMII-002347</t>
  </si>
  <si>
    <t>DIGITTMII-004383</t>
  </si>
  <si>
    <t>DIGITTMII-002348</t>
  </si>
  <si>
    <t>DIGITTMII-004384</t>
  </si>
  <si>
    <t>DIGITTMII-002349</t>
  </si>
  <si>
    <t>DIGITTMII-004387</t>
  </si>
  <si>
    <t>DIGITTMII-002356</t>
  </si>
  <si>
    <t>DIGITTMII-004392</t>
  </si>
  <si>
    <t>DIGITTMII-002357</t>
  </si>
  <si>
    <t>DIGITTMII-004395</t>
  </si>
  <si>
    <t>DIGITTMII-002358</t>
  </si>
  <si>
    <t>DIGITTMII-004406</t>
  </si>
  <si>
    <t>DIGITTMII-002360</t>
  </si>
  <si>
    <t>DIGITTMII-004407</t>
  </si>
  <si>
    <t>DIGITTMII-002365</t>
  </si>
  <si>
    <t>DIGITTMII-004411</t>
  </si>
  <si>
    <t>DIGITTMII-002368</t>
  </si>
  <si>
    <t>DIGITTMII-004422</t>
  </si>
  <si>
    <t>DIGITTMII-002370</t>
  </si>
  <si>
    <t>DIGITTMII-004424</t>
  </si>
  <si>
    <t>DIGITTMII-002377</t>
  </si>
  <si>
    <t>DIGITTMII-004433</t>
  </si>
  <si>
    <t>DIGITTMII-002378</t>
  </si>
  <si>
    <t>DIGITTMII-004435</t>
  </si>
  <si>
    <t>DIGITTMII-002380</t>
  </si>
  <si>
    <t>DIGITTMII-004438</t>
  </si>
  <si>
    <t>DIGITTMII-002382</t>
  </si>
  <si>
    <t>DIGITTMII-004445</t>
  </si>
  <si>
    <t>DIGITTMII-002386</t>
  </si>
  <si>
    <t>DIGITTMII-004446</t>
  </si>
  <si>
    <t>DIGITTMII-002388</t>
  </si>
  <si>
    <t>DIGITTMII-004447</t>
  </si>
  <si>
    <t>DIGITTMII-002389</t>
  </si>
  <si>
    <t>DIGITTMII-004450</t>
  </si>
  <si>
    <t>DIGITTMII-002390</t>
  </si>
  <si>
    <t>DIGITTMII-004451</t>
  </si>
  <si>
    <t>DIGITTMII-002393</t>
  </si>
  <si>
    <t>DIGITTMII-004453</t>
  </si>
  <si>
    <t>DIGITTMII-002394</t>
  </si>
  <si>
    <t>DIGITTMII-004454</t>
  </si>
  <si>
    <t>DIGITTMII-002397</t>
  </si>
  <si>
    <t>DIGITTMII-004455</t>
  </si>
  <si>
    <t>DIGITTMII-002400</t>
  </si>
  <si>
    <t>DIGITTMII-004456</t>
  </si>
  <si>
    <t>DIGITTMII-002401</t>
  </si>
  <si>
    <t>DIGITTMII-004457</t>
  </si>
  <si>
    <t>DIGITTMII-002402</t>
  </si>
  <si>
    <t>DIGITTMII-004458</t>
  </si>
  <si>
    <t>DIGITTMII-002403</t>
  </si>
  <si>
    <t>DIGITTMII-004459</t>
  </si>
  <si>
    <t>DIGITTMII-002409</t>
  </si>
  <si>
    <t>DIGITTMII-004463</t>
  </si>
  <si>
    <t>DIGITTMII-002410</t>
  </si>
  <si>
    <t>DIGITTMII-004464</t>
  </si>
  <si>
    <t>DIGITTMII-002412</t>
  </si>
  <si>
    <t>DIGITTMII-004469</t>
  </si>
  <si>
    <t>DIGITTMII-002416</t>
  </si>
  <si>
    <t>DIGITTMII-004476</t>
  </si>
  <si>
    <t>DIGITTMII-002417</t>
  </si>
  <si>
    <t>DIGITTMII-004478</t>
  </si>
  <si>
    <t>DIGITTMII-002419</t>
  </si>
  <si>
    <t>DIGITTMII-004479</t>
  </si>
  <si>
    <t>DIGITTMII-002422</t>
  </si>
  <si>
    <t>DIGITTMII-004481</t>
  </si>
  <si>
    <t>DIGITTMII-002423</t>
  </si>
  <si>
    <t>DIGITTMII-004483</t>
  </si>
  <si>
    <t>DIGITTMII-002424</t>
  </si>
  <si>
    <t>DIGITTMII-004485</t>
  </si>
  <si>
    <t>DIGITTMII-002425</t>
  </si>
  <si>
    <t>DIGITTMII-004491</t>
  </si>
  <si>
    <t>DIGITTMII-002426</t>
  </si>
  <si>
    <t>DIGITTMII-004495</t>
  </si>
  <si>
    <t>DIGITTMII-002434</t>
  </si>
  <si>
    <t>DIGITTMII-004496</t>
  </si>
  <si>
    <t>DIGITTMII-002437</t>
  </si>
  <si>
    <t>DIGITTMII-004500</t>
  </si>
  <si>
    <t>DIGITTMII-002439</t>
  </si>
  <si>
    <t>DIGITTMII-004505</t>
  </si>
  <si>
    <t>DIGITTMII-002440</t>
  </si>
  <si>
    <t>DIGITTMII-004506</t>
  </si>
  <si>
    <t>DIGITTMII-002441</t>
  </si>
  <si>
    <t>DIGITTMII-004511</t>
  </si>
  <si>
    <t>DIGITTMII-002442</t>
  </si>
  <si>
    <t>DIGITTMII-004513</t>
  </si>
  <si>
    <t>DIGITTMII-002444</t>
  </si>
  <si>
    <t>DIGITTMII-004515</t>
  </si>
  <si>
    <t>DIGITTMII-002446</t>
  </si>
  <si>
    <t>DIGITTMII-004525</t>
  </si>
  <si>
    <t>DIGITTMII-002447</t>
  </si>
  <si>
    <t>DIGITTMII-004530</t>
  </si>
  <si>
    <t>DIGITTMII-002450</t>
  </si>
  <si>
    <t>DIGITTMII-004536</t>
  </si>
  <si>
    <t>DIGITTMII-002453</t>
  </si>
  <si>
    <t>DIGITTMII-004540</t>
  </si>
  <si>
    <t>DIGITTMII-002454</t>
  </si>
  <si>
    <t>DIGITTMII-004544</t>
  </si>
  <si>
    <t>DIGITTMII-002462</t>
  </si>
  <si>
    <t>DIGITTMII-004547</t>
  </si>
  <si>
    <t>DIGITTMII-002463</t>
  </si>
  <si>
    <t>DIGITTMII-004548</t>
  </si>
  <si>
    <t>DIGITTMII-002464</t>
  </si>
  <si>
    <t>DIGITTMII-004549</t>
  </si>
  <si>
    <t>DIGITTMII-002465</t>
  </si>
  <si>
    <t>DIGITTMII-004552</t>
  </si>
  <si>
    <t>DIGITTMII-002466</t>
  </si>
  <si>
    <t>DIGITTMII-004553</t>
  </si>
  <si>
    <t>DIGITTMII-002468</t>
  </si>
  <si>
    <t>DIGITTMII-004565</t>
  </si>
  <si>
    <t>DIGITTMII-002470</t>
  </si>
  <si>
    <t>DIGITTMII-004573</t>
  </si>
  <si>
    <t>DIGITTMII-002471</t>
  </si>
  <si>
    <t>DIGITTMII-004584</t>
  </si>
  <si>
    <t>DIGITTMII-002472</t>
  </si>
  <si>
    <t>DIGITTMII-004586</t>
  </si>
  <si>
    <t>DIGITTMII-002473</t>
  </si>
  <si>
    <t>DIGITTMII-004587</t>
  </si>
  <si>
    <t>DIGITTMII-002475</t>
  </si>
  <si>
    <t>DIGITTMII-004588</t>
  </si>
  <si>
    <t>DIGITTMII-002476</t>
  </si>
  <si>
    <t>DIGITTMII-004595</t>
  </si>
  <si>
    <t>DIGITTMII-002477</t>
  </si>
  <si>
    <t>DIGITTMII-004598</t>
  </si>
  <si>
    <t>DIGITTMII-002489</t>
  </si>
  <si>
    <t>DIGITTMII-004599</t>
  </si>
  <si>
    <t>DIGITTMII-002491</t>
  </si>
  <si>
    <t>DIGITTMII-004601</t>
  </si>
  <si>
    <t>DIGITTMII-002493</t>
  </si>
  <si>
    <t>DIGITTMII-004602</t>
  </si>
  <si>
    <t>DIGITTMII-002494</t>
  </si>
  <si>
    <t>DIGITTMII-004604</t>
  </si>
  <si>
    <t>DIGITTMII-002496</t>
  </si>
  <si>
    <t>DIGITTMII-004607</t>
  </si>
  <si>
    <t>DIGITTMII-002497</t>
  </si>
  <si>
    <t>DIGITTMII-004626</t>
  </si>
  <si>
    <t>DIGITTMII-002498</t>
  </si>
  <si>
    <t>DIGITTMII-004639</t>
  </si>
  <si>
    <t>DIGITTMII-002499</t>
  </si>
  <si>
    <t>DIGITTMII-004640</t>
  </si>
  <si>
    <t>DIGITTMII-002500</t>
  </si>
  <si>
    <t>DIGITTMII-004644</t>
  </si>
  <si>
    <t>DIGITTMII-002501</t>
  </si>
  <si>
    <t>DIGITTMII-004661</t>
  </si>
  <si>
    <t>DIGITTMII-002502</t>
  </si>
  <si>
    <t>DIGITTMII-004672</t>
  </si>
  <si>
    <t>DIGITTMII-002505</t>
  </si>
  <si>
    <t>DIGITTMII-004673</t>
  </si>
  <si>
    <t>DIGITTMII-002506</t>
  </si>
  <si>
    <t>DIGITTMII-004674</t>
  </si>
  <si>
    <t>DIGITTMII-002508</t>
  </si>
  <si>
    <t>DIGITTMII-004675</t>
  </si>
  <si>
    <t>DIGITTMII-002509</t>
  </si>
  <si>
    <t>DIGITTMII-004676</t>
  </si>
  <si>
    <t>DIGITTMII-002510</t>
  </si>
  <si>
    <t>DIGITTMII-004677</t>
  </si>
  <si>
    <t>DIGITTMII-002511</t>
  </si>
  <si>
    <t>DIGITTMII-004681</t>
  </si>
  <si>
    <t>DIGITTMII-002512</t>
  </si>
  <si>
    <t>DIGITTMII-004683</t>
  </si>
  <si>
    <t>DIGITTMII-002513</t>
  </si>
  <si>
    <t>DIGITTMII-004684</t>
  </si>
  <si>
    <t>DIGITTMII-002514</t>
  </si>
  <si>
    <t>DIGITTMII-004685</t>
  </si>
  <si>
    <t>DIGITTMII-002515</t>
  </si>
  <si>
    <t>DIGITTMII-004691</t>
  </si>
  <si>
    <t>DIGITTMII-002516</t>
  </si>
  <si>
    <t>DIGITTMII-004692</t>
  </si>
  <si>
    <t>DIGITTMII-002519</t>
  </si>
  <si>
    <t>DIGITTMII-004693</t>
  </si>
  <si>
    <t>DIGITTMII-002520</t>
  </si>
  <si>
    <t>DIGITTMII-004699</t>
  </si>
  <si>
    <t>DIGITTMII-002521</t>
  </si>
  <si>
    <t>DIGITTMII-004700</t>
  </si>
  <si>
    <t>DIGITTMII-002522</t>
  </si>
  <si>
    <t>DIGITTMII-004703</t>
  </si>
  <si>
    <t>DIGITTMII-002528</t>
  </si>
  <si>
    <t>DIGITTMII-004704</t>
  </si>
  <si>
    <t>DIGITTMII-002530</t>
  </si>
  <si>
    <t>DIGITTMII-004708</t>
  </si>
  <si>
    <t>DIGITTMII-002533</t>
  </si>
  <si>
    <t>DIGITTMII-004710</t>
  </si>
  <si>
    <t>DIGITTMII-002534</t>
  </si>
  <si>
    <t>DIGITTMII-004711</t>
  </si>
  <si>
    <t>DIGITTMII-002536</t>
  </si>
  <si>
    <t>DIGITTMII-004722</t>
  </si>
  <si>
    <t>DIGITTMII-002541</t>
  </si>
  <si>
    <t>DIGITTMII-004723</t>
  </si>
  <si>
    <t>DIGITTMII-002542</t>
  </si>
  <si>
    <t>DIGITTMII-004728</t>
  </si>
  <si>
    <t>DIGITTMII-002543</t>
  </si>
  <si>
    <t>DIGITTMII-004730</t>
  </si>
  <si>
    <t>DIGITTMII-002548</t>
  </si>
  <si>
    <t>DIGITTMII-004732</t>
  </si>
  <si>
    <t>DIGITTMII-002549</t>
  </si>
  <si>
    <t>DIGITTMII-004733</t>
  </si>
  <si>
    <t>DIGITTMII-002550</t>
  </si>
  <si>
    <t>DIGITTMII-004737</t>
  </si>
  <si>
    <t>DIGITTMII-002551</t>
  </si>
  <si>
    <t>DIGITTMII-004741</t>
  </si>
  <si>
    <t>DIGITTMII-002554</t>
  </si>
  <si>
    <t>DIGITTMII-004742</t>
  </si>
  <si>
    <t>DIGITTMII-002555</t>
  </si>
  <si>
    <t>DIGITTMII-004743</t>
  </si>
  <si>
    <t>DIGITTMII-002556</t>
  </si>
  <si>
    <t>DIGITTMII-004744</t>
  </si>
  <si>
    <t>DIGITTMII-002559</t>
  </si>
  <si>
    <t>DIGITTMII-004748</t>
  </si>
  <si>
    <t>DIGITTMII-002562</t>
  </si>
  <si>
    <t>DIGITTMII-004750</t>
  </si>
  <si>
    <t>DIGITTMII-002563</t>
  </si>
  <si>
    <t>DIGITTMII-004751</t>
  </si>
  <si>
    <t>DIGITTMII-002564</t>
  </si>
  <si>
    <t>DIGITTMII-004752</t>
  </si>
  <si>
    <t>DIGITTMII-002569</t>
  </si>
  <si>
    <t>DIGITTMII-004756</t>
  </si>
  <si>
    <t>DIGITTMII-002570</t>
  </si>
  <si>
    <t>DIGITTMII-004757</t>
  </si>
  <si>
    <t>DIGITTMII-002574</t>
  </si>
  <si>
    <t>DIGITTMII-004760</t>
  </si>
  <si>
    <t>DIGITTMII-002579</t>
  </si>
  <si>
    <t>DIGITTMII-004762</t>
  </si>
  <si>
    <t>DIGITTMII-002580</t>
  </si>
  <si>
    <t>DIGITTMII-004763</t>
  </si>
  <si>
    <t>DIGITTMII-002581</t>
  </si>
  <si>
    <t>DIGITTMII-004766</t>
  </si>
  <si>
    <t>DIGITTMII-002582</t>
  </si>
  <si>
    <t>DIGITTMII-004769</t>
  </si>
  <si>
    <t>DIGITTMII-002583</t>
  </si>
  <si>
    <t>DIGITTMII-004774</t>
  </si>
  <si>
    <t>DIGITTMII-002584</t>
  </si>
  <si>
    <t>DIGITTMII-004775</t>
  </si>
  <si>
    <t>DIGITTMII-002586</t>
  </si>
  <si>
    <t>DIGITTMII-004776</t>
  </si>
  <si>
    <t>DIGITTMII-002587</t>
  </si>
  <si>
    <t>DIGITTMII-004777</t>
  </si>
  <si>
    <t>DIGITTMII-002590</t>
  </si>
  <si>
    <t>DIGITTMII-004778</t>
  </si>
  <si>
    <t>DIGITTMII-002591</t>
  </si>
  <si>
    <t>DIGITTMII-004781</t>
  </si>
  <si>
    <t>DIGITTMII-002594</t>
  </si>
  <si>
    <t>DIGITTMII-004785</t>
  </si>
  <si>
    <t>DIGITTMII-002597</t>
  </si>
  <si>
    <t>DIGITTMII-004788</t>
  </si>
  <si>
    <t>DIGITTMII-002600</t>
  </si>
  <si>
    <t>DIGITTMII-004789</t>
  </si>
  <si>
    <t>DIGITTMII-002601</t>
  </si>
  <si>
    <t>DIGITTMII-004796</t>
  </si>
  <si>
    <t>DIGITTMII-002603</t>
  </si>
  <si>
    <t>DIGITTMII-004802</t>
  </si>
  <si>
    <t>DIGITTMII-002606</t>
  </si>
  <si>
    <t>DIGITTMII-004805</t>
  </si>
  <si>
    <t>DIGITTMII-002607</t>
  </si>
  <si>
    <t>DIGITTMII-004806</t>
  </si>
  <si>
    <t>DIGITTMII-002610</t>
  </si>
  <si>
    <t>DIGITTMII-004807</t>
  </si>
  <si>
    <t>DIGITTMII-002612</t>
  </si>
  <si>
    <t>DIGITTMII-004813</t>
  </si>
  <si>
    <t>DIGITTMII-002615</t>
  </si>
  <si>
    <t>DIGITTMII-004815</t>
  </si>
  <si>
    <t>DIGITTMII-002616</t>
  </si>
  <si>
    <t>DIGITTMII-004817</t>
  </si>
  <si>
    <t>DIGITTMII-002617</t>
  </si>
  <si>
    <t>DIGITTMII-004819</t>
  </si>
  <si>
    <t>DIGITTMII-002619</t>
  </si>
  <si>
    <t>DIGITTMII-004825</t>
  </si>
  <si>
    <t>DIGITTMII-002620</t>
  </si>
  <si>
    <t>DIGITTMII-004827</t>
  </si>
  <si>
    <t>DIGITTMII-002621</t>
  </si>
  <si>
    <t>DIGITTMII-004831</t>
  </si>
  <si>
    <t>DIGITTMII-002622</t>
  </si>
  <si>
    <t>DIGITTMII-004833</t>
  </si>
  <si>
    <t>DIGITTMII-002623</t>
  </si>
  <si>
    <t>DIGITTMII-004835</t>
  </si>
  <si>
    <t>DIGITTMII-002624</t>
  </si>
  <si>
    <t>DIGITTMII-004836</t>
  </si>
  <si>
    <t>DIGITTMII-002625</t>
  </si>
  <si>
    <t>DIGITTMII-004838</t>
  </si>
  <si>
    <t>DIGITTMII-002629</t>
  </si>
  <si>
    <t>DIGITTMII-004841</t>
  </si>
  <si>
    <t>DIGITTMII-002630</t>
  </si>
  <si>
    <t>DIGITTMII-004844</t>
  </si>
  <si>
    <t>DIGITTMII-002632</t>
  </si>
  <si>
    <t>DIGITTMII-004846</t>
  </si>
  <si>
    <t>DIGITTMII-002633</t>
  </si>
  <si>
    <t>DIGITTMII-004849</t>
  </si>
  <si>
    <t>DIGITTMII-002635</t>
  </si>
  <si>
    <t>DIGITTMII-004855</t>
  </si>
  <si>
    <t>DIGITTMII-002638</t>
  </si>
  <si>
    <t>DIGITTMII-004856</t>
  </si>
  <si>
    <t>DIGITTMII-002639</t>
  </si>
  <si>
    <t>DIGITTMII-004859</t>
  </si>
  <si>
    <t>DIGITTMII-002641</t>
  </si>
  <si>
    <t>DIGITTMII-004861</t>
  </si>
  <si>
    <t>DIGITTMII-002642</t>
  </si>
  <si>
    <t>DIGITTMII-004863</t>
  </si>
  <si>
    <t>DIGITTMII-002644</t>
  </si>
  <si>
    <t>DIGITTMII-004866</t>
  </si>
  <si>
    <t>DIGITTMII-002645</t>
  </si>
  <si>
    <t>DIGITTMII-004869</t>
  </si>
  <si>
    <t>DIGITTMII-002646</t>
  </si>
  <si>
    <t>DIGITTMII-004871</t>
  </si>
  <si>
    <t>DIGITTMII-002647</t>
  </si>
  <si>
    <t>DIGITTMII-004874</t>
  </si>
  <si>
    <t>DIGITTMII-002648</t>
  </si>
  <si>
    <t>DIGITTMII-004875</t>
  </si>
  <si>
    <t>DIGITTMII-002649</t>
  </si>
  <si>
    <t>DIGITTMII-004876</t>
  </si>
  <si>
    <t>DIGITTMII-002650</t>
  </si>
  <si>
    <t>DIGITTMII-004878</t>
  </si>
  <si>
    <t>DIGITTMII-002652</t>
  </si>
  <si>
    <t>DIGITTMII-004880</t>
  </si>
  <si>
    <t>DIGITTMII-002653</t>
  </si>
  <si>
    <t>DIGITTMII-004883</t>
  </si>
  <si>
    <t>DIGITTMII-002654</t>
  </si>
  <si>
    <t>DIGITTMII-004884</t>
  </si>
  <si>
    <t>DIGITTMII-002655</t>
  </si>
  <si>
    <t>DIGITTMII-004885</t>
  </si>
  <si>
    <t>DIGITTMII-002656</t>
  </si>
  <si>
    <t>DIGITTMII-004886</t>
  </si>
  <si>
    <t>DIGITTMII-002658</t>
  </si>
  <si>
    <t>DIGITTMII-004887</t>
  </si>
  <si>
    <t>DIGITTMII-002659</t>
  </si>
  <si>
    <t>DIGITTMII-004888</t>
  </si>
  <si>
    <t>DIGITTMII-002660</t>
  </si>
  <si>
    <t>DIGITTMII-004889</t>
  </si>
  <si>
    <t>DIGITTMII-002661</t>
  </si>
  <si>
    <t>DIGITTMII-004890</t>
  </si>
  <si>
    <t>DIGITTMII-002664</t>
  </si>
  <si>
    <t>DIGITTMII-004891</t>
  </si>
  <si>
    <t>DIGITTMII-002665</t>
  </si>
  <si>
    <t>DIGITTMII-004892</t>
  </si>
  <si>
    <t>DIGITTMII-002666</t>
  </si>
  <si>
    <t>DIGITTMII-004893</t>
  </si>
  <si>
    <t>DIGITTMII-002668</t>
  </si>
  <si>
    <t>DIGITTMII-004894</t>
  </si>
  <si>
    <t>DIGITTMII-002672</t>
  </si>
  <si>
    <t>DIGITTMII-004896</t>
  </si>
  <si>
    <t>DIGITTMII-002675</t>
  </si>
  <si>
    <t>DIGITTMII-004900</t>
  </si>
  <si>
    <t>DIGITTMII-002676</t>
  </si>
  <si>
    <t>DIGITTMII-004903</t>
  </si>
  <si>
    <t>DIGITTMII-002677</t>
  </si>
  <si>
    <t>DIGITTMII-004904</t>
  </si>
  <si>
    <t>DIGITTMII-002679</t>
  </si>
  <si>
    <t>DIGITTMII-004905</t>
  </si>
  <si>
    <t>DIGITTMII-002680</t>
  </si>
  <si>
    <t>DIGITTMII-004913</t>
  </si>
  <si>
    <t>DIGITTMII-002682</t>
  </si>
  <si>
    <t>DIGITTMII-004917</t>
  </si>
  <si>
    <t>DIGITTMII-002684</t>
  </si>
  <si>
    <t>DIGITTMII-004928</t>
  </si>
  <si>
    <t>DIGITTMII-002685</t>
  </si>
  <si>
    <t>DIGITTMII-004929</t>
  </si>
  <si>
    <t>DIGITTMII-002686</t>
  </si>
  <si>
    <t>DIGITTMII-004930</t>
  </si>
  <si>
    <t>DIGITTMII-002690</t>
  </si>
  <si>
    <t>DIGITTMII-004939</t>
  </si>
  <si>
    <t>DIGITTMII-002691</t>
  </si>
  <si>
    <t>DIGITTMII-004941</t>
  </si>
  <si>
    <t>DIGITTMII-002692</t>
  </si>
  <si>
    <t>DIGITTMII-004947</t>
  </si>
  <si>
    <t>DIGITTMII-002693</t>
  </si>
  <si>
    <t>DIGITTMII-004948</t>
  </si>
  <si>
    <t>DIGITTMII-002694</t>
  </si>
  <si>
    <t>DIGITTMII-004951</t>
  </si>
  <si>
    <t>DIGITTMII-002695</t>
  </si>
  <si>
    <t>DIGITTMII-004952</t>
  </si>
  <si>
    <t>DIGITTMII-002698</t>
  </si>
  <si>
    <t>DIGITTMII-004954</t>
  </si>
  <si>
    <t>DIGITTMII-002699</t>
  </si>
  <si>
    <t>DIGITTMII-004956</t>
  </si>
  <si>
    <t>DIGITTMII-002701</t>
  </si>
  <si>
    <t>DIGITTMII-004957</t>
  </si>
  <si>
    <t>DIGITTMII-002702</t>
  </si>
  <si>
    <t>DIGITTMII-004958</t>
  </si>
  <si>
    <t>DIGITTMII-002704</t>
  </si>
  <si>
    <t>DIGITTMII-004959</t>
  </si>
  <si>
    <t>DIGITTMII-002705</t>
  </si>
  <si>
    <t>DIGITTMII-004960</t>
  </si>
  <si>
    <t>DIGITTMII-002706</t>
  </si>
  <si>
    <t>DIGITTMII-004961</t>
  </si>
  <si>
    <t>DIGITTMII-002708</t>
  </si>
  <si>
    <t>DIGITTMII-004962</t>
  </si>
  <si>
    <t>DIGITTMII-002709</t>
  </si>
  <si>
    <t>DIGITTMII-004964</t>
  </si>
  <si>
    <t>DIGITTMII-002710</t>
  </si>
  <si>
    <t>DIGITTMII-004965</t>
  </si>
  <si>
    <t>DIGITTMII-002712</t>
  </si>
  <si>
    <t>DIGITTMII-004966</t>
  </si>
  <si>
    <t>DIGITTMII-002714</t>
  </si>
  <si>
    <t>DIGITTMII-004967</t>
  </si>
  <si>
    <t>DIGITTMII-002716</t>
  </si>
  <si>
    <t>DIGITTMII-004969</t>
  </si>
  <si>
    <t>DIGITTMII-002719</t>
  </si>
  <si>
    <t>DIGITTMII-004971</t>
  </si>
  <si>
    <t>DIGITTMII-002720</t>
  </si>
  <si>
    <t>DIGITTMII-004972</t>
  </si>
  <si>
    <t>DIGITTMII-002725</t>
  </si>
  <si>
    <t>DIGITTMII-004973</t>
  </si>
  <si>
    <t>DIGITTMII-002726</t>
  </si>
  <si>
    <t>DIGITTMII-004974</t>
  </si>
  <si>
    <t>DIGITTMII-002727</t>
  </si>
  <si>
    <t>DIGITTMII-004976</t>
  </si>
  <si>
    <t>DIGITTMII-002728</t>
  </si>
  <si>
    <t>DIGITTMII-004977</t>
  </si>
  <si>
    <t>DIGITTMII-002729</t>
  </si>
  <si>
    <t>DIGITTMII-004979</t>
  </si>
  <si>
    <t>DIGITTMII-002731</t>
  </si>
  <si>
    <t>DIGITTMII-007020</t>
  </si>
  <si>
    <t>DIGITTMII-002733</t>
  </si>
  <si>
    <t>DIGITTMII-002736</t>
  </si>
  <si>
    <t>DIGITTMII-002737</t>
  </si>
  <si>
    <t>DIGITTMII-002738</t>
  </si>
  <si>
    <t>DIGITTMII-002739</t>
  </si>
  <si>
    <t>DIGITTMII-002742</t>
  </si>
  <si>
    <t>DIGITTMII-002744</t>
  </si>
  <si>
    <t>DIGITTMII-002747</t>
  </si>
  <si>
    <t>DIGITTMII-002748</t>
  </si>
  <si>
    <t>DIGITTMII-002749</t>
  </si>
  <si>
    <t>DIGITTMII-002754</t>
  </si>
  <si>
    <t>DIGITTMII-002761</t>
  </si>
  <si>
    <t>DIGITTMII-002762</t>
  </si>
  <si>
    <t>DIGITTMII-002764</t>
  </si>
  <si>
    <t>DIGITTMII-002765</t>
  </si>
  <si>
    <t>DIGITTMII-002767</t>
  </si>
  <si>
    <t>DIGITTMII-002772</t>
  </si>
  <si>
    <t>DIGITTMII-002773</t>
  </si>
  <si>
    <t>DIGITTMII-002774</t>
  </si>
  <si>
    <t>DIGITTMII-002775</t>
  </si>
  <si>
    <t>DIGITTMII-002776</t>
  </si>
  <si>
    <t>DIGITTMII-002778</t>
  </si>
  <si>
    <t>DIGITTMII-002779</t>
  </si>
  <si>
    <t>DIGITTMII-002780</t>
  </si>
  <si>
    <t>DIGITTMII-002781</t>
  </si>
  <si>
    <t>DIGITTMII-002784</t>
  </si>
  <si>
    <t>DIGITTMII-002785</t>
  </si>
  <si>
    <t>DIGITTMII-002788</t>
  </si>
  <si>
    <t>DIGITTMII-002791</t>
  </si>
  <si>
    <t>DIGITTMII-002793</t>
  </si>
  <si>
    <t>DIGITTMII-002798</t>
  </si>
  <si>
    <t>DIGITTMII-002799</t>
  </si>
  <si>
    <t>DIGITTMII-002801</t>
  </si>
  <si>
    <t>DIGITTMII-002805</t>
  </si>
  <si>
    <t>DIGITTMII-002807</t>
  </si>
  <si>
    <t>DIGITTMII-002808</t>
  </si>
  <si>
    <t>DIGITTMII-002809</t>
  </si>
  <si>
    <t>DIGITTMII-002812</t>
  </si>
  <si>
    <t>DIGITTMII-002816</t>
  </si>
  <si>
    <t>DIGITTMII-002820</t>
  </si>
  <si>
    <t>DIGITTMII-002823</t>
  </si>
  <si>
    <t>DIGITTMII-002824</t>
  </si>
  <si>
    <t>DIGITTMII-002825</t>
  </si>
  <si>
    <t>DIGITTMII-002826</t>
  </si>
  <si>
    <t>DIGITTMII-002827</t>
  </si>
  <si>
    <t>DIGITTMII-002830</t>
  </si>
  <si>
    <t>DIGITTMII-002832</t>
  </si>
  <si>
    <t>DIGITTMII-002838</t>
  </si>
  <si>
    <t>DIGITTMII-002840</t>
  </si>
  <si>
    <t>DIGITTMII-002842</t>
  </si>
  <si>
    <t>DIGITTMII-002844</t>
  </si>
  <si>
    <t>DIGITTMII-002846</t>
  </si>
  <si>
    <t>DIGITTMII-002851</t>
  </si>
  <si>
    <t>DIGITTMII-002856</t>
  </si>
  <si>
    <t>DIGITTMII-002861</t>
  </si>
  <si>
    <t>DIGITTMII-002862</t>
  </si>
  <si>
    <t>DIGITTMII-002863</t>
  </si>
  <si>
    <t>DIGITTMII-002864</t>
  </si>
  <si>
    <t>DIGITTMII-002869</t>
  </si>
  <si>
    <t>DIGITTMII-002871</t>
  </si>
  <si>
    <t>DIGITTMII-002872</t>
  </si>
  <si>
    <t>DIGITTMII-002873</t>
  </si>
  <si>
    <t>DIGITTMII-002874</t>
  </si>
  <si>
    <t>DIGITTMII-002875</t>
  </si>
  <si>
    <t>DIGITTMII-002876</t>
  </si>
  <si>
    <t>DIGITTMII-002877</t>
  </si>
  <si>
    <t>DIGITTMII-002879</t>
  </si>
  <si>
    <t>DIGITTMII-002882</t>
  </si>
  <si>
    <t>DIGITTMII-002883</t>
  </si>
  <si>
    <t>DIGITTMII-002885</t>
  </si>
  <si>
    <t>DIGITTMII-002888</t>
  </si>
  <si>
    <t>DIGITTMII-002889</t>
  </si>
  <si>
    <t>DIGITTMII-002891</t>
  </si>
  <si>
    <t>DIGITTMII-002892</t>
  </si>
  <si>
    <t>DIGITTMII-002893</t>
  </si>
  <si>
    <t>DIGITTMII-002894</t>
  </si>
  <si>
    <t>DIGITTMII-002899</t>
  </si>
  <si>
    <t>DIGITTMII-002901</t>
  </si>
  <si>
    <t>DIGITTMII-002903</t>
  </si>
  <si>
    <t>DIGITTMII-002906</t>
  </si>
  <si>
    <t>DIGITTMII-002907</t>
  </si>
  <si>
    <t>DIGITTMII-002909</t>
  </si>
  <si>
    <t>DIGITTMII-002910</t>
  </si>
  <si>
    <t>DIGITTMII-002911</t>
  </si>
  <si>
    <t>DIGITTMII-002912</t>
  </si>
  <si>
    <t>DIGITTMII-002913</t>
  </si>
  <si>
    <t>DIGITTMII-002914</t>
  </si>
  <si>
    <t>DIGITTMII-002919</t>
  </si>
  <si>
    <t>DIGITTMII-002921</t>
  </si>
  <si>
    <t>DIGITTMII-002922</t>
  </si>
  <si>
    <t>DIGITTMII-002923</t>
  </si>
  <si>
    <t>DIGITTMII-002925</t>
  </si>
  <si>
    <t>DIGITTMII-002928</t>
  </si>
  <si>
    <t>DIGITTMII-002930</t>
  </si>
  <si>
    <t>DIGITTMII-002931</t>
  </si>
  <si>
    <t>DIGITTMII-002933</t>
  </si>
  <si>
    <t>DIGITTMII-002935</t>
  </si>
  <si>
    <t>DIGITTMII-002937</t>
  </si>
  <si>
    <t>DIGITTMII-002939</t>
  </si>
  <si>
    <t>DIGITTMII-002941</t>
  </si>
  <si>
    <t>DIGITTMII-002942</t>
  </si>
  <si>
    <t>DIGITTMII-002943</t>
  </si>
  <si>
    <t>DIGITTMII-002945</t>
  </si>
  <si>
    <t>DIGITTMII-002951</t>
  </si>
  <si>
    <t>DIGITTMII-002953</t>
  </si>
  <si>
    <t>DIGITTMII-002955</t>
  </si>
  <si>
    <t>DIGITTMII-002958</t>
  </si>
  <si>
    <t>DIGITTMII-002959</t>
  </si>
  <si>
    <t>DIGITTMII-002961</t>
  </si>
  <si>
    <t>DIGITTMII-002964</t>
  </si>
  <si>
    <t>DIGITTMII-002965</t>
  </si>
  <si>
    <t>DIGITTMII-002967</t>
  </si>
  <si>
    <t>DIGITTMII-002968</t>
  </si>
  <si>
    <t>DIGITTMII-002969</t>
  </si>
  <si>
    <t>DIGITTMII-002970</t>
  </si>
  <si>
    <t>DIGITTMII-002973</t>
  </si>
  <si>
    <t>DIGITTMII-002977</t>
  </si>
  <si>
    <t>DIGITTMII-002981</t>
  </si>
  <si>
    <t>DIGITTMII-002982</t>
  </si>
  <si>
    <t>DIGITTMII-002985</t>
  </si>
  <si>
    <t>DIGITTMII-002989</t>
  </si>
  <si>
    <t>DIGITTMII-002993</t>
  </si>
  <si>
    <t>DIGITTMII-002999</t>
  </si>
  <si>
    <t>DIGITTMII-003002</t>
  </si>
  <si>
    <t>DIGITTMII-003004</t>
  </si>
  <si>
    <t>DIGITTMII-003006</t>
  </si>
  <si>
    <t>DIGITTMII-003007</t>
  </si>
  <si>
    <t>DIGITTMII-003008</t>
  </si>
  <si>
    <t>DIGITTMII-003010</t>
  </si>
  <si>
    <t>DIGITTMII-003011</t>
  </si>
  <si>
    <t>DIGITTMII-003012</t>
  </si>
  <si>
    <t>DIGITTMII-003013</t>
  </si>
  <si>
    <t>DIGITTMII-003019</t>
  </si>
  <si>
    <t>DIGITTMII-003025</t>
  </si>
  <si>
    <t>DIGITTMII-003028</t>
  </si>
  <si>
    <t>DIGITTMII-003030</t>
  </si>
  <si>
    <t>DIGITTMII-003031</t>
  </si>
  <si>
    <t>DIGITTMII-003032</t>
  </si>
  <si>
    <t>DIGITTMII-003033</t>
  </si>
  <si>
    <t>DIGITTMII-003034</t>
  </si>
  <si>
    <t>DIGITTMII-003036</t>
  </si>
  <si>
    <t>DIGITTMII-003038</t>
  </si>
  <si>
    <t>DIGITTMII-003039</t>
  </si>
  <si>
    <t>DIGITTMII-003040</t>
  </si>
  <si>
    <t>DIGITTMII-003041</t>
  </si>
  <si>
    <t>DIGITTMII-003044</t>
  </si>
  <si>
    <t>DIGITTMII-003045</t>
  </si>
  <si>
    <t>DIGITTMII-003046</t>
  </si>
  <si>
    <t>DIGITTMII-003048</t>
  </si>
  <si>
    <t>DIGITTMII-003049</t>
  </si>
  <si>
    <t>DIGITTMII-003050</t>
  </si>
  <si>
    <t>DIGITTMII-003052</t>
  </si>
  <si>
    <t>DIGITTMII-003054</t>
  </si>
  <si>
    <t>DIGITTMII-003056</t>
  </si>
  <si>
    <t>DIGITTMII-003057</t>
  </si>
  <si>
    <t>DIGITTMII-003062</t>
  </si>
  <si>
    <t>DIGITTMII-003063</t>
  </si>
  <si>
    <t>DIGITTMII-003064</t>
  </si>
  <si>
    <t>DIGITTMII-003065</t>
  </si>
  <si>
    <t>DIGITTMII-003066</t>
  </si>
  <si>
    <t>DIGITTMII-003067</t>
  </si>
  <si>
    <t>DIGITTMII-003068</t>
  </si>
  <si>
    <t>DIGITTMII-003069</t>
  </si>
  <si>
    <t>DIGITTMII-003070</t>
  </si>
  <si>
    <t>DIGITTMII-003079</t>
  </si>
  <si>
    <t>DIGITTMII-003081</t>
  </si>
  <si>
    <t>DIGITTMII-003082</t>
  </si>
  <si>
    <t>DIGITTMII-003083</t>
  </si>
  <si>
    <t>DIGITTMII-003084</t>
  </si>
  <si>
    <t>DIGITTMII-003085</t>
  </si>
  <si>
    <t>DIGITTMII-003087</t>
  </si>
  <si>
    <t>DIGITTMII-003088</t>
  </si>
  <si>
    <t>DIGITTMII-003089</t>
  </si>
  <si>
    <t>DIGITTMII-003091</t>
  </si>
  <si>
    <t>DIGITTMII-003093</t>
  </si>
  <si>
    <t>DIGITTMII-003095</t>
  </si>
  <si>
    <t>DIGITTMII-003097</t>
  </si>
  <si>
    <t>DIGITTMII-003101</t>
  </si>
  <si>
    <t>DIGITTMII-003103</t>
  </si>
  <si>
    <t>DIGITTMII-003104</t>
  </si>
  <si>
    <t>DIGITTMII-003105</t>
  </si>
  <si>
    <t>DIGITTMII-003108</t>
  </si>
  <si>
    <t>DIGITTMII-003109</t>
  </si>
  <si>
    <t>DIGITTMII-003110</t>
  </si>
  <si>
    <t>DIGITTMII-003112</t>
  </si>
  <si>
    <t>DIGITTMII-003113</t>
  </si>
  <si>
    <t>DIGITTMII-003117</t>
  </si>
  <si>
    <t>DIGITTMII-003118</t>
  </si>
  <si>
    <t>DIGITTMII-003121</t>
  </si>
  <si>
    <t>DIGITTMII-003122</t>
  </si>
  <si>
    <t>DIGITTMII-003125</t>
  </si>
  <si>
    <t>DIGITTMII-003128</t>
  </si>
  <si>
    <t>DIGITTMII-003130</t>
  </si>
  <si>
    <t>DIGITTMII-003131</t>
  </si>
  <si>
    <t>DIGITTMII-003132</t>
  </si>
  <si>
    <t>DIGITTMII-003135</t>
  </si>
  <si>
    <t>DIGITTMII-003136</t>
  </si>
  <si>
    <t>DIGITTMII-003138</t>
  </si>
  <si>
    <t>DIGITTMII-003139</t>
  </si>
  <si>
    <t>DIGITTMII-003140</t>
  </si>
  <si>
    <t>DIGITTMII-003141</t>
  </si>
  <si>
    <t>DIGITTMII-003142</t>
  </si>
  <si>
    <t>DIGITTMII-003143</t>
  </si>
  <si>
    <t>DIGITTMII-003144</t>
  </si>
  <si>
    <t>DIGITTMII-003145</t>
  </si>
  <si>
    <t>DIGITTMII-003146</t>
  </si>
  <si>
    <t>DIGITTMII-003150</t>
  </si>
  <si>
    <t>DIGITTMII-003151</t>
  </si>
  <si>
    <t>DIGITTMII-003162</t>
  </si>
  <si>
    <t>DIGITTMII-003163</t>
  </si>
  <si>
    <t>DIGITTMII-003164</t>
  </si>
  <si>
    <t>DIGITTMII-003165</t>
  </si>
  <si>
    <t>DIGITTMII-003166</t>
  </si>
  <si>
    <t>DIGITTMII-003167</t>
  </si>
  <si>
    <t>DIGITTMII-003168</t>
  </si>
  <si>
    <t>DIGITTMII-003169</t>
  </si>
  <si>
    <t>DIGITTMII-003172</t>
  </si>
  <si>
    <t>DIGITTMII-003173</t>
  </si>
  <si>
    <t>DIGITTMII-003174</t>
  </si>
  <si>
    <t>DIGITTMII-003176</t>
  </si>
  <si>
    <t>DIGITTMII-003177</t>
  </si>
  <si>
    <t>DIGITTMII-003178</t>
  </si>
  <si>
    <t>DIGITTMII-003180</t>
  </si>
  <si>
    <t>DIGITTMII-003182</t>
  </si>
  <si>
    <t>DIGITTMII-003185</t>
  </si>
  <si>
    <t>DIGITTMII-003187</t>
  </si>
  <si>
    <t>DIGITTMII-003189</t>
  </si>
  <si>
    <t>DIGITTMII-003190</t>
  </si>
  <si>
    <t>DIGITTMII-003199</t>
  </si>
  <si>
    <t>DIGITTMII-003203</t>
  </si>
  <si>
    <t>DIGITTMII-003206</t>
  </si>
  <si>
    <t>DIGITTMII-003207</t>
  </si>
  <si>
    <t>DIGITTMII-003209</t>
  </si>
  <si>
    <t>DIGITTMII-003210</t>
  </si>
  <si>
    <t>DIGITTMII-003211</t>
  </si>
  <si>
    <t>DIGITTMII-003212</t>
  </si>
  <si>
    <t>DIGITTMII-003214</t>
  </si>
  <si>
    <t>DIGITTMII-003215</t>
  </si>
  <si>
    <t>DIGITTMII-003216</t>
  </si>
  <si>
    <t>DIGITTMII-003217</t>
  </si>
  <si>
    <t>DIGITTMII-003218</t>
  </si>
  <si>
    <t>DIGITTMII-003219</t>
  </si>
  <si>
    <t>DIGITTMII-003220</t>
  </si>
  <si>
    <t>DIGITTMII-003221</t>
  </si>
  <si>
    <t>DIGITTMII-003222</t>
  </si>
  <si>
    <t>DIGITTMII-003224</t>
  </si>
  <si>
    <t>DIGITTMII-003225</t>
  </si>
  <si>
    <t>DIGITTMII-003227</t>
  </si>
  <si>
    <t>DIGITTMII-003229</t>
  </si>
  <si>
    <t>DIGITTMII-003233</t>
  </si>
  <si>
    <t>DIGITTMII-003238</t>
  </si>
  <si>
    <t>DIGITTMII-003240</t>
  </si>
  <si>
    <t>DIGITTMII-003242</t>
  </si>
  <si>
    <t>DIGITTMII-003244</t>
  </si>
  <si>
    <t>DIGITTMII-003245</t>
  </si>
  <si>
    <t>DIGITTMII-003246</t>
  </si>
  <si>
    <t>DIGITTMII-003247</t>
  </si>
  <si>
    <t>DIGITTMII-003248</t>
  </si>
  <si>
    <t>DIGITTMII-003255</t>
  </si>
  <si>
    <t>DIGITTMII-003259</t>
  </si>
  <si>
    <t>DIGITTMII-003261</t>
  </si>
  <si>
    <t>DIGITTMII-003262</t>
  </si>
  <si>
    <t>DIGITTMII-003265</t>
  </si>
  <si>
    <t>DIGITTMII-003266</t>
  </si>
  <si>
    <t>DIGITTMII-003270</t>
  </si>
  <si>
    <t>DIGITTMII-003276</t>
  </si>
  <si>
    <t>DIGITTMII-003277</t>
  </si>
  <si>
    <t>DIGITTMII-003278</t>
  </si>
  <si>
    <t>DIGITTMII-003279</t>
  </si>
  <si>
    <t>DIGITTMII-003280</t>
  </si>
  <si>
    <t>DIGITTMII-003281</t>
  </si>
  <si>
    <t>DIGITTMII-003282</t>
  </si>
  <si>
    <t>DIGITTMII-003283</t>
  </si>
  <si>
    <t>DIGITTMII-003285</t>
  </si>
  <si>
    <t>DIGITTMII-003287</t>
  </si>
  <si>
    <t>DIGITTMII-003288</t>
  </si>
  <si>
    <t>DIGITTMII-003291</t>
  </si>
  <si>
    <t>DIGITTMII-003292</t>
  </si>
  <si>
    <t>DIGITTMII-003299</t>
  </si>
  <si>
    <t>DIGITTMII-003302</t>
  </si>
  <si>
    <t>DIGITTMII-003305</t>
  </si>
  <si>
    <t>DIGITTMII-003307</t>
  </si>
  <si>
    <t>DIGITTMII-003311</t>
  </si>
  <si>
    <t>DIGITTMII-003313</t>
  </si>
  <si>
    <t>DIGITTMII-003315</t>
  </si>
  <si>
    <t>DIGITTMII-003320</t>
  </si>
  <si>
    <t>DIGITTMII-003321</t>
  </si>
  <si>
    <t>DIGITTMII-003322</t>
  </si>
  <si>
    <t>DIGITTMII-003325</t>
  </si>
  <si>
    <t>DIGITTMII-003332</t>
  </si>
  <si>
    <t>DIGITTMII-003334</t>
  </si>
  <si>
    <t>DIGITTMII-003338</t>
  </si>
  <si>
    <t>DIGITTMII-003340</t>
  </si>
  <si>
    <t>DIGITTMII-003342</t>
  </si>
  <si>
    <t>DIGITTMII-003343</t>
  </si>
  <si>
    <t>DIGITTMII-003346</t>
  </si>
  <si>
    <t>DIGITTMII-003350</t>
  </si>
  <si>
    <t>DIGITTMII-003352</t>
  </si>
  <si>
    <t>DIGITTMII-003353</t>
  </si>
  <si>
    <t>DIGITTMII-003359</t>
  </si>
  <si>
    <t>DIGITTMII-003363</t>
  </si>
  <si>
    <t>DIGITTMII-003365</t>
  </si>
  <si>
    <t>DIGITTMII-003366</t>
  </si>
  <si>
    <t>DIGITTMII-003367</t>
  </si>
  <si>
    <t>DIGITTMII-003368</t>
  </si>
  <si>
    <t>DIGITTMII-003369</t>
  </si>
  <si>
    <t>DIGITTMII-003370</t>
  </si>
  <si>
    <t>DIGITTMII-003371</t>
  </si>
  <si>
    <t>DIGITTMII-003372</t>
  </si>
  <si>
    <t>DIGITTMII-003373</t>
  </si>
  <si>
    <t>DIGITTMII-003374</t>
  </si>
  <si>
    <t>DIGITTMII-003375</t>
  </si>
  <si>
    <t>DIGITTMII-003376</t>
  </si>
  <si>
    <t>DIGITTMII-003380</t>
  </si>
  <si>
    <t>DIGITTMII-003381</t>
  </si>
  <si>
    <t>DIGITTMII-003383</t>
  </si>
  <si>
    <t>DIGITTMII-003384</t>
  </si>
  <si>
    <t>DIGITTMII-003386</t>
  </si>
  <si>
    <t>DIGITTMII-003387</t>
  </si>
  <si>
    <t>DIGITTMII-003388</t>
  </si>
  <si>
    <t>DIGITTMII-003390</t>
  </si>
  <si>
    <t>DIGITTMII-003395</t>
  </si>
  <si>
    <t>DIGITTMII-003397</t>
  </si>
  <si>
    <t>DIGITTMII-003399</t>
  </si>
  <si>
    <t>DIGITTMII-003401</t>
  </si>
  <si>
    <t>DIGITTMII-003402</t>
  </si>
  <si>
    <t>DIGITTMII-003404</t>
  </si>
  <si>
    <t>DIGITTMII-003406</t>
  </si>
  <si>
    <t>DIGITTMII-003410</t>
  </si>
  <si>
    <t>DIGITTMII-003413</t>
  </si>
  <si>
    <t>DIGITTMII-003414</t>
  </si>
  <si>
    <t>DIGITTMII-003417</t>
  </si>
  <si>
    <t>DIGITTMII-003418</t>
  </si>
  <si>
    <t>DIGITTMII-003419</t>
  </si>
  <si>
    <t>DIGITTMII-003421</t>
  </si>
  <si>
    <t>DIGITTMII-003423</t>
  </si>
  <si>
    <t>DIGITTMII-003427</t>
  </si>
  <si>
    <t>DIGITTMII-003428</t>
  </si>
  <si>
    <t>DIGITTMII-003430</t>
  </si>
  <si>
    <t>DIGITTMII-003432</t>
  </si>
  <si>
    <t>DIGITTMII-003434</t>
  </si>
  <si>
    <t>DIGITTMII-003438</t>
  </si>
  <si>
    <t>DIGITTMII-003439</t>
  </si>
  <si>
    <t>DIGITTMII-003440</t>
  </si>
  <si>
    <t>DIGITTMII-003446</t>
  </si>
  <si>
    <t>DIGITTMII-003448</t>
  </si>
  <si>
    <t>DIGITTMII-003449</t>
  </si>
  <si>
    <t>DIGITTMII-003450</t>
  </si>
  <si>
    <t>DIGITTMII-003452</t>
  </si>
  <si>
    <t>DIGITTMII-003453</t>
  </si>
  <si>
    <t>DIGITTMII-003454</t>
  </si>
  <si>
    <t>DIGITTMII-003455</t>
  </si>
  <si>
    <t>DIGITTMII-003456</t>
  </si>
  <si>
    <t>DIGITTMII-003457</t>
  </si>
  <si>
    <t>DIGITTMII-003459</t>
  </si>
  <si>
    <t>DIGITTMII-003460</t>
  </si>
  <si>
    <t>DIGITTMII-003461</t>
  </si>
  <si>
    <t>DIGITTMII-003463</t>
  </si>
  <si>
    <t>DIGITTMII-003464</t>
  </si>
  <si>
    <t>DIGITTMII-003467</t>
  </si>
  <si>
    <t>DIGITTMII-003468</t>
  </si>
  <si>
    <t>DIGITTMII-003469</t>
  </si>
  <si>
    <t>DIGITTMII-003470</t>
  </si>
  <si>
    <t>DIGITTMII-003473</t>
  </si>
  <si>
    <t>DIGITTMII-003474</t>
  </si>
  <si>
    <t>DIGITTMII-003477</t>
  </si>
  <si>
    <t>DIGITTMII-003479</t>
  </si>
  <si>
    <t>DIGITTMII-003481</t>
  </si>
  <si>
    <t>DIGITTMII-003483</t>
  </si>
  <si>
    <t>DIGITTMII-003485</t>
  </si>
  <si>
    <t>DIGITTMII-003487</t>
  </si>
  <si>
    <t>DIGITTMII-003490</t>
  </si>
  <si>
    <t>DIGITTMII-003492</t>
  </si>
  <si>
    <t>DIGITTMII-003493</t>
  </si>
  <si>
    <t>DIGITTMII-003494</t>
  </si>
  <si>
    <t>DIGITTMII-003496</t>
  </si>
  <si>
    <t>DIGITTMII-003497</t>
  </si>
  <si>
    <t>DIGITTMII-003500</t>
  </si>
  <si>
    <t>DIGITTMII-003502</t>
  </si>
  <si>
    <t>DIGITTMII-003503</t>
  </si>
  <si>
    <t>DIGITTMII-003504</t>
  </si>
  <si>
    <t>DIGITTMII-003505</t>
  </si>
  <si>
    <t>DIGITTMII-003507</t>
  </si>
  <si>
    <t>DIGITTMII-003508</t>
  </si>
  <si>
    <t>DIGITTMII-003510</t>
  </si>
  <si>
    <t>DIGITTMII-003515</t>
  </si>
  <si>
    <t>DIGITTMII-003518</t>
  </si>
  <si>
    <t>DIGITTMII-003520</t>
  </si>
  <si>
    <t>DIGITTMII-003523</t>
  </si>
  <si>
    <t>DIGITTMII-003528</t>
  </si>
  <si>
    <t>DIGITTMII-003529</t>
  </si>
  <si>
    <t>DIGITTMII-003531</t>
  </si>
  <si>
    <t>DIGITTMII-003532</t>
  </si>
  <si>
    <t>DIGITTMII-003533</t>
  </si>
  <si>
    <t>DIGITTMII-003534</t>
  </si>
  <si>
    <t>DIGITTMII-003535</t>
  </si>
  <si>
    <t>DIGITTMII-003537</t>
  </si>
  <si>
    <t>DIGITTMII-003538</t>
  </si>
  <si>
    <t>DIGITTMII-003540</t>
  </si>
  <si>
    <t>DIGITTMII-003544</t>
  </si>
  <si>
    <t>DIGITTMII-003545</t>
  </si>
  <si>
    <t>DIGITTMII-003547</t>
  </si>
  <si>
    <t>DIGITTMII-003548</t>
  </si>
  <si>
    <t>DIGITTMII-003552</t>
  </si>
  <si>
    <t>DIGITTMII-003554</t>
  </si>
  <si>
    <t>DIGITTMII-003556</t>
  </si>
  <si>
    <t>DIGITTMII-003558</t>
  </si>
  <si>
    <t>DIGITTMII-003561</t>
  </si>
  <si>
    <t>DIGITTMII-003564</t>
  </si>
  <si>
    <t>DIGITTMII-003566</t>
  </si>
  <si>
    <t>DIGITTMII-003567</t>
  </si>
  <si>
    <t>DIGITTMII-003569</t>
  </si>
  <si>
    <t>DIGITTMII-003570</t>
  </si>
  <si>
    <t>DIGITTMII-003571</t>
  </si>
  <si>
    <t>DIGITTMII-003574</t>
  </si>
  <si>
    <t>DIGITTMII-003577</t>
  </si>
  <si>
    <t>DIGITTMII-003581</t>
  </si>
  <si>
    <t>DIGITTMII-003583</t>
  </si>
  <si>
    <t>DIGITTMII-003584</t>
  </si>
  <si>
    <t>DIGITTMII-003589</t>
  </si>
  <si>
    <t>DIGITTMII-003592</t>
  </si>
  <si>
    <t>DIGITTMII-003594</t>
  </si>
  <si>
    <t>DIGITTMII-003598</t>
  </si>
  <si>
    <t>DIGITTMII-003599</t>
  </si>
  <si>
    <t>DIGITTMII-003600</t>
  </si>
  <si>
    <t>DIGITTMII-003601</t>
  </si>
  <si>
    <t>DIGITTMII-003602</t>
  </si>
  <si>
    <t>DIGITTMII-003603</t>
  </si>
  <si>
    <t>DIGITTMII-003604</t>
  </si>
  <si>
    <t>DIGITTMII-003605</t>
  </si>
  <si>
    <t>DIGITTMII-003607</t>
  </si>
  <si>
    <t>DIGITTMII-003608</t>
  </si>
  <si>
    <t>DIGITTMII-003609</t>
  </si>
  <si>
    <t>DIGITTMII-003612</t>
  </si>
  <si>
    <t>DIGITTMII-003614</t>
  </si>
  <si>
    <t>DIGITTMII-003615</t>
  </si>
  <si>
    <t>DIGITTMII-003616</t>
  </si>
  <si>
    <t>DIGITTMII-003618</t>
  </si>
  <si>
    <t>DIGITTMII-003621</t>
  </si>
  <si>
    <t>DIGITTMII-003622</t>
  </si>
  <si>
    <t>DIGITTMII-003623</t>
  </si>
  <si>
    <t>DIGITTMII-003624</t>
  </si>
  <si>
    <t>DIGITTMII-003627</t>
  </si>
  <si>
    <t>DIGITTMII-003628</t>
  </si>
  <si>
    <t>DIGITTMII-003629</t>
  </si>
  <si>
    <t>DIGITTMII-003632</t>
  </si>
  <si>
    <t>DIGITTMII-003633</t>
  </si>
  <si>
    <t>DIGITTMII-003639</t>
  </si>
  <si>
    <t>DIGITTMII-003640</t>
  </si>
  <si>
    <t>DIGITTMII-003642</t>
  </si>
  <si>
    <t>DIGITTMII-003643</t>
  </si>
  <si>
    <t>DIGITTMII-003644</t>
  </si>
  <si>
    <t>DIGITTMII-003645</t>
  </si>
  <si>
    <t>DIGITTMII-003646</t>
  </si>
  <si>
    <t>DIGITTMII-003647</t>
  </si>
  <si>
    <t>DIGITTMII-003649</t>
  </si>
  <si>
    <t>DIGITTMII-003650</t>
  </si>
  <si>
    <t>DIGITTMII-003654</t>
  </si>
  <si>
    <t>DIGITTMII-003655</t>
  </si>
  <si>
    <t>DIGITTMII-003657</t>
  </si>
  <si>
    <t>DIGITTMII-003658</t>
  </si>
  <si>
    <t>DIGITTMII-003660</t>
  </si>
  <si>
    <t>DIGITTMII-003663</t>
  </si>
  <si>
    <t>DIGITTMII-003666</t>
  </si>
  <si>
    <t>DIGITTMII-003668</t>
  </si>
  <si>
    <t>DIGITTMII-003671</t>
  </si>
  <si>
    <t>DIGITTMII-003673</t>
  </si>
  <si>
    <t>DIGITTMII-003674</t>
  </si>
  <si>
    <t>DIGITTMII-003675</t>
  </si>
  <si>
    <t>DIGITTMII-003676</t>
  </si>
  <si>
    <t>DIGITTMII-003679</t>
  </si>
  <si>
    <t>DIGITTMII-003680</t>
  </si>
  <si>
    <t>DIGITTMII-003681</t>
  </si>
  <si>
    <t>DIGITTMII-003682</t>
  </si>
  <si>
    <t>DIGITTMII-003683</t>
  </si>
  <si>
    <t>DIGITTMII-003684</t>
  </si>
  <si>
    <t>DIGITTMII-003692</t>
  </si>
  <si>
    <t>DIGITTMII-003694</t>
  </si>
  <si>
    <t>DIGITTMII-003705</t>
  </si>
  <si>
    <t>DIGITTMII-003706</t>
  </si>
  <si>
    <t>DIGITTMII-003708</t>
  </si>
  <si>
    <t>DIGITTMII-003716</t>
  </si>
  <si>
    <t>DIGITTMII-003719</t>
  </si>
  <si>
    <t>DIGITTMII-003720</t>
  </si>
  <si>
    <t>DIGITTMII-003723</t>
  </si>
  <si>
    <t>DIGITTMII-003724</t>
  </si>
  <si>
    <t>DIGITTMII-003729</t>
  </si>
  <si>
    <t>DIGITTMII-003731</t>
  </si>
  <si>
    <t>DIGITTMII-003733</t>
  </si>
  <si>
    <t>DIGITTMII-003734</t>
  </si>
  <si>
    <t>DIGITTMII-003736</t>
  </si>
  <si>
    <t>DIGITTMII-003737</t>
  </si>
  <si>
    <t>DIGITTMII-003740</t>
  </si>
  <si>
    <t>DIGITTMII-003742</t>
  </si>
  <si>
    <t>DIGITTMII-003743</t>
  </si>
  <si>
    <t>DIGITTMII-003744</t>
  </si>
  <si>
    <t>DIGITTMII-003748</t>
  </si>
  <si>
    <t>DIGITTMII-003751</t>
  </si>
  <si>
    <t>DIGITTMII-003752</t>
  </si>
  <si>
    <t>DIGITTMII-003755</t>
  </si>
  <si>
    <t>DIGITTMII-003757</t>
  </si>
  <si>
    <t>DIGITTMII-003758</t>
  </si>
  <si>
    <t>DIGITTMII-003762</t>
  </si>
  <si>
    <t>DIGITTMII-003763</t>
  </si>
  <si>
    <t>DIGITTMII-003764</t>
  </si>
  <si>
    <t>DIGITTMII-003766</t>
  </si>
  <si>
    <t>DIGITTMII-003767</t>
  </si>
  <si>
    <t>DIGITTMII-003769</t>
  </si>
  <si>
    <t>DIGITTMII-003775</t>
  </si>
  <si>
    <t>DIGITTMII-003780</t>
  </si>
  <si>
    <t>DIGITTMII-003781</t>
  </si>
  <si>
    <t>DIGITTMII-003782</t>
  </si>
  <si>
    <t>DIGITTMII-003784</t>
  </si>
  <si>
    <t>DIGITTMII-003785</t>
  </si>
  <si>
    <t>DIGITTMII-003786</t>
  </si>
  <si>
    <t>DIGITTMII-003787</t>
  </si>
  <si>
    <t>DIGITTMII-003789</t>
  </si>
  <si>
    <t>DIGITTMII-003790</t>
  </si>
  <si>
    <t>DIGITTMII-003793</t>
  </si>
  <si>
    <t>DIGITTMII-003794</t>
  </si>
  <si>
    <t>DIGITTMII-003795</t>
  </si>
  <si>
    <t>DIGITTMII-003799</t>
  </si>
  <si>
    <t>DIGITTMII-003803</t>
  </si>
  <si>
    <t>DIGITTMII-003804</t>
  </si>
  <si>
    <t>DIGITTMII-003805</t>
  </si>
  <si>
    <t>DIGITTMII-003807</t>
  </si>
  <si>
    <t>DIGITTMII-003808</t>
  </si>
  <si>
    <t>DIGITTMII-003810</t>
  </si>
  <si>
    <t>DIGITTMII-003812</t>
  </si>
  <si>
    <t>DIGITTMII-003813</t>
  </si>
  <si>
    <t>DIGITTMII-003814</t>
  </si>
  <si>
    <t>DIGITTMII-003815</t>
  </si>
  <si>
    <t>DIGITTMII-003816</t>
  </si>
  <si>
    <t>DIGITTMII-003817</t>
  </si>
  <si>
    <t>DIGITTMII-003818</t>
  </si>
  <si>
    <t>DIGITTMII-003820</t>
  </si>
  <si>
    <t>DIGITTMII-003821</t>
  </si>
  <si>
    <t>DIGITTMII-003822</t>
  </si>
  <si>
    <t>DIGITTMII-003823</t>
  </si>
  <si>
    <t>DIGITTMII-003824</t>
  </si>
  <si>
    <t>DIGITTMII-003825</t>
  </si>
  <si>
    <t>DIGITTMII-003829</t>
  </si>
  <si>
    <t>DIGITTMII-003830</t>
  </si>
  <si>
    <t>DIGITTMII-003833</t>
  </si>
  <si>
    <t>DIGITTMII-003839</t>
  </si>
  <si>
    <t>DIGITTMII-003842</t>
  </si>
  <si>
    <t>DIGITTMII-003844</t>
  </si>
  <si>
    <t>DIGITTMII-003849</t>
  </si>
  <si>
    <t>DIGITTMII-003850</t>
  </si>
  <si>
    <t>DIGITTMII-003851</t>
  </si>
  <si>
    <t>DIGITTMII-003858</t>
  </si>
  <si>
    <t>DIGITTMII-003860</t>
  </si>
  <si>
    <t>DIGITTMII-003864</t>
  </si>
  <si>
    <t>DIGITTMII-003865</t>
  </si>
  <si>
    <t>DIGITTMII-003870</t>
  </si>
  <si>
    <t>DIGITTMII-003873</t>
  </si>
  <si>
    <t>DIGITTMII-003877</t>
  </si>
  <si>
    <t>DIGITTMII-003878</t>
  </si>
  <si>
    <t>DIGITTMII-003881</t>
  </si>
  <si>
    <t>DIGITTMII-003885</t>
  </si>
  <si>
    <t>DIGITTMII-003886</t>
  </si>
  <si>
    <t>DIGITTMII-003888</t>
  </si>
  <si>
    <t>DIGITTMII-003891</t>
  </si>
  <si>
    <t>DIGITTMII-003892</t>
  </si>
  <si>
    <t>DIGITTMII-003894</t>
  </si>
  <si>
    <t>DIGITTMII-003895</t>
  </si>
  <si>
    <t>DIGITTMII-003898</t>
  </si>
  <si>
    <t>DIGITTMII-003900</t>
  </si>
  <si>
    <t>DIGITTMII-003903</t>
  </si>
  <si>
    <t>DIGITTMII-003905</t>
  </si>
  <si>
    <t>DIGITTMII-003906</t>
  </si>
  <si>
    <t>DIGITTMII-003907</t>
  </si>
  <si>
    <t>DIGITTMII-003908</t>
  </si>
  <si>
    <t>DIGITTMII-003909</t>
  </si>
  <si>
    <t>DIGITTMII-003910</t>
  </si>
  <si>
    <t>DIGITTMII-003911</t>
  </si>
  <si>
    <t>DIGITTMII-003912</t>
  </si>
  <si>
    <t>DIGITTMII-003913</t>
  </si>
  <si>
    <t>DIGITTMII-003917</t>
  </si>
  <si>
    <t>DIGITTMII-003918</t>
  </si>
  <si>
    <t>DIGITTMII-003920</t>
  </si>
  <si>
    <t>DIGITTMII-003921</t>
  </si>
  <si>
    <t>DIGITTMII-003922</t>
  </si>
  <si>
    <t>DIGITTMII-003924</t>
  </si>
  <si>
    <t>DIGITTMII-003927</t>
  </si>
  <si>
    <t>DIGITTMII-003928</t>
  </si>
  <si>
    <t>DIGITTMII-003930</t>
  </si>
  <si>
    <t>DIGITTMII-003931</t>
  </si>
  <si>
    <t>DIGITTMII-003932</t>
  </si>
  <si>
    <t>DIGITTMII-003937</t>
  </si>
  <si>
    <t>DIGITTMII-003938</t>
  </si>
  <si>
    <t>DIGITTMII-003940</t>
  </si>
  <si>
    <t>DIGITTMII-003943</t>
  </si>
  <si>
    <t>DIGITTMII-003944</t>
  </si>
  <si>
    <t>DIGITTMII-003945</t>
  </si>
  <si>
    <t>DIGITTMII-003948</t>
  </si>
  <si>
    <t>DIGITTMII-003950</t>
  </si>
  <si>
    <t>DIGITTMII-003951</t>
  </si>
  <si>
    <t>DIGITTMII-003952</t>
  </si>
  <si>
    <t>DIGITTMII-003953</t>
  </si>
  <si>
    <t>DIGITTMII-003954</t>
  </si>
  <si>
    <t>DIGITTMII-003956</t>
  </si>
  <si>
    <t>DIGITTMII-003957</t>
  </si>
  <si>
    <t>DIGITTMII-003959</t>
  </si>
  <si>
    <t>DIGITTMII-003962</t>
  </si>
  <si>
    <t>DIGITTMII-003963</t>
  </si>
  <si>
    <t>DIGITTMII-003966</t>
  </si>
  <si>
    <t>DIGITTMII-003969</t>
  </si>
  <si>
    <t>DIGITTMII-003970</t>
  </si>
  <si>
    <t>DIGITTMII-003971</t>
  </si>
  <si>
    <t>DIGITTMII-003975</t>
  </si>
  <si>
    <t>DIGITTMII-003976</t>
  </si>
  <si>
    <t>DIGITTMII-003981</t>
  </si>
  <si>
    <t>DIGITTMII-003984</t>
  </si>
  <si>
    <t>DIGITTMII-003986</t>
  </si>
  <si>
    <t>DIGITTMII-003987</t>
  </si>
  <si>
    <t>DIGITTMII-003989</t>
  </si>
  <si>
    <t>DIGITTMII-003990</t>
  </si>
  <si>
    <t>DIGITTMII-003991</t>
  </si>
  <si>
    <t>DIGITTMII-003992</t>
  </si>
  <si>
    <t>DIGITTMII-003993</t>
  </si>
  <si>
    <t>DIGITTMII-003995</t>
  </si>
  <si>
    <t>DIGITTMII-003999</t>
  </si>
  <si>
    <t>DIGITTMII-004009</t>
  </si>
  <si>
    <t>DIGITTMII-004012</t>
  </si>
  <si>
    <t>DIGITTMII-004013</t>
  </si>
  <si>
    <t>DIGITTMII-004018</t>
  </si>
  <si>
    <t>DIGITTMII-004020</t>
  </si>
  <si>
    <t>DIGITTMII-004021</t>
  </si>
  <si>
    <t>DIGITTMII-004022</t>
  </si>
  <si>
    <t>DIGITTMII-004025</t>
  </si>
  <si>
    <t>DIGITTMII-004030</t>
  </si>
  <si>
    <t>DIGITTMII-004031</t>
  </si>
  <si>
    <t>DIGITTMII-004032</t>
  </si>
  <si>
    <t>DIGITTMII-004034</t>
  </si>
  <si>
    <t>DIGITTMII-004035</t>
  </si>
  <si>
    <t>DIGITTMII-004036</t>
  </si>
  <si>
    <t>DIGITTMII-004037</t>
  </si>
  <si>
    <t>DIGITTMII-004038</t>
  </si>
  <si>
    <t>DIGITTMII-004040</t>
  </si>
  <si>
    <t>DIGITTMII-004042</t>
  </si>
  <si>
    <t>DIGITTMII-004043</t>
  </si>
  <si>
    <t>DIGITTMII-004044</t>
  </si>
  <si>
    <t>DIGITTMII-004045</t>
  </si>
  <si>
    <t>DIGITTMII-004046</t>
  </si>
  <si>
    <t>DIGITTMII-004047</t>
  </si>
  <si>
    <t>DIGITTMII-004049</t>
  </si>
  <si>
    <t>DIGITTMII-004050</t>
  </si>
  <si>
    <t>DIGITTMII-004053</t>
  </si>
  <si>
    <t>DIGITTMII-004054</t>
  </si>
  <si>
    <t>DIGITTMII-004055</t>
  </si>
  <si>
    <t>DIGITTMII-004056</t>
  </si>
  <si>
    <t>DIGITTMII-004058</t>
  </si>
  <si>
    <t>DIGITTMII-004060</t>
  </si>
  <si>
    <t>DIGITTMII-004062</t>
  </si>
  <si>
    <t>DIGITTMII-004063</t>
  </si>
  <si>
    <t>DIGITTMII-004064</t>
  </si>
  <si>
    <t>DIGITTMII-004066</t>
  </si>
  <si>
    <t>DIGITTMII-004068</t>
  </si>
  <si>
    <t>DIGITTMII-004069</t>
  </si>
  <si>
    <t>DIGITTMII-004070</t>
  </si>
  <si>
    <t>DIGITTMII-004073</t>
  </si>
  <si>
    <t>DIGITTMII-004076</t>
  </si>
  <si>
    <t>DIGITTMII-004077</t>
  </si>
  <si>
    <t>DIGITTMII-004086</t>
  </si>
  <si>
    <t>DIGITTMII-004089</t>
  </si>
  <si>
    <t>DIGITTMII-004091</t>
  </si>
  <si>
    <t>DIGITTMII-004093</t>
  </si>
  <si>
    <t>DIGITTMII-004094</t>
  </si>
  <si>
    <t>DIGITTMII-004096</t>
  </si>
  <si>
    <t>DIGITTMII-004097</t>
  </si>
  <si>
    <t>DIGITTMII-004098</t>
  </si>
  <si>
    <t>DIGITTMII-004100</t>
  </si>
  <si>
    <t>DIGITTMII-004101</t>
  </si>
  <si>
    <t>DIGITTMII-004102</t>
  </si>
  <si>
    <t>DIGITTMII-004103</t>
  </si>
  <si>
    <t>DIGITTMII-004104</t>
  </si>
  <si>
    <t>DIGITTMII-004108</t>
  </si>
  <si>
    <t>DIGITTMII-004109</t>
  </si>
  <si>
    <t>DIGITTMII-004112</t>
  </si>
  <si>
    <t>DIGITTMII-004115</t>
  </si>
  <si>
    <t>DIGITTMII-004117</t>
  </si>
  <si>
    <t>DIGITTMII-004119</t>
  </si>
  <si>
    <t>DIGITTMII-004120</t>
  </si>
  <si>
    <t>DIGITTMII-004121</t>
  </si>
  <si>
    <t>DIGITTMII-004122</t>
  </si>
  <si>
    <t>DIGITTMII-004124</t>
  </si>
  <si>
    <t>DIGITTMII-004129</t>
  </si>
  <si>
    <t>DIGITTMII-004130</t>
  </si>
  <si>
    <t>DIGITTMII-004131</t>
  </si>
  <si>
    <t>DIGITTMII-004132</t>
  </si>
  <si>
    <t>DIGITTMII-004136</t>
  </si>
  <si>
    <t>DIGITTMII-004140</t>
  </si>
  <si>
    <t>DIGITTMII-004141</t>
  </si>
  <si>
    <t>DIGITTMII-004143</t>
  </si>
  <si>
    <t>DIGITTMII-004144</t>
  </si>
  <si>
    <t>DIGITTMII-004145</t>
  </si>
  <si>
    <t>DIGITTMII-004146</t>
  </si>
  <si>
    <t>DIGITTMII-004147</t>
  </si>
  <si>
    <t>DIGITTMII-004148</t>
  </si>
  <si>
    <t>DIGITTMII-004149</t>
  </si>
  <si>
    <t>DIGITTMII-004150</t>
  </si>
  <si>
    <t>DIGITTMII-004151</t>
  </si>
  <si>
    <t>DIGITTMII-004153</t>
  </si>
  <si>
    <t>DIGITTMII-004154</t>
  </si>
  <si>
    <t>DIGITTMII-004160</t>
  </si>
  <si>
    <t>DIGITTMII-004167</t>
  </si>
  <si>
    <t>DIGITTMII-004170</t>
  </si>
  <si>
    <t>DIGITTMII-004172</t>
  </si>
  <si>
    <t>DIGITTMII-004173</t>
  </si>
  <si>
    <t>DIGITTMII-004174</t>
  </si>
  <si>
    <t>DIGITTMII-004179</t>
  </si>
  <si>
    <t>DIGITTMII-004180</t>
  </si>
  <si>
    <t>DIGITTMII-004181</t>
  </si>
  <si>
    <t>DIGITTMII-004185</t>
  </si>
  <si>
    <t>DIGITTMII-004186</t>
  </si>
  <si>
    <t>DIGITTMII-004187</t>
  </si>
  <si>
    <t>DIGITTMII-004190</t>
  </si>
  <si>
    <t>DIGITTMII-004193</t>
  </si>
  <si>
    <t>DIGITTMII-004197</t>
  </si>
  <si>
    <t>DIGITTMII-004198</t>
  </si>
  <si>
    <t>DIGITTMII-004202</t>
  </si>
  <si>
    <t>DIGITTMII-004205</t>
  </si>
  <si>
    <t>DIGITTMII-004206</t>
  </si>
  <si>
    <t>DIGITTMII-004210</t>
  </si>
  <si>
    <t>DIGITTMII-004211</t>
  </si>
  <si>
    <t>DIGITTMII-004212</t>
  </si>
  <si>
    <t>DIGITTMII-004214</t>
  </si>
  <si>
    <t>DIGITTMII-004215</t>
  </si>
  <si>
    <t>DIGITTMII-004217</t>
  </si>
  <si>
    <t>DIGITTMII-004221</t>
  </si>
  <si>
    <t>DIGITTMII-004222</t>
  </si>
  <si>
    <t>DIGITTMII-004223</t>
  </si>
  <si>
    <t>DIGITTMII-004224</t>
  </si>
  <si>
    <t>DIGITTMII-004225</t>
  </si>
  <si>
    <t>DIGITTMII-004227</t>
  </si>
  <si>
    <t>DIGITTMII-004229</t>
  </si>
  <si>
    <t>DIGITTMII-004233</t>
  </si>
  <si>
    <t>DIGITTMII-004241</t>
  </si>
  <si>
    <t>DIGITTMII-004243</t>
  </si>
  <si>
    <t>DIGITTMII-004246</t>
  </si>
  <si>
    <t>DIGITTMII-004249</t>
  </si>
  <si>
    <t>DIGITTMII-004251</t>
  </si>
  <si>
    <t>DIGITTMII-004257</t>
  </si>
  <si>
    <t>DIGITTMII-004258</t>
  </si>
  <si>
    <t>DIGITTMII-004266</t>
  </si>
  <si>
    <t>DIGITTMII-004271</t>
  </si>
  <si>
    <t>DIGITTMII-004272</t>
  </si>
  <si>
    <t>DIGITTMII-004273</t>
  </si>
  <si>
    <t>DIGITTMII-004277</t>
  </si>
  <si>
    <t>DIGITTMII-004278</t>
  </si>
  <si>
    <t>DIGITTMII-004280</t>
  </si>
  <si>
    <t>DIGITTMII-004281</t>
  </si>
  <si>
    <t>DIGITTMII-004282</t>
  </si>
  <si>
    <t>DIGITTMII-004286</t>
  </si>
  <si>
    <t>DIGITTMII-004290</t>
  </si>
  <si>
    <t>DIGITTMII-004291</t>
  </si>
  <si>
    <t>DIGITTMII-004292</t>
  </si>
  <si>
    <t>DIGITTMII-004293</t>
  </si>
  <si>
    <t>DIGITTMII-004294</t>
  </si>
  <si>
    <t>DIGITTMII-004295</t>
  </si>
  <si>
    <t>DIGITTMII-004297</t>
  </si>
  <si>
    <t>DIGITTMII-004300</t>
  </si>
  <si>
    <t>DIGITTMII-004301</t>
  </si>
  <si>
    <t>DIGITTMII-004302</t>
  </si>
  <si>
    <t>DIGITTMII-004304</t>
  </si>
  <si>
    <t>DIGITTMII-004307</t>
  </si>
  <si>
    <t>DIGITTMII-004308</t>
  </si>
  <si>
    <t>DIGITTMII-004310</t>
  </si>
  <si>
    <t>DIGITTMII-004311</t>
  </si>
  <si>
    <t>DIGITTMII-004313</t>
  </si>
  <si>
    <t>DIGITTMII-004314</t>
  </si>
  <si>
    <t>DIGITTMII-004315</t>
  </si>
  <si>
    <t>DIGITTMII-004319</t>
  </si>
  <si>
    <t>DIGITTMII-004322</t>
  </si>
  <si>
    <t>DIGITTMII-004323</t>
  </si>
  <si>
    <t>DIGITTMII-004325</t>
  </si>
  <si>
    <t>DIGITTMII-004327</t>
  </si>
  <si>
    <t>DIGITTMII-004329</t>
  </si>
  <si>
    <t>DIGITTMII-004331</t>
  </si>
  <si>
    <t>DIGITTMII-004341</t>
  </si>
  <si>
    <t>DIGITTMII-004346</t>
  </si>
  <si>
    <t>DIGITTMII-004349</t>
  </si>
  <si>
    <t>DIGITTMII-004350</t>
  </si>
  <si>
    <t>DIGITTMII-004351</t>
  </si>
  <si>
    <t>DIGITTMII-004352</t>
  </si>
  <si>
    <t>DIGITTMII-004361</t>
  </si>
  <si>
    <t>DIGITTMII-004362</t>
  </si>
  <si>
    <t>DIGITTMII-004363</t>
  </si>
  <si>
    <t>DIGITTMII-004364</t>
  </si>
  <si>
    <t>DIGITTMII-004367</t>
  </si>
  <si>
    <t>DIGITTMII-004368</t>
  </si>
  <si>
    <t>DIGITTMII-004369</t>
  </si>
  <si>
    <t>DIGITTMII-004371</t>
  </si>
  <si>
    <t>DIGITTMII-004375</t>
  </si>
  <si>
    <t>DIGITTMII-004376</t>
  </si>
  <si>
    <t>DIGITTMII-004378</t>
  </si>
  <si>
    <t>DIGITTMII-004379</t>
  </si>
  <si>
    <t>DIGITTMII-004381</t>
  </si>
  <si>
    <t>DIGITTMII-004385</t>
  </si>
  <si>
    <t>DIGITTMII-004393</t>
  </si>
  <si>
    <t>DIGITTMII-004394</t>
  </si>
  <si>
    <t>DIGITTMII-004396</t>
  </si>
  <si>
    <t>DIGITTMII-004398</t>
  </si>
  <si>
    <t>DIGITTMII-004400</t>
  </si>
  <si>
    <t>DIGITTMII-004401</t>
  </si>
  <si>
    <t>DIGITTMII-004402</t>
  </si>
  <si>
    <t>DIGITTMII-004403</t>
  </si>
  <si>
    <t>DIGITTMII-004404</t>
  </si>
  <si>
    <t>DIGITTMII-004405</t>
  </si>
  <si>
    <t>DIGITTMII-004408</t>
  </si>
  <si>
    <t>DIGITTMII-004409</t>
  </si>
  <si>
    <t>DIGITTMII-004410</t>
  </si>
  <si>
    <t>DIGITTMII-004413</t>
  </si>
  <si>
    <t>DIGITTMII-004414</t>
  </si>
  <si>
    <t>DIGITTMII-004415</t>
  </si>
  <si>
    <t>DIGITTMII-004416</t>
  </si>
  <si>
    <t>DIGITTMII-004417</t>
  </si>
  <si>
    <t>DIGITTMII-004418</t>
  </si>
  <si>
    <t>DIGITTMII-004420</t>
  </si>
  <si>
    <t>DIGITTMII-004421</t>
  </si>
  <si>
    <t>DIGITTMII-004423</t>
  </si>
  <si>
    <t>DIGITTMII-004425</t>
  </si>
  <si>
    <t>DIGITTMII-004426</t>
  </si>
  <si>
    <t>DIGITTMII-004430</t>
  </si>
  <si>
    <t>DIGITTMII-004431</t>
  </si>
  <si>
    <t>DIGITTMII-004436</t>
  </si>
  <si>
    <t>DIGITTMII-004440</t>
  </si>
  <si>
    <t>DIGITTMII-004442</t>
  </si>
  <si>
    <t>DIGITTMII-004443</t>
  </si>
  <si>
    <t>DIGITTMII-004444</t>
  </si>
  <si>
    <t>DIGITTMII-004449</t>
  </si>
  <si>
    <t>DIGITTMII-004460</t>
  </si>
  <si>
    <t>DIGITTMII-004461</t>
  </si>
  <si>
    <t>DIGITTMII-004462</t>
  </si>
  <si>
    <t>DIGITTMII-004465</t>
  </si>
  <si>
    <t>DIGITTMII-004466</t>
  </si>
  <si>
    <t>DIGITTMII-004467</t>
  </si>
  <si>
    <t>DIGITTMII-004468</t>
  </si>
  <si>
    <t>DIGITTMII-004470</t>
  </si>
  <si>
    <t>DIGITTMII-004471</t>
  </si>
  <si>
    <t>DIGITTMII-004472</t>
  </si>
  <si>
    <t>DIGITTMII-004473</t>
  </si>
  <si>
    <t>DIGITTMII-004474</t>
  </si>
  <si>
    <t>DIGITTMII-004475</t>
  </si>
  <si>
    <t>DIGITTMII-004477</t>
  </si>
  <si>
    <t>DIGITTMII-004480</t>
  </si>
  <si>
    <t>DIGITTMII-004482</t>
  </si>
  <si>
    <t>DIGITTMII-004488</t>
  </si>
  <si>
    <t>DIGITTMII-004489</t>
  </si>
  <si>
    <t>DIGITTMII-004492</t>
  </si>
  <si>
    <t>DIGITTMII-004493</t>
  </si>
  <si>
    <t>DIGITTMII-004494</t>
  </si>
  <si>
    <t>DIGITTMII-004498</t>
  </si>
  <si>
    <t>DIGITTMII-004501</t>
  </si>
  <si>
    <t>DIGITTMII-004502</t>
  </si>
  <si>
    <t>DIGITTMII-004503</t>
  </si>
  <si>
    <t>DIGITTMII-004504</t>
  </si>
  <si>
    <t>DIGITTMII-004517</t>
  </si>
  <si>
    <t>DIGITTMII-004518</t>
  </si>
  <si>
    <t>DIGITTMII-004519</t>
  </si>
  <si>
    <t>DIGITTMII-004520</t>
  </si>
  <si>
    <t>DIGITTMII-004522</t>
  </si>
  <si>
    <t>DIGITTMII-004523</t>
  </si>
  <si>
    <t>DIGITTMII-004527</t>
  </si>
  <si>
    <t>DIGITTMII-004528</t>
  </si>
  <si>
    <t>DIGITTMII-004529</t>
  </si>
  <si>
    <t>DIGITTMII-004531</t>
  </si>
  <si>
    <t>DIGITTMII-004532</t>
  </si>
  <si>
    <t>DIGITTMII-004533</t>
  </si>
  <si>
    <t>DIGITTMII-004534</t>
  </si>
  <si>
    <t>DIGITTMII-004537</t>
  </si>
  <si>
    <t>DIGITTMII-004538</t>
  </si>
  <si>
    <t>DIGITTMII-004539</t>
  </si>
  <si>
    <t>DIGITTMII-004541</t>
  </si>
  <si>
    <t>DIGITTMII-004542</t>
  </si>
  <si>
    <t>DIGITTMII-004545</t>
  </si>
  <si>
    <t>DIGITTMII-004550</t>
  </si>
  <si>
    <t>DIGITTMII-004555</t>
  </si>
  <si>
    <t>DIGITTMII-004557</t>
  </si>
  <si>
    <t>DIGITTMII-004559</t>
  </si>
  <si>
    <t>DIGITTMII-004560</t>
  </si>
  <si>
    <t>DIGITTMII-004562</t>
  </si>
  <si>
    <t>DIGITTMII-004563</t>
  </si>
  <si>
    <t>DIGITTMII-004564</t>
  </si>
  <si>
    <t>DIGITTMII-004566</t>
  </si>
  <si>
    <t>DIGITTMII-004567</t>
  </si>
  <si>
    <t>DIGITTMII-004568</t>
  </si>
  <si>
    <t>DIGITTMII-004570</t>
  </si>
  <si>
    <t>DIGITTMII-004572</t>
  </si>
  <si>
    <t>DIGITTMII-004574</t>
  </si>
  <si>
    <t>DIGITTMII-004575</t>
  </si>
  <si>
    <t>DIGITTMII-004582</t>
  </si>
  <si>
    <t>DIGITTMII-004583</t>
  </si>
  <si>
    <t>DIGITTMII-004589</t>
  </si>
  <si>
    <t>DIGITTMII-004590</t>
  </si>
  <si>
    <t>DIGITTMII-004592</t>
  </si>
  <si>
    <t>DIGITTMII-004593</t>
  </si>
  <si>
    <t>DIGITTMII-004596</t>
  </si>
  <si>
    <t>DIGITTMII-004600</t>
  </si>
  <si>
    <t>DIGITTMII-004603</t>
  </si>
  <si>
    <t>DIGITTMII-004605</t>
  </si>
  <si>
    <t>DIGITTMII-004609</t>
  </si>
  <si>
    <t>DIGITTMII-004610</t>
  </si>
  <si>
    <t>DIGITTMII-004611</t>
  </si>
  <si>
    <t>DIGITTMII-004612</t>
  </si>
  <si>
    <t>DIGITTMII-004618</t>
  </si>
  <si>
    <t>DIGITTMII-004623</t>
  </si>
  <si>
    <t>DIGITTMII-004635</t>
  </si>
  <si>
    <t>DIGITTMII-004636</t>
  </si>
  <si>
    <t>DIGITTMII-004638</t>
  </si>
  <si>
    <t>DIGITTMII-004641</t>
  </si>
  <si>
    <t>DIGITTMII-004642</t>
  </si>
  <si>
    <t>DIGITTMII-004643</t>
  </si>
  <si>
    <t>DIGITTMII-004645</t>
  </si>
  <si>
    <t>DIGITTMII-004646</t>
  </si>
  <si>
    <t>DIGITTMII-004649</t>
  </si>
  <si>
    <t>DIGITTMII-004659</t>
  </si>
  <si>
    <t>DIGITTMII-004663</t>
  </si>
  <si>
    <t>DIGITTMII-004667</t>
  </si>
  <si>
    <t>DIGITTMII-004668</t>
  </si>
  <si>
    <t>DIGITTMII-004669</t>
  </si>
  <si>
    <t>DIGITTMII-004671</t>
  </si>
  <si>
    <t>DIGITTMII-004678</t>
  </si>
  <si>
    <t>DIGITTMII-004679</t>
  </si>
  <si>
    <t>DIGITTMII-004680</t>
  </si>
  <si>
    <t>DIGITTMII-004686</t>
  </si>
  <si>
    <t>DIGITTMII-004688</t>
  </si>
  <si>
    <t>DIGITTMII-004689</t>
  </si>
  <si>
    <t>DIGITTMII-004690</t>
  </si>
  <si>
    <t>DIGITTMII-004694</t>
  </si>
  <si>
    <t>DIGITTMII-004695</t>
  </si>
  <si>
    <t>DIGITTMII-004696</t>
  </si>
  <si>
    <t>DIGITTMII-004697</t>
  </si>
  <si>
    <t>DIGITTMII-004698</t>
  </si>
  <si>
    <t>DIGITTMII-004701</t>
  </si>
  <si>
    <t>DIGITTMII-004702</t>
  </si>
  <si>
    <t>DIGITTMII-004705</t>
  </si>
  <si>
    <t>DIGITTMII-004706</t>
  </si>
  <si>
    <t>DIGITTMII-004713</t>
  </si>
  <si>
    <t>DIGITTMII-004714</t>
  </si>
  <si>
    <t>DIGITTMII-004716</t>
  </si>
  <si>
    <t>DIGITTMII-004717</t>
  </si>
  <si>
    <t>DIGITTMII-004718</t>
  </si>
  <si>
    <t>DIGITTMII-004719</t>
  </si>
  <si>
    <t>DIGITTMII-004720</t>
  </si>
  <si>
    <t>DIGITTMII-004721</t>
  </si>
  <si>
    <t>DIGITTMII-004724</t>
  </si>
  <si>
    <t>DIGITTMII-004729</t>
  </si>
  <si>
    <t>DIGITTMII-004731</t>
  </si>
  <si>
    <t>DIGITTMII-004735</t>
  </si>
  <si>
    <t>DIGITTMII-004736</t>
  </si>
  <si>
    <t>DIGITTMII-004738</t>
  </si>
  <si>
    <t>DIGITTMII-004739</t>
  </si>
  <si>
    <t>DIGITTMII-004740</t>
  </si>
  <si>
    <t>DIGITTMII-004745</t>
  </si>
  <si>
    <t>DIGITTMII-004746</t>
  </si>
  <si>
    <t>DIGITTMII-004753</t>
  </si>
  <si>
    <t>DIGITTMII-004764</t>
  </si>
  <si>
    <t>DIGITTMII-004765</t>
  </si>
  <si>
    <t>DIGITTMII-004771</t>
  </si>
  <si>
    <t>DIGITTMII-004772</t>
  </si>
  <si>
    <t>DIGITTMII-004780</t>
  </si>
  <si>
    <t>DIGITTMII-004782</t>
  </si>
  <si>
    <t>DIGITTMII-004783</t>
  </si>
  <si>
    <t>DIGITTMII-004784</t>
  </si>
  <si>
    <t>DIGITTMII-004790</t>
  </si>
  <si>
    <t>DIGITTMII-004791</t>
  </si>
  <si>
    <t>DIGITTMII-004792</t>
  </si>
  <si>
    <t>DIGITTMII-004793</t>
  </si>
  <si>
    <t>DIGITTMII-004795</t>
  </si>
  <si>
    <t>DIGITTMII-004797</t>
  </si>
  <si>
    <t>DIGITTMII-004798</t>
  </si>
  <si>
    <t>DIGITTMII-004799</t>
  </si>
  <si>
    <t>DIGITTMII-004800</t>
  </si>
  <si>
    <t>DIGITTMII-004801</t>
  </si>
  <si>
    <t>DIGITTMII-004803</t>
  </si>
  <si>
    <t>DIGITTMII-004809</t>
  </si>
  <si>
    <t>DIGITTMII-004810</t>
  </si>
  <si>
    <t>DIGITTMII-004811</t>
  </si>
  <si>
    <t>DIGITTMII-004812</t>
  </si>
  <si>
    <t>DIGITTMII-004814</t>
  </si>
  <si>
    <t>DIGITTMII-004816</t>
  </si>
  <si>
    <t>DIGITTMII-004818</t>
  </si>
  <si>
    <t>DIGITTMII-004820</t>
  </si>
  <si>
    <t>DIGITTMII-004821</t>
  </si>
  <si>
    <t>DIGITTMII-004823</t>
  </si>
  <si>
    <t>DIGITTMII-004826</t>
  </si>
  <si>
    <t>DIGITTMII-004828</t>
  </si>
  <si>
    <t>DIGITTMII-004834</t>
  </si>
  <si>
    <t>DIGITTMII-004839</t>
  </si>
  <si>
    <t>DIGITTMII-004842</t>
  </si>
  <si>
    <t>DIGITTMII-004843</t>
  </si>
  <si>
    <t>DIGITTMII-004847</t>
  </si>
  <si>
    <t>DIGITTMII-004848</t>
  </si>
  <si>
    <t>DIGITTMII-004850</t>
  </si>
  <si>
    <t>DIGITTMII-004851</t>
  </si>
  <si>
    <t>DIGITTMII-004864</t>
  </si>
  <si>
    <t>DIGITTMII-004870</t>
  </si>
  <si>
    <t>DIGITTMII-004873</t>
  </si>
  <si>
    <t>DIGITTMII-004877</t>
  </si>
  <si>
    <t>DIGITTMII-004879</t>
  </si>
  <si>
    <t>DIGITTMII-004882</t>
  </si>
  <si>
    <t>DIGITTMII-004901</t>
  </si>
  <si>
    <t>DIGITTMII-004910</t>
  </si>
  <si>
    <t>DIGITTMII-004911</t>
  </si>
  <si>
    <t>DIGITTMII-004914</t>
  </si>
  <si>
    <t>DIGITTMII-004924</t>
  </si>
  <si>
    <t>DIGITTMII-004925</t>
  </si>
  <si>
    <t>DIGITTMII-004932</t>
  </si>
  <si>
    <t>DIGITTMII-004933</t>
  </si>
  <si>
    <t>DIGITTMII-004934</t>
  </si>
  <si>
    <t>DIGITTMII-004935</t>
  </si>
  <si>
    <t>DIGITTMII-004936</t>
  </si>
  <si>
    <t>DIGITTMII-004937</t>
  </si>
  <si>
    <t>DIGITTMII-004938</t>
  </si>
  <si>
    <t>DIGITTMII-004940</t>
  </si>
  <si>
    <t>DIGITTMII-004943</t>
  </si>
  <si>
    <t>DIGITTMII-004946</t>
  </si>
  <si>
    <t>DIGITTMII-004949</t>
  </si>
  <si>
    <t>DIGITTMII-004950</t>
  </si>
  <si>
    <t>DIGITTMII-004963</t>
  </si>
  <si>
    <t>DIGITTMII-004978</t>
  </si>
  <si>
    <t>DIGITTMII-004980</t>
  </si>
  <si>
    <t>Nb CS</t>
  </si>
  <si>
    <t>% Nb CS</t>
  </si>
  <si>
    <t>08/06/2023 17:31:46</t>
  </si>
  <si>
    <t>9</t>
  </si>
  <si>
    <t>DIGITTMII-008170-DIGITTMII-003129-EXT-01-6000053863-REQ-01</t>
  </si>
  <si>
    <t>24/05/2023 10:03:57</t>
  </si>
  <si>
    <t>DIGITTMII-008218-DIGITTMII-003431-EXT-01-6000053863-REQ-01</t>
  </si>
  <si>
    <t>25/05/2023 18:55:44</t>
  </si>
  <si>
    <t>DIGITTMII-008426-DIGITTMII-003389-EXT-02-6000053863-REQ-01</t>
  </si>
  <si>
    <t>06/06/2023 16:54:44</t>
  </si>
  <si>
    <t>5</t>
  </si>
  <si>
    <t>DIGITTMII-008616-DIGITTMII-003241-EXT-01-6000053863-REQ-01</t>
  </si>
  <si>
    <t>B3.003 - EULOGIN - ESCRIBANO - Full stack developer Level 4 - Ext.1 of CS 3241</t>
  </si>
  <si>
    <t>15/06/2023 14:48:55</t>
  </si>
  <si>
    <t>ESCRIBANO, Ruben</t>
  </si>
  <si>
    <t>4</t>
  </si>
  <si>
    <t>24/08/2022 19:23:51</t>
  </si>
  <si>
    <t>02/09/2022 17:07:34</t>
  </si>
  <si>
    <t>19/09/2022 09:34:13</t>
  </si>
  <si>
    <t>19/09/2022 09:36:43</t>
  </si>
  <si>
    <t>06/10/2022 17:18:14</t>
  </si>
  <si>
    <t>22/09/2022 11:07:51</t>
  </si>
  <si>
    <t>03/10/2022 16:19:13</t>
  </si>
  <si>
    <t>16/09/2022 12:22:34</t>
  </si>
  <si>
    <t>06/10/2022 08:34:50</t>
  </si>
  <si>
    <t>03/10/2022 12:30:36</t>
  </si>
  <si>
    <t>07/10/2022 20:50:47</t>
  </si>
  <si>
    <t>10/10/2022 09:39:07</t>
  </si>
  <si>
    <t>17/10/2022 09:58:28</t>
  </si>
  <si>
    <t>13/10/2022 15:00:05</t>
  </si>
  <si>
    <t>21/10/2022 11:46:47</t>
  </si>
  <si>
    <t>26/10/2022 11:27:48</t>
  </si>
  <si>
    <t>03/11/2022 09:12:09</t>
  </si>
  <si>
    <t>08/11/2022 09:54:14</t>
  </si>
  <si>
    <t>19/10/2022 15:45:25</t>
  </si>
  <si>
    <t>21/10/2022 08:59:32</t>
  </si>
  <si>
    <t>08/11/2022 08:31:44</t>
  </si>
  <si>
    <t>24/10/2022 17:38:43</t>
  </si>
  <si>
    <t>25/10/2022 14:57:53</t>
  </si>
  <si>
    <t>03/02/2023 14:18:05</t>
  </si>
  <si>
    <t>26/10/2022 09:26:11</t>
  </si>
  <si>
    <t>03/11/2022 15:42:46</t>
  </si>
  <si>
    <t>07/11/2022 10:07:23</t>
  </si>
  <si>
    <t>23/11/2022 13:17:59</t>
  </si>
  <si>
    <t>17/11/2022 16:13:08</t>
  </si>
  <si>
    <t>23/11/2022 13:51:49</t>
  </si>
  <si>
    <t>23/11/2022 09:44:14</t>
  </si>
  <si>
    <t>15/12/2022 09:06:17</t>
  </si>
  <si>
    <t>19/01/2023 11:12:34</t>
  </si>
  <si>
    <t>25/04/2023 10:44:51</t>
  </si>
  <si>
    <t>25/04/2023 14:01:39</t>
  </si>
  <si>
    <t>26/04/2023 11:27:49</t>
  </si>
  <si>
    <t>26/04/2023 16:16:12</t>
  </si>
  <si>
    <t>------------------------ 2024 RATES ------------------------</t>
  </si>
  <si>
    <t>------------------------ 2024 LOT 1 Near/On ------------------------</t>
  </si>
  <si>
    <t>------------------------ 2024 LOT 1 Far ------------------------</t>
  </si>
  <si>
    <t>------------------------ 2024 LOT 2 Near/On ------------------------</t>
  </si>
  <si>
    <t>------------------------ 2024 LOT 2 Far ------------------------</t>
  </si>
  <si>
    <t>------------------------ 2024 LOT 3 Near/On ------------------------</t>
  </si>
  <si>
    <t>------------------------ 2024 LOT 3 Far ------------------------</t>
  </si>
  <si>
    <t>------------------------ 2024 RATES End ------------------------</t>
  </si>
  <si>
    <t>Disctinct Ressources list</t>
  </si>
  <si>
    <t>Security Clearance</t>
  </si>
  <si>
    <t>Calc Unique</t>
  </si>
  <si>
    <t>Sent</t>
  </si>
  <si>
    <t>Not Sent, doc reçus par mail, à vérifier</t>
  </si>
  <si>
    <t>Not Sent, doc demandés 13/04, pas reçu</t>
  </si>
  <si>
    <t>Not Sent, Docs classés sur SP Consortium, à vérif et envoyer</t>
  </si>
  <si>
    <t>Not Sent, Docs à demander à Tremend</t>
  </si>
  <si>
    <t>Not Sent, doc demandés 12/06, pas reçu</t>
  </si>
  <si>
    <t>Global shares (Ordered by partners) - Total</t>
  </si>
  <si>
    <t>DIGITTMII-006278-6000053863-REQ-01</t>
  </si>
  <si>
    <t>Full-stack developer - HORIZONTAL/IRM</t>
  </si>
  <si>
    <t>DIGITTMII-007936-6000053863-REQ-01</t>
  </si>
  <si>
    <t>BACK-END DEVELOPER level 7-10 with expertise in digital distributed infrastructures</t>
  </si>
  <si>
    <t>DIGITTMII-009215-DIGITTMII-000659-EXT-01-6000053863-REQ-01</t>
  </si>
  <si>
    <t>FERNANDEZ GUERRERO, Ivan</t>
  </si>
  <si>
    <t>CHOUAIECH, Mohamed</t>
  </si>
  <si>
    <t>02/06/2023 13:46:31</t>
  </si>
  <si>
    <t>Adriana.SAIZ-LOPEZ@ec.europa.eu</t>
  </si>
  <si>
    <t>SAIZ-LOPEZ, Adriana</t>
  </si>
  <si>
    <t>11/07/2023 10:10:23</t>
  </si>
  <si>
    <t>B3.002 - EU Send - Lopes Gonçalves, OM lvl 4 - extension request</t>
  </si>
  <si>
    <t>VISKUBINA, Veronika</t>
  </si>
  <si>
    <t>11/07/2023 14:25:21</t>
  </si>
  <si>
    <t>GROW</t>
  </si>
  <si>
    <t>DIGITTMII-006300-6000053863-REQ-01</t>
  </si>
  <si>
    <t>GROW G4 New Data Scientist (DS) Level 0-5</t>
  </si>
  <si>
    <t>NICULESCU, Daniela</t>
  </si>
  <si>
    <t>Daniela.NICULESCU@ec.europa.eu</t>
  </si>
  <si>
    <t>27/06/2023 16:29:47</t>
  </si>
  <si>
    <t>MARCELLINO, Costanza</t>
  </si>
  <si>
    <t>Annex MOU TREMEND</t>
  </si>
  <si>
    <t>P+1</t>
  </si>
  <si>
    <t>T3/2023</t>
  </si>
  <si>
    <t>JUST B.3</t>
  </si>
  <si>
    <t>HR</t>
  </si>
  <si>
    <t>JUST CRIM</t>
  </si>
  <si>
    <t>ENV</t>
  </si>
  <si>
    <t>TRAD A.2.</t>
  </si>
  <si>
    <t>DIGIT.A.5</t>
  </si>
  <si>
    <t>DIGIT.A.4</t>
  </si>
  <si>
    <t>ESTAT</t>
  </si>
  <si>
    <t>JUST B.1</t>
  </si>
  <si>
    <t>DIGITTMII-008866-DIGITTMII-001774-EXT-01-6000053863-REQ-01-OFF-01</t>
  </si>
  <si>
    <t xml:space="preserve">	Project Manager (PM)</t>
  </si>
  <si>
    <t>ENSENAT WASER Roberto</t>
  </si>
  <si>
    <t>Roberto.ENSENAT-WASER@ec.europa.eu</t>
  </si>
  <si>
    <t xml:space="preserve">	DIGITTMII-009325-DIGITTMII-005585-MOD-01-6000053863-REQ-01</t>
  </si>
  <si>
    <t>18/07/2023 10:38:30</t>
  </si>
  <si>
    <t>DIGITTMII-007670-6000053863-REQ-01</t>
  </si>
  <si>
    <t>DIGITTMII-009034-DIGITTMII-002416-EXT-02-6000053863-REQ-01</t>
  </si>
  <si>
    <t>DIGITTMII-006302-6000053863-REQ-01</t>
  </si>
  <si>
    <t>DIGITTMII-008641-6000053863-REQ-01</t>
  </si>
  <si>
    <t>DIGITTMII-009632-6000053863-REQ-01</t>
  </si>
  <si>
    <t>DIGITTMII-010435-DIGITTMII-004504-EXT-01-6000053863-REQ-01</t>
  </si>
  <si>
    <t>DIGITTMII-010695-DIGITTMII-003533-EXT-02-6000053863-REQ-01</t>
  </si>
  <si>
    <t>Back-End Developer (BED)</t>
  </si>
  <si>
    <t xml:space="preserve">Project Manager	</t>
  </si>
  <si>
    <t>Full-Stack Developer (FSD)</t>
  </si>
  <si>
    <t xml:space="preserve">	Front-end Developer (FED)</t>
  </si>
  <si>
    <t xml:space="preserve">	Project Manager</t>
  </si>
  <si>
    <t xml:space="preserve">	Isabelle.DELFOSSE@ec.europa.eu</t>
  </si>
  <si>
    <t xml:space="preserve">	DELFOSSE Isabelle</t>
  </si>
  <si>
    <t>29/09/2023 11:04:36</t>
  </si>
  <si>
    <t xml:space="preserve">	Monia.BARDI@ec.europa.eu</t>
  </si>
  <si>
    <t>TRANDAFIR, Tiberiu</t>
  </si>
  <si>
    <t>18/09/2023 14:54:19</t>
  </si>
  <si>
    <t>13/09/2023 14:49:56</t>
  </si>
  <si>
    <t>21/09/2023 14:33:43</t>
  </si>
  <si>
    <t>31/08/2023 09:45:5</t>
  </si>
  <si>
    <t>COLLING, Fabiano</t>
  </si>
  <si>
    <t>21/08/2023 21:34:56</t>
  </si>
  <si>
    <t>DONNER Benoit</t>
  </si>
  <si>
    <t>Benoit.DONNER@ec.europa.eu</t>
  </si>
  <si>
    <t>19/07/2023 04:32:08</t>
  </si>
  <si>
    <t>AFONSO, Leonardo</t>
  </si>
  <si>
    <t xml:space="preserve">	ENSENAT WASER Roberto</t>
  </si>
  <si>
    <t>30/06/2023 11:37:14</t>
  </si>
  <si>
    <t>SAIZ LOPEZ Adriana</t>
  </si>
  <si>
    <t>21/06/2023 15:25:08</t>
  </si>
  <si>
    <t>ROSALES, Airy</t>
  </si>
  <si>
    <t xml:space="preserve">DIGIT.B.1	</t>
  </si>
  <si>
    <t>DIGITTMII-009438-DIGITTMII-001957-MOD-02-6000053863-REQ-01</t>
  </si>
  <si>
    <t>25/07/2023 16:20:09</t>
  </si>
  <si>
    <t>DIGITTMII-009932-DIGITTMII-002829-EXT-01-6000053863-REQ-01</t>
  </si>
  <si>
    <t>DIGITTMII-010768-DIGITTMII-002098-EXT-02-6000053863-REQ-01</t>
  </si>
  <si>
    <t xml:space="preserve">Full-Stack Developer (FSD)	</t>
  </si>
  <si>
    <t xml:space="preserve">	MERCATALI David</t>
  </si>
  <si>
    <t>David.Mercatali@ec.europa.eu</t>
  </si>
  <si>
    <t>01/09/2023 16:20:43</t>
  </si>
  <si>
    <t>02/10/2023 15:14:21</t>
  </si>
  <si>
    <t>DIGITTMII-010281-DIGITTMII-004465-EXT-02-6000053863-REQ-01</t>
  </si>
  <si>
    <t>DIGITTMII-010947-DIGITTMII-003743-EXT-02-6000053863-REQ-01</t>
  </si>
  <si>
    <t>DIGITTMII-011065-DIGITTMII-004446-EXT-01-6000053863-REQ-01</t>
  </si>
  <si>
    <t>DIGITTMII-011066-DIGITTMII-004430-EXT-01-6000053863-REQ-01</t>
  </si>
  <si>
    <t xml:space="preserve">DIGITTMII-011049-DIGITTMII-002819-EXT-02-6000053863-REQ-01	</t>
  </si>
  <si>
    <t xml:space="preserve">	Onboarding Manager (OM)</t>
  </si>
  <si>
    <t xml:space="preserve">	Back-End Developer (BED)</t>
  </si>
  <si>
    <t>15/09/2023 15:20:17</t>
  </si>
  <si>
    <t>06/10/2023 09:18:05</t>
  </si>
  <si>
    <t>09/10/2023 18:35:46</t>
  </si>
  <si>
    <t>09/10/2023 18:56:36</t>
  </si>
  <si>
    <t>09/10/2023 16:03:06</t>
  </si>
  <si>
    <t>Jan-2025</t>
  </si>
  <si>
    <t>Feb-2024</t>
  </si>
  <si>
    <t>Apr-2022</t>
  </si>
  <si>
    <t>May-2022</t>
  </si>
  <si>
    <t>Jun-2022</t>
  </si>
  <si>
    <t>Jul-2022</t>
  </si>
  <si>
    <t>Aug-2022</t>
  </si>
  <si>
    <t>Sep-2022</t>
  </si>
  <si>
    <t>Oct-2022</t>
  </si>
  <si>
    <t>Nov-2022</t>
  </si>
  <si>
    <t>Dec-2022</t>
  </si>
  <si>
    <t>Sep-2023</t>
  </si>
  <si>
    <t>Oct-2024</t>
  </si>
  <si>
    <t>Mar-2024</t>
  </si>
  <si>
    <t>May-2024</t>
  </si>
  <si>
    <t>Apr-2024</t>
  </si>
  <si>
    <t>Jun-2024</t>
  </si>
  <si>
    <t>Jul-2024</t>
  </si>
  <si>
    <t>Aug-2024</t>
  </si>
  <si>
    <t>Sep-2024</t>
  </si>
  <si>
    <t>Nov-2024</t>
  </si>
  <si>
    <t>Dec-2024</t>
  </si>
  <si>
    <t>DIGITTMII-011244-6000053863-REQ-01</t>
  </si>
  <si>
    <t>13/10/2023 12:58:06</t>
  </si>
  <si>
    <t>DIGITTMII-011326-DIGITTMII-002906-EXT-02-6000053863-REQ-01</t>
  </si>
  <si>
    <t>DIGIT.A.3</t>
  </si>
  <si>
    <t>DIGITTMII-011457-DIGITTMII-002191-EXT-02-6000053863-REQ-01</t>
  </si>
  <si>
    <t>DIGITTMII-011735-DIGITTMII-006302-EXT-01-6000053863-REQ-01</t>
  </si>
  <si>
    <t>DIGITTMII-011888-DIGITTMII-001957-EXT-02-6000053863-REQ-01</t>
  </si>
  <si>
    <t xml:space="preserve">	Full-Stack Developer (FSD)</t>
  </si>
  <si>
    <t>APETRI, Ioana</t>
  </si>
  <si>
    <t>16/10/2023 12:00:39</t>
  </si>
  <si>
    <t>06/07/2023 17:18:30</t>
  </si>
  <si>
    <t>FILAR Maria</t>
  </si>
  <si>
    <t xml:space="preserve">Maria.FILAR@ec.europa.eu </t>
  </si>
  <si>
    <t>17/11/2023 11:58:53</t>
  </si>
  <si>
    <t>08/11/2023 10:32:22</t>
  </si>
  <si>
    <t>26/10/2023 09:38:49</t>
  </si>
  <si>
    <t>18/10/2023 10:45:37</t>
  </si>
  <si>
    <t>T4/2023</t>
  </si>
  <si>
    <t>DIGITTMII-009749-DIGITTMII-003344-EXT-02-6000053863-REQ-01</t>
  </si>
  <si>
    <t>DIGITTMII-010163-6000053863-REQ-01</t>
  </si>
  <si>
    <t>ESTAT.A.5</t>
  </si>
  <si>
    <t>DIGITTMII-009161-DIGITTMII-003143-EXT-01-6000053863-REQ-01</t>
  </si>
  <si>
    <t>DIGITTMII-010645-DIGITTMII-006710-MOD-03-6000053863-REQ-01</t>
  </si>
  <si>
    <t>DIGITTMII-011810-DIGITTMII-006278-EXT-01-6000053863-REQ-01</t>
  </si>
  <si>
    <t>DIGITTMII-011993-DIGITTMII-003772-EXT-01-6000053863-REQ-01</t>
  </si>
  <si>
    <t>DIGITTMII-011235-6000053863-REQ-01</t>
  </si>
  <si>
    <t>DIGITTMII-009146-6000053863-REQ-01</t>
  </si>
  <si>
    <t>DIGITTMII-012394-DIGITTMII-002819-EXT-03-6000053863-REQ-01</t>
  </si>
  <si>
    <t>DIGITTMII-012573-DIGITTMII-005337-EXT-01-6000053863-REQ-01</t>
  </si>
  <si>
    <t>DIGITTMII-012730-DIGITTMII-004019-EXT-01-6000053863-REQ-01</t>
  </si>
  <si>
    <t>Enterprise Architect (EA)</t>
  </si>
  <si>
    <t>Workplace Security Specialist (WSS)</t>
  </si>
  <si>
    <t>16/11/2023 17:09:52</t>
  </si>
  <si>
    <t>08/11/2023 10:21:02</t>
  </si>
  <si>
    <t>14/12/2023 11:41:45</t>
  </si>
  <si>
    <t>07/12/2023 15:53:32</t>
  </si>
  <si>
    <t>27/11/2023 16:31:20</t>
  </si>
  <si>
    <t>30/11/2023 15:17:22</t>
  </si>
  <si>
    <t>30/11/2023 09:12:18</t>
  </si>
  <si>
    <t>14/12/2023 18:51:06</t>
  </si>
  <si>
    <t>12/12/2023 10:21:57</t>
  </si>
  <si>
    <t>2023-11</t>
  </si>
  <si>
    <t>PAPATHANASOPOULOU Foteini</t>
  </si>
  <si>
    <t>Foteini.PAPATHANASOPOULOU@ec.europa.eu</t>
  </si>
  <si>
    <t>2023-12</t>
  </si>
  <si>
    <t>Maria.FILAR@ec.europa.eu</t>
  </si>
  <si>
    <t>ADESIDA, Yemi</t>
  </si>
  <si>
    <t>Activity code</t>
  </si>
  <si>
    <t>A-008426</t>
  </si>
  <si>
    <t>A-009632</t>
  </si>
  <si>
    <t>A-009034</t>
  </si>
  <si>
    <t>A-009146</t>
  </si>
  <si>
    <t>A-011735</t>
  </si>
  <si>
    <t>A-011888</t>
  </si>
  <si>
    <t>A-000214</t>
  </si>
  <si>
    <t>A-000659</t>
  </si>
  <si>
    <t>A-001410</t>
  </si>
  <si>
    <t>A-001415</t>
  </si>
  <si>
    <t>A-001416</t>
  </si>
  <si>
    <t>A-001772</t>
  </si>
  <si>
    <t>A-001774</t>
  </si>
  <si>
    <t>A-001940</t>
  </si>
  <si>
    <t>A-001957</t>
  </si>
  <si>
    <t>A-002098</t>
  </si>
  <si>
    <t>A-002150</t>
  </si>
  <si>
    <t>A-002191</t>
  </si>
  <si>
    <t>A-002416</t>
  </si>
  <si>
    <t>A-002474</t>
  </si>
  <si>
    <t>A-002819</t>
  </si>
  <si>
    <t>A-002829</t>
  </si>
  <si>
    <t>A-002906</t>
  </si>
  <si>
    <t>A-002931</t>
  </si>
  <si>
    <t>A-003098</t>
  </si>
  <si>
    <t>A-003129</t>
  </si>
  <si>
    <t>A-003241</t>
  </si>
  <si>
    <t>A-003344</t>
  </si>
  <si>
    <t>A-003389</t>
  </si>
  <si>
    <t>A-003431</t>
  </si>
  <si>
    <t>A-003463</t>
  </si>
  <si>
    <t>A-003533</t>
  </si>
  <si>
    <t>A-003743</t>
  </si>
  <si>
    <t>A-004430</t>
  </si>
  <si>
    <t>A-004446</t>
  </si>
  <si>
    <t>A-004504</t>
  </si>
  <si>
    <t>A-004019</t>
  </si>
  <si>
    <t>A-005337</t>
  </si>
  <si>
    <t>A-003143</t>
  </si>
  <si>
    <t>A-003772</t>
  </si>
  <si>
    <t>A-004465</t>
  </si>
  <si>
    <t>A-005154</t>
  </si>
  <si>
    <t>A-005400</t>
  </si>
  <si>
    <t>A-005585</t>
  </si>
  <si>
    <t>A-005592</t>
  </si>
  <si>
    <t>A-005727</t>
  </si>
  <si>
    <t>A-005922</t>
  </si>
  <si>
    <t>A-005981</t>
  </si>
  <si>
    <t>A-006067</t>
  </si>
  <si>
    <t>A-006275</t>
  </si>
  <si>
    <t>A-006300</t>
  </si>
  <si>
    <t>A-006302</t>
  </si>
  <si>
    <t>A-006542</t>
  </si>
  <si>
    <t>A-006621</t>
  </si>
  <si>
    <t>A-006710</t>
  </si>
  <si>
    <t>A-006713</t>
  </si>
  <si>
    <t>A-006870</t>
  </si>
  <si>
    <t>A-006985</t>
  </si>
  <si>
    <t>A-006994</t>
  </si>
  <si>
    <t>A-007029</t>
  </si>
  <si>
    <t>A-007373</t>
  </si>
  <si>
    <t>A-007384</t>
  </si>
  <si>
    <t>A-007455</t>
  </si>
  <si>
    <t>A-007512</t>
  </si>
  <si>
    <t>A-007691</t>
  </si>
  <si>
    <t>A-007936</t>
  </si>
  <si>
    <t>A-008170</t>
  </si>
  <si>
    <t>A-008218</t>
  </si>
  <si>
    <t>A-008616</t>
  </si>
  <si>
    <t>A-008866</t>
  </si>
  <si>
    <t>A-009215</t>
  </si>
  <si>
    <t>A-006278</t>
  </si>
  <si>
    <t>A-009749</t>
  </si>
  <si>
    <t>A-010435</t>
  </si>
  <si>
    <t>A-010695</t>
  </si>
  <si>
    <t>A-010768</t>
  </si>
  <si>
    <t>A-010947</t>
  </si>
  <si>
    <t>A-011049</t>
  </si>
  <si>
    <t>A-011065</t>
  </si>
  <si>
    <t>A-011066</t>
  </si>
  <si>
    <t>A-011235</t>
  </si>
  <si>
    <t>A-011326</t>
  </si>
  <si>
    <t>A-011457</t>
  </si>
  <si>
    <t>A-012394</t>
  </si>
  <si>
    <t>DIGITTMII-013723-DIGITTMII-002474-EXT-02-6000053863-REQ-01</t>
  </si>
  <si>
    <t>DIGIT.C.2</t>
  </si>
  <si>
    <t>Denis.MULLER@ec.europa.eu</t>
  </si>
  <si>
    <t>MULLER Denis</t>
  </si>
  <si>
    <t>Database developer#R1</t>
  </si>
  <si>
    <t>Front-end developer#R1</t>
  </si>
  <si>
    <t>Back-end developer#R1</t>
  </si>
  <si>
    <t>Full-stack developer#R1</t>
  </si>
  <si>
    <t>Service desk agent#R1</t>
  </si>
  <si>
    <t>User Documentation and Training person#R1</t>
  </si>
  <si>
    <t>Web Operations Manager#R1</t>
  </si>
  <si>
    <t>IS Tester#R1</t>
  </si>
  <si>
    <t>Configuration / Deployment manager#R1</t>
  </si>
  <si>
    <t>Infrastructure System engineer#R1</t>
  </si>
  <si>
    <t>Linux consultant#R1</t>
  </si>
  <si>
    <t>MacOS consultant#R1</t>
  </si>
  <si>
    <t>Data base architect#R1</t>
  </si>
  <si>
    <t>Mobile developer#R1</t>
  </si>
  <si>
    <t>System integration and workflow specialist#R1</t>
  </si>
  <si>
    <t>Application/Cloud architect#R1</t>
  </si>
  <si>
    <t>Project Manager#R1</t>
  </si>
  <si>
    <t>Interface designer#R1</t>
  </si>
  <si>
    <t>Business analyst#R1</t>
  </si>
  <si>
    <t>Customer relationship management specialist#R1</t>
  </si>
  <si>
    <t>Support manager#R1</t>
  </si>
  <si>
    <t>Test automation specialist#R1</t>
  </si>
  <si>
    <t>Quality assurance manager#R1</t>
  </si>
  <si>
    <t>Database/application administrator#R1</t>
  </si>
  <si>
    <t>System administrator#R1</t>
  </si>
  <si>
    <t>Software packaging engineer#R1</t>
  </si>
  <si>
    <t>SOA operations specialist#R1</t>
  </si>
  <si>
    <t>CLOUD operations specialist#R1</t>
  </si>
  <si>
    <t>Data warehouse and reporting developer#R1</t>
  </si>
  <si>
    <t>Data Scientist#R1</t>
  </si>
  <si>
    <t>Blockchain specialist#R1</t>
  </si>
  <si>
    <t>Workplace security specialist#R1</t>
  </si>
  <si>
    <t>Data base architect#R1-FAR</t>
  </si>
  <si>
    <t>Mobile developer#R1-FAR</t>
  </si>
  <si>
    <t>System integration and workflow specialist#R1-FAR</t>
  </si>
  <si>
    <t>Application/Cloud architect#R1-FAR</t>
  </si>
  <si>
    <t>Project Manager#R1-FAR</t>
  </si>
  <si>
    <t>Interface designer#R1-FAR</t>
  </si>
  <si>
    <t>Business analyst#R1-FAR</t>
  </si>
  <si>
    <t>Customer relationship management specialist#R1-FAR</t>
  </si>
  <si>
    <t>Support manager#R1-FAR</t>
  </si>
  <si>
    <t>Test automation specialist#R1-FAR</t>
  </si>
  <si>
    <t>Quality assurance manager#R1-FAR</t>
  </si>
  <si>
    <t>Database/application administrator#R1-FAR</t>
  </si>
  <si>
    <t>System administrator#R1-FAR</t>
  </si>
  <si>
    <t>Software packaging engineer#R1-FAR</t>
  </si>
  <si>
    <t>SOA operations specialist#R1-FAR</t>
  </si>
  <si>
    <t>CLOUD operations specialist#R1-FAR</t>
  </si>
  <si>
    <t>Data warehouse and reporting developer#R1-FAR</t>
  </si>
  <si>
    <t>Data Scientist#R1-FAR</t>
  </si>
  <si>
    <t>Blockchain specialist#R1-FAR</t>
  </si>
  <si>
    <t>Workplace security specialist#R1-FAR</t>
  </si>
  <si>
    <t>Expert in DevSecOps#R1</t>
  </si>
  <si>
    <t>Expert in secure development#R1</t>
  </si>
  <si>
    <t>Expert product owner#R1</t>
  </si>
  <si>
    <t>Enterprise architect#R1</t>
  </si>
  <si>
    <t>User eXperience expert#R1</t>
  </si>
  <si>
    <t>Security infrastructure architect#R1</t>
  </si>
  <si>
    <t>DWP system engineer#R1</t>
  </si>
  <si>
    <t>GIS expert#R1</t>
  </si>
  <si>
    <t>Expert in information &amp; document management#R1</t>
  </si>
  <si>
    <t>Onboarding manager#R1</t>
  </si>
  <si>
    <t>Operating system deployment and update expert#R1</t>
  </si>
  <si>
    <t>Business Intelligence expert#R1</t>
  </si>
  <si>
    <t>Secure data and document exchange expert#R1</t>
  </si>
  <si>
    <t>Expert in AI/ NLP/ ML#R1</t>
  </si>
  <si>
    <t>Augmented / Virtual Reality expert#R1</t>
  </si>
  <si>
    <t>Expert in DevSecOps#R1-FAR</t>
  </si>
  <si>
    <t>Expert in secure development#R1-FAR</t>
  </si>
  <si>
    <t>Expert product owner#R1-FAR</t>
  </si>
  <si>
    <t>Enterprise architect#R1-FAR</t>
  </si>
  <si>
    <t>User eXperience expert#R1-FAR</t>
  </si>
  <si>
    <t>Security infrastructure architect#R1-FAR</t>
  </si>
  <si>
    <t>DWP system engineer#R1-FAR</t>
  </si>
  <si>
    <t>GIS expert#R1-FAR</t>
  </si>
  <si>
    <t>Expert in information &amp; document management#R1-FAR</t>
  </si>
  <si>
    <t>Onboarding manager#R1-FAR</t>
  </si>
  <si>
    <t>Operating system deployment and update expert#R1-FAR</t>
  </si>
  <si>
    <t>Business Intelligence expert#R1-FAR</t>
  </si>
  <si>
    <t>Secure data and document exchange expert#R1-FAR</t>
  </si>
  <si>
    <t>Expert in AI/ NLP/ ML#R1-FAR</t>
  </si>
  <si>
    <t>Augmented / Virtual Reality expert#R1-FAR</t>
  </si>
  <si>
    <t>DIGITTMII-008383-6000053863-REQ-01</t>
  </si>
  <si>
    <t>DIGITTMII-012575-DIGITTMII-002191-EXT-03-6000053863-REQ-01</t>
  </si>
  <si>
    <t>DIGITTMII-009597-6000053863-REQ-01</t>
  </si>
  <si>
    <t>DIGITTMII-013640-DIGITTMII-001940-EXT-02-6000053863-REQ-01</t>
  </si>
  <si>
    <t>Test Automation Specialist (TEAS)</t>
  </si>
  <si>
    <t>Onboarding Manager (OM)</t>
  </si>
  <si>
    <t>URBINI Lorenzo</t>
  </si>
  <si>
    <t xml:space="preserve">	27/11/2023 07:54:48</t>
  </si>
  <si>
    <t>Paul.HARTLEY@ec.europa.eu</t>
  </si>
  <si>
    <t>HARTLEY Paul</t>
  </si>
  <si>
    <t xml:space="preserve">	30/11/2023 14:14:34</t>
  </si>
  <si>
    <t>NOT YET SIGNED</t>
  </si>
  <si>
    <t>(vide)</t>
  </si>
  <si>
    <t>Total général</t>
  </si>
  <si>
    <t>(Tous)</t>
  </si>
  <si>
    <t>A-007670</t>
  </si>
  <si>
    <t>A-009932</t>
  </si>
  <si>
    <t>A-011810</t>
  </si>
  <si>
    <t>A-011993</t>
  </si>
  <si>
    <t>DIGITTMII-013706-DIGITTMII-009146-EXT-01-6000053863-REQ-01</t>
  </si>
  <si>
    <t>Enterprise Architect (Ea)</t>
  </si>
  <si>
    <t>A-010281</t>
  </si>
  <si>
    <t>A-009161</t>
  </si>
  <si>
    <t>A-012730</t>
  </si>
  <si>
    <t>A-012575</t>
  </si>
  <si>
    <t>A-012573</t>
  </si>
  <si>
    <t>A-013706</t>
  </si>
  <si>
    <t>A-008641</t>
  </si>
  <si>
    <t>A-008383</t>
  </si>
  <si>
    <t>DIGITTMII-013264-DIGITTMII-001772-EXT-02-6000053863-REQ-01</t>
  </si>
  <si>
    <t xml:space="preserve">Application/Cloud Architect (ACA)	</t>
  </si>
  <si>
    <t>Feb-2025</t>
  </si>
  <si>
    <t>Mar-2025</t>
  </si>
  <si>
    <t>Apr-2025</t>
  </si>
  <si>
    <t>May-2025</t>
  </si>
  <si>
    <t>DIGITTMII-013721-DIGITTMII-001415-EXT-02-6000053863-REQ-01</t>
  </si>
  <si>
    <t>DIGIT.A.2</t>
  </si>
  <si>
    <t>DIGITTMII-013905-DIGITTMII-003463-EXT-02-6000053863-REQ-01</t>
  </si>
  <si>
    <t>DIGITTMII-014031-DIGITTMII-003533-EXT-03-6000053863-REQ-01</t>
  </si>
  <si>
    <t>DIGITTMII-014090-DIGITTMII-003389-EXT-03-6000053863-REQ-01</t>
  </si>
  <si>
    <t>DIGITTMII-014261-DIGITTMII-007512-MOD-01-6000053863-REQ-01</t>
  </si>
  <si>
    <t>DIGITTMII-014457-DIGITTMII-000214-EXT-02-6000053863-REQ-01</t>
  </si>
  <si>
    <t>DIGITTMII-014656-DIGITTMII-003344-EXT-03-6000053863-REQ-0</t>
  </si>
  <si>
    <t>Data Warehouse and Reporting Developer (DWRD)</t>
  </si>
  <si>
    <t>Business Intelligence Expert (BIE)</t>
  </si>
  <si>
    <t>Application/Cloud Architect (ACA)</t>
  </si>
  <si>
    <t>Full-stack developer#R1-FAR</t>
  </si>
  <si>
    <t>DIGITTMII-015280-DIGITTMII-003772-EXT-02-6000053863-REQ-0</t>
  </si>
  <si>
    <t>DIGITTMII-015256-DIGITTMII-002906-EXT-03-6000053863-REQ-01</t>
  </si>
  <si>
    <t>A-013723</t>
  </si>
  <si>
    <t>A-014031</t>
  </si>
  <si>
    <t>A-014656</t>
  </si>
  <si>
    <t>A-015280</t>
  </si>
  <si>
    <t>A-015256</t>
  </si>
  <si>
    <t>DIGITTMII-011653-6000053863-REQ-01</t>
  </si>
  <si>
    <t>DECANINI, Barbara</t>
  </si>
  <si>
    <t>DIGITTMII-011608-DIGITTMII-009749-MOD-01-6000053863-REQ-01</t>
  </si>
  <si>
    <t>DIGITTMII-015091-DIGITTMII-003431-EXT-02-6000053863-REQ-01</t>
  </si>
  <si>
    <t>DIGITTMII-015251-DIGITTMII-001410-EXT-02-6000053863-REQ-01</t>
  </si>
  <si>
    <t>DIGITTMII-015440-DIGITTMII-002098-EXT-03-6000053863-REQ-01</t>
  </si>
  <si>
    <t>DIGITTMII-015505-DIGITTMII-003743-EXT-03-6000053863-REQ-01</t>
  </si>
  <si>
    <t>DIGITTMII-015548-DIGITTMII-008641-EXT-01-6000053863-REQ-01</t>
  </si>
  <si>
    <t>DIGITTMII-015612-DIGITTMII-001957-EXT-03-6000053863-REQ-01</t>
  </si>
  <si>
    <t>DIGITTMII-015656-DIGITTMII-004446-EXT-02-6000053863-REQ-01</t>
  </si>
  <si>
    <t>DIGITTMII-015661-DIGITTMII-004430-EXT-02-6000053863-REQ-01</t>
  </si>
  <si>
    <t>DIGITTMII-015688-DIGITTMII-001416-EXT-03-6000053863-REQ-01</t>
  </si>
  <si>
    <t>DIGITTMII-015992-DIGITTMII-012730-MOD-01-6000053863-REQ-01-OFF-02</t>
  </si>
  <si>
    <t>DIGITTMII-015995-DIGITTMII-009632-MOD-01-6000053863-REQ-01-OFF-02</t>
  </si>
  <si>
    <t>A-013640</t>
  </si>
  <si>
    <t>A-014457</t>
  </si>
  <si>
    <t>A-013721</t>
  </si>
  <si>
    <t>A-013264</t>
  </si>
  <si>
    <t>Coûts (en €)</t>
  </si>
  <si>
    <t>Revenu 5% (en €)</t>
  </si>
  <si>
    <t>Revenu 4% (en €)</t>
  </si>
  <si>
    <t>Marge brute (%)</t>
  </si>
  <si>
    <t>Marge CGI (%)</t>
  </si>
  <si>
    <t>Société</t>
  </si>
  <si>
    <t>Nom - Prénom</t>
  </si>
  <si>
    <t>PA</t>
  </si>
  <si>
    <t>PV</t>
  </si>
  <si>
    <t>Marge</t>
  </si>
  <si>
    <t>Marge Cession</t>
  </si>
  <si>
    <t>Trasys</t>
  </si>
  <si>
    <t>Onboarding Manager</t>
  </si>
  <si>
    <t>Costs</t>
  </si>
  <si>
    <t>Revenus</t>
  </si>
  <si>
    <t>Margin</t>
  </si>
  <si>
    <t>REVENU EDDA</t>
  </si>
  <si>
    <t>REVENU CGI</t>
  </si>
  <si>
    <t>Facture CGI</t>
  </si>
  <si>
    <t>CTRL par PSR</t>
  </si>
  <si>
    <t>*</t>
  </si>
  <si>
    <t>Total FY 2022</t>
  </si>
  <si>
    <t>Total FY 2023</t>
  </si>
  <si>
    <t>Total FY 2024</t>
  </si>
  <si>
    <t>Total FY 2025</t>
  </si>
  <si>
    <t>Total FY 2026</t>
  </si>
  <si>
    <t>Grand total</t>
  </si>
  <si>
    <t>PSR</t>
  </si>
  <si>
    <t>Contrat initial</t>
  </si>
  <si>
    <t>Av 1</t>
  </si>
  <si>
    <t>Av 2</t>
  </si>
  <si>
    <t>Av 3</t>
  </si>
  <si>
    <t>Av 4</t>
  </si>
  <si>
    <t>Av 5</t>
  </si>
  <si>
    <t>Av 6</t>
  </si>
  <si>
    <t>Av 7</t>
  </si>
  <si>
    <t>Av 8</t>
  </si>
  <si>
    <t>Av 9</t>
  </si>
  <si>
    <t>Av 10</t>
  </si>
  <si>
    <t>Av 11</t>
  </si>
  <si>
    <t>Av 12</t>
  </si>
  <si>
    <t>Tri-1</t>
  </si>
  <si>
    <t>Dec-2025</t>
  </si>
  <si>
    <t>Nov-2025</t>
  </si>
  <si>
    <t>Oct-2025</t>
  </si>
  <si>
    <t>Sep-2025</t>
  </si>
  <si>
    <t>Aug-2025</t>
  </si>
  <si>
    <t>Jul-2025</t>
  </si>
  <si>
    <t>Jun-2025</t>
  </si>
  <si>
    <t>DIGIT.C.4</t>
  </si>
  <si>
    <t>DIGITTMII-012876-6000053863-REQ-01</t>
  </si>
  <si>
    <t>DIGITTMII-016057-DIGITTMII-007029-EXT-01-6000053863-REQ-01</t>
  </si>
  <si>
    <t>GOSMAN, Andrei</t>
  </si>
  <si>
    <t>COOKE, Justin (Projection)</t>
  </si>
  <si>
    <t>DE ANDRES DEL CASTILLO, David (projection)</t>
  </si>
  <si>
    <t>DEVLEESCHOUWER, Sophie (projection)</t>
  </si>
  <si>
    <t>FREIRE FERREIRA, Carlos Miguel (projection)</t>
  </si>
  <si>
    <t>GAGO CABEZAS, Irma (projection)</t>
  </si>
  <si>
    <t>NICULESCU, Calin (projection)</t>
  </si>
  <si>
    <t>OLLINGER, Yannick (projection)</t>
  </si>
  <si>
    <t>TURCITU, Mihai-Alexandru (projection)</t>
  </si>
  <si>
    <t>WHYE, Gregory (projection)</t>
  </si>
  <si>
    <t>TRINDADE-SALGUEIRO, Nuno (projection)</t>
  </si>
  <si>
    <t>MARCELLINO, Costanza (projection)</t>
  </si>
  <si>
    <t>DIGITTMII-016140-DIGITTMII-004504-EXT-02-6000053863-REQ-0</t>
  </si>
  <si>
    <t>DIGITTMII-016268-DIGITTMII-003241-EXT-03-6000053863-REQ-01</t>
  </si>
  <si>
    <t>Q4/2022</t>
  </si>
  <si>
    <t>Q1/2023</t>
  </si>
  <si>
    <t>Q2/2023</t>
  </si>
  <si>
    <t>Q3/2023</t>
  </si>
  <si>
    <t>Q4/2023</t>
  </si>
  <si>
    <t>Q1/2024</t>
  </si>
  <si>
    <t>Q2/2024</t>
  </si>
  <si>
    <t>Q3/2024</t>
  </si>
  <si>
    <t>Q4/2024</t>
  </si>
  <si>
    <t>CGI LUX + BE</t>
  </si>
  <si>
    <t>Revenus globaux</t>
  </si>
  <si>
    <t>Baseline</t>
  </si>
  <si>
    <t>New Business</t>
  </si>
  <si>
    <t>Tri-2</t>
  </si>
  <si>
    <t>BL</t>
  </si>
  <si>
    <t>Business perimeter</t>
  </si>
  <si>
    <t>NB</t>
  </si>
  <si>
    <r>
      <t xml:space="preserve">Global shares for Baseline (initial requests </t>
    </r>
    <r>
      <rPr>
        <b/>
        <u/>
        <sz val="12"/>
        <color rgb="FFCC8800"/>
        <rFont val="Arial"/>
        <family val="2"/>
      </rPr>
      <t>launched</t>
    </r>
    <r>
      <rPr>
        <b/>
        <sz val="12"/>
        <color rgb="FFCC8800"/>
        <rFont val="Arial"/>
        <family val="2"/>
      </rPr>
      <t xml:space="preserve"> by DIGIT </t>
    </r>
    <r>
      <rPr>
        <b/>
        <u/>
        <sz val="12"/>
        <color rgb="FFCC8800"/>
        <rFont val="Arial"/>
        <family val="2"/>
      </rPr>
      <t>before</t>
    </r>
    <r>
      <rPr>
        <b/>
        <sz val="12"/>
        <color rgb="FFCC8800"/>
        <rFont val="Arial"/>
        <family val="2"/>
      </rPr>
      <t xml:space="preserve"> 03/12/2022)</t>
    </r>
  </si>
  <si>
    <r>
      <t xml:space="preserve">Global shares for New Business (initial requests </t>
    </r>
    <r>
      <rPr>
        <b/>
        <u/>
        <sz val="12"/>
        <color rgb="FFCC8800"/>
        <rFont val="Arial"/>
        <family val="2"/>
      </rPr>
      <t>launched</t>
    </r>
    <r>
      <rPr>
        <b/>
        <sz val="12"/>
        <color rgb="FFCC8800"/>
        <rFont val="Arial"/>
        <family val="2"/>
      </rPr>
      <t xml:space="preserve"> by DIGIT </t>
    </r>
    <r>
      <rPr>
        <b/>
        <u/>
        <sz val="12"/>
        <color rgb="FFCC8800"/>
        <rFont val="Arial"/>
        <family val="2"/>
      </rPr>
      <t>after</t>
    </r>
    <r>
      <rPr>
        <b/>
        <sz val="12"/>
        <color rgb="FFCC8800"/>
        <rFont val="Arial"/>
        <family val="2"/>
      </rPr>
      <t xml:space="preserve"> 03/12/2022 </t>
    </r>
    <r>
      <rPr>
        <b/>
        <u/>
        <sz val="12"/>
        <color rgb="FFCC8800"/>
        <rFont val="Arial"/>
        <family val="2"/>
      </rPr>
      <t>and new positions</t>
    </r>
    <r>
      <rPr>
        <b/>
        <sz val="12"/>
        <color rgb="FFCC8800"/>
        <rFont val="Arial"/>
        <family val="2"/>
      </rPr>
      <t>)</t>
    </r>
  </si>
  <si>
    <t>Num PO</t>
  </si>
  <si>
    <t>EU007-1000000938</t>
  </si>
  <si>
    <t>EU007-1000000932</t>
  </si>
  <si>
    <t>EU007-1000000934</t>
  </si>
  <si>
    <t>EU007-1000000930</t>
  </si>
  <si>
    <t>EU007-1000000931</t>
  </si>
  <si>
    <t>EU007-1000000935</t>
  </si>
  <si>
    <t>EU007-1000000936</t>
  </si>
  <si>
    <t>EU007-1000000933</t>
  </si>
  <si>
    <t>EU007-1000000992</t>
  </si>
  <si>
    <t>EU007-1000000995</t>
  </si>
  <si>
    <t>EU007-1000000993</t>
  </si>
  <si>
    <t>EU007-1000000996</t>
  </si>
  <si>
    <t>EU007-1000000994</t>
  </si>
  <si>
    <t>EU007-1000001147</t>
  </si>
  <si>
    <t>EU007-1000001139</t>
  </si>
  <si>
    <t>EU007-1000001142</t>
  </si>
  <si>
    <t>EU007-1000001137</t>
  </si>
  <si>
    <t>EU007-1000001141</t>
  </si>
  <si>
    <t>EU007-1000001149</t>
  </si>
  <si>
    <t>EU007-1000001148</t>
  </si>
  <si>
    <t>EU007-1000001143</t>
  </si>
  <si>
    <t>Initial</t>
  </si>
  <si>
    <t>Restant</t>
  </si>
  <si>
    <t>Annex MOU</t>
  </si>
  <si>
    <t>Informations PO</t>
  </si>
  <si>
    <t>Produit (Quarter)</t>
  </si>
  <si>
    <t>EU007-1000000925</t>
  </si>
  <si>
    <t>EU007-1000000991</t>
  </si>
  <si>
    <t>EU007-1000001029</t>
  </si>
  <si>
    <t>EU007-1000001024</t>
  </si>
  <si>
    <t>EU007-1000001123</t>
  </si>
  <si>
    <t>EU007-1000001125</t>
  </si>
  <si>
    <t>PO</t>
  </si>
  <si>
    <t>Facturé</t>
  </si>
  <si>
    <t>Demandé</t>
  </si>
  <si>
    <t>EU007-1000001025</t>
  </si>
  <si>
    <t>DIGITTMII-015625-DIGITTMII-006278-EXT-02-6000053863-REQ-01</t>
  </si>
  <si>
    <t>A-015440</t>
  </si>
  <si>
    <t>A-015505</t>
  </si>
  <si>
    <t>DIGITTMII-014680-DIGITTMII-007936-EXT-01-6000053863-REQ-0</t>
  </si>
  <si>
    <t>DIGITTMII-016508-6000053863-REQ-01</t>
  </si>
  <si>
    <t>DIGITTMII-016730-DIGITTMII-006302-EXT-02-6000053863-REQ-01</t>
  </si>
  <si>
    <t>Expenses GOSMAN</t>
  </si>
  <si>
    <t>T1/2024</t>
  </si>
  <si>
    <t>T2/2024</t>
  </si>
  <si>
    <t>T3/2024</t>
  </si>
  <si>
    <t>T4/2024</t>
  </si>
  <si>
    <t>DIGITTMII-016208-DIGITTMII-003129-EXT-02-6000053863-REQ-01</t>
  </si>
  <si>
    <t>DIGITTMII-015865-6000053863-REQ-01</t>
  </si>
  <si>
    <t>MEEUS, Alain</t>
  </si>
  <si>
    <t>A-011653</t>
  </si>
  <si>
    <t>A-013905</t>
  </si>
  <si>
    <t>SANDOVAL David</t>
  </si>
  <si>
    <t>Q1/2025</t>
  </si>
  <si>
    <t>Q2/2025</t>
  </si>
  <si>
    <t>Q3/2025</t>
  </si>
  <si>
    <t>Q4/2025</t>
  </si>
  <si>
    <t>T1/2025</t>
  </si>
  <si>
    <t>T2/2025</t>
  </si>
  <si>
    <t>T3/2025</t>
  </si>
  <si>
    <t>T4/2025</t>
  </si>
  <si>
    <t>A-016268</t>
  </si>
  <si>
    <t>DIGITTMII-013551-DIGITTMII-002150-EXT-02-6000053863-REQ-01</t>
  </si>
  <si>
    <t>A-015548</t>
  </si>
  <si>
    <t>A-012876</t>
  </si>
  <si>
    <t>A-015656</t>
  </si>
  <si>
    <t>A-015612</t>
  </si>
  <si>
    <t>A-015091</t>
  </si>
  <si>
    <t>A-015661</t>
  </si>
  <si>
    <t>A-015688</t>
  </si>
  <si>
    <t>A-009438</t>
  </si>
  <si>
    <t>A-014090</t>
  </si>
  <si>
    <t>A-015251</t>
  </si>
  <si>
    <t>A-016057</t>
  </si>
  <si>
    <t>A-016140</t>
  </si>
  <si>
    <t>A-014680</t>
  </si>
  <si>
    <t>A-016730</t>
  </si>
  <si>
    <t>A-016208</t>
  </si>
  <si>
    <t>A-015865</t>
  </si>
  <si>
    <t>A-013551</t>
  </si>
  <si>
    <t>DIGITTMII-014696-DIGITTMII-001774-EXT-02-6000053863-REQ-01</t>
  </si>
  <si>
    <t>factures en cours</t>
  </si>
  <si>
    <t>Reliquats PO</t>
  </si>
  <si>
    <t>WAVESTONE</t>
  </si>
  <si>
    <t>DIGITTMII-010199-6000053863-REQ-01</t>
  </si>
  <si>
    <t>PAISE, Radu</t>
  </si>
  <si>
    <t>DIGITTMII-014553-6000053863-REQ-01</t>
  </si>
  <si>
    <t>IACOBESCU, Radu</t>
  </si>
  <si>
    <t>DIGITTMII-017038-DIGITTMII-000659-EXT-02-6000053863-REQ-01</t>
  </si>
  <si>
    <t>BOUDIA, Amel</t>
  </si>
  <si>
    <t>DIGITTMII-017158-DIGITTMII-012876-EXT-01-6000053863-REQ-01</t>
  </si>
  <si>
    <t>DIGITTMII-017439-DIGITTMII-002819-EXT-04-6000053863-REQ-01</t>
  </si>
  <si>
    <t>MASTRANDREA, Barbara Maria</t>
  </si>
  <si>
    <t>TOTAL</t>
  </si>
  <si>
    <t>Factures en attente</t>
  </si>
  <si>
    <t>DIGITTMII-016317-DIGITTMII-008383-EXT-01-6000053863-REQ-01</t>
  </si>
  <si>
    <t>ENER</t>
  </si>
  <si>
    <t>EU007-1000001053</t>
  </si>
  <si>
    <t>Production sold
Lot 1</t>
  </si>
  <si>
    <t>Production sold
Lot 2</t>
  </si>
  <si>
    <t>DIGITTMII-017285-DIGITTMII-006300-EXT-01-6000053863-REQ-01</t>
  </si>
  <si>
    <t>Data Scientist (DS)</t>
  </si>
  <si>
    <t>A-015625</t>
  </si>
  <si>
    <t>A-014696</t>
  </si>
  <si>
    <t>Global shares (Ordered by partners) - Total / Lot 1</t>
  </si>
  <si>
    <t>Global shares (Ordered by partners) - Total / Lot 2</t>
  </si>
  <si>
    <t>Global shares (Ordered by partners) - Total / Lot 3</t>
  </si>
  <si>
    <t>DIGITTMII-017563-DIGITTMII-011653-EXT-01-6000053863-REQ-01</t>
  </si>
  <si>
    <t>EU007-10000001229</t>
  </si>
  <si>
    <t>EU007-1000001228</t>
  </si>
  <si>
    <t>DIGITTMII-015011-6000053863-REQ-01</t>
  </si>
  <si>
    <t>DGT</t>
  </si>
  <si>
    <t>Web Operation Manager (WOM)</t>
  </si>
  <si>
    <t>NOVOA, Guilherme</t>
  </si>
  <si>
    <t>Web Operations Manager#R1-FAR</t>
  </si>
  <si>
    <t>DIGITTMII-017717-DIGITTMII-004504-EXT-03-6000053863-REQ-01</t>
  </si>
  <si>
    <t>DIGITTMII-017719-DIGITTMII-003743-EXT-04-6000053863-REQ-01</t>
  </si>
  <si>
    <t>DIGITTMII-017918-DIGITTMII-002098-EXT-04-6000053863-REQ-01</t>
  </si>
  <si>
    <t>DIGITTMII-017243-6000053863-REQ-01</t>
  </si>
  <si>
    <t>PRISECARU, Marian</t>
  </si>
  <si>
    <t>Back-end developer#R1-FAR</t>
  </si>
  <si>
    <t>DIGITTMII-017933-DIGITTMII-009632-EXT-01-6000053863-REQ-01</t>
  </si>
  <si>
    <t>Front-end Developer (FED)</t>
  </si>
  <si>
    <t>Front-end developer#R1-FAR</t>
  </si>
  <si>
    <t>Sept-2024</t>
  </si>
  <si>
    <t>A-014553</t>
  </si>
  <si>
    <t>A-017439</t>
  </si>
  <si>
    <t>A-010199</t>
  </si>
  <si>
    <t>DIGITTMII-012161-DIGITTMII-011049-MOD-01-6000053863-REQ-01</t>
  </si>
  <si>
    <t>EU007-1000001240</t>
  </si>
  <si>
    <t>DIGITTMII-017817-DIGITTMII-000214-EXT-03-6000053863-REQ-01</t>
  </si>
  <si>
    <t>DIGITTMII-018153-DIGITTMII-007670-EXT-01-6000053863-REQ-01</t>
  </si>
  <si>
    <t>A-014261</t>
  </si>
  <si>
    <t>A-017038</t>
  </si>
  <si>
    <t>A-017158</t>
  </si>
  <si>
    <t>A-016317</t>
  </si>
  <si>
    <t>A-017285</t>
  </si>
  <si>
    <t>A-017563</t>
  </si>
  <si>
    <t>A-015011</t>
  </si>
  <si>
    <t>A-017717</t>
  </si>
  <si>
    <t>A-017719</t>
  </si>
  <si>
    <t>A-017918</t>
  </si>
  <si>
    <t>A-017243</t>
  </si>
  <si>
    <t>A-017933</t>
  </si>
  <si>
    <t>A-017817</t>
  </si>
  <si>
    <t>A-018153</t>
  </si>
  <si>
    <t>DIGITTMII-012508-6000053863-REQ-01</t>
  </si>
  <si>
    <t>Provision of extra services</t>
  </si>
  <si>
    <t>DIGITTMII-018541-6000053863-REQ-01</t>
  </si>
  <si>
    <t>Global PES request</t>
  </si>
  <si>
    <t>PES (Global request)</t>
  </si>
  <si>
    <t>Global request</t>
  </si>
  <si>
    <t>A-010163</t>
  </si>
  <si>
    <t>A-005085</t>
  </si>
  <si>
    <t>A-005232</t>
  </si>
  <si>
    <t>A-016508</t>
  </si>
  <si>
    <t>A-012508</t>
  </si>
  <si>
    <t>A-018541</t>
  </si>
  <si>
    <t>DIGITTMII-016501-6000053863-REQ-01</t>
  </si>
  <si>
    <t>Expert in AI/ NLP/ ML (AI/NLP/ML)</t>
  </si>
  <si>
    <t>QUINTANILHA RAMOS Cleber</t>
  </si>
  <si>
    <t>A-016501</t>
  </si>
  <si>
    <t>DIGITTMII-017718-DIGITTMII-013551-MOD-01-6000053863-REQ-01</t>
  </si>
  <si>
    <t>MUNTEANU Gabriela Alina</t>
  </si>
  <si>
    <t>A-017718</t>
  </si>
  <si>
    <t>DIGITTMII-018064-DIGITTMII-003533-EXT-04-6000053863-REQ-01</t>
  </si>
  <si>
    <t>A-018064</t>
  </si>
  <si>
    <t>DIGITTMII-018451-DIGITTMII-002829-EXT-02-6000053863-REQ-01</t>
  </si>
  <si>
    <t>A-018451</t>
  </si>
  <si>
    <t>CS</t>
  </si>
  <si>
    <t>MUNTEANU Gabriela Alina (projection)</t>
  </si>
  <si>
    <t>DIGITTMII-018932-DIGITTMII-012876-EXT-02-6000053863-REQ-01</t>
  </si>
  <si>
    <t>DIGITTMII-019242-DIGITTMII-002819-EXT-05-6000053863-REQ-01</t>
  </si>
  <si>
    <t>A-018932</t>
  </si>
  <si>
    <t>A-019242</t>
  </si>
  <si>
    <t>EU007-1000001264</t>
  </si>
  <si>
    <t>EU007-1000001265</t>
  </si>
  <si>
    <t>EU007-1000001266</t>
  </si>
  <si>
    <t>EU007-1000001269</t>
  </si>
  <si>
    <t>DIGITTMII-019166-DIGITTMII-014553-EXT-01-6000053863-REQ-01</t>
  </si>
  <si>
    <t>A-019166</t>
  </si>
  <si>
    <t>DIGITTMII-019554-DIGITTMII-003344-EXT-04-6000053863-REQ-01</t>
  </si>
  <si>
    <t>A-019554</t>
  </si>
  <si>
    <t>DIGITTMII-019611-DIGITTMII-008641-EXT-02-6000053863-REQ-01</t>
  </si>
  <si>
    <t>A-019611</t>
  </si>
  <si>
    <t>------------------------ 2025 RATES ------------------------</t>
  </si>
  <si>
    <t>------------------------ 2025 LOT 1 Near/On ------------------------</t>
  </si>
  <si>
    <t>Database developer#R2</t>
  </si>
  <si>
    <t>Front-end developer#R2</t>
  </si>
  <si>
    <t>Back-end developer#R2</t>
  </si>
  <si>
    <t>Full-stack developer#R2</t>
  </si>
  <si>
    <t>Service desk agent#R2</t>
  </si>
  <si>
    <t>User Documentation and Training person#R2</t>
  </si>
  <si>
    <t>Web Operations Manager#R2</t>
  </si>
  <si>
    <t>IS Tester#R2</t>
  </si>
  <si>
    <t>Configuration / Deployment manager#R2</t>
  </si>
  <si>
    <t>Infrastructure System engineer#R2</t>
  </si>
  <si>
    <t>Linux consultant#R2</t>
  </si>
  <si>
    <t>MacOS consultant#R2</t>
  </si>
  <si>
    <t>------------------------ 2025 LOT 1 Far ------------------------</t>
  </si>
  <si>
    <t>------------------------ 2025 LOT 2 Near/On ------------------------</t>
  </si>
  <si>
    <t>Data base architect#R2</t>
  </si>
  <si>
    <t>Mobile developer#R2</t>
  </si>
  <si>
    <t>System integration and workflow specialist#R2</t>
  </si>
  <si>
    <t>Application/Cloud architect#R2</t>
  </si>
  <si>
    <t>Project Manager#R2</t>
  </si>
  <si>
    <t>Interface designer#R2</t>
  </si>
  <si>
    <t>Business analyst#R2</t>
  </si>
  <si>
    <t>Customer relationship management specialist#R2</t>
  </si>
  <si>
    <t>Support manager#R2</t>
  </si>
  <si>
    <t>Test automation specialist#R2</t>
  </si>
  <si>
    <t>Quality assurance manager#R2</t>
  </si>
  <si>
    <t>Database/application administrator#R2</t>
  </si>
  <si>
    <t>System administrator#R2</t>
  </si>
  <si>
    <t>Software packaging engineer#R2</t>
  </si>
  <si>
    <t>SOA operations specialist#R2</t>
  </si>
  <si>
    <t>CLOUD operations specialist#R2</t>
  </si>
  <si>
    <t>Data warehouse and reporting developer#R2</t>
  </si>
  <si>
    <t>Data Scientist#R2</t>
  </si>
  <si>
    <t>Blockchain specialist#R2</t>
  </si>
  <si>
    <t>Workplace security specialist#R2</t>
  </si>
  <si>
    <t>------------------------ 2025 LOT 2 Far ------------------------</t>
  </si>
  <si>
    <t>Data base architect#R2-FAR</t>
  </si>
  <si>
    <t>Mobile developer#R2-FAR</t>
  </si>
  <si>
    <t>System integration and workflow specialist#R2-FAR</t>
  </si>
  <si>
    <t>Application/Cloud architect#R2-FAR</t>
  </si>
  <si>
    <t>Project Manager#R2-FAR</t>
  </si>
  <si>
    <t>Interface designer#R2-FAR</t>
  </si>
  <si>
    <t>Business analyst#R2-FAR</t>
  </si>
  <si>
    <t>Customer relationship management specialist#R2-FAR</t>
  </si>
  <si>
    <t>Support manager#R2-FAR</t>
  </si>
  <si>
    <t>Test automation specialist#R2-FAR</t>
  </si>
  <si>
    <t>Quality assurance manager#R2-FAR</t>
  </si>
  <si>
    <t>Database/application administrator#R2-FAR</t>
  </si>
  <si>
    <t>System administrator#R2-FAR</t>
  </si>
  <si>
    <t>Software packaging engineer#R2-FAR</t>
  </si>
  <si>
    <t>SOA operations specialist#R2-FAR</t>
  </si>
  <si>
    <t>CLOUD operations specialist#R2-FAR</t>
  </si>
  <si>
    <t>Data warehouse and reporting developer#R2-FAR</t>
  </si>
  <si>
    <t>Data Scientist#R2-FAR</t>
  </si>
  <si>
    <t>Blockchain specialist#R2-FAR</t>
  </si>
  <si>
    <t>Workplace security specialist#R2-FAR</t>
  </si>
  <si>
    <t>------------------------ 2025 LOT 3 Near/On ------------------------</t>
  </si>
  <si>
    <t>Expert in DevSecOps#R2</t>
  </si>
  <si>
    <t>Expert in secure development#R2</t>
  </si>
  <si>
    <t>Expert product owner#R2</t>
  </si>
  <si>
    <t>Enterprise architect#R2</t>
  </si>
  <si>
    <t>User eXperience expert#R2</t>
  </si>
  <si>
    <t>Security infrastructure architect#R2</t>
  </si>
  <si>
    <t>DWP system engineer#R2</t>
  </si>
  <si>
    <t>GIS expert#R2</t>
  </si>
  <si>
    <t>Expert in information &amp; document management#R2</t>
  </si>
  <si>
    <t>Onboarding manager#R2</t>
  </si>
  <si>
    <t>Operating system deployment and update expert#R2</t>
  </si>
  <si>
    <t>Business Intelligence expert#R2</t>
  </si>
  <si>
    <t>Secure data and document exchange expert#R2</t>
  </si>
  <si>
    <t>Expert in AI/ NLP/ ML#R2</t>
  </si>
  <si>
    <t>Augmented / Virtual Reality expert#R2</t>
  </si>
  <si>
    <t>------------------------ 2025 LOT 3 Far ------------------------</t>
  </si>
  <si>
    <t>Expert in DevSecOps#R2-FAR</t>
  </si>
  <si>
    <t>Expert in secure development#R2-FAR</t>
  </si>
  <si>
    <t>Expert product owner#R2-FAR</t>
  </si>
  <si>
    <t>Enterprise architect#R2-FAR</t>
  </si>
  <si>
    <t>User eXperience expert#R2-FAR</t>
  </si>
  <si>
    <t>Security infrastructure architect#R2-FAR</t>
  </si>
  <si>
    <t>DWP system engineer#R2-FAR</t>
  </si>
  <si>
    <t>GIS expert#R2-FAR</t>
  </si>
  <si>
    <t>Expert in information &amp; document management#R2-FAR</t>
  </si>
  <si>
    <t>Onboarding manager#R2-FAR</t>
  </si>
  <si>
    <t>Operating system deployment and update expert#R2-FAR</t>
  </si>
  <si>
    <t>Business Intelligence expert#R2-FAR</t>
  </si>
  <si>
    <t>Secure data and document exchange expert#R2-FAR</t>
  </si>
  <si>
    <t>Expert in AI/ NLP/ ML#R2-FAR</t>
  </si>
  <si>
    <t>Augmented / Virtual Reality expert#R2-FAR</t>
  </si>
  <si>
    <t>------------------------ 2025 RATES End ------------------------</t>
  </si>
  <si>
    <t>A-011244</t>
  </si>
  <si>
    <t>DIGITTMII-019273-DIGITTMII-011235-EXT-01-6000053863-REQ-01</t>
  </si>
  <si>
    <t>A-019273</t>
  </si>
  <si>
    <t>Sept-2025</t>
  </si>
  <si>
    <t>DIGITTMII-019555-DIGITTMII-001940-EXT-03-6000053863-REQ-01</t>
  </si>
  <si>
    <t>A-019555</t>
  </si>
  <si>
    <t>DIGITTMII-019657-DIGITTMII-002150-EXT-03-6000053863-REQ-01</t>
  </si>
  <si>
    <t>A-019657</t>
  </si>
  <si>
    <t>EU007012882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</si>
</sst>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0">
    <numFmt numFmtId="44" formatCode="_-* #,##0.00\ &quot;€&quot;_-;\-* #,##0.00\ &quot;€&quot;_-;_-* &quot;-&quot;??\ &quot;€&quot;_-;_-@_-"/>
    <numFmt numFmtId="164" formatCode="&quot;€&quot;\ #,##0.00;&quot;€&quot;\ \-#,##0.00"/>
    <numFmt numFmtId="165" formatCode="_ &quot;€&quot;\ * #,##0.00_ ;_ &quot;€&quot;\ * \-#,##0.00_ ;_ &quot;€&quot;\ * &quot;-&quot;??_ ;_ @_ "/>
    <numFmt numFmtId="166" formatCode="_-* #,##0.00\ _€_-;\-* #,##0.00\ _€_-;_-* &quot;-&quot;??\ _€_-;_-@_-"/>
    <numFmt numFmtId="167" formatCode="0.000"/>
    <numFmt numFmtId="168" formatCode="_-* #,##0\ _€_-;\-* #,##0\ _€_-;_-* &quot;-&quot;??\ _€_-;_-@_-"/>
    <numFmt numFmtId="169" formatCode="&quot;€&quot;\ #,##0.00"/>
    <numFmt numFmtId="170" formatCode="_-* #,##0.00\ _F_-;\-* #,##0.00\ _F_-;_-* &quot;-&quot;??\ _F_-;_-@_-"/>
    <numFmt numFmtId="171" formatCode="_-* #,##0.00\ [$€-80C]_-;\-* #,##0.00\ [$€-80C]_-;_-* &quot;-&quot;??\ [$€-80C]_-;_-@_-"/>
    <numFmt numFmtId="172" formatCode="_-* #,##0.00\ [$€-40C]_-;\-* #,##0.00\ [$€-40C]_-;_-* &quot;-&quot;??\ [$€-40C]_-;_-@_-"/>
    <numFmt numFmtId="173" formatCode="mmm\-yyyy"/>
    <numFmt numFmtId="174" formatCode="_-* #,##0.0\ _€_-;\-* #,##0.0\ _€_-;_-* &quot;-&quot;??\ _€_-;_-@_-"/>
    <numFmt numFmtId="175" formatCode="#,##0_ ;\-#,##0\ "/>
    <numFmt numFmtId="176" formatCode="#,##0.00\ &quot;€&quot;"/>
    <numFmt numFmtId="177" formatCode="d/mm/yyyy"/>
    <numFmt numFmtId="178" formatCode="#,##0.00_ ;\-#,##0.00\ "/>
    <numFmt numFmtId="179" formatCode="#,##0.00\ _€"/>
    <numFmt numFmtId="180" formatCode="#,##0\ &quot;€&quot;"/>
    <numFmt numFmtId="181" formatCode="#"/>
    <numFmt numFmtId="182" formatCode="_(&quot;€&quot;* #,##0.00_);_(&quot;€&quot;* \(#,##0.00\);_(&quot;€&quot;* &quot;-&quot;??_);_(@_)"/>
  </numFmts>
  <fonts count="10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10"/>
      <name val="Arial"/>
      <family val="2"/>
    </font>
    <font>
      <sz val="11"/>
      <color indexed="8"/>
      <name val="Calibri"/>
      <family val="2"/>
    </font>
    <font>
      <sz val="11"/>
      <color indexed="9"/>
      <name val="Calibri"/>
      <family val="2"/>
    </font>
    <font>
      <sz val="11"/>
      <color indexed="10"/>
      <name val="Calibri"/>
      <family val="2"/>
    </font>
    <font>
      <sz val="11"/>
      <color indexed="52"/>
      <name val="Calibri"/>
      <family val="2"/>
    </font>
    <font>
      <sz val="11"/>
      <color indexed="62"/>
      <name val="Calibri"/>
      <family val="2"/>
    </font>
    <font>
      <sz val="11"/>
      <color indexed="20"/>
      <name val="Calibri"/>
      <family val="2"/>
    </font>
    <font>
      <sz val="11"/>
      <color indexed="60"/>
      <name val="Calibri"/>
      <family val="2"/>
    </font>
    <font>
      <sz val="11"/>
      <color indexed="17"/>
      <name val="Calibri"/>
      <family val="2"/>
    </font>
    <font>
      <b/>
      <sz val="11"/>
      <color indexed="63"/>
      <name val="Calibri"/>
      <family val="2"/>
    </font>
    <font>
      <i/>
      <sz val="11"/>
      <color indexed="23"/>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b/>
      <sz val="11"/>
      <color indexed="8"/>
      <name val="Calibri"/>
      <family val="2"/>
    </font>
    <font>
      <b/>
      <sz val="11"/>
      <color indexed="9"/>
      <name val="Calibri"/>
      <family val="2"/>
    </font>
    <font>
      <b/>
      <sz val="9"/>
      <color indexed="81"/>
      <name val="Tahoma"/>
      <family val="2"/>
    </font>
    <font>
      <b/>
      <sz val="9"/>
      <color indexed="9"/>
      <name val="Arial"/>
      <family val="2"/>
    </font>
    <font>
      <sz val="9"/>
      <color indexed="81"/>
      <name val="Tahoma"/>
      <family val="2"/>
    </font>
    <font>
      <u/>
      <sz val="11"/>
      <color theme="10"/>
      <name val="Calibri"/>
      <family val="2"/>
    </font>
    <font>
      <sz val="8"/>
      <name val="Helv"/>
    </font>
    <font>
      <u/>
      <sz val="11"/>
      <color theme="10"/>
      <name val="Calibri"/>
      <family val="2"/>
      <scheme val="minor"/>
    </font>
    <font>
      <b/>
      <sz val="11"/>
      <color rgb="FFFA7D00"/>
      <name val="Calibri"/>
      <family val="2"/>
      <scheme val="minor"/>
    </font>
    <font>
      <b/>
      <sz val="11"/>
      <name val="Calibri"/>
      <family val="2"/>
      <scheme val="minor"/>
    </font>
    <font>
      <b/>
      <sz val="11"/>
      <color theme="0"/>
      <name val="Calibri"/>
      <family val="2"/>
      <scheme val="minor"/>
    </font>
    <font>
      <sz val="11"/>
      <name val="Arial"/>
      <family val="2"/>
    </font>
    <font>
      <sz val="10"/>
      <name val="Arial"/>
      <family val="2"/>
    </font>
    <font>
      <b/>
      <sz val="9"/>
      <color indexed="9"/>
      <name val="Arial"/>
      <family val="2"/>
    </font>
    <font>
      <sz val="10"/>
      <color theme="1"/>
      <name val="Arial"/>
      <family val="2"/>
    </font>
    <font>
      <b/>
      <sz val="10"/>
      <color theme="0"/>
      <name val="Arial"/>
      <family val="2"/>
    </font>
    <font>
      <b/>
      <sz val="10"/>
      <color theme="1"/>
      <name val="Arial"/>
      <family val="2"/>
    </font>
    <font>
      <i/>
      <sz val="10"/>
      <name val="Arial"/>
      <family val="2"/>
    </font>
    <font>
      <b/>
      <sz val="10"/>
      <color rgb="FFCC8800"/>
      <name val="Arial"/>
      <family val="2"/>
    </font>
    <font>
      <b/>
      <sz val="12"/>
      <color rgb="FFCC8800"/>
      <name val="Arial"/>
      <family val="2"/>
    </font>
    <font>
      <b/>
      <sz val="16"/>
      <color rgb="FFCC8800"/>
      <name val="Arial"/>
      <family val="2"/>
    </font>
    <font>
      <b/>
      <sz val="10"/>
      <name val="Arial"/>
      <family val="2"/>
    </font>
    <font>
      <b/>
      <sz val="10"/>
      <color theme="1"/>
      <name val="Arial"/>
      <family val="2"/>
    </font>
    <font>
      <sz val="10"/>
      <color theme="1"/>
      <name val="Arial"/>
      <family val="2"/>
    </font>
    <font>
      <sz val="11"/>
      <color theme="1"/>
      <name val="Arial"/>
      <family val="2"/>
    </font>
    <font>
      <sz val="11"/>
      <color indexed="63"/>
      <name val="Calibri"/>
      <family val="2"/>
    </font>
    <font>
      <b/>
      <sz val="10"/>
      <color theme="0"/>
      <name val="Arial"/>
      <family val="2"/>
    </font>
    <font>
      <b/>
      <sz val="10"/>
      <name val="Arial"/>
      <family val="2"/>
    </font>
    <font>
      <sz val="10"/>
      <color rgb="FF0070C0"/>
      <name val="Arial"/>
      <family val="2"/>
    </font>
    <font>
      <b/>
      <sz val="11"/>
      <color theme="0"/>
      <name val="Calibri"/>
      <family val="2"/>
    </font>
    <font>
      <b/>
      <sz val="10"/>
      <color rgb="FFFF0000"/>
      <name val="Arial"/>
      <family val="2"/>
    </font>
    <font>
      <sz val="10"/>
      <color theme="0"/>
      <name val="Arial"/>
      <family val="2"/>
    </font>
    <font>
      <b/>
      <u/>
      <sz val="10"/>
      <name val="Arial"/>
      <family val="2"/>
    </font>
    <font>
      <sz val="8"/>
      <name val="Arial"/>
      <family val="2"/>
    </font>
    <font>
      <b/>
      <sz val="11"/>
      <name val="Calibri"/>
      <family val="2"/>
    </font>
    <font>
      <b/>
      <u/>
      <sz val="12"/>
      <color rgb="FFCC8800"/>
      <name val="Arial"/>
      <family val="2"/>
    </font>
    <font>
      <b/>
      <sz val="10"/>
      <color indexed="9"/>
      <name val="Arial"/>
      <family val="2"/>
    </font>
    <font>
      <b/>
      <sz val="10"/>
      <color theme="3"/>
      <name val="Arial"/>
      <family val="2"/>
    </font>
    <font>
      <sz val="11"/>
      <name val="Calibri"/>
      <family val="2"/>
    </font>
    <font>
      <sz val="10"/>
      <color indexed="63"/>
      <name val="Arial"/>
      <family val="2"/>
    </font>
    <font>
      <sz val="11"/>
      <color indexed="63"/>
      <name val="Calibri"/>
      <family val="2"/>
    </font>
    <font>
      <sz val="11"/>
      <color indexed="63"/>
      <name val="Calibri"/>
      <family val="2"/>
    </font>
    <font>
      <b/>
      <sz val="14"/>
      <color theme="1"/>
      <name val="Calibri"/>
      <family val="2"/>
      <scheme val="minor"/>
    </font>
    <font>
      <sz val="10"/>
      <color theme="1"/>
      <name val="Calibri"/>
      <family val="2"/>
      <scheme val="minor"/>
    </font>
    <font>
      <b/>
      <sz val="11"/>
      <color theme="1"/>
      <name val="Calibri"/>
      <family val="2"/>
      <scheme val="minor"/>
    </font>
    <font>
      <b/>
      <sz val="10"/>
      <color theme="1"/>
      <name val="Calibri"/>
      <family val="2"/>
      <scheme val="minor"/>
    </font>
    <font>
      <b/>
      <sz val="11"/>
      <color indexed="9"/>
      <name val="Calibri"/>
      <family val="2"/>
      <scheme val="minor"/>
    </font>
    <font>
      <sz val="10"/>
      <color rgb="FFFF0000"/>
      <name val="Calibri"/>
      <family val="2"/>
      <scheme val="minor"/>
    </font>
    <font>
      <sz val="10"/>
      <name val="Calibri"/>
      <family val="2"/>
      <scheme val="minor"/>
    </font>
    <font>
      <sz val="11"/>
      <color theme="0"/>
      <name val="Calibri"/>
      <family val="2"/>
      <scheme val="minor"/>
    </font>
    <font>
      <sz val="11"/>
      <name val="Calibri"/>
      <family val="2"/>
      <scheme val="minor"/>
    </font>
    <font>
      <sz val="11"/>
      <color rgb="FFFF0000"/>
      <name val="Calibri"/>
      <family val="2"/>
      <scheme val="minor"/>
    </font>
    <font>
      <sz val="10"/>
      <color theme="4"/>
      <name val="Arial"/>
      <family val="2"/>
    </font>
    <font>
      <sz val="10"/>
      <color theme="4"/>
      <name val="Calibri"/>
      <family val="2"/>
      <scheme val="minor"/>
    </font>
    <font>
      <sz val="10"/>
      <color theme="4"/>
      <name val="Arial"/>
      <family val="2"/>
    </font>
    <font>
      <sz val="11"/>
      <color theme="4"/>
      <name val="Calibri"/>
      <family val="2"/>
      <scheme val="minor"/>
    </font>
    <font>
      <sz val="11"/>
      <color theme="0" tint="-0.34998626667073579"/>
      <name val="Calibri"/>
      <family val="2"/>
      <scheme val="minor"/>
    </font>
    <font>
      <sz val="10"/>
      <color theme="0" tint="-0.34998626667073579"/>
      <name val="Arial"/>
      <family val="2"/>
    </font>
    <font>
      <sz val="10"/>
      <color theme="0" tint="-0.34998626667073579"/>
      <name val="Arial"/>
      <family val="2"/>
    </font>
    <font>
      <sz val="11"/>
      <color indexed="63"/>
      <name val="Calibri"/>
      <family val="2"/>
    </font>
    <font>
      <i/>
      <sz val="10"/>
      <color theme="0" tint="-0.34998626667073579"/>
      <name val="Arial"/>
      <family val="2"/>
    </font>
    <font>
      <sz val="11"/>
      <color indexed="63"/>
      <name val="Calibri"/>
      <family val="2"/>
    </font>
    <font>
      <b/>
      <sz val="11"/>
      <color rgb="FFFF0000"/>
      <name val="Calibri"/>
      <family val="2"/>
    </font>
    <font>
      <sz val="11"/>
      <color indexed="63"/>
      <name val="Calibri"/>
      <family val="2"/>
    </font>
    <font>
      <sz val="10"/>
      <color theme="0" tint="-0.34998626667073579"/>
      <name val="Arial"/>
      <family val="2"/>
    </font>
    <font>
      <i/>
      <sz val="10"/>
      <color rgb="FFFF0000"/>
      <name val="Arial"/>
      <family val="2"/>
    </font>
    <font>
      <sz val="11"/>
      <color indexed="63"/>
      <name val="Calibri"/>
      <family val="2"/>
    </font>
    <font>
      <sz val="11"/>
      <color indexed="63"/>
      <name val="Calibri"/>
      <family val="2"/>
    </font>
    <font>
      <sz val="11"/>
      <color indexed="63"/>
      <name val="Calibri"/>
      <family val="2"/>
    </font>
    <font>
      <sz val="10"/>
      <color theme="0" tint="-0.34998626667073579"/>
      <name val="Arial"/>
      <family val="2"/>
    </font>
    <font>
      <sz val="10"/>
      <color theme="0" tint="-0.34998626667073579"/>
      <name val="Arial"/>
      <family val="2"/>
    </font>
    <font>
      <sz val="11"/>
      <color indexed="63"/>
      <name val="Calibri"/>
      <family val="2"/>
    </font>
    <font>
      <b/>
      <sz val="10"/>
      <name val="Arial"/>
      <family val="2"/>
    </font>
    <font>
      <sz val="11"/>
      <color indexed="63"/>
      <name val="Calibri"/>
      <family val="2"/>
    </font>
    <font>
      <b/>
      <sz val="9"/>
      <color indexed="81"/>
      <name val="Tahoma"/>
      <charset val="1"/>
    </font>
  </fonts>
  <fills count="5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indexed="43"/>
      </patternFill>
    </fill>
    <fill>
      <patternFill patternType="solid">
        <fgColor theme="0"/>
        <bgColor indexed="64"/>
      </patternFill>
    </fill>
    <fill>
      <patternFill patternType="solid">
        <fgColor rgb="FF991F3D"/>
        <bgColor indexed="64"/>
      </patternFill>
    </fill>
    <fill>
      <patternFill patternType="solid">
        <fgColor theme="1"/>
        <bgColor indexed="64"/>
      </patternFill>
    </fill>
    <fill>
      <patternFill patternType="solid">
        <fgColor rgb="FFF2F2F2"/>
      </patternFill>
    </fill>
    <fill>
      <patternFill patternType="solid">
        <fgColor theme="1"/>
        <bgColor theme="1"/>
      </patternFill>
    </fill>
    <fill>
      <patternFill patternType="solid">
        <fgColor theme="0" tint="-0.14999847407452621"/>
        <bgColor theme="0" tint="-0.14999847407452621"/>
      </patternFill>
    </fill>
    <fill>
      <patternFill patternType="solid">
        <fgColor indexed="22"/>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rgb="FFCC8800"/>
        <bgColor indexed="64"/>
      </patternFill>
    </fill>
    <fill>
      <patternFill patternType="solid">
        <fgColor rgb="FFFFD9B2"/>
        <bgColor indexed="64"/>
      </patternFill>
    </fill>
    <fill>
      <patternFill patternType="solid">
        <fgColor theme="9" tint="0.79998168889431442"/>
        <bgColor indexed="64"/>
      </patternFill>
    </fill>
    <fill>
      <patternFill patternType="solid">
        <fgColor rgb="FFA1C4D0"/>
        <bgColor indexed="64"/>
      </patternFill>
    </fill>
    <fill>
      <patternFill patternType="solid">
        <fgColor rgb="FF92D050"/>
        <bgColor indexed="64"/>
      </patternFill>
    </fill>
    <fill>
      <patternFill patternType="solid">
        <fgColor theme="9" tint="-0.499984740745262"/>
        <bgColor indexed="64"/>
      </patternFill>
    </fill>
    <fill>
      <patternFill patternType="solid">
        <fgColor theme="0" tint="-0.249977111117893"/>
        <bgColor indexed="64"/>
      </patternFill>
    </fill>
    <fill>
      <patternFill patternType="solid">
        <fgColor rgb="FF00B0F0"/>
        <bgColor indexed="64"/>
      </patternFill>
    </fill>
    <fill>
      <patternFill patternType="solid">
        <fgColor rgb="FFFFFF00"/>
        <bgColor indexed="64"/>
      </patternFill>
    </fill>
    <fill>
      <patternFill patternType="solid">
        <fgColor rgb="FFFFC000"/>
        <bgColor indexed="64"/>
      </patternFill>
    </fill>
    <fill>
      <patternFill patternType="solid">
        <fgColor rgb="FF002060"/>
        <bgColor indexed="64"/>
      </patternFill>
    </fill>
    <fill>
      <patternFill patternType="solid">
        <fgColor theme="4" tint="-0.249977111117893"/>
        <bgColor indexed="64"/>
      </patternFill>
    </fill>
    <fill>
      <patternFill patternType="solid">
        <fgColor rgb="FFFF0000"/>
        <bgColor indexed="64"/>
      </patternFill>
    </fill>
    <fill>
      <patternFill patternType="solid">
        <fgColor theme="0" tint="-0.34998626667073579"/>
        <bgColor indexed="64"/>
      </patternFill>
    </fill>
    <fill>
      <patternFill patternType="solid">
        <fgColor rgb="FF7030A0"/>
        <bgColor indexed="64"/>
      </patternFill>
    </fill>
    <fill>
      <patternFill patternType="solid">
        <fgColor rgb="FFFFFFCC"/>
        <bgColor indexed="64"/>
      </patternFill>
    </fill>
    <fill>
      <patternFill patternType="solid">
        <fgColor theme="8" tint="-0.249977111117893"/>
        <bgColor indexed="64"/>
      </patternFill>
    </fill>
    <fill>
      <patternFill patternType="solid">
        <fgColor rgb="FFC00000"/>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00B050"/>
        <bgColor indexed="64"/>
      </patternFill>
    </fill>
    <fill>
      <patternFill patternType="solid">
        <fgColor theme="9"/>
        <bgColor indexed="64"/>
      </patternFill>
    </fill>
  </fills>
  <borders count="127">
    <border>
      <left/>
      <right/>
      <top/>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theme="0"/>
      </left>
      <right/>
      <top/>
      <bottom style="thin">
        <color theme="0"/>
      </bottom>
      <diagonal/>
    </border>
    <border>
      <left/>
      <right/>
      <top/>
      <bottom style="thin">
        <color theme="0"/>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theme="0"/>
      </left>
      <right style="thin">
        <color theme="0"/>
      </right>
      <top/>
      <bottom/>
      <diagonal/>
    </border>
    <border>
      <left style="medium">
        <color theme="0"/>
      </left>
      <right style="thin">
        <color theme="0"/>
      </right>
      <top/>
      <bottom/>
      <diagonal/>
    </border>
    <border>
      <left style="thin">
        <color theme="0"/>
      </left>
      <right style="medium">
        <color theme="0"/>
      </right>
      <top/>
      <bottom/>
      <diagonal/>
    </border>
    <border>
      <left style="medium">
        <color theme="0"/>
      </left>
      <right style="medium">
        <color theme="0"/>
      </right>
      <top/>
      <bottom/>
      <diagonal/>
    </border>
    <border>
      <left style="thin">
        <color theme="0"/>
      </left>
      <right/>
      <top/>
      <bottom/>
      <diagonal/>
    </border>
    <border>
      <left style="thin">
        <color theme="1"/>
      </left>
      <right/>
      <top/>
      <bottom style="thin">
        <color theme="1"/>
      </bottom>
      <diagonal/>
    </border>
    <border>
      <left style="thin">
        <color indexed="64"/>
      </left>
      <right style="thin">
        <color indexed="64"/>
      </right>
      <top/>
      <bottom/>
      <diagonal/>
    </border>
    <border>
      <left/>
      <right style="thin">
        <color theme="0"/>
      </right>
      <top/>
      <bottom style="thin">
        <color theme="0"/>
      </bottom>
      <diagonal/>
    </border>
    <border>
      <left style="thin">
        <color theme="0"/>
      </left>
      <right style="thin">
        <color theme="0"/>
      </right>
      <top style="thin">
        <color theme="0"/>
      </top>
      <bottom style="thin">
        <color theme="0"/>
      </bottom>
      <diagonal/>
    </border>
    <border>
      <left/>
      <right style="thin">
        <color theme="0"/>
      </right>
      <top style="thin">
        <color theme="0"/>
      </top>
      <bottom/>
      <diagonal/>
    </border>
    <border>
      <left/>
      <right style="thin">
        <color theme="0"/>
      </right>
      <top/>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theme="0"/>
      </left>
      <right style="thin">
        <color theme="0"/>
      </right>
      <top/>
      <bottom style="thin">
        <color theme="0"/>
      </bottom>
      <diagonal/>
    </border>
    <border>
      <left style="thin">
        <color theme="0"/>
      </left>
      <right style="thin">
        <color auto="1"/>
      </right>
      <top style="thin">
        <color theme="0"/>
      </top>
      <bottom style="thin">
        <color auto="1"/>
      </bottom>
      <diagonal/>
    </border>
    <border>
      <left style="thin">
        <color auto="1"/>
      </left>
      <right style="thin">
        <color auto="1"/>
      </right>
      <top style="thin">
        <color theme="0"/>
      </top>
      <bottom style="thin">
        <color auto="1"/>
      </bottom>
      <diagonal/>
    </border>
    <border>
      <left style="thin">
        <color auto="1"/>
      </left>
      <right/>
      <top style="thin">
        <color theme="0"/>
      </top>
      <bottom style="thin">
        <color auto="1"/>
      </bottom>
      <diagonal/>
    </border>
    <border>
      <left style="thin">
        <color theme="0"/>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theme="0"/>
      </left>
      <right style="thin">
        <color auto="1"/>
      </right>
      <top style="thin">
        <color auto="1"/>
      </top>
      <bottom style="medium">
        <color indexed="64"/>
      </bottom>
      <diagonal/>
    </border>
    <border>
      <left style="thin">
        <color auto="1"/>
      </left>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style="thin">
        <color theme="0"/>
      </top>
      <bottom style="medium">
        <color theme="0"/>
      </bottom>
      <diagonal/>
    </border>
    <border>
      <left style="thin">
        <color theme="0"/>
      </left>
      <right style="thin">
        <color theme="0"/>
      </right>
      <top/>
      <bottom style="medium">
        <color theme="0"/>
      </bottom>
      <diagonal/>
    </border>
    <border>
      <left style="thin">
        <color theme="0"/>
      </left>
      <right style="thin">
        <color auto="1"/>
      </right>
      <top/>
      <bottom style="thin">
        <color auto="1"/>
      </bottom>
      <diagonal/>
    </border>
    <border>
      <left style="thin">
        <color theme="0"/>
      </left>
      <right style="thin">
        <color theme="0"/>
      </right>
      <top/>
      <bottom style="thick">
        <color theme="0"/>
      </bottom>
      <diagonal/>
    </border>
    <border>
      <left style="thin">
        <color auto="1"/>
      </left>
      <right style="thin">
        <color auto="1"/>
      </right>
      <top style="thin">
        <color auto="1"/>
      </top>
      <bottom style="thick">
        <color auto="1"/>
      </bottom>
      <diagonal/>
    </border>
    <border>
      <left/>
      <right style="thin">
        <color auto="1"/>
      </right>
      <top style="thin">
        <color auto="1"/>
      </top>
      <bottom/>
      <diagonal/>
    </border>
    <border>
      <left style="thin">
        <color indexed="64"/>
      </left>
      <right style="thin">
        <color indexed="64"/>
      </right>
      <top style="thin">
        <color indexed="64"/>
      </top>
      <bottom style="medium">
        <color indexed="64"/>
      </bottom>
      <diagonal/>
    </border>
    <border>
      <left/>
      <right style="thin">
        <color theme="0"/>
      </right>
      <top/>
      <bottom style="thick">
        <color theme="0"/>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ck">
        <color theme="0"/>
      </top>
      <bottom style="thick">
        <color theme="0"/>
      </bottom>
      <diagonal/>
    </border>
    <border>
      <left/>
      <right style="thin">
        <color auto="1"/>
      </right>
      <top style="thick">
        <color auto="1"/>
      </top>
      <bottom style="thick">
        <color auto="1"/>
      </bottom>
      <diagonal/>
    </border>
    <border>
      <left style="thin">
        <color auto="1"/>
      </left>
      <right style="thin">
        <color auto="1"/>
      </right>
      <top style="thick">
        <color auto="1"/>
      </top>
      <bottom style="thick">
        <color auto="1"/>
      </bottom>
      <diagonal/>
    </border>
    <border>
      <left style="thin">
        <color auto="1"/>
      </left>
      <right/>
      <top style="thick">
        <color auto="1"/>
      </top>
      <bottom style="thick">
        <color auto="1"/>
      </bottom>
      <diagonal/>
    </border>
    <border>
      <left style="thin">
        <color auto="1"/>
      </left>
      <right style="thin">
        <color indexed="64"/>
      </right>
      <top style="thin">
        <color indexed="64"/>
      </top>
      <bottom style="thin">
        <color indexed="64"/>
      </bottom>
      <diagonal/>
    </border>
    <border>
      <left style="thin">
        <color auto="1"/>
      </left>
      <right style="thin">
        <color indexed="64"/>
      </right>
      <top style="thin">
        <color indexed="64"/>
      </top>
      <bottom/>
      <diagonal/>
    </border>
    <border>
      <left/>
      <right/>
      <top style="thin">
        <color indexed="64"/>
      </top>
      <bottom/>
      <diagonal/>
    </border>
    <border>
      <left style="thin">
        <color auto="1"/>
      </left>
      <right style="thin">
        <color auto="1"/>
      </right>
      <top style="thin">
        <color auto="1"/>
      </top>
      <bottom/>
      <diagonal/>
    </border>
    <border>
      <left style="medium">
        <color indexed="64"/>
      </left>
      <right/>
      <top style="thin">
        <color indexed="64"/>
      </top>
      <bottom style="thin">
        <color indexed="64"/>
      </bottom>
      <diagonal/>
    </border>
    <border>
      <left/>
      <right/>
      <top style="thin">
        <color theme="1"/>
      </top>
      <bottom/>
      <diagonal/>
    </border>
    <border>
      <left style="medium">
        <color theme="0"/>
      </left>
      <right/>
      <top/>
      <bottom style="thin">
        <color indexed="64"/>
      </bottom>
      <diagonal/>
    </border>
    <border>
      <left/>
      <right/>
      <top style="thin">
        <color theme="0"/>
      </top>
      <bottom/>
      <diagonal/>
    </border>
    <border>
      <left style="medium">
        <color theme="0"/>
      </left>
      <right/>
      <top/>
      <bottom style="thin">
        <color theme="0"/>
      </bottom>
      <diagonal/>
    </border>
    <border>
      <left style="thin">
        <color theme="0"/>
      </left>
      <right style="medium">
        <color theme="0"/>
      </right>
      <top/>
      <bottom style="thin">
        <color indexed="64"/>
      </bottom>
      <diagonal/>
    </border>
    <border>
      <left/>
      <right/>
      <top style="thin">
        <color theme="1"/>
      </top>
      <bottom style="thin">
        <color theme="1"/>
      </bottom>
      <diagonal/>
    </border>
    <border>
      <left/>
      <right/>
      <top/>
      <bottom style="thin">
        <color theme="1"/>
      </bottom>
      <diagonal/>
    </border>
    <border>
      <left/>
      <right style="medium">
        <color theme="0"/>
      </right>
      <top/>
      <bottom/>
      <diagonal/>
    </border>
    <border>
      <left/>
      <right/>
      <top/>
      <bottom style="thick">
        <color theme="0"/>
      </bottom>
      <diagonal/>
    </border>
    <border>
      <left style="thin">
        <color theme="0"/>
      </left>
      <right/>
      <top style="medium">
        <color theme="0"/>
      </top>
      <bottom/>
      <diagonal/>
    </border>
    <border>
      <left style="thin">
        <color theme="0"/>
      </left>
      <right/>
      <top/>
      <bottom style="thick">
        <color theme="0"/>
      </bottom>
      <diagonal/>
    </border>
    <border>
      <left style="thin">
        <color auto="1"/>
      </left>
      <right style="thin">
        <color indexed="64"/>
      </right>
      <top style="thin">
        <color indexed="64"/>
      </top>
      <bottom/>
      <diagonal/>
    </border>
    <border>
      <left/>
      <right/>
      <top style="thin">
        <color indexed="64"/>
      </top>
      <bottom/>
      <diagonal/>
    </border>
    <border>
      <left style="thin">
        <color auto="1"/>
      </left>
      <right style="thin">
        <color indexed="64"/>
      </right>
      <top style="thin">
        <color indexed="64"/>
      </top>
      <bottom style="thin">
        <color indexed="64"/>
      </bottom>
      <diagonal/>
    </border>
    <border>
      <left style="thin">
        <color auto="1"/>
      </left>
      <right style="thin">
        <color indexed="64"/>
      </right>
      <top style="thin">
        <color indexed="64"/>
      </top>
      <bottom style="medium">
        <color indexed="64"/>
      </bottom>
      <diagonal/>
    </border>
    <border>
      <left style="thin">
        <color auto="1"/>
      </left>
      <right style="thin">
        <color indexed="64"/>
      </right>
      <top/>
      <bottom style="medium">
        <color indexed="64"/>
      </bottom>
      <diagonal/>
    </border>
    <border>
      <left style="thin">
        <color indexed="64"/>
      </left>
      <right style="thin">
        <color indexed="64"/>
      </right>
      <top style="medium">
        <color indexed="64"/>
      </top>
      <bottom/>
      <diagonal/>
    </border>
    <border>
      <left/>
      <right/>
      <top/>
      <bottom style="medium">
        <color indexed="64"/>
      </bottom>
      <diagonal/>
    </border>
    <border>
      <left style="thin">
        <color auto="1"/>
      </left>
      <right style="thin">
        <color auto="1"/>
      </right>
      <top style="thick">
        <color auto="1"/>
      </top>
      <bottom style="thin">
        <color indexed="64"/>
      </bottom>
      <diagonal/>
    </border>
    <border>
      <left style="thin">
        <color auto="1"/>
      </left>
      <right style="thin">
        <color auto="1"/>
      </right>
      <top style="medium">
        <color indexed="64"/>
      </top>
      <bottom style="thin">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9"/>
      </left>
      <right style="thin">
        <color indexed="9"/>
      </right>
      <top style="thin">
        <color indexed="9"/>
      </top>
      <bottom/>
      <diagonal/>
    </border>
    <border>
      <left style="thin">
        <color indexed="9"/>
      </left>
      <right/>
      <top/>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auto="1"/>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thin">
        <color theme="0" tint="-0.14996795556505021"/>
      </right>
      <top style="thin">
        <color theme="0" tint="-0.14996795556505021"/>
      </top>
      <bottom style="thin">
        <color indexed="64"/>
      </bottom>
      <diagonal/>
    </border>
    <border>
      <left style="thin">
        <color theme="0" tint="-0.14996795556505021"/>
      </left>
      <right style="thin">
        <color theme="0" tint="-0.14996795556505021"/>
      </right>
      <top/>
      <bottom/>
      <diagonal/>
    </border>
    <border>
      <left style="thin">
        <color theme="0" tint="-0.14996795556505021"/>
      </left>
      <right style="thin">
        <color theme="0" tint="-0.14996795556505021"/>
      </right>
      <top/>
      <bottom style="thin">
        <color indexed="64"/>
      </bottom>
      <diagonal/>
    </border>
    <border>
      <left style="thin">
        <color theme="0" tint="-0.14996795556505021"/>
      </left>
      <right/>
      <top style="thin">
        <color theme="0" tint="-0.14996795556505021"/>
      </top>
      <bottom style="thin">
        <color theme="0" tint="-0.14993743705557422"/>
      </bottom>
      <diagonal/>
    </border>
    <border>
      <left/>
      <right/>
      <top style="thin">
        <color theme="0" tint="-0.14996795556505021"/>
      </top>
      <bottom style="thin">
        <color theme="0" tint="-0.14993743705557422"/>
      </bottom>
      <diagonal/>
    </border>
    <border>
      <left/>
      <right style="thin">
        <color theme="0" tint="-0.14996795556505021"/>
      </right>
      <top style="thin">
        <color theme="0" tint="-0.14996795556505021"/>
      </top>
      <bottom style="thin">
        <color theme="0" tint="-0.14993743705557422"/>
      </bottom>
      <diagonal/>
    </border>
    <border>
      <left style="thin">
        <color theme="0" tint="-0.14996795556505021"/>
      </left>
      <right style="thin">
        <color theme="0" tint="-0.14996795556505021"/>
      </right>
      <top style="thin">
        <color indexed="64"/>
      </top>
      <bottom/>
      <diagonal/>
    </border>
    <border>
      <left style="thin">
        <color theme="0" tint="-0.14996795556505021"/>
      </left>
      <right style="thin">
        <color theme="0" tint="-0.14996795556505021"/>
      </right>
      <top style="thin">
        <color indexed="64"/>
      </top>
      <bottom style="thin">
        <color indexed="64"/>
      </bottom>
      <diagonal/>
    </border>
    <border>
      <left style="thin">
        <color theme="0" tint="-0.14996795556505021"/>
      </left>
      <right style="thin">
        <color theme="0" tint="-0.14996795556505021"/>
      </right>
      <top style="thin">
        <color indexed="64"/>
      </top>
      <bottom style="thin">
        <color theme="0" tint="-0.14996795556505021"/>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theme="0" tint="-0.24994659260841701"/>
      </right>
      <top style="thin">
        <color theme="0" tint="-0.24994659260841701"/>
      </top>
      <bottom style="thin">
        <color theme="0" tint="-0.24994659260841701"/>
      </bottom>
      <diagonal/>
    </border>
  </borders>
  <cellStyleXfs count="74">
    <xf numFmtId="0" fontId="0" fillId="0" borderId="0"/>
    <xf numFmtId="0" fontId="19" fillId="2" borderId="0" applyNumberFormat="0" applyBorder="0" applyAlignment="0" applyProtection="0"/>
    <xf numFmtId="0" fontId="19" fillId="3" borderId="0" applyNumberFormat="0" applyBorder="0" applyAlignment="0" applyProtection="0"/>
    <xf numFmtId="0" fontId="19" fillId="4" borderId="0" applyNumberFormat="0" applyBorder="0" applyAlignment="0" applyProtection="0"/>
    <xf numFmtId="0" fontId="19" fillId="5" borderId="0" applyNumberFormat="0" applyBorder="0" applyAlignment="0" applyProtection="0"/>
    <xf numFmtId="0" fontId="19" fillId="6" borderId="0" applyNumberFormat="0" applyBorder="0" applyAlignment="0" applyProtection="0"/>
    <xf numFmtId="0" fontId="19" fillId="7" borderId="0" applyNumberFormat="0" applyBorder="0" applyAlignment="0" applyProtection="0"/>
    <xf numFmtId="0" fontId="19" fillId="8" borderId="0" applyNumberFormat="0" applyBorder="0" applyAlignment="0" applyProtection="0"/>
    <xf numFmtId="0" fontId="19" fillId="9" borderId="0" applyNumberFormat="0" applyBorder="0" applyAlignment="0" applyProtection="0"/>
    <xf numFmtId="0" fontId="19" fillId="10" borderId="0" applyNumberFormat="0" applyBorder="0" applyAlignment="0" applyProtection="0"/>
    <xf numFmtId="0" fontId="19" fillId="5" borderId="0" applyNumberFormat="0" applyBorder="0" applyAlignment="0" applyProtection="0"/>
    <xf numFmtId="0" fontId="19" fillId="8" borderId="0" applyNumberFormat="0" applyBorder="0" applyAlignment="0" applyProtection="0"/>
    <xf numFmtId="0" fontId="19" fillId="11" borderId="0" applyNumberFormat="0" applyBorder="0" applyAlignment="0" applyProtection="0"/>
    <xf numFmtId="0" fontId="20" fillId="12" borderId="0" applyNumberFormat="0" applyBorder="0" applyAlignment="0" applyProtection="0"/>
    <xf numFmtId="0" fontId="20" fillId="9" borderId="0" applyNumberFormat="0" applyBorder="0" applyAlignment="0" applyProtection="0"/>
    <xf numFmtId="0" fontId="20" fillId="10" borderId="0" applyNumberFormat="0" applyBorder="0" applyAlignment="0" applyProtection="0"/>
    <xf numFmtId="0" fontId="20" fillId="13" borderId="0" applyNumberFormat="0" applyBorder="0" applyAlignment="0" applyProtection="0"/>
    <xf numFmtId="0" fontId="20" fillId="14" borderId="0" applyNumberFormat="0" applyBorder="0" applyAlignment="0" applyProtection="0"/>
    <xf numFmtId="0" fontId="20" fillId="15" borderId="0" applyNumberFormat="0" applyBorder="0" applyAlignment="0" applyProtection="0"/>
    <xf numFmtId="0" fontId="20" fillId="16" borderId="0" applyNumberFormat="0" applyBorder="0" applyAlignment="0" applyProtection="0"/>
    <xf numFmtId="0" fontId="20" fillId="17" borderId="0" applyNumberFormat="0" applyBorder="0" applyAlignment="0" applyProtection="0"/>
    <xf numFmtId="0" fontId="20" fillId="18" borderId="0" applyNumberFormat="0" applyBorder="0" applyAlignment="0" applyProtection="0"/>
    <xf numFmtId="0" fontId="20" fillId="13" borderId="0" applyNumberFormat="0" applyBorder="0" applyAlignment="0" applyProtection="0"/>
    <xf numFmtId="0" fontId="20" fillId="14" borderId="0" applyNumberFormat="0" applyBorder="0" applyAlignment="0" applyProtection="0"/>
    <xf numFmtId="0" fontId="20" fillId="19" borderId="0" applyNumberFormat="0" applyBorder="0" applyAlignment="0" applyProtection="0"/>
    <xf numFmtId="0" fontId="21" fillId="0" borderId="0" applyNumberFormat="0" applyFill="0" applyBorder="0" applyAlignment="0" applyProtection="0"/>
    <xf numFmtId="0" fontId="22" fillId="0" borderId="2" applyNumberFormat="0" applyFill="0" applyAlignment="0" applyProtection="0"/>
    <xf numFmtId="166" fontId="16" fillId="0" borderId="0" applyFont="0" applyFill="0" applyBorder="0" applyAlignment="0" applyProtection="0"/>
    <xf numFmtId="0" fontId="16" fillId="22" borderId="4" applyNumberFormat="0" applyFont="0" applyAlignment="0" applyProtection="0"/>
    <xf numFmtId="0" fontId="23" fillId="7" borderId="1" applyNumberFormat="0" applyAlignment="0" applyProtection="0"/>
    <xf numFmtId="0" fontId="24" fillId="3" borderId="0" applyNumberFormat="0" applyBorder="0" applyAlignment="0" applyProtection="0"/>
    <xf numFmtId="166" fontId="18" fillId="0" borderId="0" applyFont="0" applyFill="0" applyBorder="0" applyAlignment="0" applyProtection="0"/>
    <xf numFmtId="166" fontId="16" fillId="0" borderId="0" applyFont="0" applyFill="0" applyBorder="0" applyAlignment="0" applyProtection="0"/>
    <xf numFmtId="0" fontId="25" fillId="23" borderId="0" applyNumberFormat="0" applyBorder="0" applyAlignment="0" applyProtection="0"/>
    <xf numFmtId="0" fontId="18" fillId="0" borderId="0"/>
    <xf numFmtId="0" fontId="16" fillId="0" borderId="0"/>
    <xf numFmtId="0" fontId="19" fillId="0" borderId="0"/>
    <xf numFmtId="0" fontId="18" fillId="0" borderId="0"/>
    <xf numFmtId="9" fontId="16" fillId="0" borderId="0" applyFont="0" applyFill="0" applyBorder="0" applyAlignment="0" applyProtection="0"/>
    <xf numFmtId="9" fontId="18" fillId="0" borderId="0" applyFont="0" applyFill="0" applyBorder="0" applyAlignment="0" applyProtection="0"/>
    <xf numFmtId="0" fontId="26" fillId="4" borderId="0" applyNumberFormat="0" applyBorder="0" applyAlignment="0" applyProtection="0"/>
    <xf numFmtId="0" fontId="27" fillId="20" borderId="8"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5" applyNumberFormat="0" applyFill="0" applyAlignment="0" applyProtection="0"/>
    <xf numFmtId="0" fontId="31" fillId="0" borderId="6" applyNumberFormat="0" applyFill="0" applyAlignment="0" applyProtection="0"/>
    <xf numFmtId="0" fontId="32" fillId="0" borderId="7" applyNumberFormat="0" applyFill="0" applyAlignment="0" applyProtection="0"/>
    <xf numFmtId="0" fontId="32" fillId="0" borderId="0" applyNumberFormat="0" applyFill="0" applyBorder="0" applyAlignment="0" applyProtection="0"/>
    <xf numFmtId="0" fontId="33" fillId="0" borderId="9" applyNumberFormat="0" applyFill="0" applyAlignment="0" applyProtection="0"/>
    <xf numFmtId="0" fontId="34" fillId="21" borderId="3" applyNumberFormat="0" applyAlignment="0" applyProtection="0"/>
    <xf numFmtId="0" fontId="15" fillId="0" borderId="0"/>
    <xf numFmtId="9" fontId="15" fillId="0" borderId="0" applyFont="0" applyFill="0" applyBorder="0" applyAlignment="0" applyProtection="0"/>
    <xf numFmtId="0" fontId="14" fillId="0" borderId="0"/>
    <xf numFmtId="0" fontId="38" fillId="0" borderId="0" applyNumberFormat="0" applyFill="0" applyBorder="0" applyAlignment="0" applyProtection="0">
      <alignment vertical="top"/>
      <protection locked="0"/>
    </xf>
    <xf numFmtId="0" fontId="39" fillId="0" borderId="0"/>
    <xf numFmtId="170" fontId="16" fillId="0" borderId="0" applyFont="0" applyFill="0" applyBorder="0" applyAlignment="0" applyProtection="0"/>
    <xf numFmtId="0" fontId="16" fillId="0" borderId="0"/>
    <xf numFmtId="0" fontId="16" fillId="0" borderId="0"/>
    <xf numFmtId="0" fontId="13" fillId="0" borderId="0"/>
    <xf numFmtId="0" fontId="40" fillId="0" borderId="0" applyNumberFormat="0" applyFill="0" applyBorder="0" applyAlignment="0" applyProtection="0"/>
    <xf numFmtId="0" fontId="12" fillId="0" borderId="0"/>
    <xf numFmtId="0" fontId="11" fillId="0" borderId="0"/>
    <xf numFmtId="0" fontId="10" fillId="0" borderId="0"/>
    <xf numFmtId="0" fontId="10" fillId="0" borderId="0"/>
    <xf numFmtId="0" fontId="10" fillId="0" borderId="0"/>
    <xf numFmtId="0" fontId="41" fillId="27" borderId="22" applyNumberFormat="0" applyAlignment="0" applyProtection="0"/>
    <xf numFmtId="165" fontId="45" fillId="0" borderId="0" applyFont="0" applyFill="0" applyBorder="0" applyAlignment="0" applyProtection="0"/>
    <xf numFmtId="0" fontId="9" fillId="0" borderId="0"/>
    <xf numFmtId="0" fontId="16" fillId="0" borderId="0"/>
    <xf numFmtId="182" fontId="16" fillId="0" borderId="0" applyFont="0" applyFill="0" applyBorder="0" applyAlignment="0" applyProtection="0"/>
    <xf numFmtId="182" fontId="9" fillId="0" borderId="0" applyFont="0" applyFill="0" applyBorder="0" applyAlignment="0" applyProtection="0"/>
    <xf numFmtId="9" fontId="9" fillId="0" borderId="0" applyFont="0" applyFill="0" applyBorder="0" applyAlignment="0" applyProtection="0"/>
    <xf numFmtId="0" fontId="7" fillId="0" borderId="0"/>
    <xf numFmtId="44" fontId="7" fillId="0" borderId="0" applyFont="0" applyFill="0" applyBorder="0" applyAlignment="0" applyProtection="0"/>
  </cellStyleXfs>
  <cellXfs count="758">
    <xf numFmtId="0" fontId="0" fillId="0" borderId="0" xfId="0"/>
    <xf numFmtId="0" fontId="0" fillId="0" borderId="0" xfId="0" applyAlignment="1">
      <alignment horizontal="center"/>
    </xf>
    <xf numFmtId="169" fontId="16" fillId="0" borderId="14" xfId="27" applyNumberFormat="1" applyFont="1" applyFill="1" applyBorder="1" applyAlignment="1">
      <alignment vertical="center" wrapText="1"/>
    </xf>
    <xf numFmtId="0" fontId="16" fillId="0" borderId="14" xfId="0" applyFont="1" applyBorder="1"/>
    <xf numFmtId="0" fontId="16" fillId="0" borderId="0" xfId="0" applyFont="1"/>
    <xf numFmtId="0" fontId="43" fillId="26" borderId="15" xfId="0" applyFont="1" applyFill="1" applyBorder="1" applyAlignment="1">
      <alignment horizontal="center" vertical="center" wrapText="1"/>
    </xf>
    <xf numFmtId="0" fontId="42" fillId="26" borderId="15" xfId="0" applyFont="1" applyFill="1" applyBorder="1" applyAlignment="1">
      <alignment horizontal="center" vertical="center" wrapText="1"/>
    </xf>
    <xf numFmtId="1" fontId="36" fillId="25" borderId="23" xfId="0" applyNumberFormat="1" applyFont="1" applyFill="1" applyBorder="1" applyAlignment="1">
      <alignment horizontal="center" vertical="center" wrapText="1"/>
    </xf>
    <xf numFmtId="0" fontId="16" fillId="0" borderId="0" xfId="0" applyFont="1" applyAlignment="1">
      <alignment horizontal="center" vertical="center"/>
    </xf>
    <xf numFmtId="14" fontId="0" fillId="0" borderId="21" xfId="0" applyNumberFormat="1" applyBorder="1" applyAlignment="1">
      <alignment horizontal="center"/>
    </xf>
    <xf numFmtId="172" fontId="0" fillId="0" borderId="0" xfId="66" applyNumberFormat="1" applyFont="1" applyBorder="1" applyAlignment="1">
      <alignment horizontal="center"/>
    </xf>
    <xf numFmtId="0" fontId="0" fillId="24" borderId="0" xfId="0" applyFill="1"/>
    <xf numFmtId="1" fontId="36" fillId="25" borderId="27" xfId="0" applyNumberFormat="1" applyFont="1" applyFill="1" applyBorder="1" applyAlignment="1">
      <alignment horizontal="center" vertical="center" wrapText="1"/>
    </xf>
    <xf numFmtId="167" fontId="0" fillId="0" borderId="0" xfId="0" applyNumberFormat="1" applyAlignment="1">
      <alignment horizontal="center"/>
    </xf>
    <xf numFmtId="172" fontId="0" fillId="0" borderId="0" xfId="0" applyNumberFormat="1" applyAlignment="1">
      <alignment horizontal="center"/>
    </xf>
    <xf numFmtId="167" fontId="0" fillId="0" borderId="0" xfId="0" applyNumberFormat="1" applyAlignment="1">
      <alignment horizontal="center" vertical="center"/>
    </xf>
    <xf numFmtId="0" fontId="0" fillId="24" borderId="0" xfId="0" applyFill="1" applyAlignment="1">
      <alignment horizontal="center"/>
    </xf>
    <xf numFmtId="168" fontId="49" fillId="29" borderId="14" xfId="27" applyNumberFormat="1" applyFont="1" applyFill="1" applyBorder="1" applyAlignment="1">
      <alignment horizontal="center" vertical="center" wrapText="1"/>
    </xf>
    <xf numFmtId="168" fontId="49" fillId="0" borderId="14" xfId="27" applyNumberFormat="1" applyFont="1" applyBorder="1" applyAlignment="1">
      <alignment horizontal="center" vertical="center" wrapText="1"/>
    </xf>
    <xf numFmtId="174" fontId="47" fillId="29" borderId="14" xfId="27" applyNumberFormat="1" applyFont="1" applyFill="1" applyBorder="1" applyAlignment="1">
      <alignment horizontal="center" vertical="center" wrapText="1"/>
    </xf>
    <xf numFmtId="174" fontId="47" fillId="0" borderId="14" xfId="27" applyNumberFormat="1" applyFont="1" applyBorder="1" applyAlignment="1">
      <alignment horizontal="center" vertical="center" wrapText="1"/>
    </xf>
    <xf numFmtId="0" fontId="48" fillId="28" borderId="28" xfId="0" applyFont="1" applyFill="1" applyBorder="1"/>
    <xf numFmtId="168" fontId="49" fillId="0" borderId="18" xfId="27" applyNumberFormat="1" applyFont="1" applyBorder="1" applyAlignment="1">
      <alignment horizontal="center" vertical="center" wrapText="1"/>
    </xf>
    <xf numFmtId="174" fontId="47" fillId="0" borderId="18" xfId="27" applyNumberFormat="1" applyFont="1" applyBorder="1" applyAlignment="1">
      <alignment horizontal="center" vertical="center" wrapText="1"/>
    </xf>
    <xf numFmtId="171" fontId="0" fillId="0" borderId="0" xfId="0" applyNumberFormat="1" applyAlignment="1">
      <alignment horizontal="center"/>
    </xf>
    <xf numFmtId="0" fontId="0" fillId="0" borderId="0" xfId="0" pivotButton="1"/>
    <xf numFmtId="0" fontId="0" fillId="0" borderId="0" xfId="0" applyAlignment="1">
      <alignment horizontal="left"/>
    </xf>
    <xf numFmtId="165" fontId="0" fillId="0" borderId="0" xfId="0" applyNumberFormat="1"/>
    <xf numFmtId="173" fontId="36" fillId="25" borderId="27" xfId="0" applyNumberFormat="1" applyFont="1" applyFill="1" applyBorder="1" applyAlignment="1">
      <alignment horizontal="center" vertical="center" wrapText="1"/>
    </xf>
    <xf numFmtId="0" fontId="0" fillId="32" borderId="0" xfId="0" applyFill="1"/>
    <xf numFmtId="0" fontId="0" fillId="0" borderId="0" xfId="0" applyAlignment="1">
      <alignment horizontal="center" vertical="center"/>
    </xf>
    <xf numFmtId="0" fontId="0" fillId="0" borderId="0" xfId="0" applyAlignment="1">
      <alignment vertical="center"/>
    </xf>
    <xf numFmtId="0" fontId="16" fillId="0" borderId="0" xfId="0" applyFont="1" applyAlignment="1">
      <alignment vertical="center"/>
    </xf>
    <xf numFmtId="175" fontId="16" fillId="0" borderId="0" xfId="66" applyNumberFormat="1" applyFont="1" applyFill="1" applyBorder="1" applyAlignment="1">
      <alignment vertical="center" wrapText="1"/>
    </xf>
    <xf numFmtId="0" fontId="0" fillId="24" borderId="0" xfId="0" applyFill="1" applyAlignment="1">
      <alignment horizontal="left"/>
    </xf>
    <xf numFmtId="1" fontId="36" fillId="25" borderId="23" xfId="0" applyNumberFormat="1" applyFont="1" applyFill="1" applyBorder="1" applyAlignment="1">
      <alignment horizontal="left" vertical="center" wrapText="1"/>
    </xf>
    <xf numFmtId="167" fontId="0" fillId="0" borderId="0" xfId="0" applyNumberFormat="1"/>
    <xf numFmtId="0" fontId="48" fillId="33" borderId="31" xfId="0" applyFont="1" applyFill="1" applyBorder="1" applyAlignment="1">
      <alignment horizontal="center"/>
    </xf>
    <xf numFmtId="0" fontId="16" fillId="0" borderId="38" xfId="0" applyFont="1" applyBorder="1" applyAlignment="1">
      <alignment horizontal="center"/>
    </xf>
    <xf numFmtId="165" fontId="0" fillId="0" borderId="40" xfId="0" applyNumberFormat="1" applyBorder="1"/>
    <xf numFmtId="0" fontId="16" fillId="0" borderId="41" xfId="0" applyFont="1" applyBorder="1" applyAlignment="1">
      <alignment horizontal="center"/>
    </xf>
    <xf numFmtId="165" fontId="0" fillId="0" borderId="42" xfId="0" applyNumberFormat="1" applyBorder="1"/>
    <xf numFmtId="165" fontId="48" fillId="25" borderId="31" xfId="0" applyNumberFormat="1" applyFont="1" applyFill="1" applyBorder="1" applyAlignment="1">
      <alignment horizontal="center"/>
    </xf>
    <xf numFmtId="167" fontId="48" fillId="25" borderId="31" xfId="0" applyNumberFormat="1" applyFont="1" applyFill="1" applyBorder="1" applyAlignment="1">
      <alignment horizontal="center"/>
    </xf>
    <xf numFmtId="167" fontId="0" fillId="0" borderId="39" xfId="0" applyNumberFormat="1" applyBorder="1"/>
    <xf numFmtId="0" fontId="16" fillId="0" borderId="43" xfId="0" applyFont="1" applyBorder="1" applyAlignment="1">
      <alignment horizontal="center"/>
    </xf>
    <xf numFmtId="165" fontId="0" fillId="0" borderId="44" xfId="0" applyNumberFormat="1" applyBorder="1"/>
    <xf numFmtId="167" fontId="0" fillId="0" borderId="45" xfId="0" applyNumberFormat="1" applyBorder="1"/>
    <xf numFmtId="167" fontId="0" fillId="31" borderId="39" xfId="0" applyNumberFormat="1" applyFill="1" applyBorder="1"/>
    <xf numFmtId="167" fontId="0" fillId="31" borderId="42" xfId="0" applyNumberFormat="1" applyFill="1" applyBorder="1"/>
    <xf numFmtId="0" fontId="16" fillId="0" borderId="51" xfId="0" applyFont="1" applyBorder="1" applyAlignment="1">
      <alignment horizontal="center"/>
    </xf>
    <xf numFmtId="165" fontId="0" fillId="0" borderId="35" xfId="0" applyNumberFormat="1" applyBorder="1"/>
    <xf numFmtId="165" fontId="0" fillId="0" borderId="16" xfId="0" applyNumberFormat="1" applyBorder="1"/>
    <xf numFmtId="0" fontId="52" fillId="0" borderId="0" xfId="0" applyFont="1"/>
    <xf numFmtId="0" fontId="53" fillId="0" borderId="0" xfId="0" applyFont="1"/>
    <xf numFmtId="0" fontId="17" fillId="0" borderId="16" xfId="0" applyFont="1" applyBorder="1" applyAlignment="1">
      <alignment horizontal="right"/>
    </xf>
    <xf numFmtId="0" fontId="17" fillId="0" borderId="14" xfId="0" applyFont="1" applyBorder="1" applyAlignment="1">
      <alignment horizontal="right"/>
    </xf>
    <xf numFmtId="10" fontId="0" fillId="0" borderId="16" xfId="38" applyNumberFormat="1" applyFont="1" applyBorder="1"/>
    <xf numFmtId="10" fontId="0" fillId="0" borderId="14" xfId="38" applyNumberFormat="1" applyFont="1" applyBorder="1"/>
    <xf numFmtId="167" fontId="0" fillId="35" borderId="16" xfId="0" applyNumberFormat="1" applyFill="1" applyBorder="1"/>
    <xf numFmtId="0" fontId="17" fillId="0" borderId="11" xfId="0" applyFont="1" applyBorder="1" applyAlignment="1">
      <alignment horizontal="right"/>
    </xf>
    <xf numFmtId="167" fontId="17" fillId="34" borderId="14" xfId="0" applyNumberFormat="1" applyFont="1" applyFill="1" applyBorder="1"/>
    <xf numFmtId="0" fontId="17" fillId="0" borderId="18" xfId="0" applyFont="1" applyBorder="1"/>
    <xf numFmtId="176" fontId="17" fillId="34" borderId="14" xfId="0" applyNumberFormat="1" applyFont="1" applyFill="1" applyBorder="1"/>
    <xf numFmtId="0" fontId="17" fillId="0" borderId="10" xfId="0" applyFont="1" applyBorder="1"/>
    <xf numFmtId="176" fontId="0" fillId="35" borderId="16" xfId="0" applyNumberFormat="1" applyFill="1" applyBorder="1"/>
    <xf numFmtId="176" fontId="0" fillId="35" borderId="14" xfId="0" applyNumberFormat="1" applyFill="1" applyBorder="1"/>
    <xf numFmtId="0" fontId="0" fillId="0" borderId="36" xfId="0" applyBorder="1" applyAlignment="1">
      <alignment horizontal="center"/>
    </xf>
    <xf numFmtId="0" fontId="0" fillId="0" borderId="17" xfId="0" applyBorder="1" applyAlignment="1">
      <alignment horizontal="center"/>
    </xf>
    <xf numFmtId="165" fontId="0" fillId="0" borderId="34" xfId="0" applyNumberFormat="1" applyBorder="1"/>
    <xf numFmtId="0" fontId="0" fillId="0" borderId="54" xfId="0" applyBorder="1" applyAlignment="1">
      <alignment horizontal="center"/>
    </xf>
    <xf numFmtId="165" fontId="0" fillId="0" borderId="10" xfId="0" applyNumberFormat="1" applyBorder="1"/>
    <xf numFmtId="0" fontId="0" fillId="0" borderId="57" xfId="0" applyBorder="1" applyAlignment="1">
      <alignment horizontal="center"/>
    </xf>
    <xf numFmtId="165" fontId="0" fillId="0" borderId="58" xfId="0" applyNumberFormat="1" applyBorder="1"/>
    <xf numFmtId="167" fontId="0" fillId="31" borderId="16" xfId="0" applyNumberFormat="1" applyFill="1" applyBorder="1"/>
    <xf numFmtId="167" fontId="0" fillId="31" borderId="14" xfId="0" applyNumberFormat="1" applyFill="1" applyBorder="1"/>
    <xf numFmtId="167" fontId="0" fillId="31" borderId="55" xfId="0" applyNumberFormat="1" applyFill="1" applyBorder="1"/>
    <xf numFmtId="167" fontId="0" fillId="31" borderId="18" xfId="0" applyNumberFormat="1" applyFill="1" applyBorder="1"/>
    <xf numFmtId="167" fontId="0" fillId="31" borderId="53" xfId="0" applyNumberFormat="1" applyFill="1" applyBorder="1"/>
    <xf numFmtId="167" fontId="0" fillId="31" borderId="36" xfId="0" applyNumberFormat="1" applyFill="1" applyBorder="1"/>
    <xf numFmtId="167" fontId="0" fillId="31" borderId="17" xfId="0" applyNumberFormat="1" applyFill="1" applyBorder="1"/>
    <xf numFmtId="167" fontId="0" fillId="31" borderId="57" xfId="0" applyNumberFormat="1" applyFill="1" applyBorder="1"/>
    <xf numFmtId="167" fontId="0" fillId="31" borderId="54" xfId="0" applyNumberFormat="1" applyFill="1" applyBorder="1"/>
    <xf numFmtId="165" fontId="0" fillId="35" borderId="39" xfId="0" applyNumberFormat="1" applyFill="1" applyBorder="1"/>
    <xf numFmtId="0" fontId="16" fillId="0" borderId="60" xfId="0" quotePrefix="1" applyFont="1" applyBorder="1" applyAlignment="1">
      <alignment horizontal="center"/>
    </xf>
    <xf numFmtId="165" fontId="0" fillId="0" borderId="62" xfId="0" applyNumberFormat="1" applyBorder="1"/>
    <xf numFmtId="167" fontId="0" fillId="31" borderId="61" xfId="0" applyNumberFormat="1" applyFill="1" applyBorder="1"/>
    <xf numFmtId="17" fontId="51" fillId="0" borderId="0" xfId="0" applyNumberFormat="1" applyFont="1"/>
    <xf numFmtId="16" fontId="36" fillId="25" borderId="0" xfId="35" applyNumberFormat="1" applyFont="1" applyFill="1" applyAlignment="1">
      <alignment horizontal="center" vertical="center" wrapText="1"/>
    </xf>
    <xf numFmtId="0" fontId="0" fillId="35" borderId="16" xfId="0" applyFill="1" applyBorder="1"/>
    <xf numFmtId="0" fontId="0" fillId="35" borderId="63" xfId="0" applyFill="1" applyBorder="1"/>
    <xf numFmtId="0" fontId="0" fillId="35" borderId="64" xfId="0" applyFill="1" applyBorder="1"/>
    <xf numFmtId="14" fontId="0" fillId="0" borderId="65" xfId="0" applyNumberFormat="1" applyBorder="1" applyAlignment="1">
      <alignment horizontal="center"/>
    </xf>
    <xf numFmtId="0" fontId="0" fillId="0" borderId="0" xfId="0" applyAlignment="1">
      <alignment wrapText="1"/>
    </xf>
    <xf numFmtId="0" fontId="0" fillId="0" borderId="29" xfId="0" applyBorder="1" applyAlignment="1">
      <alignment horizontal="center"/>
    </xf>
    <xf numFmtId="1" fontId="36" fillId="25" borderId="48" xfId="0" applyNumberFormat="1" applyFont="1" applyFill="1" applyBorder="1" applyAlignment="1">
      <alignment horizontal="center" vertical="center" wrapText="1"/>
    </xf>
    <xf numFmtId="169" fontId="16" fillId="0" borderId="63" xfId="27" applyNumberFormat="1" applyFont="1" applyFill="1" applyBorder="1" applyAlignment="1">
      <alignment vertical="center" wrapText="1"/>
    </xf>
    <xf numFmtId="0" fontId="16" fillId="24" borderId="67" xfId="34" applyFont="1" applyFill="1" applyBorder="1" applyAlignment="1">
      <alignment horizontal="left" vertical="center"/>
    </xf>
    <xf numFmtId="168" fontId="16" fillId="0" borderId="14" xfId="27" applyNumberFormat="1" applyFont="1" applyFill="1" applyBorder="1" applyAlignment="1">
      <alignment horizontal="left" vertical="center" wrapText="1"/>
    </xf>
    <xf numFmtId="168" fontId="16" fillId="0" borderId="18" xfId="27" applyNumberFormat="1" applyFont="1" applyFill="1" applyBorder="1" applyAlignment="1">
      <alignment horizontal="left" vertical="center" wrapText="1"/>
    </xf>
    <xf numFmtId="0" fontId="16" fillId="0" borderId="67" xfId="34" applyFont="1" applyBorder="1" applyAlignment="1">
      <alignment horizontal="left" vertical="center"/>
    </xf>
    <xf numFmtId="169" fontId="17" fillId="0" borderId="17" xfId="0" applyNumberFormat="1" applyFont="1" applyBorder="1" applyAlignment="1">
      <alignment vertical="center" wrapText="1"/>
    </xf>
    <xf numFmtId="175" fontId="16" fillId="0" borderId="0" xfId="0" applyNumberFormat="1" applyFont="1" applyAlignment="1">
      <alignment vertical="center" wrapText="1"/>
    </xf>
    <xf numFmtId="168" fontId="16" fillId="0" borderId="63" xfId="0" applyNumberFormat="1" applyFont="1" applyBorder="1" applyAlignment="1">
      <alignment horizontal="left" vertical="center" wrapText="1"/>
    </xf>
    <xf numFmtId="168" fontId="16" fillId="0" borderId="66" xfId="0" applyNumberFormat="1" applyFont="1" applyBorder="1" applyAlignment="1">
      <alignment horizontal="left" vertical="center" wrapText="1"/>
    </xf>
    <xf numFmtId="169" fontId="16" fillId="0" borderId="66" xfId="27" applyNumberFormat="1" applyFont="1" applyFill="1" applyBorder="1" applyAlignment="1">
      <alignment vertical="center" wrapText="1"/>
    </xf>
    <xf numFmtId="168" fontId="0" fillId="0" borderId="63" xfId="0" applyNumberFormat="1" applyBorder="1" applyAlignment="1">
      <alignment horizontal="left" vertical="center" wrapText="1"/>
    </xf>
    <xf numFmtId="169" fontId="16" fillId="0" borderId="17" xfId="0" applyNumberFormat="1" applyFont="1" applyBorder="1" applyAlignment="1">
      <alignment vertical="center" wrapText="1"/>
    </xf>
    <xf numFmtId="169" fontId="16" fillId="0" borderId="10" xfId="27" applyNumberFormat="1" applyFont="1" applyFill="1" applyBorder="1" applyAlignment="1">
      <alignment vertical="center" wrapText="1"/>
    </xf>
    <xf numFmtId="169" fontId="16" fillId="0" borderId="54" xfId="0" applyNumberFormat="1" applyFont="1" applyBorder="1" applyAlignment="1">
      <alignment vertical="center" wrapText="1"/>
    </xf>
    <xf numFmtId="169" fontId="16" fillId="0" borderId="18" xfId="27" applyNumberFormat="1" applyFont="1" applyFill="1" applyBorder="1" applyAlignment="1">
      <alignment vertical="center" wrapText="1"/>
    </xf>
    <xf numFmtId="169" fontId="0" fillId="0" borderId="63" xfId="27" applyNumberFormat="1" applyFont="1" applyFill="1" applyBorder="1" applyAlignment="1">
      <alignment vertical="center" wrapText="1"/>
    </xf>
    <xf numFmtId="175" fontId="0" fillId="0" borderId="0" xfId="0" applyNumberFormat="1" applyAlignment="1">
      <alignment vertical="center" wrapText="1"/>
    </xf>
    <xf numFmtId="169" fontId="54" fillId="0" borderId="54" xfId="0" applyNumberFormat="1" applyFont="1" applyBorder="1" applyAlignment="1">
      <alignment vertical="center" wrapText="1"/>
    </xf>
    <xf numFmtId="168" fontId="55" fillId="0" borderId="63" xfId="0" applyNumberFormat="1" applyFont="1" applyBorder="1" applyAlignment="1">
      <alignment horizontal="center" vertical="center" wrapText="1"/>
    </xf>
    <xf numFmtId="174" fontId="56" fillId="0" borderId="63" xfId="0" applyNumberFormat="1" applyFont="1" applyBorder="1" applyAlignment="1">
      <alignment horizontal="center" vertical="center" wrapText="1"/>
    </xf>
    <xf numFmtId="168" fontId="55" fillId="0" borderId="66" xfId="0" applyNumberFormat="1" applyFont="1" applyBorder="1" applyAlignment="1">
      <alignment horizontal="center" vertical="center" wrapText="1"/>
    </xf>
    <xf numFmtId="174" fontId="56" fillId="0" borderId="66" xfId="0" applyNumberFormat="1" applyFont="1" applyBorder="1" applyAlignment="1">
      <alignment horizontal="center" vertical="center" wrapText="1"/>
    </xf>
    <xf numFmtId="0" fontId="57" fillId="29" borderId="17" xfId="0" applyFont="1" applyFill="1" applyBorder="1" applyAlignment="1">
      <alignment horizontal="center" vertical="center" wrapText="1"/>
    </xf>
    <xf numFmtId="0" fontId="47" fillId="29" borderId="68" xfId="0" applyFont="1" applyFill="1" applyBorder="1" applyAlignment="1">
      <alignment horizontal="center" vertical="center"/>
    </xf>
    <xf numFmtId="0" fontId="47" fillId="0" borderId="68" xfId="0" applyFont="1" applyBorder="1" applyAlignment="1">
      <alignment horizontal="center" vertical="center"/>
    </xf>
    <xf numFmtId="0" fontId="56" fillId="29" borderId="68" xfId="0" applyFont="1" applyFill="1" applyBorder="1" applyAlignment="1">
      <alignment horizontal="center" vertical="center"/>
    </xf>
    <xf numFmtId="0" fontId="48" fillId="28" borderId="0" xfId="0" applyFont="1" applyFill="1"/>
    <xf numFmtId="0" fontId="57" fillId="0" borderId="54" xfId="0" applyFont="1" applyBorder="1" applyAlignment="1">
      <alignment horizontal="center" vertical="center" wrapText="1"/>
    </xf>
    <xf numFmtId="0" fontId="44" fillId="0" borderId="0" xfId="0" applyFont="1"/>
    <xf numFmtId="0" fontId="44" fillId="0" borderId="0" xfId="0" applyFont="1" applyAlignment="1">
      <alignment horizontal="center" vertical="center"/>
    </xf>
    <xf numFmtId="0" fontId="44" fillId="0" borderId="0" xfId="0" applyFont="1" applyAlignment="1">
      <alignment horizontal="center"/>
    </xf>
    <xf numFmtId="2" fontId="0" fillId="0" borderId="0" xfId="0" applyNumberFormat="1" applyAlignment="1">
      <alignment horizontal="center"/>
    </xf>
    <xf numFmtId="167" fontId="58" fillId="0" borderId="0" xfId="0" applyNumberFormat="1" applyFont="1" applyAlignment="1">
      <alignment horizontal="center"/>
    </xf>
    <xf numFmtId="175" fontId="16" fillId="0" borderId="0" xfId="66" applyNumberFormat="1" applyFont="1" applyFill="1" applyBorder="1" applyAlignment="1">
      <alignment horizontal="center" vertical="center" wrapText="1"/>
    </xf>
    <xf numFmtId="0" fontId="47" fillId="29" borderId="0" xfId="0" applyFont="1" applyFill="1" applyAlignment="1">
      <alignment horizontal="center" vertical="center"/>
    </xf>
    <xf numFmtId="0" fontId="47" fillId="0" borderId="0" xfId="0" applyFont="1" applyAlignment="1">
      <alignment horizontal="center" vertical="center"/>
    </xf>
    <xf numFmtId="0" fontId="56" fillId="29" borderId="0" xfId="0" applyFont="1" applyFill="1" applyAlignment="1">
      <alignment horizontal="center" vertical="center"/>
    </xf>
    <xf numFmtId="0" fontId="59" fillId="28" borderId="0" xfId="0" applyFont="1" applyFill="1"/>
    <xf numFmtId="169" fontId="60" fillId="0" borderId="17" xfId="0" applyNumberFormat="1" applyFont="1" applyBorder="1" applyAlignment="1">
      <alignment vertical="center" wrapText="1"/>
    </xf>
    <xf numFmtId="175" fontId="0" fillId="0" borderId="0" xfId="66" applyNumberFormat="1" applyFont="1" applyFill="1" applyBorder="1" applyAlignment="1">
      <alignment vertical="center" wrapText="1"/>
    </xf>
    <xf numFmtId="1" fontId="36" fillId="25" borderId="0" xfId="0" applyNumberFormat="1" applyFont="1" applyFill="1" applyAlignment="1">
      <alignment horizontal="center" vertical="center" wrapText="1"/>
    </xf>
    <xf numFmtId="0" fontId="17" fillId="0" borderId="63" xfId="0" applyFont="1" applyBorder="1" applyAlignment="1">
      <alignment horizontal="right"/>
    </xf>
    <xf numFmtId="176" fontId="0" fillId="35" borderId="63" xfId="0" applyNumberFormat="1" applyFill="1" applyBorder="1"/>
    <xf numFmtId="167" fontId="0" fillId="31" borderId="63" xfId="0" applyNumberFormat="1" applyFill="1" applyBorder="1"/>
    <xf numFmtId="17" fontId="36" fillId="25" borderId="0" xfId="0" applyNumberFormat="1" applyFont="1" applyFill="1" applyAlignment="1">
      <alignment horizontal="center" vertical="center" wrapText="1"/>
    </xf>
    <xf numFmtId="167" fontId="61" fillId="0" borderId="0" xfId="0" applyNumberFormat="1" applyFont="1" applyAlignment="1">
      <alignment horizontal="center"/>
    </xf>
    <xf numFmtId="16" fontId="36" fillId="25" borderId="71" xfId="35" applyNumberFormat="1" applyFont="1" applyFill="1" applyBorder="1" applyAlignment="1">
      <alignment horizontal="center" vertical="center" wrapText="1"/>
    </xf>
    <xf numFmtId="0" fontId="0" fillId="0" borderId="14" xfId="0" applyBorder="1" applyAlignment="1">
      <alignment horizontal="center" vertical="center"/>
    </xf>
    <xf numFmtId="0" fontId="0" fillId="0" borderId="12" xfId="0" applyBorder="1" applyAlignment="1">
      <alignment horizontal="center"/>
    </xf>
    <xf numFmtId="0" fontId="58" fillId="0" borderId="0" xfId="0" applyFont="1" applyAlignment="1">
      <alignment horizontal="center" vertical="center"/>
    </xf>
    <xf numFmtId="0" fontId="58" fillId="0" borderId="0" xfId="0" applyFont="1" applyAlignment="1">
      <alignment horizontal="center"/>
    </xf>
    <xf numFmtId="0" fontId="0" fillId="0" borderId="13" xfId="0" applyBorder="1" applyAlignment="1">
      <alignment horizontal="center"/>
    </xf>
    <xf numFmtId="0" fontId="17" fillId="0" borderId="29" xfId="0" applyFont="1" applyBorder="1" applyAlignment="1">
      <alignment horizontal="right"/>
    </xf>
    <xf numFmtId="178" fontId="0" fillId="35" borderId="39" xfId="66" applyNumberFormat="1" applyFont="1" applyFill="1" applyBorder="1"/>
    <xf numFmtId="0" fontId="16" fillId="0" borderId="0" xfId="0" applyFont="1" applyAlignment="1">
      <alignment horizontal="center"/>
    </xf>
    <xf numFmtId="167" fontId="16" fillId="0" borderId="0" xfId="0" applyNumberFormat="1" applyFont="1" applyAlignment="1">
      <alignment horizontal="center"/>
    </xf>
    <xf numFmtId="0" fontId="16" fillId="0" borderId="29" xfId="0" applyFont="1" applyBorder="1"/>
    <xf numFmtId="0" fontId="27" fillId="30" borderId="29" xfId="0" applyFont="1" applyFill="1" applyBorder="1" applyAlignment="1">
      <alignment horizontal="center"/>
    </xf>
    <xf numFmtId="0" fontId="16" fillId="0" borderId="0" xfId="0" applyFont="1" applyAlignment="1">
      <alignment horizontal="left"/>
    </xf>
    <xf numFmtId="177" fontId="0" fillId="0" borderId="0" xfId="0" applyNumberFormat="1" applyAlignment="1">
      <alignment horizontal="center"/>
    </xf>
    <xf numFmtId="2" fontId="16" fillId="0" borderId="0" xfId="0" applyNumberFormat="1" applyFont="1" applyAlignment="1">
      <alignment horizontal="center"/>
    </xf>
    <xf numFmtId="176" fontId="0" fillId="0" borderId="0" xfId="0" applyNumberFormat="1" applyAlignment="1">
      <alignment horizontal="center"/>
    </xf>
    <xf numFmtId="0" fontId="17" fillId="0" borderId="0" xfId="0" applyFont="1" applyAlignment="1">
      <alignment horizontal="right"/>
    </xf>
    <xf numFmtId="0" fontId="17" fillId="0" borderId="13" xfId="0" applyFont="1" applyBorder="1" applyAlignment="1">
      <alignment horizontal="right"/>
    </xf>
    <xf numFmtId="0" fontId="16" fillId="35" borderId="16" xfId="38" applyNumberFormat="1" applyFont="1" applyFill="1" applyBorder="1"/>
    <xf numFmtId="0" fontId="63" fillId="0" borderId="0" xfId="0" applyFont="1"/>
    <xf numFmtId="0" fontId="48" fillId="28" borderId="74" xfId="0" applyFont="1" applyFill="1" applyBorder="1"/>
    <xf numFmtId="0" fontId="47" fillId="29" borderId="73" xfId="0" applyFont="1" applyFill="1" applyBorder="1" applyAlignment="1">
      <alignment horizontal="left" vertical="center"/>
    </xf>
    <xf numFmtId="0" fontId="47" fillId="0" borderId="73" xfId="0" applyFont="1" applyBorder="1" applyAlignment="1">
      <alignment horizontal="left" vertical="center"/>
    </xf>
    <xf numFmtId="0" fontId="47" fillId="29" borderId="68" xfId="0" applyFont="1" applyFill="1" applyBorder="1" applyAlignment="1">
      <alignment horizontal="left" vertical="center"/>
    </xf>
    <xf numFmtId="49" fontId="0" fillId="0" borderId="0" xfId="0" applyNumberFormat="1"/>
    <xf numFmtId="17" fontId="36" fillId="25" borderId="20" xfId="0" applyNumberFormat="1" applyFont="1" applyFill="1" applyBorder="1" applyAlignment="1">
      <alignment horizontal="center" vertical="center" wrapText="1"/>
    </xf>
    <xf numFmtId="2" fontId="16" fillId="37" borderId="0" xfId="0" applyNumberFormat="1" applyFont="1" applyFill="1" applyAlignment="1">
      <alignment horizontal="center"/>
    </xf>
    <xf numFmtId="179" fontId="0" fillId="0" borderId="0" xfId="0" applyNumberFormat="1" applyAlignment="1">
      <alignment horizontal="center"/>
    </xf>
    <xf numFmtId="176" fontId="16" fillId="0" borderId="0" xfId="0" applyNumberFormat="1" applyFont="1" applyAlignment="1">
      <alignment horizontal="center"/>
    </xf>
    <xf numFmtId="2" fontId="58" fillId="0" borderId="0" xfId="0" applyNumberFormat="1" applyFont="1" applyAlignment="1">
      <alignment horizontal="center"/>
    </xf>
    <xf numFmtId="176" fontId="58" fillId="0" borderId="0" xfId="0" applyNumberFormat="1" applyFont="1" applyAlignment="1">
      <alignment horizontal="center"/>
    </xf>
    <xf numFmtId="2" fontId="27" fillId="20" borderId="0" xfId="41" applyNumberFormat="1" applyBorder="1" applyAlignment="1">
      <alignment horizontal="center"/>
    </xf>
    <xf numFmtId="0" fontId="0" fillId="0" borderId="63" xfId="0" applyBorder="1" applyAlignment="1">
      <alignment horizontal="center"/>
    </xf>
    <xf numFmtId="0" fontId="0" fillId="0" borderId="66" xfId="0" applyBorder="1" applyAlignment="1">
      <alignment horizontal="center"/>
    </xf>
    <xf numFmtId="0" fontId="0" fillId="0" borderId="66" xfId="0" applyBorder="1" applyAlignment="1">
      <alignment horizontal="left"/>
    </xf>
    <xf numFmtId="0" fontId="0" fillId="0" borderId="63" xfId="0" applyBorder="1" applyAlignment="1">
      <alignment horizontal="left"/>
    </xf>
    <xf numFmtId="0" fontId="0" fillId="0" borderId="29" xfId="0" applyBorder="1" applyAlignment="1">
      <alignment horizontal="left"/>
    </xf>
    <xf numFmtId="0" fontId="16" fillId="0" borderId="0" xfId="41" applyNumberFormat="1" applyFont="1" applyFill="1" applyBorder="1" applyAlignment="1">
      <alignment horizontal="center"/>
    </xf>
    <xf numFmtId="0" fontId="16" fillId="0" borderId="63" xfId="0" applyFont="1" applyBorder="1"/>
    <xf numFmtId="0" fontId="16" fillId="0" borderId="79" xfId="0" applyFont="1" applyBorder="1"/>
    <xf numFmtId="0" fontId="0" fillId="0" borderId="79" xfId="0" applyBorder="1" applyAlignment="1">
      <alignment horizontal="center"/>
    </xf>
    <xf numFmtId="0" fontId="0" fillId="0" borderId="79" xfId="0" applyBorder="1" applyAlignment="1">
      <alignment horizontal="left"/>
    </xf>
    <xf numFmtId="168" fontId="16" fillId="0" borderId="14" xfId="27" quotePrefix="1" applyNumberFormat="1" applyFont="1" applyFill="1" applyBorder="1" applyAlignment="1">
      <alignment horizontal="left" vertical="center" wrapText="1"/>
    </xf>
    <xf numFmtId="14" fontId="0" fillId="0" borderId="80" xfId="0" applyNumberFormat="1" applyBorder="1" applyAlignment="1">
      <alignment horizontal="center"/>
    </xf>
    <xf numFmtId="176" fontId="16" fillId="35" borderId="16" xfId="0" applyNumberFormat="1" applyFont="1" applyFill="1" applyBorder="1"/>
    <xf numFmtId="2" fontId="0" fillId="0" borderId="0" xfId="66" applyNumberFormat="1" applyFont="1" applyBorder="1" applyAlignment="1">
      <alignment horizontal="center"/>
    </xf>
    <xf numFmtId="2" fontId="0" fillId="0" borderId="0" xfId="0" applyNumberFormat="1" applyAlignment="1">
      <alignment horizontal="center" vertical="center"/>
    </xf>
    <xf numFmtId="44" fontId="0" fillId="0" borderId="0" xfId="0" applyNumberFormat="1" applyAlignment="1">
      <alignment horizontal="center"/>
    </xf>
    <xf numFmtId="2" fontId="0" fillId="35" borderId="16" xfId="0" applyNumberFormat="1" applyFill="1" applyBorder="1"/>
    <xf numFmtId="0" fontId="16" fillId="0" borderId="81" xfId="0" applyFont="1" applyBorder="1"/>
    <xf numFmtId="0" fontId="0" fillId="0" borderId="81" xfId="0" applyBorder="1" applyAlignment="1">
      <alignment horizontal="center"/>
    </xf>
    <xf numFmtId="0" fontId="0" fillId="0" borderId="81" xfId="0" applyBorder="1" applyAlignment="1">
      <alignment horizontal="left"/>
    </xf>
    <xf numFmtId="0" fontId="16" fillId="0" borderId="0" xfId="0" applyFont="1" applyAlignment="1">
      <alignment horizontal="center" vertical="top" wrapText="1"/>
    </xf>
    <xf numFmtId="0" fontId="16" fillId="0" borderId="81" xfId="0" applyFont="1" applyBorder="1" applyAlignment="1">
      <alignment horizontal="center" vertical="top" wrapText="1"/>
    </xf>
    <xf numFmtId="0" fontId="64" fillId="38" borderId="81" xfId="0" applyFont="1" applyFill="1" applyBorder="1" applyAlignment="1">
      <alignment wrapText="1"/>
    </xf>
    <xf numFmtId="0" fontId="0" fillId="0" borderId="81" xfId="0" applyBorder="1" applyAlignment="1">
      <alignment wrapText="1"/>
    </xf>
    <xf numFmtId="0" fontId="16" fillId="0" borderId="81" xfId="0" applyFont="1" applyBorder="1" applyAlignment="1">
      <alignment wrapText="1"/>
    </xf>
    <xf numFmtId="0" fontId="16" fillId="0" borderId="16" xfId="0" applyFont="1" applyBorder="1" applyAlignment="1">
      <alignment horizontal="center" vertical="top" wrapText="1"/>
    </xf>
    <xf numFmtId="0" fontId="16" fillId="0" borderId="16" xfId="0" applyFont="1" applyBorder="1" applyAlignment="1">
      <alignment wrapText="1"/>
    </xf>
    <xf numFmtId="0" fontId="16" fillId="0" borderId="82" xfId="0" applyFont="1" applyBorder="1" applyAlignment="1">
      <alignment horizontal="center" vertical="top" wrapText="1"/>
    </xf>
    <xf numFmtId="0" fontId="16" fillId="0" borderId="82" xfId="0" applyFont="1" applyBorder="1" applyAlignment="1">
      <alignment wrapText="1"/>
    </xf>
    <xf numFmtId="0" fontId="65" fillId="0" borderId="81" xfId="0" applyFont="1" applyBorder="1"/>
    <xf numFmtId="177" fontId="16" fillId="0" borderId="0" xfId="0" applyNumberFormat="1" applyFont="1" applyAlignment="1">
      <alignment horizontal="center"/>
    </xf>
    <xf numFmtId="44" fontId="16" fillId="0" borderId="0" xfId="0" applyNumberFormat="1" applyFont="1" applyAlignment="1">
      <alignment horizontal="center"/>
    </xf>
    <xf numFmtId="2" fontId="16" fillId="0" borderId="0" xfId="0" applyNumberFormat="1" applyFont="1" applyAlignment="1">
      <alignment horizontal="center" vertical="center"/>
    </xf>
    <xf numFmtId="2" fontId="16" fillId="0" borderId="0" xfId="66" applyNumberFormat="1" applyFont="1" applyBorder="1" applyAlignment="1">
      <alignment horizontal="center"/>
    </xf>
    <xf numFmtId="172" fontId="16" fillId="0" borderId="0" xfId="66" applyNumberFormat="1" applyFont="1" applyBorder="1" applyAlignment="1">
      <alignment horizontal="center"/>
    </xf>
    <xf numFmtId="0" fontId="16" fillId="0" borderId="12" xfId="0" applyFont="1" applyBorder="1" applyAlignment="1">
      <alignment horizontal="center"/>
    </xf>
    <xf numFmtId="0" fontId="47" fillId="0" borderId="0" xfId="0" applyFont="1" applyAlignment="1">
      <alignment horizontal="left"/>
    </xf>
    <xf numFmtId="0" fontId="0" fillId="24" borderId="0" xfId="0" applyFill="1" applyAlignment="1">
      <alignment horizontal="right"/>
    </xf>
    <xf numFmtId="1" fontId="46" fillId="25" borderId="27" xfId="0" applyNumberFormat="1" applyFont="1" applyFill="1" applyBorder="1" applyAlignment="1">
      <alignment horizontal="right" vertical="center" wrapText="1"/>
    </xf>
    <xf numFmtId="176" fontId="27" fillId="20" borderId="0" xfId="41" applyNumberFormat="1" applyBorder="1" applyAlignment="1">
      <alignment horizontal="right"/>
    </xf>
    <xf numFmtId="176" fontId="16" fillId="0" borderId="0" xfId="0" applyNumberFormat="1" applyFont="1" applyAlignment="1">
      <alignment horizontal="right"/>
    </xf>
    <xf numFmtId="0" fontId="0" fillId="0" borderId="0" xfId="0" applyAlignment="1">
      <alignment horizontal="right"/>
    </xf>
    <xf numFmtId="17" fontId="36" fillId="25" borderId="20" xfId="0" applyNumberFormat="1" applyFont="1" applyFill="1" applyBorder="1" applyAlignment="1">
      <alignment horizontal="right" vertical="center" wrapText="1"/>
    </xf>
    <xf numFmtId="1" fontId="36" fillId="25" borderId="48" xfId="0" applyNumberFormat="1" applyFont="1" applyFill="1" applyBorder="1" applyAlignment="1">
      <alignment horizontal="right" vertical="center" wrapText="1"/>
    </xf>
    <xf numFmtId="176" fontId="0" fillId="0" borderId="0" xfId="0" applyNumberFormat="1" applyAlignment="1">
      <alignment horizontal="right"/>
    </xf>
    <xf numFmtId="172" fontId="0" fillId="0" borderId="0" xfId="0" applyNumberFormat="1" applyAlignment="1">
      <alignment horizontal="right"/>
    </xf>
    <xf numFmtId="1" fontId="36" fillId="25" borderId="23" xfId="0" applyNumberFormat="1" applyFont="1" applyFill="1" applyBorder="1" applyAlignment="1">
      <alignment horizontal="right" vertical="center" wrapText="1"/>
    </xf>
    <xf numFmtId="0" fontId="27" fillId="30" borderId="29" xfId="0" applyFont="1" applyFill="1" applyBorder="1" applyAlignment="1">
      <alignment horizontal="right"/>
    </xf>
    <xf numFmtId="0" fontId="58" fillId="0" borderId="0" xfId="0" applyFont="1" applyAlignment="1">
      <alignment horizontal="right"/>
    </xf>
    <xf numFmtId="2" fontId="17" fillId="39" borderId="0" xfId="0" applyNumberFormat="1" applyFont="1" applyFill="1" applyAlignment="1">
      <alignment horizontal="center"/>
    </xf>
    <xf numFmtId="2" fontId="17" fillId="39" borderId="13" xfId="0" applyNumberFormat="1" applyFont="1" applyFill="1" applyBorder="1" applyAlignment="1">
      <alignment horizontal="center"/>
    </xf>
    <xf numFmtId="2" fontId="67" fillId="20" borderId="0" xfId="41" applyNumberFormat="1" applyFont="1" applyBorder="1" applyAlignment="1">
      <alignment horizontal="center"/>
    </xf>
    <xf numFmtId="2" fontId="16" fillId="40" borderId="0" xfId="0" applyNumberFormat="1" applyFont="1" applyFill="1" applyAlignment="1">
      <alignment horizontal="center"/>
    </xf>
    <xf numFmtId="168" fontId="16" fillId="0" borderId="81" xfId="0" applyNumberFormat="1" applyFont="1" applyBorder="1" applyAlignment="1">
      <alignment horizontal="left" vertical="center" wrapText="1"/>
    </xf>
    <xf numFmtId="169" fontId="16" fillId="0" borderId="81" xfId="0" applyNumberFormat="1" applyFont="1" applyBorder="1" applyAlignment="1">
      <alignment vertical="center" wrapText="1"/>
    </xf>
    <xf numFmtId="168" fontId="16" fillId="0" borderId="81" xfId="0" quotePrefix="1" applyNumberFormat="1" applyFont="1" applyBorder="1" applyAlignment="1">
      <alignment horizontal="left" vertical="center" wrapText="1"/>
    </xf>
    <xf numFmtId="176" fontId="17" fillId="0" borderId="17" xfId="0" applyNumberFormat="1" applyFont="1" applyBorder="1" applyAlignment="1">
      <alignment vertical="center" wrapText="1"/>
    </xf>
    <xf numFmtId="176" fontId="16" fillId="0" borderId="81" xfId="0" applyNumberFormat="1" applyFont="1" applyBorder="1" applyAlignment="1">
      <alignment vertical="center" wrapText="1"/>
    </xf>
    <xf numFmtId="176" fontId="17" fillId="0" borderId="54" xfId="0" applyNumberFormat="1" applyFont="1" applyBorder="1" applyAlignment="1">
      <alignment vertical="center" wrapText="1"/>
    </xf>
    <xf numFmtId="176" fontId="16" fillId="0" borderId="79" xfId="0" applyNumberFormat="1" applyFont="1" applyBorder="1" applyAlignment="1">
      <alignment vertical="center" wrapText="1"/>
    </xf>
    <xf numFmtId="0" fontId="16" fillId="41" borderId="0" xfId="0" applyFont="1" applyFill="1" applyAlignment="1">
      <alignment horizontal="left"/>
    </xf>
    <xf numFmtId="0" fontId="16" fillId="42" borderId="0" xfId="0" applyFont="1" applyFill="1" applyAlignment="1">
      <alignment horizontal="left"/>
    </xf>
    <xf numFmtId="0" fontId="0" fillId="0" borderId="80" xfId="0" applyBorder="1"/>
    <xf numFmtId="0" fontId="69" fillId="43" borderId="25" xfId="0" applyFont="1" applyFill="1" applyBorder="1" applyAlignment="1">
      <alignment horizontal="center" vertical="center" wrapText="1"/>
    </xf>
    <xf numFmtId="0" fontId="69" fillId="38" borderId="25" xfId="0" applyFont="1" applyFill="1" applyBorder="1" applyAlignment="1">
      <alignment horizontal="center" vertical="center" wrapText="1"/>
    </xf>
    <xf numFmtId="0" fontId="69" fillId="43" borderId="69" xfId="0" applyFont="1" applyFill="1" applyBorder="1" applyAlignment="1">
      <alignment horizontal="center" vertical="center" wrapText="1"/>
    </xf>
    <xf numFmtId="0" fontId="69" fillId="38" borderId="33" xfId="0" applyFont="1" applyFill="1" applyBorder="1" applyAlignment="1">
      <alignment horizontal="center" vertical="center" wrapText="1"/>
    </xf>
    <xf numFmtId="0" fontId="69" fillId="43" borderId="33" xfId="0" applyFont="1" applyFill="1" applyBorder="1" applyAlignment="1">
      <alignment horizontal="center" vertical="center" wrapText="1"/>
    </xf>
    <xf numFmtId="0" fontId="69" fillId="43" borderId="23" xfId="0" applyFont="1" applyFill="1" applyBorder="1" applyAlignment="1">
      <alignment horizontal="center" vertical="center"/>
    </xf>
    <xf numFmtId="0" fontId="69" fillId="38" borderId="0" xfId="0" applyFont="1" applyFill="1" applyAlignment="1">
      <alignment horizontal="center" vertical="center" wrapText="1"/>
    </xf>
    <xf numFmtId="0" fontId="69" fillId="43" borderId="0" xfId="0" applyFont="1" applyFill="1" applyAlignment="1">
      <alignment horizontal="center" vertical="center" wrapText="1"/>
    </xf>
    <xf numFmtId="0" fontId="69" fillId="43" borderId="72" xfId="0" applyFont="1" applyFill="1" applyBorder="1" applyAlignment="1">
      <alignment horizontal="center" vertical="center" wrapText="1"/>
    </xf>
    <xf numFmtId="0" fontId="69" fillId="43" borderId="75" xfId="0" applyFont="1" applyFill="1" applyBorder="1" applyAlignment="1">
      <alignment horizontal="center" vertical="center" wrapText="1"/>
    </xf>
    <xf numFmtId="0" fontId="69" fillId="38" borderId="75" xfId="0" applyFont="1" applyFill="1" applyBorder="1" applyAlignment="1">
      <alignment horizontal="center" vertical="center" wrapText="1"/>
    </xf>
    <xf numFmtId="0" fontId="69" fillId="43" borderId="75" xfId="0" applyFont="1" applyFill="1" applyBorder="1" applyAlignment="1">
      <alignment horizontal="center" vertical="center"/>
    </xf>
    <xf numFmtId="14" fontId="69" fillId="43" borderId="26" xfId="0" applyNumberFormat="1" applyFont="1" applyFill="1" applyBorder="1" applyAlignment="1">
      <alignment horizontal="center" vertical="center" textRotation="90"/>
    </xf>
    <xf numFmtId="0" fontId="69" fillId="43" borderId="0" xfId="0" applyFont="1" applyFill="1" applyAlignment="1">
      <alignment horizontal="center" vertical="center" textRotation="90" wrapText="1"/>
    </xf>
    <xf numFmtId="0" fontId="69" fillId="43" borderId="24" xfId="0" applyFont="1" applyFill="1" applyBorder="1" applyAlignment="1">
      <alignment horizontal="center" vertical="center" wrapText="1"/>
    </xf>
    <xf numFmtId="0" fontId="69" fillId="38" borderId="24" xfId="0" applyFont="1" applyFill="1" applyBorder="1" applyAlignment="1">
      <alignment horizontal="center" vertical="center"/>
    </xf>
    <xf numFmtId="0" fontId="69" fillId="38" borderId="24" xfId="0" applyFont="1" applyFill="1" applyBorder="1" applyAlignment="1">
      <alignment horizontal="center" vertical="center" wrapText="1"/>
    </xf>
    <xf numFmtId="14" fontId="69" fillId="43" borderId="33" xfId="0" applyNumberFormat="1" applyFont="1" applyFill="1" applyBorder="1" applyAlignment="1">
      <alignment horizontal="center" vertical="center" wrapText="1"/>
    </xf>
    <xf numFmtId="0" fontId="69" fillId="44" borderId="33" xfId="0" applyFont="1" applyFill="1" applyBorder="1" applyAlignment="1">
      <alignment horizontal="center" vertical="center" wrapText="1"/>
    </xf>
    <xf numFmtId="0" fontId="69" fillId="43" borderId="20" xfId="0" applyFont="1" applyFill="1" applyBorder="1" applyAlignment="1">
      <alignment horizontal="center" vertical="center" wrapText="1"/>
    </xf>
    <xf numFmtId="0" fontId="69" fillId="43" borderId="30" xfId="0" applyFont="1" applyFill="1" applyBorder="1" applyAlignment="1">
      <alignment horizontal="center" vertical="center" wrapText="1"/>
    </xf>
    <xf numFmtId="0" fontId="16" fillId="0" borderId="63" xfId="0" applyFont="1" applyBorder="1" applyAlignment="1">
      <alignment horizontal="center" vertical="center"/>
    </xf>
    <xf numFmtId="0" fontId="16" fillId="0" borderId="14" xfId="0" applyFont="1" applyBorder="1" applyAlignment="1">
      <alignment horizontal="center" vertical="center"/>
    </xf>
    <xf numFmtId="49" fontId="16" fillId="0" borderId="14" xfId="0" applyNumberFormat="1" applyFont="1" applyBorder="1" applyAlignment="1">
      <alignment horizontal="center" vertical="center"/>
    </xf>
    <xf numFmtId="49" fontId="16" fillId="0" borderId="14" xfId="0" applyNumberFormat="1" applyFont="1" applyBorder="1" applyAlignment="1">
      <alignment horizontal="left" vertical="center"/>
    </xf>
    <xf numFmtId="49" fontId="16" fillId="0" borderId="63" xfId="0" applyNumberFormat="1" applyFont="1" applyBorder="1" applyAlignment="1">
      <alignment horizontal="left" vertical="center" wrapText="1"/>
    </xf>
    <xf numFmtId="49" fontId="16" fillId="0" borderId="63" xfId="0" applyNumberFormat="1" applyFont="1" applyBorder="1" applyAlignment="1">
      <alignment horizontal="left" vertical="center"/>
    </xf>
    <xf numFmtId="0" fontId="16" fillId="0" borderId="63" xfId="0" applyFont="1" applyBorder="1" applyAlignment="1">
      <alignment horizontal="left" vertical="center" wrapText="1"/>
    </xf>
    <xf numFmtId="14" fontId="16" fillId="0" borderId="14" xfId="0" applyNumberFormat="1" applyFont="1" applyBorder="1" applyAlignment="1">
      <alignment horizontal="center" vertical="center" wrapText="1"/>
    </xf>
    <xf numFmtId="0" fontId="16" fillId="0" borderId="14" xfId="0" applyFont="1" applyBorder="1" applyAlignment="1">
      <alignment horizontal="center" vertical="center" wrapText="1"/>
    </xf>
    <xf numFmtId="0" fontId="16" fillId="0" borderId="66" xfId="0" applyFont="1" applyBorder="1" applyAlignment="1">
      <alignment horizontal="center" vertical="center" wrapText="1"/>
    </xf>
    <xf numFmtId="14" fontId="16" fillId="0" borderId="63" xfId="0" applyNumberFormat="1" applyFont="1" applyBorder="1" applyAlignment="1">
      <alignment horizontal="center" vertical="center" wrapText="1"/>
    </xf>
    <xf numFmtId="164" fontId="16" fillId="0" borderId="66" xfId="0" applyNumberFormat="1" applyFont="1" applyBorder="1" applyAlignment="1">
      <alignment horizontal="center" vertical="center" wrapText="1"/>
    </xf>
    <xf numFmtId="0" fontId="16" fillId="0" borderId="63" xfId="0" applyFont="1" applyBorder="1" applyAlignment="1">
      <alignment horizontal="left" vertical="center"/>
    </xf>
    <xf numFmtId="14" fontId="16" fillId="0" borderId="14" xfId="0" applyNumberFormat="1" applyFont="1" applyBorder="1" applyAlignment="1">
      <alignment horizontal="center" vertical="center"/>
    </xf>
    <xf numFmtId="14" fontId="16" fillId="0" borderId="66" xfId="0" applyNumberFormat="1" applyFont="1" applyBorder="1" applyAlignment="1">
      <alignment horizontal="left" vertical="center" wrapText="1"/>
    </xf>
    <xf numFmtId="0" fontId="16" fillId="0" borderId="66" xfId="0" applyFont="1" applyBorder="1" applyAlignment="1">
      <alignment horizontal="left" vertical="center" wrapText="1"/>
    </xf>
    <xf numFmtId="17" fontId="16" fillId="0" borderId="63" xfId="0" applyNumberFormat="1" applyFont="1" applyBorder="1" applyAlignment="1">
      <alignment horizontal="center"/>
    </xf>
    <xf numFmtId="0" fontId="16" fillId="0" borderId="63" xfId="0" applyFont="1" applyBorder="1" applyAlignment="1">
      <alignment horizontal="center" vertical="center" wrapText="1"/>
    </xf>
    <xf numFmtId="49" fontId="16" fillId="0" borderId="29" xfId="0" applyNumberFormat="1" applyFont="1" applyBorder="1" applyAlignment="1">
      <alignment horizontal="left" vertical="center" wrapText="1"/>
    </xf>
    <xf numFmtId="0" fontId="16" fillId="0" borderId="29" xfId="0" applyFont="1" applyBorder="1" applyAlignment="1">
      <alignment horizontal="left" vertical="center" wrapText="1"/>
    </xf>
    <xf numFmtId="14" fontId="16" fillId="0" borderId="29" xfId="0" applyNumberFormat="1" applyFont="1" applyBorder="1" applyAlignment="1">
      <alignment horizontal="left" vertical="center" wrapText="1"/>
    </xf>
    <xf numFmtId="0" fontId="16" fillId="0" borderId="66" xfId="0" applyFont="1" applyBorder="1" applyAlignment="1">
      <alignment horizontal="center" vertical="center"/>
    </xf>
    <xf numFmtId="49" fontId="16" fillId="0" borderId="66" xfId="0" applyNumberFormat="1" applyFont="1" applyBorder="1" applyAlignment="1">
      <alignment horizontal="left" vertical="center"/>
    </xf>
    <xf numFmtId="49" fontId="16" fillId="0" borderId="66" xfId="0" applyNumberFormat="1" applyFont="1" applyBorder="1" applyAlignment="1">
      <alignment horizontal="left" vertical="center" wrapText="1"/>
    </xf>
    <xf numFmtId="0" fontId="16" fillId="0" borderId="66" xfId="0" applyFont="1" applyBorder="1" applyAlignment="1">
      <alignment horizontal="left" vertical="center"/>
    </xf>
    <xf numFmtId="17" fontId="16" fillId="0" borderId="66" xfId="0" applyNumberFormat="1" applyFont="1" applyBorder="1" applyAlignment="1">
      <alignment horizontal="center"/>
    </xf>
    <xf numFmtId="0" fontId="47" fillId="0" borderId="0" xfId="0" applyFont="1"/>
    <xf numFmtId="14" fontId="16" fillId="0" borderId="0" xfId="0" applyNumberFormat="1" applyFont="1"/>
    <xf numFmtId="0" fontId="47" fillId="0" borderId="0" xfId="0" applyFont="1" applyAlignment="1">
      <alignment horizontal="center"/>
    </xf>
    <xf numFmtId="167" fontId="16" fillId="0" borderId="0" xfId="66" applyNumberFormat="1" applyFont="1" applyBorder="1" applyAlignment="1">
      <alignment horizontal="center" vertical="center" wrapText="1"/>
    </xf>
    <xf numFmtId="14" fontId="16" fillId="0" borderId="66" xfId="0" applyNumberFormat="1" applyFont="1" applyBorder="1" applyAlignment="1">
      <alignment horizontal="center" vertical="center" wrapText="1"/>
    </xf>
    <xf numFmtId="2" fontId="58" fillId="40" borderId="0" xfId="0" applyNumberFormat="1" applyFont="1" applyFill="1" applyAlignment="1">
      <alignment horizontal="center"/>
    </xf>
    <xf numFmtId="2" fontId="17" fillId="34" borderId="14" xfId="0" applyNumberFormat="1" applyFont="1" applyFill="1" applyBorder="1"/>
    <xf numFmtId="2" fontId="58" fillId="37" borderId="0" xfId="0" applyNumberFormat="1" applyFont="1" applyFill="1" applyAlignment="1">
      <alignment horizontal="center"/>
    </xf>
    <xf numFmtId="0" fontId="16" fillId="0" borderId="14" xfId="0" applyFont="1" applyBorder="1" applyAlignment="1">
      <alignment horizontal="left" vertical="center"/>
    </xf>
    <xf numFmtId="22" fontId="16" fillId="0" borderId="14" xfId="0" applyNumberFormat="1" applyFont="1" applyBorder="1" applyAlignment="1">
      <alignment horizontal="left" vertical="center"/>
    </xf>
    <xf numFmtId="0" fontId="70" fillId="0" borderId="0" xfId="0" applyFont="1" applyAlignment="1">
      <alignment horizontal="center"/>
    </xf>
    <xf numFmtId="0" fontId="70" fillId="0" borderId="0" xfId="0" applyFont="1"/>
    <xf numFmtId="177" fontId="70" fillId="0" borderId="0" xfId="0" applyNumberFormat="1" applyFont="1" applyAlignment="1">
      <alignment horizontal="center"/>
    </xf>
    <xf numFmtId="2" fontId="70" fillId="0" borderId="0" xfId="0" applyNumberFormat="1" applyFont="1" applyAlignment="1">
      <alignment horizontal="center"/>
    </xf>
    <xf numFmtId="44" fontId="70" fillId="0" borderId="0" xfId="0" applyNumberFormat="1" applyFont="1" applyAlignment="1">
      <alignment horizontal="center"/>
    </xf>
    <xf numFmtId="2" fontId="70" fillId="0" borderId="0" xfId="0" applyNumberFormat="1" applyFont="1" applyAlignment="1">
      <alignment horizontal="center" vertical="center"/>
    </xf>
    <xf numFmtId="2" fontId="70" fillId="0" borderId="0" xfId="66" applyNumberFormat="1" applyFont="1" applyBorder="1" applyAlignment="1">
      <alignment horizontal="center"/>
    </xf>
    <xf numFmtId="172" fontId="70" fillId="0" borderId="0" xfId="66" applyNumberFormat="1" applyFont="1" applyBorder="1" applyAlignment="1">
      <alignment horizontal="center"/>
    </xf>
    <xf numFmtId="172" fontId="70" fillId="0" borderId="0" xfId="0" applyNumberFormat="1" applyFont="1" applyAlignment="1">
      <alignment horizontal="center"/>
    </xf>
    <xf numFmtId="0" fontId="70" fillId="0" borderId="63" xfId="0" applyFont="1" applyBorder="1" applyAlignment="1">
      <alignment horizontal="center" vertical="center"/>
    </xf>
    <xf numFmtId="49" fontId="70" fillId="0" borderId="63" xfId="0" applyNumberFormat="1" applyFont="1" applyBorder="1" applyAlignment="1">
      <alignment horizontal="left" vertical="center"/>
    </xf>
    <xf numFmtId="49" fontId="70" fillId="0" borderId="63" xfId="0" applyNumberFormat="1" applyFont="1" applyBorder="1" applyAlignment="1">
      <alignment horizontal="left" vertical="center" wrapText="1"/>
    </xf>
    <xf numFmtId="0" fontId="70" fillId="0" borderId="63" xfId="0" applyFont="1" applyBorder="1" applyAlignment="1">
      <alignment horizontal="left" vertical="center" wrapText="1"/>
    </xf>
    <xf numFmtId="0" fontId="70" fillId="0" borderId="14" xfId="0" applyFont="1" applyBorder="1" applyAlignment="1">
      <alignment horizontal="left" vertical="center"/>
    </xf>
    <xf numFmtId="49" fontId="70" fillId="0" borderId="14" xfId="0" applyNumberFormat="1" applyFont="1" applyBorder="1" applyAlignment="1">
      <alignment horizontal="left" vertical="center"/>
    </xf>
    <xf numFmtId="0" fontId="70" fillId="0" borderId="63" xfId="0" applyFont="1" applyBorder="1" applyAlignment="1">
      <alignment horizontal="center" vertical="center" wrapText="1"/>
    </xf>
    <xf numFmtId="0" fontId="70" fillId="0" borderId="63" xfId="0" applyFont="1" applyBorder="1" applyAlignment="1">
      <alignment horizontal="left" vertical="center"/>
    </xf>
    <xf numFmtId="14" fontId="70" fillId="0" borderId="14" xfId="0" applyNumberFormat="1" applyFont="1" applyBorder="1" applyAlignment="1">
      <alignment horizontal="center" vertical="center"/>
    </xf>
    <xf numFmtId="14" fontId="70" fillId="0" borderId="29" xfId="0" applyNumberFormat="1" applyFont="1" applyBorder="1" applyAlignment="1">
      <alignment horizontal="left" vertical="center" wrapText="1"/>
    </xf>
    <xf numFmtId="0" fontId="70" fillId="0" borderId="29" xfId="0" applyFont="1" applyBorder="1" applyAlignment="1">
      <alignment horizontal="left" vertical="center" wrapText="1"/>
    </xf>
    <xf numFmtId="17" fontId="70" fillId="0" borderId="63" xfId="0" applyNumberFormat="1" applyFont="1" applyBorder="1" applyAlignment="1">
      <alignment horizontal="center"/>
    </xf>
    <xf numFmtId="14" fontId="70" fillId="0" borderId="63" xfId="0" applyNumberFormat="1" applyFont="1" applyBorder="1" applyAlignment="1">
      <alignment horizontal="center" vertical="center" wrapText="1"/>
    </xf>
    <xf numFmtId="0" fontId="0" fillId="0" borderId="63" xfId="0" applyBorder="1"/>
    <xf numFmtId="49" fontId="16" fillId="0" borderId="0" xfId="0" applyNumberFormat="1" applyFont="1" applyAlignment="1">
      <alignment horizontal="left" vertical="center" wrapText="1"/>
    </xf>
    <xf numFmtId="49" fontId="16" fillId="0" borderId="63" xfId="0" applyNumberFormat="1" applyFont="1" applyBorder="1" applyAlignment="1">
      <alignment horizontal="center" vertical="center"/>
    </xf>
    <xf numFmtId="0" fontId="70" fillId="0" borderId="14" xfId="0" applyFont="1" applyBorder="1" applyAlignment="1">
      <alignment horizontal="left" vertical="center" wrapText="1"/>
    </xf>
    <xf numFmtId="0" fontId="50" fillId="0" borderId="0" xfId="0" applyFont="1" applyAlignment="1">
      <alignment horizontal="left"/>
    </xf>
    <xf numFmtId="2" fontId="71" fillId="0" borderId="0" xfId="0" applyNumberFormat="1" applyFont="1" applyAlignment="1">
      <alignment horizontal="center"/>
    </xf>
    <xf numFmtId="172" fontId="16" fillId="0" borderId="0" xfId="0" applyNumberFormat="1" applyFont="1" applyAlignment="1">
      <alignment horizontal="center"/>
    </xf>
    <xf numFmtId="2" fontId="71" fillId="20" borderId="0" xfId="41" applyNumberFormat="1" applyFont="1" applyBorder="1" applyAlignment="1">
      <alignment horizontal="center"/>
    </xf>
    <xf numFmtId="2" fontId="16" fillId="39" borderId="13" xfId="0" applyNumberFormat="1" applyFont="1" applyFill="1" applyBorder="1" applyAlignment="1">
      <alignment horizontal="center"/>
    </xf>
    <xf numFmtId="14" fontId="16" fillId="0" borderId="16" xfId="0" applyNumberFormat="1" applyFont="1" applyBorder="1" applyAlignment="1">
      <alignment horizontal="center" vertical="center"/>
    </xf>
    <xf numFmtId="17" fontId="16" fillId="0" borderId="16" xfId="0" applyNumberFormat="1" applyFont="1" applyBorder="1" applyAlignment="1">
      <alignment horizontal="center"/>
    </xf>
    <xf numFmtId="14" fontId="16" fillId="0" borderId="81" xfId="0" applyNumberFormat="1" applyFont="1" applyBorder="1" applyAlignment="1">
      <alignment horizontal="center" vertical="center"/>
    </xf>
    <xf numFmtId="14" fontId="16" fillId="0" borderId="16" xfId="0" applyNumberFormat="1" applyFont="1" applyBorder="1" applyAlignment="1">
      <alignment horizontal="left" vertical="center" wrapText="1"/>
    </xf>
    <xf numFmtId="0" fontId="16" fillId="0" borderId="16" xfId="0" applyFont="1" applyBorder="1" applyAlignment="1">
      <alignment horizontal="left" vertical="center" wrapText="1"/>
    </xf>
    <xf numFmtId="17" fontId="16" fillId="0" borderId="81" xfId="0" applyNumberFormat="1" applyFont="1" applyBorder="1" applyAlignment="1">
      <alignment horizontal="center"/>
    </xf>
    <xf numFmtId="0" fontId="16" fillId="0" borderId="15" xfId="0" applyFont="1" applyBorder="1"/>
    <xf numFmtId="14" fontId="70" fillId="0" borderId="79" xfId="0" applyNumberFormat="1" applyFont="1" applyBorder="1" applyAlignment="1">
      <alignment horizontal="center" vertical="center"/>
    </xf>
    <xf numFmtId="17" fontId="70" fillId="0" borderId="79" xfId="0" applyNumberFormat="1" applyFont="1" applyBorder="1" applyAlignment="1">
      <alignment horizontal="center"/>
    </xf>
    <xf numFmtId="0" fontId="0" fillId="0" borderId="0" xfId="0" applyAlignment="1">
      <alignment horizontal="left" vertical="center"/>
    </xf>
    <xf numFmtId="177" fontId="0" fillId="0" borderId="0" xfId="0" applyNumberFormat="1" applyAlignment="1">
      <alignment horizontal="center" vertical="center"/>
    </xf>
    <xf numFmtId="44" fontId="0" fillId="0" borderId="0" xfId="0" applyNumberFormat="1" applyAlignment="1">
      <alignment horizontal="center" vertical="center"/>
    </xf>
    <xf numFmtId="2" fontId="0" fillId="0" borderId="0" xfId="66" applyNumberFormat="1" applyFont="1" applyBorder="1" applyAlignment="1">
      <alignment horizontal="center" vertical="center"/>
    </xf>
    <xf numFmtId="172" fontId="0" fillId="0" borderId="0" xfId="66" applyNumberFormat="1" applyFont="1" applyBorder="1" applyAlignment="1">
      <alignment horizontal="center" vertical="center"/>
    </xf>
    <xf numFmtId="172" fontId="0" fillId="0" borderId="0" xfId="0" applyNumberFormat="1" applyAlignment="1">
      <alignment horizontal="center" vertical="center"/>
    </xf>
    <xf numFmtId="0" fontId="0" fillId="0" borderId="12" xfId="0" applyBorder="1" applyAlignment="1">
      <alignment horizontal="center" vertical="center"/>
    </xf>
    <xf numFmtId="167" fontId="16" fillId="0" borderId="0" xfId="0" applyNumberFormat="1" applyFont="1" applyAlignment="1">
      <alignment horizontal="center" vertical="center"/>
    </xf>
    <xf numFmtId="2" fontId="27" fillId="20" borderId="0" xfId="41" applyNumberFormat="1" applyBorder="1" applyAlignment="1">
      <alignment horizontal="center" vertical="center"/>
    </xf>
    <xf numFmtId="2" fontId="58" fillId="45" borderId="0" xfId="0" applyNumberFormat="1" applyFont="1" applyFill="1" applyAlignment="1">
      <alignment horizontal="center"/>
    </xf>
    <xf numFmtId="2" fontId="17" fillId="39" borderId="0" xfId="0" applyNumberFormat="1" applyFont="1" applyFill="1" applyAlignment="1">
      <alignment horizontal="center" vertical="center"/>
    </xf>
    <xf numFmtId="14" fontId="70" fillId="0" borderId="14" xfId="0" applyNumberFormat="1" applyFont="1" applyBorder="1" applyAlignment="1">
      <alignment horizontal="left" vertical="center"/>
    </xf>
    <xf numFmtId="22" fontId="70" fillId="0" borderId="14" xfId="0" applyNumberFormat="1" applyFont="1" applyBorder="1" applyAlignment="1">
      <alignment horizontal="left" vertical="center"/>
    </xf>
    <xf numFmtId="14" fontId="69" fillId="43" borderId="25" xfId="0" applyNumberFormat="1" applyFont="1" applyFill="1" applyBorder="1" applyAlignment="1">
      <alignment horizontal="center" vertical="center" textRotation="90" wrapText="1"/>
    </xf>
    <xf numFmtId="14" fontId="16" fillId="0" borderId="81" xfId="0" applyNumberFormat="1" applyFont="1" applyBorder="1" applyAlignment="1">
      <alignment horizontal="center" vertical="center" wrapText="1"/>
    </xf>
    <xf numFmtId="14" fontId="17" fillId="0" borderId="63" xfId="0" applyNumberFormat="1" applyFont="1" applyBorder="1" applyAlignment="1">
      <alignment horizontal="center" vertical="center" wrapText="1"/>
    </xf>
    <xf numFmtId="2" fontId="58" fillId="20" borderId="0" xfId="41" applyNumberFormat="1" applyFont="1" applyBorder="1" applyAlignment="1">
      <alignment horizontal="center"/>
    </xf>
    <xf numFmtId="2" fontId="16" fillId="46" borderId="0" xfId="0" applyNumberFormat="1" applyFont="1" applyFill="1" applyAlignment="1">
      <alignment horizontal="center"/>
    </xf>
    <xf numFmtId="2" fontId="58" fillId="46" borderId="0" xfId="0" applyNumberFormat="1" applyFont="1" applyFill="1" applyAlignment="1">
      <alignment horizontal="center"/>
    </xf>
    <xf numFmtId="167" fontId="0" fillId="46" borderId="0" xfId="0" applyNumberFormat="1" applyFill="1" applyAlignment="1">
      <alignment horizontal="center"/>
    </xf>
    <xf numFmtId="2" fontId="0" fillId="46" borderId="0" xfId="0" applyNumberFormat="1" applyFill="1" applyAlignment="1">
      <alignment horizontal="center"/>
    </xf>
    <xf numFmtId="167" fontId="16" fillId="46" borderId="0" xfId="0" applyNumberFormat="1" applyFont="1" applyFill="1" applyAlignment="1">
      <alignment horizontal="center"/>
    </xf>
    <xf numFmtId="2" fontId="16" fillId="47" borderId="0" xfId="0" applyNumberFormat="1" applyFont="1" applyFill="1" applyAlignment="1">
      <alignment horizontal="center"/>
    </xf>
    <xf numFmtId="2" fontId="50" fillId="0" borderId="0" xfId="0" applyNumberFormat="1" applyFont="1" applyAlignment="1">
      <alignment horizontal="center"/>
    </xf>
    <xf numFmtId="0" fontId="0" fillId="46" borderId="0" xfId="0" applyFill="1" applyAlignment="1">
      <alignment horizontal="center"/>
    </xf>
    <xf numFmtId="0" fontId="16" fillId="46" borderId="0" xfId="0" applyFont="1" applyFill="1" applyAlignment="1">
      <alignment horizontal="center"/>
    </xf>
    <xf numFmtId="2" fontId="71" fillId="46" borderId="0" xfId="0" applyNumberFormat="1" applyFont="1" applyFill="1" applyAlignment="1">
      <alignment horizontal="center"/>
    </xf>
    <xf numFmtId="2" fontId="16" fillId="46" borderId="0" xfId="0" applyNumberFormat="1" applyFont="1" applyFill="1" applyAlignment="1">
      <alignment horizontal="center" vertical="center"/>
    </xf>
    <xf numFmtId="2" fontId="72" fillId="46" borderId="0" xfId="0" applyNumberFormat="1" applyFont="1" applyFill="1" applyAlignment="1">
      <alignment horizontal="center" vertical="center"/>
    </xf>
    <xf numFmtId="2" fontId="72" fillId="46" borderId="0" xfId="0" applyNumberFormat="1" applyFont="1" applyFill="1" applyAlignment="1">
      <alignment horizontal="center"/>
    </xf>
    <xf numFmtId="2" fontId="73" fillId="0" borderId="0" xfId="0" applyNumberFormat="1" applyFont="1" applyAlignment="1">
      <alignment horizontal="center"/>
    </xf>
    <xf numFmtId="2" fontId="0" fillId="0" borderId="0" xfId="0" applyNumberFormat="1"/>
    <xf numFmtId="17" fontId="36" fillId="25" borderId="27" xfId="0" quotePrefix="1" applyNumberFormat="1" applyFont="1" applyFill="1" applyBorder="1" applyAlignment="1">
      <alignment horizontal="center" vertical="center" wrapText="1"/>
    </xf>
    <xf numFmtId="17" fontId="16" fillId="0" borderId="63" xfId="0" applyNumberFormat="1" applyFont="1" applyBorder="1" applyAlignment="1">
      <alignment horizontal="center" vertical="center"/>
    </xf>
    <xf numFmtId="2" fontId="74" fillId="0" borderId="0" xfId="0" applyNumberFormat="1" applyFont="1" applyAlignment="1">
      <alignment horizontal="center"/>
    </xf>
    <xf numFmtId="165" fontId="0" fillId="35" borderId="16" xfId="0" applyNumberFormat="1" applyFill="1" applyBorder="1"/>
    <xf numFmtId="167" fontId="0" fillId="31" borderId="82" xfId="0" applyNumberFormat="1" applyFill="1" applyBorder="1"/>
    <xf numFmtId="0" fontId="0" fillId="32" borderId="85" xfId="0" applyFill="1" applyBorder="1"/>
    <xf numFmtId="165" fontId="0" fillId="0" borderId="82" xfId="0" applyNumberFormat="1" applyBorder="1"/>
    <xf numFmtId="165" fontId="0" fillId="0" borderId="83" xfId="0" applyNumberFormat="1" applyBorder="1"/>
    <xf numFmtId="165" fontId="0" fillId="0" borderId="86" xfId="0" applyNumberFormat="1" applyBorder="1"/>
    <xf numFmtId="165" fontId="0" fillId="0" borderId="81" xfId="0" applyNumberFormat="1" applyBorder="1"/>
    <xf numFmtId="165" fontId="0" fillId="0" borderId="87" xfId="0" applyNumberFormat="1" applyBorder="1"/>
    <xf numFmtId="178" fontId="0" fillId="35" borderId="82" xfId="66" applyNumberFormat="1" applyFont="1" applyFill="1" applyBorder="1"/>
    <xf numFmtId="165" fontId="0" fillId="35" borderId="82" xfId="0" applyNumberFormat="1" applyFill="1" applyBorder="1"/>
    <xf numFmtId="167" fontId="0" fillId="0" borderId="61" xfId="0" applyNumberFormat="1" applyBorder="1"/>
    <xf numFmtId="165" fontId="0" fillId="0" borderId="61" xfId="0" applyNumberFormat="1" applyBorder="1"/>
    <xf numFmtId="0" fontId="9" fillId="0" borderId="0" xfId="67" applyAlignment="1">
      <alignment vertical="center"/>
    </xf>
    <xf numFmtId="0" fontId="9" fillId="0" borderId="0" xfId="67"/>
    <xf numFmtId="0" fontId="9" fillId="0" borderId="0" xfId="67" applyAlignment="1">
      <alignment horizontal="center" vertical="center"/>
    </xf>
    <xf numFmtId="0" fontId="9" fillId="0" borderId="0" xfId="67" applyAlignment="1">
      <alignment horizontal="center"/>
    </xf>
    <xf numFmtId="10" fontId="75" fillId="0" borderId="0" xfId="67" applyNumberFormat="1" applyFont="1" applyAlignment="1">
      <alignment horizontal="center" vertical="center"/>
    </xf>
    <xf numFmtId="0" fontId="76" fillId="48" borderId="88" xfId="67" applyFont="1" applyFill="1" applyBorder="1" applyAlignment="1">
      <alignment horizontal="right" vertical="center"/>
    </xf>
    <xf numFmtId="180" fontId="77" fillId="0" borderId="88" xfId="67" applyNumberFormat="1" applyFont="1" applyBorder="1" applyAlignment="1">
      <alignment horizontal="center" vertical="center"/>
    </xf>
    <xf numFmtId="180" fontId="9" fillId="0" borderId="0" xfId="67" applyNumberFormat="1" applyAlignment="1">
      <alignment horizontal="center" vertical="center"/>
    </xf>
    <xf numFmtId="10" fontId="77" fillId="0" borderId="88" xfId="39" applyNumberFormat="1" applyFont="1" applyBorder="1" applyAlignment="1">
      <alignment horizontal="center" vertical="center"/>
    </xf>
    <xf numFmtId="0" fontId="78" fillId="48" borderId="88" xfId="67" applyFont="1" applyFill="1" applyBorder="1" applyAlignment="1">
      <alignment horizontal="right" vertical="center"/>
    </xf>
    <xf numFmtId="10" fontId="77" fillId="0" borderId="88" xfId="67" applyNumberFormat="1" applyFont="1" applyBorder="1" applyAlignment="1">
      <alignment horizontal="center" vertical="center"/>
    </xf>
    <xf numFmtId="0" fontId="77" fillId="0" borderId="0" xfId="67" applyFont="1" applyAlignment="1">
      <alignment horizontal="center" vertical="center"/>
    </xf>
    <xf numFmtId="0" fontId="79" fillId="49" borderId="89" xfId="67" applyFont="1" applyFill="1" applyBorder="1" applyAlignment="1">
      <alignment horizontal="center" vertical="center" wrapText="1"/>
    </xf>
    <xf numFmtId="0" fontId="79" fillId="49" borderId="90" xfId="67" applyFont="1" applyFill="1" applyBorder="1" applyAlignment="1">
      <alignment horizontal="center" vertical="center" wrapText="1"/>
    </xf>
    <xf numFmtId="0" fontId="79" fillId="49" borderId="0" xfId="67" applyFont="1" applyFill="1" applyAlignment="1">
      <alignment horizontal="center" vertical="center" wrapText="1"/>
    </xf>
    <xf numFmtId="17" fontId="43" fillId="50" borderId="88" xfId="67" applyNumberFormat="1" applyFont="1" applyFill="1" applyBorder="1" applyAlignment="1">
      <alignment horizontal="center" vertical="center"/>
    </xf>
    <xf numFmtId="17" fontId="43" fillId="49" borderId="88" xfId="67" applyNumberFormat="1" applyFont="1" applyFill="1" applyBorder="1" applyAlignment="1">
      <alignment horizontal="center" vertical="center"/>
    </xf>
    <xf numFmtId="9" fontId="43" fillId="49" borderId="88" xfId="67" applyNumberFormat="1" applyFont="1" applyFill="1" applyBorder="1" applyAlignment="1">
      <alignment horizontal="center" vertical="center"/>
    </xf>
    <xf numFmtId="0" fontId="0" fillId="0" borderId="0" xfId="67" applyFont="1"/>
    <xf numFmtId="0" fontId="76" fillId="48" borderId="88" xfId="67" applyFont="1" applyFill="1" applyBorder="1"/>
    <xf numFmtId="0" fontId="80" fillId="48" borderId="88" xfId="67" applyFont="1" applyFill="1" applyBorder="1" applyAlignment="1">
      <alignment horizontal="center"/>
    </xf>
    <xf numFmtId="2" fontId="81" fillId="48" borderId="88" xfId="67" applyNumberFormat="1" applyFont="1" applyFill="1" applyBorder="1" applyAlignment="1">
      <alignment horizontal="center"/>
    </xf>
    <xf numFmtId="10" fontId="76" fillId="48" borderId="88" xfId="67" applyNumberFormat="1" applyFont="1" applyFill="1" applyBorder="1" applyAlignment="1">
      <alignment horizontal="center"/>
    </xf>
    <xf numFmtId="10" fontId="76" fillId="48" borderId="88" xfId="38" applyNumberFormat="1" applyFont="1" applyFill="1" applyBorder="1" applyAlignment="1">
      <alignment horizontal="center"/>
    </xf>
    <xf numFmtId="0" fontId="16" fillId="0" borderId="88" xfId="67" applyFont="1" applyBorder="1" applyAlignment="1">
      <alignment horizontal="center" vertical="center"/>
    </xf>
    <xf numFmtId="0" fontId="81" fillId="48" borderId="88" xfId="67" applyFont="1" applyFill="1" applyBorder="1"/>
    <xf numFmtId="0" fontId="81" fillId="48" borderId="88" xfId="67" applyFont="1" applyFill="1" applyBorder="1" applyAlignment="1">
      <alignment horizontal="center"/>
    </xf>
    <xf numFmtId="0" fontId="16" fillId="0" borderId="0" xfId="68"/>
    <xf numFmtId="0" fontId="78" fillId="48" borderId="92" xfId="68" applyFont="1" applyFill="1" applyBorder="1" applyAlignment="1">
      <alignment horizontal="left"/>
    </xf>
    <xf numFmtId="182" fontId="9" fillId="0" borderId="0" xfId="67" applyNumberFormat="1"/>
    <xf numFmtId="0" fontId="78" fillId="48" borderId="91" xfId="67" applyFont="1" applyFill="1" applyBorder="1" applyAlignment="1">
      <alignment horizontal="left"/>
    </xf>
    <xf numFmtId="0" fontId="78" fillId="48" borderId="92" xfId="67" applyFont="1" applyFill="1" applyBorder="1" applyAlignment="1">
      <alignment horizontal="left"/>
    </xf>
    <xf numFmtId="182" fontId="78" fillId="0" borderId="88" xfId="70" applyFont="1" applyFill="1" applyBorder="1" applyAlignment="1">
      <alignment horizontal="center"/>
    </xf>
    <xf numFmtId="0" fontId="77" fillId="0" borderId="0" xfId="67" applyFont="1"/>
    <xf numFmtId="0" fontId="78" fillId="48" borderId="91" xfId="67" applyFont="1" applyFill="1" applyBorder="1"/>
    <xf numFmtId="0" fontId="78" fillId="48" borderId="92" xfId="67" applyFont="1" applyFill="1" applyBorder="1"/>
    <xf numFmtId="17" fontId="82" fillId="49" borderId="88" xfId="67" applyNumberFormat="1" applyFont="1" applyFill="1" applyBorder="1" applyAlignment="1">
      <alignment horizontal="center" vertical="center"/>
    </xf>
    <xf numFmtId="0" fontId="8" fillId="0" borderId="0" xfId="67" applyFont="1" applyAlignment="1">
      <alignment vertical="center"/>
    </xf>
    <xf numFmtId="182" fontId="8" fillId="0" borderId="0" xfId="67" applyNumberFormat="1" applyFont="1"/>
    <xf numFmtId="0" fontId="8" fillId="0" borderId="0" xfId="67" applyFont="1"/>
    <xf numFmtId="4" fontId="8" fillId="0" borderId="0" xfId="67" applyNumberFormat="1" applyFont="1"/>
    <xf numFmtId="4" fontId="8" fillId="0" borderId="88" xfId="67" applyNumberFormat="1" applyFont="1" applyBorder="1" applyAlignment="1">
      <alignment horizontal="center"/>
    </xf>
    <xf numFmtId="4" fontId="8" fillId="37" borderId="88" xfId="67" applyNumberFormat="1" applyFont="1" applyFill="1" applyBorder="1" applyAlignment="1">
      <alignment horizontal="center"/>
    </xf>
    <xf numFmtId="181" fontId="83" fillId="0" borderId="0" xfId="68" applyNumberFormat="1" applyFont="1"/>
    <xf numFmtId="0" fontId="83" fillId="0" borderId="0" xfId="68" applyFont="1"/>
    <xf numFmtId="182" fontId="8" fillId="0" borderId="88" xfId="69" applyFont="1" applyFill="1" applyBorder="1" applyAlignment="1">
      <alignment horizontal="center"/>
    </xf>
    <xf numFmtId="182" fontId="77" fillId="0" borderId="88" xfId="70" applyFont="1" applyFill="1" applyBorder="1" applyAlignment="1">
      <alignment horizontal="center"/>
    </xf>
    <xf numFmtId="9" fontId="83" fillId="0" borderId="0" xfId="71" applyFont="1"/>
    <xf numFmtId="2" fontId="8" fillId="0" borderId="88" xfId="0" applyNumberFormat="1" applyFont="1" applyBorder="1" applyAlignment="1">
      <alignment horizontal="center"/>
    </xf>
    <xf numFmtId="2" fontId="8" fillId="37" borderId="88" xfId="0" applyNumberFormat="1" applyFont="1" applyFill="1" applyBorder="1" applyAlignment="1">
      <alignment horizontal="center"/>
    </xf>
    <xf numFmtId="0" fontId="36" fillId="25" borderId="27" xfId="0" applyFont="1" applyFill="1" applyBorder="1" applyAlignment="1">
      <alignment horizontal="center" vertical="center" wrapText="1"/>
    </xf>
    <xf numFmtId="0" fontId="36" fillId="25" borderId="27" xfId="0" quotePrefix="1" applyFont="1" applyFill="1" applyBorder="1" applyAlignment="1">
      <alignment horizontal="center" vertical="center" wrapText="1"/>
    </xf>
    <xf numFmtId="4" fontId="84" fillId="37" borderId="88" xfId="67" applyNumberFormat="1" applyFont="1" applyFill="1" applyBorder="1" applyAlignment="1">
      <alignment horizontal="center"/>
    </xf>
    <xf numFmtId="0" fontId="86" fillId="48" borderId="88" xfId="67" applyFont="1" applyFill="1" applyBorder="1"/>
    <xf numFmtId="0" fontId="86" fillId="48" borderId="88" xfId="67" applyFont="1" applyFill="1" applyBorder="1" applyAlignment="1">
      <alignment horizontal="center"/>
    </xf>
    <xf numFmtId="2" fontId="86" fillId="48" borderId="88" xfId="67" applyNumberFormat="1" applyFont="1" applyFill="1" applyBorder="1" applyAlignment="1">
      <alignment horizontal="center"/>
    </xf>
    <xf numFmtId="10" fontId="86" fillId="48" borderId="88" xfId="67" applyNumberFormat="1" applyFont="1" applyFill="1" applyBorder="1" applyAlignment="1">
      <alignment horizontal="center"/>
    </xf>
    <xf numFmtId="10" fontId="86" fillId="48" borderId="88" xfId="38" applyNumberFormat="1" applyFont="1" applyFill="1" applyBorder="1" applyAlignment="1">
      <alignment horizontal="center"/>
    </xf>
    <xf numFmtId="0" fontId="87" fillId="0" borderId="88" xfId="67" applyFont="1" applyBorder="1" applyAlignment="1">
      <alignment horizontal="center" vertical="center"/>
    </xf>
    <xf numFmtId="4" fontId="88" fillId="0" borderId="88" xfId="67" applyNumberFormat="1" applyFont="1" applyBorder="1" applyAlignment="1">
      <alignment horizontal="center"/>
    </xf>
    <xf numFmtId="2" fontId="88" fillId="0" borderId="88" xfId="0" applyNumberFormat="1" applyFont="1" applyBorder="1" applyAlignment="1">
      <alignment horizontal="center"/>
    </xf>
    <xf numFmtId="0" fontId="88" fillId="0" borderId="0" xfId="67" applyFont="1"/>
    <xf numFmtId="0" fontId="0" fillId="0" borderId="0" xfId="0" applyAlignment="1">
      <alignment horizontal="left" indent="1"/>
    </xf>
    <xf numFmtId="0" fontId="16" fillId="0" borderId="82" xfId="0" applyFont="1" applyBorder="1"/>
    <xf numFmtId="44" fontId="0" fillId="0" borderId="81" xfId="0" applyNumberFormat="1" applyBorder="1"/>
    <xf numFmtId="44" fontId="0" fillId="0" borderId="16" xfId="0" applyNumberFormat="1" applyBorder="1"/>
    <xf numFmtId="0" fontId="17" fillId="0" borderId="94" xfId="0" applyFont="1" applyBorder="1"/>
    <xf numFmtId="0" fontId="16" fillId="51" borderId="95" xfId="0" applyFont="1" applyFill="1" applyBorder="1" applyAlignment="1">
      <alignment horizontal="center"/>
    </xf>
    <xf numFmtId="0" fontId="16" fillId="51" borderId="96" xfId="0" applyFont="1" applyFill="1" applyBorder="1" applyAlignment="1">
      <alignment horizontal="center"/>
    </xf>
    <xf numFmtId="0" fontId="0" fillId="51" borderId="97" xfId="0" applyFill="1" applyBorder="1"/>
    <xf numFmtId="0" fontId="16" fillId="51" borderId="98" xfId="0" applyFont="1" applyFill="1" applyBorder="1"/>
    <xf numFmtId="0" fontId="0" fillId="51" borderId="98" xfId="0" applyFill="1" applyBorder="1"/>
    <xf numFmtId="0" fontId="0" fillId="51" borderId="99" xfId="0" applyFill="1" applyBorder="1"/>
    <xf numFmtId="44" fontId="0" fillId="0" borderId="35" xfId="0" applyNumberFormat="1" applyBorder="1"/>
    <xf numFmtId="44" fontId="0" fillId="0" borderId="34" xfId="0" applyNumberFormat="1" applyBorder="1"/>
    <xf numFmtId="44" fontId="0" fillId="0" borderId="100" xfId="0" applyNumberFormat="1" applyBorder="1"/>
    <xf numFmtId="44" fontId="0" fillId="0" borderId="98" xfId="0" applyNumberFormat="1" applyBorder="1"/>
    <xf numFmtId="49" fontId="70" fillId="0" borderId="63" xfId="0" applyNumberFormat="1" applyFont="1" applyBorder="1" applyAlignment="1">
      <alignment horizontal="center" vertical="center"/>
    </xf>
    <xf numFmtId="0" fontId="0" fillId="0" borderId="15" xfId="0" applyBorder="1"/>
    <xf numFmtId="178" fontId="16" fillId="35" borderId="39" xfId="66" applyNumberFormat="1" applyFont="1" applyFill="1" applyBorder="1"/>
    <xf numFmtId="178" fontId="16" fillId="35" borderId="82" xfId="66" applyNumberFormat="1" applyFont="1" applyFill="1" applyBorder="1"/>
    <xf numFmtId="165" fontId="16" fillId="35" borderId="39" xfId="0" applyNumberFormat="1" applyFont="1" applyFill="1" applyBorder="1"/>
    <xf numFmtId="165" fontId="16" fillId="35" borderId="82" xfId="0" applyNumberFormat="1" applyFont="1" applyFill="1" applyBorder="1"/>
    <xf numFmtId="0" fontId="48" fillId="0" borderId="0" xfId="0" applyFont="1" applyAlignment="1">
      <alignment horizontal="center"/>
    </xf>
    <xf numFmtId="10" fontId="0" fillId="0" borderId="0" xfId="38" applyNumberFormat="1" applyFont="1" applyFill="1" applyBorder="1"/>
    <xf numFmtId="176" fontId="0" fillId="0" borderId="0" xfId="0" applyNumberFormat="1"/>
    <xf numFmtId="167" fontId="17" fillId="0" borderId="0" xfId="0" applyNumberFormat="1" applyFont="1"/>
    <xf numFmtId="0" fontId="17" fillId="0" borderId="0" xfId="0" applyFont="1"/>
    <xf numFmtId="176" fontId="17" fillId="0" borderId="0" xfId="0" applyNumberFormat="1" applyFont="1"/>
    <xf numFmtId="2" fontId="69" fillId="43" borderId="0" xfId="0" applyNumberFormat="1" applyFont="1" applyFill="1" applyAlignment="1">
      <alignment horizontal="center" vertical="center" wrapText="1"/>
    </xf>
    <xf numFmtId="2" fontId="16" fillId="0" borderId="93" xfId="0" applyNumberFormat="1" applyFont="1" applyBorder="1" applyAlignment="1">
      <alignment horizontal="center" vertical="center" wrapText="1"/>
    </xf>
    <xf numFmtId="2" fontId="70" fillId="0" borderId="93" xfId="0" applyNumberFormat="1" applyFont="1" applyBorder="1" applyAlignment="1">
      <alignment horizontal="center" vertical="center" wrapText="1"/>
    </xf>
    <xf numFmtId="2" fontId="16" fillId="0" borderId="0" xfId="0" applyNumberFormat="1" applyFont="1"/>
    <xf numFmtId="0" fontId="7" fillId="24" borderId="0" xfId="72" applyFill="1"/>
    <xf numFmtId="1" fontId="7" fillId="24" borderId="0" xfId="72" applyNumberFormat="1" applyFill="1" applyAlignment="1">
      <alignment horizontal="center"/>
    </xf>
    <xf numFmtId="0" fontId="7" fillId="24" borderId="0" xfId="72" applyFill="1" applyAlignment="1">
      <alignment horizontal="center"/>
    </xf>
    <xf numFmtId="0" fontId="7" fillId="0" borderId="0" xfId="72"/>
    <xf numFmtId="0" fontId="43" fillId="25" borderId="103" xfId="72" applyFont="1" applyFill="1" applyBorder="1" applyAlignment="1">
      <alignment horizontal="center" vertical="center" wrapText="1"/>
    </xf>
    <xf numFmtId="1" fontId="43" fillId="25" borderId="103" xfId="72" applyNumberFormat="1" applyFont="1" applyFill="1" applyBorder="1" applyAlignment="1">
      <alignment horizontal="center" vertical="center" wrapText="1"/>
    </xf>
    <xf numFmtId="0" fontId="7" fillId="0" borderId="0" xfId="72" applyAlignment="1">
      <alignment horizontal="center"/>
    </xf>
    <xf numFmtId="0" fontId="7" fillId="0" borderId="102" xfId="72" applyBorder="1"/>
    <xf numFmtId="1" fontId="7" fillId="24" borderId="102" xfId="72" applyNumberFormat="1" applyFill="1" applyBorder="1" applyAlignment="1">
      <alignment horizontal="center"/>
    </xf>
    <xf numFmtId="0" fontId="7" fillId="24" borderId="102" xfId="72" applyFill="1" applyBorder="1" applyAlignment="1">
      <alignment horizontal="center"/>
    </xf>
    <xf numFmtId="44" fontId="0" fillId="0" borderId="102" xfId="73" applyFont="1" applyFill="1" applyBorder="1"/>
    <xf numFmtId="44" fontId="0" fillId="24" borderId="102" xfId="73" applyFont="1" applyFill="1" applyBorder="1"/>
    <xf numFmtId="1" fontId="7" fillId="0" borderId="0" xfId="72" applyNumberFormat="1" applyAlignment="1">
      <alignment horizontal="center"/>
    </xf>
    <xf numFmtId="0" fontId="7" fillId="24" borderId="104" xfId="72" applyFill="1" applyBorder="1"/>
    <xf numFmtId="0" fontId="7" fillId="24" borderId="105" xfId="72" applyFill="1" applyBorder="1"/>
    <xf numFmtId="0" fontId="7" fillId="24" borderId="112" xfId="72" applyFill="1" applyBorder="1"/>
    <xf numFmtId="0" fontId="7" fillId="24" borderId="101" xfId="72" applyFill="1" applyBorder="1"/>
    <xf numFmtId="0" fontId="43" fillId="25" borderId="102" xfId="72" applyFont="1" applyFill="1" applyBorder="1" applyAlignment="1">
      <alignment horizontal="center"/>
    </xf>
    <xf numFmtId="0" fontId="7" fillId="0" borderId="102" xfId="72" applyBorder="1" applyAlignment="1">
      <alignment horizontal="center"/>
    </xf>
    <xf numFmtId="0" fontId="7" fillId="52" borderId="102" xfId="72" applyFill="1" applyBorder="1" applyAlignment="1">
      <alignment horizontal="center"/>
    </xf>
    <xf numFmtId="0" fontId="7" fillId="52" borderId="104" xfId="72" applyFill="1" applyBorder="1" applyAlignment="1">
      <alignment horizontal="center"/>
    </xf>
    <xf numFmtId="0" fontId="7" fillId="52" borderId="112" xfId="72" applyFill="1" applyBorder="1" applyAlignment="1">
      <alignment horizontal="center"/>
    </xf>
    <xf numFmtId="0" fontId="7" fillId="52" borderId="103" xfId="72" applyFill="1" applyBorder="1" applyAlignment="1">
      <alignment horizontal="center"/>
    </xf>
    <xf numFmtId="0" fontId="7" fillId="52" borderId="111" xfId="72" applyFill="1" applyBorder="1" applyAlignment="1">
      <alignment horizontal="center"/>
    </xf>
    <xf numFmtId="44" fontId="0" fillId="52" borderId="102" xfId="73" applyFont="1" applyFill="1" applyBorder="1"/>
    <xf numFmtId="44" fontId="0" fillId="52" borderId="104" xfId="73" applyFont="1" applyFill="1" applyBorder="1"/>
    <xf numFmtId="44" fontId="0" fillId="52" borderId="112" xfId="73" applyFont="1" applyFill="1" applyBorder="1"/>
    <xf numFmtId="44" fontId="0" fillId="52" borderId="103" xfId="73" applyFont="1" applyFill="1" applyBorder="1"/>
    <xf numFmtId="44" fontId="50" fillId="52" borderId="112" xfId="73" applyFont="1" applyFill="1" applyBorder="1"/>
    <xf numFmtId="44" fontId="50" fillId="52" borderId="102" xfId="73" applyFont="1" applyFill="1" applyBorder="1"/>
    <xf numFmtId="44" fontId="0" fillId="52" borderId="111" xfId="73" applyFont="1" applyFill="1" applyBorder="1"/>
    <xf numFmtId="0" fontId="7" fillId="24" borderId="110" xfId="72" applyFill="1" applyBorder="1"/>
    <xf numFmtId="0" fontId="7" fillId="24" borderId="106" xfId="72" applyFill="1" applyBorder="1"/>
    <xf numFmtId="44" fontId="7" fillId="24" borderId="0" xfId="72" applyNumberFormat="1" applyFill="1"/>
    <xf numFmtId="0" fontId="89" fillId="24" borderId="0" xfId="72" applyFont="1" applyFill="1"/>
    <xf numFmtId="0" fontId="89" fillId="52" borderId="101" xfId="72" applyFont="1" applyFill="1" applyBorder="1" applyAlignment="1">
      <alignment horizontal="center"/>
    </xf>
    <xf numFmtId="0" fontId="89" fillId="24" borderId="101" xfId="72" applyFont="1" applyFill="1" applyBorder="1"/>
    <xf numFmtId="44" fontId="90" fillId="52" borderId="101" xfId="73" applyFont="1" applyFill="1" applyBorder="1"/>
    <xf numFmtId="0" fontId="89" fillId="52" borderId="104" xfId="72" applyFont="1" applyFill="1" applyBorder="1" applyAlignment="1">
      <alignment horizontal="center"/>
    </xf>
    <xf numFmtId="0" fontId="89" fillId="24" borderId="104" xfId="72" applyFont="1" applyFill="1" applyBorder="1"/>
    <xf numFmtId="44" fontId="90" fillId="52" borderId="106" xfId="73" applyFont="1" applyFill="1" applyBorder="1"/>
    <xf numFmtId="0" fontId="89" fillId="52" borderId="103" xfId="72" applyFont="1" applyFill="1" applyBorder="1" applyAlignment="1">
      <alignment horizontal="center"/>
    </xf>
    <xf numFmtId="0" fontId="89" fillId="24" borderId="103" xfId="72" applyFont="1" applyFill="1" applyBorder="1"/>
    <xf numFmtId="44" fontId="91" fillId="52" borderId="103" xfId="73" applyFont="1" applyFill="1" applyBorder="1"/>
    <xf numFmtId="44" fontId="89" fillId="24" borderId="0" xfId="72" applyNumberFormat="1" applyFont="1" applyFill="1"/>
    <xf numFmtId="0" fontId="89" fillId="52" borderId="102" xfId="72" applyFont="1" applyFill="1" applyBorder="1" applyAlignment="1">
      <alignment horizontal="center"/>
    </xf>
    <xf numFmtId="0" fontId="89" fillId="24" borderId="102" xfId="72" applyFont="1" applyFill="1" applyBorder="1"/>
    <xf numFmtId="44" fontId="91" fillId="52" borderId="102" xfId="73" applyFont="1" applyFill="1" applyBorder="1"/>
    <xf numFmtId="44" fontId="91" fillId="52" borderId="104" xfId="73" applyFont="1" applyFill="1" applyBorder="1"/>
    <xf numFmtId="0" fontId="89" fillId="52" borderId="112" xfId="72" applyFont="1" applyFill="1" applyBorder="1" applyAlignment="1">
      <alignment horizontal="center"/>
    </xf>
    <xf numFmtId="0" fontId="89" fillId="24" borderId="112" xfId="72" applyFont="1" applyFill="1" applyBorder="1"/>
    <xf numFmtId="44" fontId="91" fillId="52" borderId="112" xfId="73" applyFont="1" applyFill="1" applyBorder="1"/>
    <xf numFmtId="0" fontId="89" fillId="0" borderId="112" xfId="72" applyFont="1" applyBorder="1"/>
    <xf numFmtId="0" fontId="89" fillId="0" borderId="102" xfId="72" applyFont="1" applyBorder="1"/>
    <xf numFmtId="0" fontId="89" fillId="0" borderId="104" xfId="72" applyFont="1" applyBorder="1"/>
    <xf numFmtId="0" fontId="63" fillId="0" borderId="63" xfId="0" applyFont="1" applyBorder="1" applyAlignment="1">
      <alignment horizontal="center" vertical="center"/>
    </xf>
    <xf numFmtId="1" fontId="36" fillId="0" borderId="23" xfId="0" applyNumberFormat="1" applyFont="1" applyBorder="1" applyAlignment="1">
      <alignment horizontal="center" vertical="center" wrapText="1"/>
    </xf>
    <xf numFmtId="2" fontId="50" fillId="0" borderId="93" xfId="0" applyNumberFormat="1" applyFont="1" applyBorder="1" applyAlignment="1">
      <alignment horizontal="center" vertical="center" wrapText="1"/>
    </xf>
    <xf numFmtId="164" fontId="50" fillId="0" borderId="66" xfId="0" applyNumberFormat="1" applyFont="1" applyBorder="1" applyAlignment="1">
      <alignment horizontal="center" vertical="center" wrapText="1"/>
    </xf>
    <xf numFmtId="0" fontId="16" fillId="51" borderId="113" xfId="0" applyFont="1" applyFill="1" applyBorder="1" applyAlignment="1">
      <alignment horizontal="center"/>
    </xf>
    <xf numFmtId="0" fontId="16" fillId="51" borderId="114" xfId="0" applyFont="1" applyFill="1" applyBorder="1" applyAlignment="1">
      <alignment horizontal="center"/>
    </xf>
    <xf numFmtId="0" fontId="16" fillId="51" borderId="115" xfId="0" applyFont="1" applyFill="1" applyBorder="1" applyAlignment="1">
      <alignment horizontal="center"/>
    </xf>
    <xf numFmtId="44" fontId="0" fillId="0" borderId="116" xfId="0" applyNumberFormat="1" applyBorder="1"/>
    <xf numFmtId="44" fontId="0" fillId="0" borderId="117" xfId="0" applyNumberFormat="1" applyBorder="1"/>
    <xf numFmtId="44" fontId="0" fillId="0" borderId="118" xfId="0" applyNumberFormat="1" applyBorder="1"/>
    <xf numFmtId="44" fontId="0" fillId="0" borderId="119" xfId="0" applyNumberFormat="1" applyBorder="1"/>
    <xf numFmtId="2" fontId="92" fillId="0" borderId="0" xfId="0" applyNumberFormat="1" applyFont="1" applyAlignment="1">
      <alignment horizontal="center"/>
    </xf>
    <xf numFmtId="2" fontId="16" fillId="39" borderId="0" xfId="0" applyNumberFormat="1" applyFont="1" applyFill="1" applyAlignment="1">
      <alignment horizontal="center"/>
    </xf>
    <xf numFmtId="0" fontId="6" fillId="24" borderId="0" xfId="72" applyFont="1" applyFill="1" applyAlignment="1">
      <alignment horizontal="right"/>
    </xf>
    <xf numFmtId="44" fontId="90" fillId="52" borderId="112" xfId="73" applyFont="1" applyFill="1" applyBorder="1"/>
    <xf numFmtId="44" fontId="90" fillId="52" borderId="102" xfId="73" applyFont="1" applyFill="1" applyBorder="1"/>
    <xf numFmtId="44" fontId="90" fillId="52" borderId="104" xfId="73" applyFont="1" applyFill="1" applyBorder="1"/>
    <xf numFmtId="0" fontId="84" fillId="24" borderId="0" xfId="72" applyFont="1" applyFill="1"/>
    <xf numFmtId="44" fontId="90" fillId="52" borderId="103" xfId="73" applyFont="1" applyFill="1" applyBorder="1"/>
    <xf numFmtId="44" fontId="93" fillId="52" borderId="102" xfId="73" applyFont="1" applyFill="1" applyBorder="1"/>
    <xf numFmtId="4" fontId="8" fillId="39" borderId="88" xfId="67" applyNumberFormat="1" applyFont="1" applyFill="1" applyBorder="1" applyAlignment="1">
      <alignment horizontal="center"/>
    </xf>
    <xf numFmtId="4" fontId="88" fillId="39" borderId="88" xfId="67" applyNumberFormat="1" applyFont="1" applyFill="1" applyBorder="1" applyAlignment="1">
      <alignment horizontal="center"/>
    </xf>
    <xf numFmtId="0" fontId="77" fillId="24" borderId="102" xfId="72" applyFont="1" applyFill="1" applyBorder="1" applyAlignment="1">
      <alignment horizontal="center"/>
    </xf>
    <xf numFmtId="0" fontId="5" fillId="24" borderId="102" xfId="72" applyFont="1" applyFill="1" applyBorder="1" applyAlignment="1">
      <alignment horizontal="right"/>
    </xf>
    <xf numFmtId="44" fontId="7" fillId="24" borderId="102" xfId="72" applyNumberFormat="1" applyFill="1" applyBorder="1" applyAlignment="1">
      <alignment horizontal="center"/>
    </xf>
    <xf numFmtId="44" fontId="84" fillId="24" borderId="102" xfId="72" applyNumberFormat="1" applyFont="1" applyFill="1" applyBorder="1" applyAlignment="1">
      <alignment horizontal="center"/>
    </xf>
    <xf numFmtId="44" fontId="83" fillId="24" borderId="102" xfId="72" applyNumberFormat="1" applyFont="1" applyFill="1" applyBorder="1" applyAlignment="1">
      <alignment horizontal="center"/>
    </xf>
    <xf numFmtId="2" fontId="94" fillId="0" borderId="0" xfId="0" applyNumberFormat="1" applyFont="1" applyAlignment="1">
      <alignment horizontal="center"/>
    </xf>
    <xf numFmtId="2" fontId="95" fillId="0" borderId="0" xfId="0" applyNumberFormat="1" applyFont="1" applyAlignment="1">
      <alignment horizontal="center"/>
    </xf>
    <xf numFmtId="44" fontId="0" fillId="0" borderId="120" xfId="0" applyNumberFormat="1" applyBorder="1"/>
    <xf numFmtId="44" fontId="0" fillId="0" borderId="121" xfId="0" applyNumberFormat="1" applyBorder="1"/>
    <xf numFmtId="44" fontId="0" fillId="0" borderId="93" xfId="0" applyNumberFormat="1" applyBorder="1"/>
    <xf numFmtId="44" fontId="0" fillId="0" borderId="122" xfId="0" applyNumberFormat="1" applyBorder="1"/>
    <xf numFmtId="44" fontId="0" fillId="0" borderId="79" xfId="0" applyNumberFormat="1" applyBorder="1"/>
    <xf numFmtId="44" fontId="0" fillId="0" borderId="123" xfId="0" applyNumberFormat="1" applyBorder="1"/>
    <xf numFmtId="44" fontId="0" fillId="0" borderId="115" xfId="0" applyNumberFormat="1" applyBorder="1"/>
    <xf numFmtId="44" fontId="0" fillId="0" borderId="95" xfId="0" applyNumberFormat="1" applyBorder="1"/>
    <xf numFmtId="44" fontId="0" fillId="0" borderId="96" xfId="0" applyNumberFormat="1" applyBorder="1"/>
    <xf numFmtId="0" fontId="17" fillId="51" borderId="94" xfId="0" applyFont="1" applyFill="1" applyBorder="1" applyAlignment="1">
      <alignment horizontal="right"/>
    </xf>
    <xf numFmtId="44" fontId="0" fillId="0" borderId="124" xfId="0" applyNumberFormat="1" applyBorder="1"/>
    <xf numFmtId="44" fontId="0" fillId="0" borderId="114" xfId="0" applyNumberFormat="1" applyBorder="1"/>
    <xf numFmtId="44" fontId="0" fillId="0" borderId="113" xfId="0" applyNumberFormat="1" applyBorder="1"/>
    <xf numFmtId="44" fontId="0" fillId="0" borderId="125" xfId="0" applyNumberFormat="1" applyBorder="1"/>
    <xf numFmtId="1" fontId="77" fillId="24" borderId="102" xfId="72" applyNumberFormat="1" applyFont="1" applyFill="1" applyBorder="1" applyAlignment="1">
      <alignment horizontal="left"/>
    </xf>
    <xf numFmtId="2" fontId="96" fillId="0" borderId="0" xfId="0" applyNumberFormat="1" applyFont="1" applyAlignment="1">
      <alignment horizontal="center"/>
    </xf>
    <xf numFmtId="0" fontId="83" fillId="24" borderId="0" xfId="72" applyFont="1" applyFill="1"/>
    <xf numFmtId="0" fontId="83" fillId="52" borderId="101" xfId="72" applyFont="1" applyFill="1" applyBorder="1" applyAlignment="1">
      <alignment horizontal="center"/>
    </xf>
    <xf numFmtId="0" fontId="83" fillId="24" borderId="101" xfId="72" applyFont="1" applyFill="1" applyBorder="1"/>
    <xf numFmtId="44" fontId="16" fillId="52" borderId="101" xfId="73" applyFont="1" applyFill="1" applyBorder="1"/>
    <xf numFmtId="0" fontId="83" fillId="52" borderId="104" xfId="72" applyFont="1" applyFill="1" applyBorder="1" applyAlignment="1">
      <alignment horizontal="center"/>
    </xf>
    <xf numFmtId="0" fontId="83" fillId="24" borderId="104" xfId="72" applyFont="1" applyFill="1" applyBorder="1"/>
    <xf numFmtId="44" fontId="16" fillId="52" borderId="106" xfId="73" applyFont="1" applyFill="1" applyBorder="1"/>
    <xf numFmtId="0" fontId="89" fillId="24" borderId="110" xfId="72" applyFont="1" applyFill="1" applyBorder="1"/>
    <xf numFmtId="44" fontId="97" fillId="52" borderId="112" xfId="73" applyFont="1" applyFill="1" applyBorder="1"/>
    <xf numFmtId="44" fontId="97" fillId="52" borderId="102" xfId="73" applyFont="1" applyFill="1" applyBorder="1"/>
    <xf numFmtId="44" fontId="97" fillId="52" borderId="104" xfId="73" applyFont="1" applyFill="1" applyBorder="1"/>
    <xf numFmtId="44" fontId="16" fillId="52" borderId="102" xfId="73" applyFont="1" applyFill="1" applyBorder="1"/>
    <xf numFmtId="167" fontId="0" fillId="0" borderId="81" xfId="0" applyNumberFormat="1" applyBorder="1"/>
    <xf numFmtId="0" fontId="0" fillId="32" borderId="80" xfId="0" applyFill="1" applyBorder="1"/>
    <xf numFmtId="178" fontId="0" fillId="35" borderId="81" xfId="66" applyNumberFormat="1" applyFont="1" applyFill="1" applyBorder="1"/>
    <xf numFmtId="165" fontId="0" fillId="35" borderId="81" xfId="0" applyNumberFormat="1" applyFill="1" applyBorder="1"/>
    <xf numFmtId="167" fontId="98" fillId="0" borderId="0" xfId="0" applyNumberFormat="1" applyFont="1" applyAlignment="1">
      <alignment horizontal="center"/>
    </xf>
    <xf numFmtId="0" fontId="48" fillId="0" borderId="27" xfId="0" applyFont="1" applyBorder="1" applyAlignment="1">
      <alignment horizontal="center"/>
    </xf>
    <xf numFmtId="167" fontId="0" fillId="0" borderId="12" xfId="0" applyNumberFormat="1" applyBorder="1"/>
    <xf numFmtId="176" fontId="99" fillId="0" borderId="0" xfId="0" applyNumberFormat="1" applyFont="1" applyAlignment="1">
      <alignment horizontal="center"/>
    </xf>
    <xf numFmtId="49" fontId="62" fillId="0" borderId="23" xfId="41" applyNumberFormat="1" applyFont="1" applyFill="1" applyBorder="1" applyAlignment="1">
      <alignment horizontal="center" vertical="center"/>
    </xf>
    <xf numFmtId="0" fontId="4" fillId="0" borderId="112" xfId="72" applyFont="1" applyBorder="1"/>
    <xf numFmtId="0" fontId="4" fillId="0" borderId="103" xfId="72" applyFont="1" applyBorder="1"/>
    <xf numFmtId="44" fontId="16" fillId="52" borderId="112" xfId="73" applyFont="1" applyFill="1" applyBorder="1"/>
    <xf numFmtId="44" fontId="16" fillId="52" borderId="103" xfId="73" applyFont="1" applyFill="1" applyBorder="1"/>
    <xf numFmtId="0" fontId="4" fillId="24" borderId="102" xfId="72" applyFont="1" applyFill="1" applyBorder="1"/>
    <xf numFmtId="0" fontId="4" fillId="0" borderId="102" xfId="72" applyFont="1" applyBorder="1"/>
    <xf numFmtId="0" fontId="4" fillId="0" borderId="104" xfId="72" applyFont="1" applyBorder="1"/>
    <xf numFmtId="14" fontId="16" fillId="41" borderId="63" xfId="0" applyNumberFormat="1" applyFont="1" applyFill="1" applyBorder="1" applyAlignment="1">
      <alignment horizontal="center" vertical="center" wrapText="1"/>
    </xf>
    <xf numFmtId="0" fontId="0" fillId="0" borderId="0" xfId="0" quotePrefix="1" applyAlignment="1">
      <alignment horizontal="center"/>
    </xf>
    <xf numFmtId="0" fontId="50" fillId="0" borderId="63" xfId="0" applyFont="1" applyBorder="1" applyAlignment="1">
      <alignment horizontal="left" vertical="center"/>
    </xf>
    <xf numFmtId="0" fontId="16" fillId="0" borderId="0" xfId="0" quotePrefix="1" applyFont="1" applyAlignment="1">
      <alignment horizontal="center"/>
    </xf>
    <xf numFmtId="0" fontId="70" fillId="0" borderId="0" xfId="0" quotePrefix="1" applyFont="1" applyAlignment="1">
      <alignment horizontal="center"/>
    </xf>
    <xf numFmtId="176" fontId="100" fillId="0" borderId="0" xfId="0" applyNumberFormat="1" applyFont="1" applyAlignment="1">
      <alignment horizontal="center"/>
    </xf>
    <xf numFmtId="44" fontId="83" fillId="24" borderId="0" xfId="72" applyNumberFormat="1" applyFont="1" applyFill="1"/>
    <xf numFmtId="2" fontId="101" fillId="0" borderId="0" xfId="0" applyNumberFormat="1" applyFont="1" applyAlignment="1">
      <alignment horizontal="center"/>
    </xf>
    <xf numFmtId="0" fontId="16" fillId="0" borderId="0" xfId="0" applyFont="1" applyAlignment="1">
      <alignment horizontal="left" vertical="center"/>
    </xf>
    <xf numFmtId="0" fontId="2" fillId="0" borderId="102" xfId="72" applyFont="1" applyBorder="1"/>
    <xf numFmtId="0" fontId="2" fillId="0" borderId="104" xfId="72" applyFont="1" applyBorder="1"/>
    <xf numFmtId="44" fontId="7" fillId="52" borderId="112" xfId="72" applyNumberFormat="1" applyFill="1" applyBorder="1" applyAlignment="1">
      <alignment horizontal="center"/>
    </xf>
    <xf numFmtId="44" fontId="93" fillId="52" borderId="112" xfId="73" applyFont="1" applyFill="1" applyBorder="1"/>
    <xf numFmtId="44" fontId="102" fillId="52" borderId="102" xfId="73" applyFont="1" applyFill="1" applyBorder="1"/>
    <xf numFmtId="44" fontId="102" fillId="52" borderId="104" xfId="73" applyFont="1" applyFill="1" applyBorder="1"/>
    <xf numFmtId="44" fontId="102" fillId="52" borderId="103" xfId="73" applyFont="1" applyFill="1" applyBorder="1"/>
    <xf numFmtId="0" fontId="89" fillId="0" borderId="111" xfId="72" applyFont="1" applyBorder="1" applyAlignment="1">
      <alignment horizontal="center"/>
    </xf>
    <xf numFmtId="0" fontId="89" fillId="24" borderId="111" xfId="72" applyFont="1" applyFill="1" applyBorder="1" applyAlignment="1">
      <alignment horizontal="center"/>
    </xf>
    <xf numFmtId="1" fontId="89" fillId="24" borderId="111" xfId="72" applyNumberFormat="1" applyFont="1" applyFill="1" applyBorder="1" applyAlignment="1">
      <alignment horizontal="center"/>
    </xf>
    <xf numFmtId="0" fontId="89" fillId="52" borderId="111" xfId="72" applyFont="1" applyFill="1" applyBorder="1" applyAlignment="1">
      <alignment horizontal="center"/>
    </xf>
    <xf numFmtId="0" fontId="89" fillId="0" borderId="111" xfId="72" applyFont="1" applyBorder="1"/>
    <xf numFmtId="44" fontId="103" fillId="52" borderId="111" xfId="73" applyFont="1" applyFill="1" applyBorder="1"/>
    <xf numFmtId="44" fontId="90" fillId="52" borderId="111" xfId="73" applyFont="1" applyFill="1" applyBorder="1"/>
    <xf numFmtId="44" fontId="103" fillId="52" borderId="103" xfId="73" applyFont="1" applyFill="1" applyBorder="1"/>
    <xf numFmtId="44" fontId="103" fillId="52" borderId="102" xfId="73" applyFont="1" applyFill="1" applyBorder="1"/>
    <xf numFmtId="44" fontId="103" fillId="52" borderId="104" xfId="73" applyFont="1" applyFill="1" applyBorder="1"/>
    <xf numFmtId="10" fontId="81" fillId="48" borderId="88" xfId="67" applyNumberFormat="1" applyFont="1" applyFill="1" applyBorder="1" applyAlignment="1">
      <alignment horizontal="center"/>
    </xf>
    <xf numFmtId="10" fontId="81" fillId="48" borderId="88" xfId="38" applyNumberFormat="1" applyFont="1" applyFill="1" applyBorder="1" applyAlignment="1">
      <alignment horizontal="center"/>
    </xf>
    <xf numFmtId="0" fontId="4" fillId="52" borderId="112" xfId="72" applyFont="1" applyFill="1" applyBorder="1"/>
    <xf numFmtId="2" fontId="104" fillId="0" borderId="0" xfId="0" applyNumberFormat="1" applyFont="1" applyAlignment="1">
      <alignment horizontal="center"/>
    </xf>
    <xf numFmtId="2" fontId="71" fillId="37" borderId="0" xfId="0" applyNumberFormat="1" applyFont="1" applyFill="1" applyAlignment="1">
      <alignment horizontal="center"/>
    </xf>
    <xf numFmtId="2" fontId="58" fillId="53" borderId="0" xfId="0" applyNumberFormat="1" applyFont="1" applyFill="1" applyAlignment="1">
      <alignment horizontal="center"/>
    </xf>
    <xf numFmtId="168" fontId="0" fillId="0" borderId="81" xfId="0" quotePrefix="1" applyNumberFormat="1" applyBorder="1" applyAlignment="1">
      <alignment horizontal="left" vertical="center" wrapText="1"/>
    </xf>
    <xf numFmtId="168" fontId="0" fillId="0" borderId="81" xfId="0" applyNumberFormat="1" applyBorder="1" applyAlignment="1">
      <alignment horizontal="left" vertical="center" wrapText="1"/>
    </xf>
    <xf numFmtId="168" fontId="0" fillId="0" borderId="81" xfId="27" applyNumberFormat="1" applyFont="1" applyFill="1" applyBorder="1" applyAlignment="1">
      <alignment horizontal="left" vertical="center" wrapText="1"/>
    </xf>
    <xf numFmtId="169" fontId="105" fillId="0" borderId="17" xfId="0" applyNumberFormat="1" applyFont="1" applyBorder="1" applyAlignment="1">
      <alignment vertical="center" wrapText="1"/>
    </xf>
    <xf numFmtId="169" fontId="0" fillId="0" borderId="81" xfId="0" applyNumberFormat="1" applyBorder="1" applyAlignment="1">
      <alignment vertical="center" wrapText="1"/>
    </xf>
    <xf numFmtId="168" fontId="0" fillId="0" borderId="79" xfId="0" quotePrefix="1" applyNumberFormat="1" applyBorder="1" applyAlignment="1">
      <alignment horizontal="left" vertical="center" wrapText="1"/>
    </xf>
    <xf numFmtId="169" fontId="105" fillId="0" borderId="11" xfId="0" applyNumberFormat="1" applyFont="1" applyBorder="1" applyAlignment="1">
      <alignment vertical="center" wrapText="1"/>
    </xf>
    <xf numFmtId="169" fontId="0" fillId="0" borderId="79" xfId="0" applyNumberFormat="1" applyBorder="1" applyAlignment="1">
      <alignment vertical="center" wrapText="1"/>
    </xf>
    <xf numFmtId="2" fontId="71" fillId="31" borderId="0" xfId="0" applyNumberFormat="1" applyFont="1" applyFill="1" applyAlignment="1">
      <alignment horizontal="center"/>
    </xf>
    <xf numFmtId="2" fontId="16" fillId="31" borderId="0" xfId="0" applyNumberFormat="1" applyFont="1" applyFill="1" applyAlignment="1">
      <alignment horizontal="center"/>
    </xf>
    <xf numFmtId="2" fontId="58" fillId="31" borderId="0" xfId="0" applyNumberFormat="1" applyFont="1" applyFill="1" applyAlignment="1">
      <alignment horizontal="center"/>
    </xf>
    <xf numFmtId="2" fontId="0" fillId="31" borderId="0" xfId="0" applyNumberFormat="1" applyFill="1" applyAlignment="1">
      <alignment horizontal="center"/>
    </xf>
    <xf numFmtId="0" fontId="16" fillId="31" borderId="0" xfId="0" applyFont="1" applyFill="1" applyAlignment="1">
      <alignment horizontal="center"/>
    </xf>
    <xf numFmtId="167" fontId="16" fillId="31" borderId="0" xfId="0" applyNumberFormat="1" applyFont="1" applyFill="1" applyAlignment="1">
      <alignment horizontal="center"/>
    </xf>
    <xf numFmtId="2" fontId="16" fillId="31" borderId="0" xfId="0" applyNumberFormat="1" applyFont="1" applyFill="1" applyAlignment="1">
      <alignment horizontal="center" vertical="center"/>
    </xf>
    <xf numFmtId="2" fontId="63" fillId="31" borderId="0" xfId="0" applyNumberFormat="1" applyFont="1" applyFill="1" applyAlignment="1">
      <alignment horizontal="center"/>
    </xf>
    <xf numFmtId="2" fontId="95" fillId="31" borderId="0" xfId="0" applyNumberFormat="1" applyFont="1" applyFill="1" applyAlignment="1">
      <alignment horizontal="center"/>
    </xf>
    <xf numFmtId="176" fontId="106" fillId="0" borderId="0" xfId="0" applyNumberFormat="1" applyFont="1" applyAlignment="1">
      <alignment horizontal="center"/>
    </xf>
    <xf numFmtId="2" fontId="106" fillId="0" borderId="0" xfId="0" applyNumberFormat="1" applyFont="1" applyAlignment="1">
      <alignment horizontal="center"/>
    </xf>
    <xf numFmtId="0" fontId="85" fillId="0" borderId="0" xfId="67" applyFont="1"/>
    <xf numFmtId="0" fontId="87" fillId="0" borderId="0" xfId="67" applyFont="1"/>
    <xf numFmtId="0" fontId="86" fillId="54" borderId="88" xfId="67" applyFont="1" applyFill="1" applyBorder="1" applyAlignment="1">
      <alignment horizontal="center"/>
    </xf>
    <xf numFmtId="4" fontId="88" fillId="54" borderId="88" xfId="67" applyNumberFormat="1" applyFont="1" applyFill="1" applyBorder="1" applyAlignment="1">
      <alignment horizontal="center"/>
    </xf>
    <xf numFmtId="0" fontId="17" fillId="0" borderId="93" xfId="0" applyFont="1" applyBorder="1" applyAlignment="1">
      <alignment horizontal="center" vertical="center" wrapText="1"/>
    </xf>
    <xf numFmtId="0" fontId="17" fillId="0" borderId="29" xfId="0" applyFont="1" applyBorder="1" applyAlignment="1">
      <alignment horizontal="center" vertical="center" wrapText="1"/>
    </xf>
    <xf numFmtId="0" fontId="17" fillId="0" borderId="83" xfId="0" applyFont="1" applyBorder="1" applyAlignment="1">
      <alignment horizontal="center" vertical="center" wrapText="1"/>
    </xf>
    <xf numFmtId="0" fontId="17" fillId="0" borderId="84" xfId="0" applyFont="1" applyBorder="1" applyAlignment="1">
      <alignment horizontal="center" vertical="center" wrapText="1"/>
    </xf>
    <xf numFmtId="1" fontId="36" fillId="25" borderId="27" xfId="0" applyNumberFormat="1" applyFont="1" applyFill="1" applyBorder="1" applyAlignment="1">
      <alignment horizontal="center" vertical="center" wrapText="1"/>
    </xf>
    <xf numFmtId="1" fontId="36" fillId="25" borderId="0" xfId="0" applyNumberFormat="1" applyFont="1" applyFill="1" applyAlignment="1">
      <alignment horizontal="center" vertical="center" wrapText="1"/>
    </xf>
    <xf numFmtId="17" fontId="36" fillId="25" borderId="19" xfId="0" applyNumberFormat="1" applyFont="1" applyFill="1" applyBorder="1" applyAlignment="1">
      <alignment horizontal="center" vertical="center" wrapText="1"/>
    </xf>
    <xf numFmtId="17" fontId="36" fillId="25" borderId="20" xfId="0" applyNumberFormat="1" applyFont="1" applyFill="1" applyBorder="1" applyAlignment="1">
      <alignment horizontal="center" vertical="center" wrapText="1"/>
    </xf>
    <xf numFmtId="17" fontId="36" fillId="25" borderId="30" xfId="0" applyNumberFormat="1" applyFont="1" applyFill="1" applyBorder="1" applyAlignment="1">
      <alignment horizontal="center" vertical="center" wrapText="1"/>
    </xf>
    <xf numFmtId="17" fontId="36" fillId="25" borderId="0" xfId="0" applyNumberFormat="1" applyFont="1" applyFill="1" applyAlignment="1">
      <alignment horizontal="center" vertical="center" wrapText="1"/>
    </xf>
    <xf numFmtId="167" fontId="48" fillId="33" borderId="31" xfId="0" applyNumberFormat="1" applyFont="1" applyFill="1" applyBorder="1" applyAlignment="1">
      <alignment horizontal="center" vertical="center" wrapText="1"/>
    </xf>
    <xf numFmtId="167" fontId="48" fillId="33" borderId="31" xfId="0" applyNumberFormat="1" applyFont="1" applyFill="1" applyBorder="1" applyAlignment="1">
      <alignment horizontal="center" vertical="center"/>
    </xf>
    <xf numFmtId="167" fontId="48" fillId="33" borderId="49" xfId="0" applyNumberFormat="1" applyFont="1" applyFill="1" applyBorder="1" applyAlignment="1">
      <alignment horizontal="center" vertical="center"/>
    </xf>
    <xf numFmtId="17" fontId="48" fillId="25" borderId="46" xfId="0" applyNumberFormat="1" applyFont="1" applyFill="1" applyBorder="1" applyAlignment="1">
      <alignment horizontal="center"/>
    </xf>
    <xf numFmtId="17" fontId="48" fillId="25" borderId="47" xfId="0" applyNumberFormat="1" applyFont="1" applyFill="1" applyBorder="1" applyAlignment="1">
      <alignment horizontal="center"/>
    </xf>
    <xf numFmtId="0" fontId="48" fillId="25" borderId="31" xfId="0" applyFont="1" applyFill="1" applyBorder="1" applyAlignment="1">
      <alignment horizontal="center" vertical="center"/>
    </xf>
    <xf numFmtId="165" fontId="48" fillId="25" borderId="31" xfId="0" applyNumberFormat="1" applyFont="1" applyFill="1" applyBorder="1" applyAlignment="1">
      <alignment horizontal="center"/>
    </xf>
    <xf numFmtId="0" fontId="48" fillId="36" borderId="59" xfId="0" applyFont="1" applyFill="1" applyBorder="1" applyAlignment="1">
      <alignment horizontal="center"/>
    </xf>
    <xf numFmtId="0" fontId="48" fillId="36" borderId="76" xfId="0" applyFont="1" applyFill="1" applyBorder="1" applyAlignment="1">
      <alignment horizontal="center"/>
    </xf>
    <xf numFmtId="0" fontId="48" fillId="25" borderId="33" xfId="0" applyFont="1" applyFill="1" applyBorder="1" applyAlignment="1">
      <alignment horizontal="center" vertical="center"/>
    </xf>
    <xf numFmtId="0" fontId="48" fillId="25" borderId="30" xfId="0" applyFont="1" applyFill="1" applyBorder="1" applyAlignment="1">
      <alignment horizontal="center" vertical="center"/>
    </xf>
    <xf numFmtId="0" fontId="48" fillId="25" borderId="23" xfId="0" applyFont="1" applyFill="1" applyBorder="1" applyAlignment="1">
      <alignment horizontal="center" vertical="center"/>
    </xf>
    <xf numFmtId="0" fontId="48" fillId="25" borderId="37" xfId="0" applyFont="1" applyFill="1" applyBorder="1" applyAlignment="1">
      <alignment horizontal="center" vertical="center"/>
    </xf>
    <xf numFmtId="0" fontId="48" fillId="33" borderId="32" xfId="0" applyFont="1" applyFill="1" applyBorder="1" applyAlignment="1">
      <alignment horizontal="center" vertical="center" wrapText="1"/>
    </xf>
    <xf numFmtId="0" fontId="48" fillId="33" borderId="33" xfId="0" applyFont="1" applyFill="1" applyBorder="1" applyAlignment="1">
      <alignment horizontal="center" vertical="center" wrapText="1"/>
    </xf>
    <xf numFmtId="0" fontId="48" fillId="33" borderId="56" xfId="0" applyFont="1" applyFill="1" applyBorder="1" applyAlignment="1">
      <alignment horizontal="center" vertical="center" wrapText="1"/>
    </xf>
    <xf numFmtId="167" fontId="48" fillId="33" borderId="23" xfId="0" applyNumberFormat="1" applyFont="1" applyFill="1" applyBorder="1" applyAlignment="1">
      <alignment horizontal="center" vertical="center" wrapText="1"/>
    </xf>
    <xf numFmtId="167" fontId="48" fillId="33" borderId="23" xfId="0" applyNumberFormat="1" applyFont="1" applyFill="1" applyBorder="1" applyAlignment="1">
      <alignment horizontal="center" vertical="center"/>
    </xf>
    <xf numFmtId="167" fontId="48" fillId="33" borderId="48" xfId="0" applyNumberFormat="1" applyFont="1" applyFill="1" applyBorder="1" applyAlignment="1">
      <alignment horizontal="center" vertical="center" wrapText="1"/>
    </xf>
    <xf numFmtId="167" fontId="48" fillId="33" borderId="50" xfId="0" applyNumberFormat="1" applyFont="1" applyFill="1" applyBorder="1" applyAlignment="1">
      <alignment horizontal="center" vertical="center"/>
    </xf>
    <xf numFmtId="0" fontId="48" fillId="33" borderId="70" xfId="0" applyFont="1" applyFill="1" applyBorder="1" applyAlignment="1">
      <alignment horizontal="center" vertical="center"/>
    </xf>
    <xf numFmtId="0" fontId="48" fillId="33" borderId="0" xfId="0" applyFont="1" applyFill="1" applyAlignment="1">
      <alignment horizontal="center" vertical="center"/>
    </xf>
    <xf numFmtId="0" fontId="48" fillId="33" borderId="76" xfId="0" applyFont="1" applyFill="1" applyBorder="1" applyAlignment="1">
      <alignment horizontal="center" vertical="center"/>
    </xf>
    <xf numFmtId="167" fontId="48" fillId="33" borderId="77" xfId="0" applyNumberFormat="1" applyFont="1" applyFill="1" applyBorder="1" applyAlignment="1">
      <alignment horizontal="center" vertical="center"/>
    </xf>
    <xf numFmtId="167" fontId="48" fillId="33" borderId="27" xfId="0" applyNumberFormat="1" applyFont="1" applyFill="1" applyBorder="1" applyAlignment="1">
      <alignment horizontal="center" vertical="center"/>
    </xf>
    <xf numFmtId="167" fontId="48" fillId="33" borderId="78" xfId="0" applyNumberFormat="1" applyFont="1" applyFill="1" applyBorder="1" applyAlignment="1">
      <alignment horizontal="center" vertical="center"/>
    </xf>
    <xf numFmtId="167" fontId="48" fillId="33" borderId="52" xfId="0" applyNumberFormat="1" applyFont="1" applyFill="1" applyBorder="1" applyAlignment="1">
      <alignment horizontal="center" vertical="center"/>
    </xf>
    <xf numFmtId="182" fontId="77" fillId="37" borderId="91" xfId="70" applyFont="1" applyFill="1" applyBorder="1" applyAlignment="1">
      <alignment horizontal="center"/>
    </xf>
    <xf numFmtId="182" fontId="77" fillId="37" borderId="92" xfId="70" applyFont="1" applyFill="1" applyBorder="1" applyAlignment="1">
      <alignment horizontal="center"/>
    </xf>
    <xf numFmtId="182" fontId="77" fillId="37" borderId="126" xfId="70" applyFont="1" applyFill="1" applyBorder="1" applyAlignment="1">
      <alignment horizontal="center"/>
    </xf>
    <xf numFmtId="182" fontId="77" fillId="0" borderId="91" xfId="70" applyFont="1" applyFill="1" applyBorder="1" applyAlignment="1">
      <alignment horizontal="center"/>
    </xf>
    <xf numFmtId="182" fontId="77" fillId="0" borderId="92" xfId="70" applyFont="1" applyFill="1" applyBorder="1" applyAlignment="1">
      <alignment horizontal="center"/>
    </xf>
    <xf numFmtId="182" fontId="77" fillId="0" borderId="126" xfId="70" applyFont="1" applyFill="1" applyBorder="1" applyAlignment="1">
      <alignment horizontal="center"/>
    </xf>
    <xf numFmtId="0" fontId="78" fillId="48" borderId="91" xfId="67" applyFont="1" applyFill="1" applyBorder="1" applyAlignment="1">
      <alignment horizontal="left"/>
    </xf>
    <xf numFmtId="0" fontId="78" fillId="48" borderId="92" xfId="67" applyFont="1" applyFill="1" applyBorder="1" applyAlignment="1">
      <alignment horizontal="left"/>
    </xf>
    <xf numFmtId="0" fontId="78" fillId="48" borderId="91" xfId="68" applyFont="1" applyFill="1" applyBorder="1" applyAlignment="1">
      <alignment horizontal="left"/>
    </xf>
    <xf numFmtId="0" fontId="78" fillId="48" borderId="92" xfId="68" applyFont="1" applyFill="1" applyBorder="1" applyAlignment="1">
      <alignment horizontal="left"/>
    </xf>
    <xf numFmtId="44" fontId="16" fillId="52" borderId="110" xfId="73" applyFont="1" applyFill="1" applyBorder="1" applyAlignment="1">
      <alignment horizontal="center" vertical="center"/>
    </xf>
    <xf numFmtId="44" fontId="16" fillId="52" borderId="106" xfId="73" applyFont="1" applyFill="1" applyBorder="1" applyAlignment="1">
      <alignment horizontal="center" vertical="center"/>
    </xf>
    <xf numFmtId="0" fontId="83" fillId="0" borderId="110" xfId="72" applyFont="1" applyBorder="1" applyAlignment="1">
      <alignment horizontal="center" vertical="center"/>
    </xf>
    <xf numFmtId="0" fontId="83" fillId="0" borderId="106" xfId="72" applyFont="1" applyBorder="1" applyAlignment="1">
      <alignment horizontal="center" vertical="center"/>
    </xf>
    <xf numFmtId="0" fontId="3" fillId="0" borderId="110" xfId="72" applyFont="1" applyBorder="1" applyAlignment="1">
      <alignment horizontal="center" vertical="center"/>
    </xf>
    <xf numFmtId="0" fontId="3" fillId="0" borderId="106" xfId="72" applyFont="1" applyBorder="1" applyAlignment="1">
      <alignment horizontal="center" vertical="center"/>
    </xf>
    <xf numFmtId="1" fontId="2" fillId="0" borderId="110" xfId="72" applyNumberFormat="1" applyFont="1" applyBorder="1" applyAlignment="1">
      <alignment horizontal="center" vertical="center"/>
    </xf>
    <xf numFmtId="1" fontId="7" fillId="0" borderId="106" xfId="72" applyNumberFormat="1" applyBorder="1" applyAlignment="1">
      <alignment horizontal="center" vertical="center"/>
    </xf>
    <xf numFmtId="0" fontId="83" fillId="0" borderId="110" xfId="72" applyFont="1" applyBorder="1" applyAlignment="1">
      <alignment horizontal="center" vertical="center" wrapText="1"/>
    </xf>
    <xf numFmtId="0" fontId="83" fillId="0" borderId="105" xfId="72" applyFont="1" applyBorder="1" applyAlignment="1">
      <alignment horizontal="center" vertical="center"/>
    </xf>
    <xf numFmtId="0" fontId="7" fillId="0" borderId="110" xfId="72" applyBorder="1" applyAlignment="1">
      <alignment horizontal="center" vertical="center"/>
    </xf>
    <xf numFmtId="0" fontId="7" fillId="0" borderId="105" xfId="72" applyBorder="1" applyAlignment="1">
      <alignment horizontal="center" vertical="center"/>
    </xf>
    <xf numFmtId="0" fontId="7" fillId="0" borderId="106" xfId="72" applyBorder="1" applyAlignment="1">
      <alignment horizontal="center" vertical="center"/>
    </xf>
    <xf numFmtId="1" fontId="7" fillId="0" borderId="105" xfId="72" applyNumberFormat="1" applyBorder="1" applyAlignment="1">
      <alignment horizontal="center" vertical="center"/>
    </xf>
    <xf numFmtId="44" fontId="16" fillId="52" borderId="105" xfId="73" applyFont="1" applyFill="1" applyBorder="1" applyAlignment="1">
      <alignment horizontal="center" vertical="center"/>
    </xf>
    <xf numFmtId="0" fontId="2" fillId="0" borderId="110" xfId="72" applyFont="1" applyBorder="1" applyAlignment="1">
      <alignment horizontal="center" vertical="center"/>
    </xf>
    <xf numFmtId="0" fontId="5" fillId="24" borderId="105" xfId="72" applyFont="1" applyFill="1" applyBorder="1" applyAlignment="1">
      <alignment horizontal="center" vertical="center"/>
    </xf>
    <xf numFmtId="0" fontId="7" fillId="24" borderId="106" xfId="72" applyFill="1" applyBorder="1" applyAlignment="1">
      <alignment horizontal="center" vertical="center"/>
    </xf>
    <xf numFmtId="0" fontId="7" fillId="24" borderId="105" xfId="72" applyFill="1" applyBorder="1" applyAlignment="1">
      <alignment horizontal="center" vertical="center"/>
    </xf>
    <xf numFmtId="1" fontId="7" fillId="24" borderId="105" xfId="72" applyNumberFormat="1" applyFill="1" applyBorder="1" applyAlignment="1">
      <alignment horizontal="center" vertical="center"/>
    </xf>
    <xf numFmtId="1" fontId="7" fillId="24" borderId="106" xfId="72" applyNumberFormat="1" applyFill="1" applyBorder="1" applyAlignment="1">
      <alignment horizontal="center" vertical="center"/>
    </xf>
    <xf numFmtId="0" fontId="83" fillId="24" borderId="110" xfId="72" applyFont="1" applyFill="1" applyBorder="1" applyAlignment="1">
      <alignment horizontal="center" vertical="center"/>
    </xf>
    <xf numFmtId="0" fontId="83" fillId="24" borderId="106" xfId="72" applyFont="1" applyFill="1" applyBorder="1" applyAlignment="1">
      <alignment horizontal="center" vertical="center"/>
    </xf>
    <xf numFmtId="0" fontId="7" fillId="24" borderId="110" xfId="72" applyFill="1" applyBorder="1" applyAlignment="1">
      <alignment horizontal="center" vertical="center"/>
    </xf>
    <xf numFmtId="1" fontId="7" fillId="24" borderId="110" xfId="72" applyNumberFormat="1" applyFill="1" applyBorder="1" applyAlignment="1">
      <alignment horizontal="center" vertical="center"/>
    </xf>
    <xf numFmtId="0" fontId="89" fillId="24" borderId="110" xfId="72" applyFont="1" applyFill="1" applyBorder="1" applyAlignment="1">
      <alignment horizontal="center" vertical="center"/>
    </xf>
    <xf numFmtId="0" fontId="89" fillId="24" borderId="105" xfId="72" applyFont="1" applyFill="1" applyBorder="1" applyAlignment="1">
      <alignment horizontal="center" vertical="center"/>
    </xf>
    <xf numFmtId="0" fontId="89" fillId="24" borderId="106" xfId="72" applyFont="1" applyFill="1" applyBorder="1" applyAlignment="1">
      <alignment horizontal="center" vertical="center"/>
    </xf>
    <xf numFmtId="1" fontId="89" fillId="24" borderId="110" xfId="72" applyNumberFormat="1" applyFont="1" applyFill="1" applyBorder="1" applyAlignment="1">
      <alignment horizontal="center" vertical="center"/>
    </xf>
    <xf numFmtId="1" fontId="89" fillId="24" borderId="105" xfId="72" applyNumberFormat="1" applyFont="1" applyFill="1" applyBorder="1" applyAlignment="1">
      <alignment horizontal="center" vertical="center"/>
    </xf>
    <xf numFmtId="1" fontId="89" fillId="24" borderId="106" xfId="72" applyNumberFormat="1" applyFont="1" applyFill="1" applyBorder="1" applyAlignment="1">
      <alignment horizontal="center" vertical="center"/>
    </xf>
    <xf numFmtId="44" fontId="90" fillId="52" borderId="110" xfId="73" applyFont="1" applyFill="1" applyBorder="1" applyAlignment="1">
      <alignment horizontal="center" vertical="center"/>
    </xf>
    <xf numFmtId="44" fontId="90" fillId="52" borderId="105" xfId="73" applyFont="1" applyFill="1" applyBorder="1" applyAlignment="1">
      <alignment horizontal="center" vertical="center"/>
    </xf>
    <xf numFmtId="44" fontId="90" fillId="52" borderId="106" xfId="73" applyFont="1" applyFill="1" applyBorder="1" applyAlignment="1">
      <alignment horizontal="center" vertical="center"/>
    </xf>
    <xf numFmtId="0" fontId="83" fillId="24" borderId="110" xfId="72" applyFont="1" applyFill="1" applyBorder="1" applyAlignment="1">
      <alignment horizontal="center" vertical="center" wrapText="1"/>
    </xf>
    <xf numFmtId="0" fontId="83" fillId="24" borderId="105" xfId="72" applyFont="1" applyFill="1" applyBorder="1" applyAlignment="1">
      <alignment horizontal="center" vertical="center"/>
    </xf>
    <xf numFmtId="44" fontId="91" fillId="52" borderId="110" xfId="73" applyFont="1" applyFill="1" applyBorder="1" applyAlignment="1">
      <alignment horizontal="center" vertical="center"/>
    </xf>
    <xf numFmtId="44" fontId="91" fillId="52" borderId="106" xfId="73" applyFont="1" applyFill="1" applyBorder="1" applyAlignment="1">
      <alignment horizontal="center" vertical="center"/>
    </xf>
    <xf numFmtId="0" fontId="89" fillId="24" borderId="101" xfId="72" applyFont="1" applyFill="1" applyBorder="1" applyAlignment="1">
      <alignment horizontal="center" vertical="center"/>
    </xf>
    <xf numFmtId="1" fontId="89" fillId="24" borderId="101" xfId="72" applyNumberFormat="1" applyFont="1" applyFill="1" applyBorder="1" applyAlignment="1">
      <alignment horizontal="center" vertical="center"/>
    </xf>
    <xf numFmtId="44" fontId="91" fillId="52" borderId="101" xfId="73" applyFont="1" applyFill="1" applyBorder="1" applyAlignment="1">
      <alignment horizontal="center" vertical="center"/>
    </xf>
    <xf numFmtId="44" fontId="91" fillId="52" borderId="105" xfId="73" applyFont="1" applyFill="1" applyBorder="1" applyAlignment="1">
      <alignment horizontal="center" vertical="center"/>
    </xf>
    <xf numFmtId="0" fontId="83" fillId="24" borderId="105" xfId="72" applyFont="1" applyFill="1" applyBorder="1" applyAlignment="1">
      <alignment horizontal="center" vertical="center" wrapText="1"/>
    </xf>
    <xf numFmtId="0" fontId="83" fillId="24" borderId="106" xfId="72" applyFont="1" applyFill="1" applyBorder="1" applyAlignment="1">
      <alignment horizontal="center" vertical="center" wrapText="1"/>
    </xf>
    <xf numFmtId="44" fontId="90" fillId="52" borderId="101" xfId="73" applyFont="1" applyFill="1" applyBorder="1" applyAlignment="1">
      <alignment horizontal="center" vertical="center"/>
    </xf>
    <xf numFmtId="0" fontId="1" fillId="24" borderId="110" xfId="72" applyFont="1" applyFill="1" applyBorder="1" applyAlignment="1">
      <alignment horizontal="center" vertical="center"/>
    </xf>
    <xf numFmtId="1" fontId="83" fillId="24" borderId="101" xfId="72" applyNumberFormat="1" applyFont="1" applyFill="1" applyBorder="1" applyAlignment="1">
      <alignment horizontal="center" vertical="center"/>
    </xf>
    <xf numFmtId="1" fontId="83" fillId="24" borderId="106" xfId="72" applyNumberFormat="1" applyFont="1" applyFill="1" applyBorder="1" applyAlignment="1">
      <alignment horizontal="center" vertical="center"/>
    </xf>
    <xf numFmtId="44" fontId="16" fillId="52" borderId="101" xfId="73" applyFont="1" applyFill="1" applyBorder="1" applyAlignment="1">
      <alignment horizontal="center" vertical="center"/>
    </xf>
    <xf numFmtId="0" fontId="43" fillId="26" borderId="102" xfId="72" applyFont="1" applyFill="1" applyBorder="1" applyAlignment="1">
      <alignment horizontal="center" vertical="center" wrapText="1"/>
    </xf>
    <xf numFmtId="0" fontId="43" fillId="26" borderId="107" xfId="72" applyFont="1" applyFill="1" applyBorder="1" applyAlignment="1">
      <alignment horizontal="center" vertical="center" wrapText="1"/>
    </xf>
    <xf numFmtId="0" fontId="43" fillId="26" borderId="108" xfId="72" applyFont="1" applyFill="1" applyBorder="1" applyAlignment="1">
      <alignment horizontal="center" vertical="center" wrapText="1"/>
    </xf>
    <xf numFmtId="0" fontId="43" fillId="26" borderId="109" xfId="72" applyFont="1" applyFill="1" applyBorder="1" applyAlignment="1">
      <alignment horizontal="center" vertical="center" wrapText="1"/>
    </xf>
    <xf numFmtId="0" fontId="0" fillId="0" borderId="0" xfId="0" applyNumberFormat="1"/>
  </cellXfs>
  <cellStyles count="74">
    <cellStyle name="20 % - Accent1" xfId="1" xr:uid="{00000000-0005-0000-0000-000000000000}"/>
    <cellStyle name="20 % - Accent2" xfId="2" xr:uid="{00000000-0005-0000-0000-000001000000}"/>
    <cellStyle name="20 % - Accent3" xfId="3" xr:uid="{00000000-0005-0000-0000-000002000000}"/>
    <cellStyle name="20 % - Accent4" xfId="4" xr:uid="{00000000-0005-0000-0000-000003000000}"/>
    <cellStyle name="20 % - Accent5" xfId="5" xr:uid="{00000000-0005-0000-0000-000004000000}"/>
    <cellStyle name="20 % - Accent6" xfId="6" xr:uid="{00000000-0005-0000-0000-000005000000}"/>
    <cellStyle name="40 % - Accent1" xfId="7" xr:uid="{00000000-0005-0000-0000-000006000000}"/>
    <cellStyle name="40 % - Accent2" xfId="8" xr:uid="{00000000-0005-0000-0000-000007000000}"/>
    <cellStyle name="40 % - Accent3" xfId="9" xr:uid="{00000000-0005-0000-0000-000008000000}"/>
    <cellStyle name="40 % - Accent4" xfId="10" xr:uid="{00000000-0005-0000-0000-000009000000}"/>
    <cellStyle name="40 % - Accent5" xfId="11" xr:uid="{00000000-0005-0000-0000-00000A000000}"/>
    <cellStyle name="40 % - Accent6" xfId="12" xr:uid="{00000000-0005-0000-0000-00000B000000}"/>
    <cellStyle name="60 % - Accent1" xfId="13" xr:uid="{00000000-0005-0000-0000-00000C000000}"/>
    <cellStyle name="60 % - Accent2" xfId="14" xr:uid="{00000000-0005-0000-0000-00000D000000}"/>
    <cellStyle name="60 % - Accent3" xfId="15" xr:uid="{00000000-0005-0000-0000-00000E000000}"/>
    <cellStyle name="60 % - Accent4" xfId="16" xr:uid="{00000000-0005-0000-0000-00000F000000}"/>
    <cellStyle name="60 % - Accent5" xfId="17" xr:uid="{00000000-0005-0000-0000-000010000000}"/>
    <cellStyle name="60 % - Accent6" xfId="18" xr:uid="{00000000-0005-0000-0000-000011000000}"/>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Avertissement" xfId="25" xr:uid="{00000000-0005-0000-0000-000018000000}"/>
    <cellStyle name="Calcul" xfId="65" xr:uid="{00000000-0005-0000-0000-000019000000}"/>
    <cellStyle name="Cellule liée" xfId="26" xr:uid="{00000000-0005-0000-0000-00001A000000}"/>
    <cellStyle name="Commentaire" xfId="28" xr:uid="{00000000-0005-0000-0000-00001B000000}"/>
    <cellStyle name="Currency 4" xfId="69" xr:uid="{EFC1AA3D-C44A-4AF4-8180-D2649D4C3FA8}"/>
    <cellStyle name="Entrée" xfId="29" xr:uid="{00000000-0005-0000-0000-00001C000000}"/>
    <cellStyle name="Hyperlink 2" xfId="53" xr:uid="{00000000-0005-0000-0000-00001D000000}"/>
    <cellStyle name="Hyperlink 3" xfId="59" xr:uid="{00000000-0005-0000-0000-00001E000000}"/>
    <cellStyle name="Insatisfaisant" xfId="30" xr:uid="{00000000-0005-0000-0000-00001F000000}"/>
    <cellStyle name="Milliers" xfId="27" builtinId="3"/>
    <cellStyle name="Milliers 2" xfId="31" xr:uid="{00000000-0005-0000-0000-000021000000}"/>
    <cellStyle name="Milliers 2 2" xfId="55" xr:uid="{00000000-0005-0000-0000-000022000000}"/>
    <cellStyle name="Milliers 3" xfId="32" xr:uid="{00000000-0005-0000-0000-000023000000}"/>
    <cellStyle name="Monétaire" xfId="66" builtinId="4"/>
    <cellStyle name="Monétaire 2" xfId="73" xr:uid="{0200DE27-E392-4565-A4D4-11AE0577A84A}"/>
    <cellStyle name="Monétaire 6 3" xfId="70" xr:uid="{C1F92839-3381-4138-AE33-D379B46E20C9}"/>
    <cellStyle name="Neutre" xfId="33" xr:uid="{00000000-0005-0000-0000-000025000000}"/>
    <cellStyle name="Normal" xfId="0" builtinId="0"/>
    <cellStyle name="Normal 10" xfId="61" xr:uid="{00000000-0005-0000-0000-000027000000}"/>
    <cellStyle name="Normal 10 2" xfId="63" xr:uid="{00000000-0005-0000-0000-000028000000}"/>
    <cellStyle name="Normal 10 2 2" xfId="68" xr:uid="{0C9A831C-B788-4B59-BF4A-97F10669C1A6}"/>
    <cellStyle name="Normal 11" xfId="72" xr:uid="{3507C829-7B18-472A-BF69-18B1B1AC24BA}"/>
    <cellStyle name="Normal 13 4" xfId="67" xr:uid="{F108174D-3241-4701-A7BF-EA562011132C}"/>
    <cellStyle name="Normal 2" xfId="34" xr:uid="{00000000-0005-0000-0000-000029000000}"/>
    <cellStyle name="Normal 2 2" xfId="54" xr:uid="{00000000-0005-0000-0000-00002A000000}"/>
    <cellStyle name="Normal 3" xfId="35" xr:uid="{00000000-0005-0000-0000-00002B000000}"/>
    <cellStyle name="Normal 4" xfId="36" xr:uid="{00000000-0005-0000-0000-00002C000000}"/>
    <cellStyle name="Normal 4 2" xfId="57" xr:uid="{00000000-0005-0000-0000-00002D000000}"/>
    <cellStyle name="Normal 4 3" xfId="56" xr:uid="{00000000-0005-0000-0000-00002E000000}"/>
    <cellStyle name="Normal 5" xfId="37" xr:uid="{00000000-0005-0000-0000-00002F000000}"/>
    <cellStyle name="Normal 6" xfId="50" xr:uid="{00000000-0005-0000-0000-000030000000}"/>
    <cellStyle name="Normal 7" xfId="52" xr:uid="{00000000-0005-0000-0000-000031000000}"/>
    <cellStyle name="Normal 8" xfId="58" xr:uid="{00000000-0005-0000-0000-000032000000}"/>
    <cellStyle name="Normal 8 2" xfId="62" xr:uid="{00000000-0005-0000-0000-000033000000}"/>
    <cellStyle name="Normal 9" xfId="60" xr:uid="{00000000-0005-0000-0000-000034000000}"/>
    <cellStyle name="Normal 9 2" xfId="64" xr:uid="{00000000-0005-0000-0000-000035000000}"/>
    <cellStyle name="Pourcentage" xfId="38" builtinId="5"/>
    <cellStyle name="Pourcentage 2" xfId="39" xr:uid="{00000000-0005-0000-0000-000037000000}"/>
    <cellStyle name="Pourcentage 3" xfId="51" xr:uid="{00000000-0005-0000-0000-000038000000}"/>
    <cellStyle name="Pourcentage 7 3" xfId="71" xr:uid="{929B5B93-08E3-4AB6-A2D8-A6224BDF2DCE}"/>
    <cellStyle name="Satisfaisant" xfId="40" xr:uid="{00000000-0005-0000-0000-000039000000}"/>
    <cellStyle name="Sortie" xfId="41" builtinId="21"/>
    <cellStyle name="Texte explicatif" xfId="42" xr:uid="{00000000-0005-0000-0000-00003B000000}"/>
    <cellStyle name="Titre" xfId="43" xr:uid="{00000000-0005-0000-0000-00003C000000}"/>
    <cellStyle name="Titre 1" xfId="44" xr:uid="{00000000-0005-0000-0000-00003D000000}"/>
    <cellStyle name="Titre 2" xfId="45" xr:uid="{00000000-0005-0000-0000-00003E000000}"/>
    <cellStyle name="Titre 3" xfId="46" xr:uid="{00000000-0005-0000-0000-00003F000000}"/>
    <cellStyle name="Titre 4" xfId="47" xr:uid="{00000000-0005-0000-0000-000040000000}"/>
    <cellStyle name="Total" xfId="48" builtinId="25" customBuiltin="1"/>
    <cellStyle name="Vérification" xfId="49" xr:uid="{00000000-0005-0000-0000-000042000000}"/>
  </cellStyles>
  <dxfs count="414">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alignment horizontal="left" textRotation="0" wrapText="0" indent="0" justifyLastLine="0" shrinkToFit="0" readingOrder="0"/>
    </dxf>
    <dxf>
      <border outline="0">
        <top style="thin">
          <color theme="1"/>
        </top>
      </border>
    </dxf>
    <dxf>
      <border outline="0">
        <left style="thin">
          <color theme="1"/>
        </left>
        <top style="thin">
          <color theme="1"/>
        </top>
        <bottom style="thin">
          <color theme="1"/>
        </bottom>
      </border>
    </dxf>
    <dxf>
      <alignment horizontal="left" textRotation="0" wrapText="0" indent="0" justifyLastLine="0" shrinkToFit="0" readingOrder="0"/>
    </dxf>
    <dxf>
      <border outline="0">
        <bottom style="thin">
          <color theme="1"/>
        </bottom>
      </border>
    </dxf>
    <dxf>
      <font>
        <b/>
        <i val="0"/>
        <strike val="0"/>
        <condense val="0"/>
        <extend val="0"/>
        <outline val="0"/>
        <shadow val="0"/>
        <u val="none"/>
        <vertAlign val="baseline"/>
        <sz val="10"/>
        <color theme="0"/>
        <name val="Arial"/>
        <scheme val="none"/>
      </font>
      <fill>
        <patternFill patternType="solid">
          <fgColor theme="1"/>
          <bgColor theme="1"/>
        </patternFill>
      </fill>
    </dxf>
    <dxf>
      <alignment horizontal="center" vertical="center" textRotation="0" wrapText="0" indent="0" justifyLastLine="0" shrinkToFit="0" readingOrder="0"/>
    </dxf>
    <dxf>
      <border outline="0">
        <left style="thin">
          <color theme="1"/>
        </left>
        <right style="thin">
          <color theme="1"/>
        </right>
        <top style="thin">
          <color theme="1"/>
        </top>
        <bottom style="thin">
          <color theme="1"/>
        </bottom>
      </border>
    </dxf>
    <dxf>
      <alignment horizontal="center" vertical="center" textRotation="0" wrapText="0" indent="0" justifyLastLine="0" shrinkToFit="0" readingOrder="0"/>
    </dxf>
    <dxf>
      <font>
        <b/>
        <i val="0"/>
        <strike val="0"/>
        <condense val="0"/>
        <extend val="0"/>
        <outline val="0"/>
        <shadow val="0"/>
        <u val="none"/>
        <vertAlign val="baseline"/>
        <sz val="10"/>
        <color theme="0"/>
        <name val="Arial"/>
        <scheme val="none"/>
      </font>
      <fill>
        <patternFill patternType="solid">
          <fgColor theme="1"/>
          <bgColor theme="1"/>
        </patternFill>
      </fill>
    </dxf>
    <dxf>
      <alignment horizontal="center" textRotation="0" indent="0" justifyLastLine="0" shrinkToFit="0" readingOrder="0"/>
    </dxf>
    <dxf>
      <border outline="0">
        <left style="thin">
          <color theme="1"/>
        </left>
        <right style="thin">
          <color theme="1"/>
        </right>
        <top style="thin">
          <color theme="1"/>
        </top>
        <bottom style="thin">
          <color theme="1"/>
        </bottom>
      </border>
    </dxf>
    <dxf>
      <alignment horizontal="center" textRotation="0" indent="0" justifyLastLine="0" shrinkToFit="0" readingOrder="0"/>
    </dxf>
    <dxf>
      <font>
        <b/>
        <i val="0"/>
        <strike val="0"/>
        <condense val="0"/>
        <extend val="0"/>
        <outline val="0"/>
        <shadow val="0"/>
        <u val="none"/>
        <vertAlign val="baseline"/>
        <sz val="10"/>
        <color theme="0"/>
        <name val="Arial"/>
        <scheme val="none"/>
      </font>
      <fill>
        <patternFill patternType="solid">
          <fgColor theme="1"/>
          <bgColor theme="1"/>
        </patternFill>
      </fill>
    </dxf>
    <dxf>
      <border outline="0">
        <left style="thin">
          <color theme="1"/>
        </left>
        <right style="thin">
          <color theme="1"/>
        </right>
        <top style="thin">
          <color theme="1"/>
        </top>
        <bottom style="thin">
          <color theme="1"/>
        </bottom>
      </border>
    </dxf>
    <dxf>
      <font>
        <b/>
        <i val="0"/>
        <strike val="0"/>
        <condense val="0"/>
        <extend val="0"/>
        <outline val="0"/>
        <shadow val="0"/>
        <u val="none"/>
        <vertAlign val="baseline"/>
        <sz val="10"/>
        <color theme="0"/>
        <name val="Arial"/>
        <scheme val="none"/>
      </font>
      <fill>
        <patternFill patternType="solid">
          <fgColor theme="1"/>
          <bgColor theme="1"/>
        </patternFill>
      </fill>
    </dxf>
    <dxf>
      <alignment horizontal="center" vertical="center" textRotation="0" wrapText="0" indent="0" justifyLastLine="0" shrinkToFit="0" readingOrder="0"/>
    </dxf>
    <dxf>
      <border outline="0">
        <left style="thin">
          <color theme="1"/>
        </left>
        <right style="thin">
          <color theme="1"/>
        </right>
        <top style="thin">
          <color theme="1"/>
        </top>
        <bottom style="thin">
          <color theme="1"/>
        </bottom>
      </border>
    </dxf>
    <dxf>
      <alignment horizontal="center" vertical="center" textRotation="0" wrapText="0" indent="0" justifyLastLine="0" shrinkToFit="0" readingOrder="0"/>
    </dxf>
    <dxf>
      <font>
        <b/>
        <i val="0"/>
        <strike val="0"/>
        <condense val="0"/>
        <extend val="0"/>
        <outline val="0"/>
        <shadow val="0"/>
        <u val="none"/>
        <vertAlign val="baseline"/>
        <sz val="10"/>
        <color theme="0"/>
        <name val="Arial"/>
        <scheme val="none"/>
      </font>
      <fill>
        <patternFill patternType="solid">
          <fgColor theme="1"/>
          <bgColor theme="1"/>
        </patternFill>
      </fill>
    </dxf>
    <dxf>
      <font>
        <strike val="0"/>
        <outline val="0"/>
        <shadow val="0"/>
        <u val="none"/>
        <vertAlign val="baseline"/>
        <sz val="11"/>
        <name val="Arial"/>
        <scheme val="none"/>
      </font>
      <alignment horizontal="center" textRotation="0" indent="0" justifyLastLine="0" shrinkToFit="0" readingOrder="0"/>
    </dxf>
    <dxf>
      <font>
        <strike val="0"/>
        <outline val="0"/>
        <shadow val="0"/>
        <u val="none"/>
        <vertAlign val="baseline"/>
        <sz val="11"/>
        <name val="Arial"/>
        <scheme val="none"/>
      </font>
    </dxf>
    <dxf>
      <border outline="0">
        <top style="thin">
          <color auto="1"/>
        </top>
      </border>
    </dxf>
    <dxf>
      <border outline="0">
        <left style="thin">
          <color auto="1"/>
        </left>
        <top style="thin">
          <color theme="1"/>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indexed="64"/>
          <bgColor theme="1"/>
        </patternFill>
      </fill>
      <alignment horizontal="center" vertical="center" textRotation="0" wrapText="1" indent="0" justifyLastLine="0" shrinkToFit="0" readingOrder="0"/>
    </dxf>
    <dxf>
      <border outline="0">
        <left style="thin">
          <color theme="1"/>
        </left>
        <right style="thin">
          <color theme="1"/>
        </right>
        <top style="thin">
          <color theme="1"/>
        </top>
        <bottom style="thin">
          <color theme="1"/>
        </bottom>
      </border>
    </dxf>
    <dxf>
      <font>
        <b/>
        <i val="0"/>
        <strike val="0"/>
        <condense val="0"/>
        <extend val="0"/>
        <outline val="0"/>
        <shadow val="0"/>
        <u val="none"/>
        <vertAlign val="baseline"/>
        <sz val="10"/>
        <color theme="0"/>
        <name val="Arial"/>
        <scheme val="none"/>
      </font>
      <fill>
        <patternFill patternType="solid">
          <fgColor theme="1"/>
          <bgColor theme="1"/>
        </patternFill>
      </fill>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theme="1"/>
        <name val="Arial"/>
        <scheme val="none"/>
      </font>
      <numFmt numFmtId="174" formatCode="_-* #,##0.0\ _€_-;\-* #,##0.0\ _€_-;_-* &quot;-&quot;??\ _€_-;_-@_-"/>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theme="1"/>
        <name val="Arial"/>
        <scheme val="none"/>
      </font>
      <numFmt numFmtId="168" formatCode="_-* #,##0\ _€_-;\-* #,##0\ _€_-;_-* &quot;-&quot;??\ _€_-;_-@_-"/>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top style="thin">
          <color theme="1"/>
        </top>
        <bottom style="thin">
          <color indexed="64"/>
        </bottom>
      </border>
    </dxf>
    <dxf>
      <border outline="0">
        <bottom style="thin">
          <color theme="1"/>
        </bottom>
      </border>
    </dxf>
    <dxf>
      <font>
        <b/>
        <i val="0"/>
        <strike val="0"/>
        <condense val="0"/>
        <extend val="0"/>
        <outline val="0"/>
        <shadow val="0"/>
        <u val="none"/>
        <vertAlign val="baseline"/>
        <sz val="10"/>
        <color theme="0"/>
        <name val="Arial"/>
        <scheme val="none"/>
      </font>
      <fill>
        <patternFill patternType="solid">
          <fgColor theme="1"/>
          <bgColor theme="1"/>
        </patternFill>
      </fill>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numFmt numFmtId="175" formatCode="#,##0_ ;\-#,##0\ "/>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0"/>
        <color auto="1"/>
        <name val="Arial"/>
        <scheme val="none"/>
      </font>
      <numFmt numFmtId="169" formatCode="&quot;€&quot;\ #,##0.00"/>
      <fill>
        <patternFill patternType="none">
          <fgColor indexed="64"/>
          <bgColor indexed="65"/>
        </patternFill>
      </fill>
      <alignment horizontal="general" vertical="center" textRotation="0" wrapText="1" indent="0" justifyLastLine="0" shrinkToFit="0" readingOrder="0"/>
      <border diagonalUp="0" diagonalDown="0">
        <left style="thin">
          <color auto="1"/>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69" formatCode="&quot;€&quot;\ #,##0.00"/>
      <fill>
        <patternFill patternType="none">
          <fgColor indexed="64"/>
          <bgColor indexed="65"/>
        </patternFill>
      </fill>
      <alignment horizontal="general" vertical="center" textRotation="0" wrapText="1" indent="0" justifyLastLine="0" shrinkToFit="0" readingOrder="0"/>
      <border diagonalUp="0" diagonalDown="0">
        <left style="thin">
          <color auto="1"/>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69" formatCode="&quot;€&quot;\ #,##0.00"/>
      <fill>
        <patternFill patternType="none">
          <fgColor indexed="64"/>
          <bgColor indexed="65"/>
        </patternFill>
      </fill>
      <alignment horizontal="general" vertical="center" textRotation="0" wrapText="1" indent="0" justifyLastLine="0" shrinkToFit="0" readingOrder="0"/>
      <border diagonalUp="0" diagonalDown="0">
        <left style="thin">
          <color auto="1"/>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69" formatCode="&quot;€&quot;\ #,##0.00"/>
      <fill>
        <patternFill patternType="none">
          <fgColor indexed="64"/>
          <bgColor indexed="65"/>
        </patternFill>
      </fill>
      <alignment horizontal="general" vertical="center" textRotation="0" wrapText="1" indent="0" justifyLastLine="0" shrinkToFit="0" readingOrder="0"/>
      <border diagonalUp="0" diagonalDown="0">
        <left style="thin">
          <color auto="1"/>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69" formatCode="&quot;€&quot;\ #,##0.00"/>
      <fill>
        <patternFill patternType="none">
          <fgColor indexed="64"/>
          <bgColor indexed="65"/>
        </patternFill>
      </fill>
      <alignment horizontal="general" vertical="center" textRotation="0" wrapText="1" indent="0" justifyLastLine="0" shrinkToFit="0" readingOrder="0"/>
      <border diagonalUp="0" diagonalDown="0">
        <left style="thin">
          <color auto="1"/>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69" formatCode="&quot;€&quot;\ #,##0.00"/>
      <fill>
        <patternFill patternType="none">
          <fgColor indexed="64"/>
          <bgColor indexed="65"/>
        </patternFill>
      </fill>
      <alignment horizontal="general" vertical="center" textRotation="0" wrapText="1" indent="0" justifyLastLine="0" shrinkToFit="0" readingOrder="0"/>
      <border diagonalUp="0" diagonalDown="0">
        <left style="thin">
          <color auto="1"/>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69" formatCode="&quot;€&quot;\ #,##0.00"/>
      <fill>
        <patternFill patternType="none">
          <fgColor indexed="64"/>
          <bgColor indexed="65"/>
        </patternFill>
      </fill>
      <alignment horizontal="general" vertical="center" textRotation="0" wrapText="1" indent="0" justifyLastLine="0" shrinkToFit="0" readingOrder="0"/>
      <border diagonalUp="0" diagonalDown="0">
        <left style="thin">
          <color auto="1"/>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69" formatCode="&quot;€&quot;\ #,##0.00"/>
      <fill>
        <patternFill patternType="none">
          <fgColor indexed="64"/>
          <bgColor indexed="65"/>
        </patternFill>
      </fill>
      <alignment horizontal="general" vertical="center" textRotation="0" wrapText="1" indent="0" justifyLastLine="0" shrinkToFit="0" readingOrder="0"/>
      <border diagonalUp="0" diagonalDown="0">
        <left style="thin">
          <color auto="1"/>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69" formatCode="&quot;€&quot;\ #,##0.00"/>
      <fill>
        <patternFill patternType="none">
          <fgColor indexed="64"/>
          <bgColor indexed="65"/>
        </patternFill>
      </fill>
      <alignment horizontal="general" vertical="center" textRotation="0" wrapText="1" indent="0" justifyLastLine="0" shrinkToFit="0" readingOrder="0"/>
      <border diagonalUp="0" diagonalDown="0">
        <left style="thin">
          <color auto="1"/>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69" formatCode="&quot;€&quot;\ #,##0.00"/>
      <fill>
        <patternFill patternType="none">
          <fgColor indexed="64"/>
          <bgColor indexed="65"/>
        </patternFill>
      </fill>
      <alignment horizontal="general" vertical="center" textRotation="0" wrapText="1" indent="0" justifyLastLine="0" shrinkToFit="0" readingOrder="0"/>
      <border diagonalUp="0" diagonalDown="0">
        <left style="thin">
          <color auto="1"/>
        </left>
        <right style="thin">
          <color indexed="64"/>
        </right>
        <top style="thin">
          <color indexed="64"/>
        </top>
        <bottom style="thin">
          <color indexed="64"/>
        </bottom>
        <vertical/>
        <horizontal/>
      </border>
    </dxf>
    <dxf>
      <font>
        <b/>
        <i val="0"/>
        <strike val="0"/>
        <condense val="0"/>
        <extend val="0"/>
        <outline val="0"/>
        <shadow val="0"/>
        <u val="none"/>
        <vertAlign val="baseline"/>
        <sz val="10"/>
        <color auto="1"/>
        <name val="Arial"/>
        <scheme val="none"/>
      </font>
      <numFmt numFmtId="169" formatCode="&quot;€&quot;\ #,##0.00"/>
      <fill>
        <patternFill patternType="none">
          <fgColor indexed="64"/>
          <bgColor indexed="65"/>
        </patternFill>
      </fill>
      <alignment horizontal="general" vertical="center" textRotation="0" wrapText="1"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168" formatCode="_-* #,##0\ _€_-;\-* #,##0\ _€_-;_-* &quot;-&quot;??\ _€_-;_-@_-"/>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border outline="0">
        <bottom style="thin">
          <color indexed="64"/>
        </bottom>
      </border>
    </dxf>
    <dxf>
      <alignment horizontal="left" vertical="bottom" textRotation="0" wrapText="0" indent="0" justifyLastLine="0" shrinkToFit="0" readingOrder="0"/>
      <border diagonalUp="0" diagonalDown="0" outline="0">
        <left style="thin">
          <color indexed="64"/>
        </left>
        <right style="thin">
          <color indexed="64"/>
        </right>
        <top/>
        <bottom/>
      </border>
    </dxf>
    <dxf>
      <numFmt numFmtId="0" formatCode="Genera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bottom/>
      </border>
    </dxf>
    <dxf>
      <numFmt numFmtId="0" formatCode="General"/>
      <alignment horizont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scheme val="none"/>
      </font>
      <numFmt numFmtId="0" formatCode="General"/>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dxf>
    <dxf>
      <numFmt numFmtId="19" formatCode="dd/mm/yyyy"/>
      <alignment horizontal="center" vertical="bottom" textRotation="0" wrapText="0" indent="0" justifyLastLine="0" shrinkToFit="0" readingOrder="0"/>
      <border diagonalUp="0" diagonalDown="0" outline="0">
        <left/>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1"/>
        </patternFill>
      </fill>
      <alignment horizontal="center" vertical="center" textRotation="0" wrapText="1" indent="0" justifyLastLine="0" shrinkToFit="0" readingOrder="0"/>
    </dxf>
    <dxf>
      <fill>
        <patternFill patternType="solid">
          <fgColor rgb="FF000000"/>
          <bgColor rgb="FFFFFFFF"/>
        </patternFill>
      </fill>
    </dxf>
    <dxf>
      <fill>
        <patternFill>
          <bgColor rgb="FFFF0000"/>
        </patternFill>
      </fill>
    </dxf>
    <dxf>
      <font>
        <color theme="0" tint="-0.24994659260841701"/>
      </font>
    </dxf>
    <dxf>
      <fill>
        <patternFill>
          <bgColor rgb="FFFF0000"/>
        </patternFill>
      </fill>
    </dxf>
    <dxf>
      <fill>
        <patternFill>
          <bgColor rgb="FFFF0000"/>
        </patternFill>
      </fill>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176" formatCode="#,##0.00\ &quot;€&quot;"/>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176" formatCode="#,##0.00\ &quot;€&quot;"/>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176" formatCode="#,##0.00\ &quot;€&quot;"/>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176" formatCode="#,##0.00\ &quot;€&quot;"/>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176" formatCode="#,##0.00\ &quot;€&quot;"/>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176" formatCode="#,##0.00\ &quot;€&quot;"/>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176" formatCode="#,##0.00\ &quot;€&quot;"/>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176" formatCode="#,##0.00\ &quot;€&quot;"/>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176" formatCode="#,##0.00\ &quot;€&quot;"/>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176" formatCode="#,##0.00\ &quot;€&quot;"/>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176" formatCode="#,##0.00\ &quot;€&quot;"/>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176" formatCode="#,##0.00\ &quot;€&quot;"/>
      <alignment horizontal="center" vertical="bottom" textRotation="0" wrapText="0" indent="0" justifyLastLine="0" shrinkToFit="0" readingOrder="0"/>
    </dxf>
    <dxf>
      <font>
        <b/>
        <i val="0"/>
        <strike val="0"/>
        <condense val="0"/>
        <extend val="0"/>
        <outline val="0"/>
        <shadow val="0"/>
        <u val="none"/>
        <vertAlign val="baseline"/>
        <sz val="11"/>
        <color indexed="63"/>
        <name val="Calibri"/>
        <family val="2"/>
        <scheme val="none"/>
      </font>
      <fill>
        <patternFill patternType="solid">
          <fgColor indexed="64"/>
          <bgColor indexed="22"/>
        </patternFill>
      </fill>
      <alignment horizontal="right" vertical="bottom" textRotation="0" wrapText="0" indent="0" justifyLastLine="0" shrinkToFit="0" readingOrder="0"/>
      <border diagonalUp="0" diagonalDown="0" outline="0">
        <left style="thin">
          <color indexed="64"/>
        </left>
        <right style="thin">
          <color indexed="64"/>
        </right>
        <top/>
        <bottom/>
      </border>
    </dxf>
    <dxf>
      <font>
        <sz val="11"/>
        <color indexed="63"/>
        <name val="Calibri"/>
        <family val="2"/>
      </font>
      <numFmt numFmtId="176" formatCode="#,##0.00\ &quot;€&quot;"/>
      <alignment horizontal="right"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scheme val="none"/>
      </font>
      <numFmt numFmtId="176" formatCode="#,##0.00\ &quot;€&quot;"/>
      <fill>
        <patternFill patternType="none">
          <fgColor indexed="64"/>
          <bgColor indexed="65"/>
        </patternFill>
      </fill>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scheme val="none"/>
      </font>
      <numFmt numFmtId="176" formatCode="#,##0.00\ &quot;€&quot;"/>
      <fill>
        <patternFill patternType="none">
          <fgColor indexed="64"/>
          <bgColor indexed="65"/>
        </patternFill>
      </fill>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scheme val="none"/>
      </font>
      <numFmt numFmtId="176" formatCode="#,##0.00\ &quot;€&quo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6" formatCode="#,##0.00\ &quot;€&quot;"/>
      <alignment horizontal="right" vertical="bottom" textRotation="0" wrapText="0" indent="0" justifyLastLine="0" shrinkToFit="0" readingOrder="0"/>
    </dxf>
    <dxf>
      <font>
        <sz val="11"/>
        <color indexed="63"/>
        <name val="Calibri"/>
      </font>
      <numFmt numFmtId="176" formatCode="#,##0.00\ &quot;€&quot;"/>
      <fill>
        <patternFill patternType="none">
          <fgColor indexed="64"/>
          <bgColor indexed="65"/>
        </patternFill>
      </fill>
      <alignment horizontal="right"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scheme val="none"/>
      </font>
      <numFmt numFmtId="176" formatCode="#,##0.00\ &quot;€&quot;"/>
      <fill>
        <patternFill patternType="none">
          <fgColor indexed="64"/>
          <bgColor indexed="65"/>
        </patternFill>
      </fill>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scheme val="none"/>
      </font>
      <numFmt numFmtId="176" formatCode="#,##0.00\ &quot;€&quot;"/>
      <fill>
        <patternFill patternType="none">
          <fgColor indexed="64"/>
          <bgColor indexed="65"/>
        </patternFill>
      </fill>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scheme val="none"/>
      </font>
      <numFmt numFmtId="176" formatCode="#,##0.00\ &quot;€&quot;"/>
      <fill>
        <patternFill patternType="none">
          <fgColor indexed="64"/>
          <bgColor indexed="65"/>
        </patternFill>
      </fill>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scheme val="none"/>
      </font>
      <numFmt numFmtId="176" formatCode="#,##0.00\ &quot;€&quot;"/>
      <fill>
        <patternFill patternType="none">
          <fgColor indexed="64"/>
          <bgColor indexed="65"/>
        </patternFill>
      </fill>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scheme val="none"/>
      </font>
      <numFmt numFmtId="176" formatCode="#,##0.00\ &quot;€&quot;"/>
      <fill>
        <patternFill patternType="none">
          <fgColor indexed="64"/>
          <bgColor indexed="65"/>
        </patternFill>
      </fill>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scheme val="none"/>
      </font>
      <numFmt numFmtId="176" formatCode="#,##0.00\ &quot;€&quot;"/>
      <fill>
        <patternFill patternType="none">
          <fgColor indexed="64"/>
          <bgColor indexed="65"/>
        </patternFill>
      </fill>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scheme val="none"/>
      </font>
      <numFmt numFmtId="176" formatCode="#,##0.00\ &quot;€&quot;"/>
      <fill>
        <patternFill patternType="none">
          <fgColor indexed="64"/>
          <bgColor indexed="65"/>
        </patternFill>
      </fill>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scheme val="none"/>
      </font>
      <numFmt numFmtId="176" formatCode="#,##0.00\ &quot;€&quot;"/>
      <fill>
        <patternFill patternType="none">
          <fgColor indexed="64"/>
          <bgColor indexed="65"/>
        </patternFill>
      </fill>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scheme val="none"/>
      </font>
      <numFmt numFmtId="176" formatCode="#,##0.00\ &quot;€&quot;"/>
      <fill>
        <patternFill patternType="none">
          <fgColor indexed="64"/>
          <bgColor indexed="65"/>
        </patternFill>
      </fill>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scheme val="none"/>
      </font>
      <numFmt numFmtId="176" formatCode="#,##0.00\ &quot;€&quot;"/>
      <fill>
        <patternFill patternType="none">
          <fgColor indexed="64"/>
          <bgColor indexed="65"/>
        </patternFill>
      </fill>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scheme val="none"/>
      </font>
      <numFmt numFmtId="176" formatCode="#,##0.00\ &quot;€&quot;"/>
      <fill>
        <patternFill patternType="none">
          <fgColor indexed="64"/>
          <bgColor indexed="65"/>
        </patternFill>
      </fill>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scheme val="none"/>
      </font>
      <numFmt numFmtId="176" formatCode="#,##0.00\ &quot;€&quot;"/>
      <fill>
        <patternFill patternType="none">
          <fgColor indexed="64"/>
          <bgColor indexed="65"/>
        </patternFill>
      </fill>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scheme val="none"/>
      </font>
      <numFmt numFmtId="176" formatCode="#,##0.00\ &quot;€&quot;"/>
      <fill>
        <patternFill patternType="none">
          <fgColor indexed="64"/>
          <bgColor indexed="65"/>
        </patternFill>
      </fill>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176" formatCode="#,##0.00\ &quot;€&quot;"/>
      <fill>
        <patternFill patternType="none">
          <fgColor indexed="64"/>
          <bgColor indexed="65"/>
        </patternFill>
      </fill>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176" formatCode="#,##0.00\ &quot;€&quot;"/>
      <fill>
        <patternFill patternType="none">
          <fgColor indexed="64"/>
          <bgColor indexed="65"/>
        </patternFill>
      </fill>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176" formatCode="#,##0.00\ &quot;€&quot;"/>
      <fill>
        <patternFill patternType="none">
          <fgColor indexed="64"/>
          <bgColor indexed="65"/>
        </patternFill>
      </fill>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176" formatCode="#,##0.00\ &quot;€&quot;"/>
      <fill>
        <patternFill patternType="none">
          <fgColor indexed="64"/>
          <bgColor indexed="65"/>
        </patternFill>
      </fill>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176" formatCode="#,##0.00\ &quot;€&quot;"/>
      <fill>
        <patternFill patternType="none">
          <fgColor indexed="64"/>
          <bgColor indexed="65"/>
        </patternFill>
      </fill>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176" formatCode="#,##0.00\ &quot;€&quot;"/>
      <fill>
        <patternFill patternType="none">
          <fgColor indexed="64"/>
          <bgColor indexed="65"/>
        </patternFill>
      </fill>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176" formatCode="#,##0.00\ &quot;€&quot;"/>
      <fill>
        <patternFill patternType="none">
          <fgColor indexed="64"/>
          <bgColor indexed="65"/>
        </patternFill>
      </fill>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176" formatCode="#,##0.00\ &quot;€&quot;"/>
      <fill>
        <patternFill patternType="none">
          <fgColor indexed="64"/>
          <bgColor indexed="65"/>
        </patternFill>
      </fill>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176" formatCode="#,##0.00\ &quot;€&quot;"/>
      <fill>
        <patternFill patternType="none">
          <fgColor indexed="64"/>
          <bgColor indexed="65"/>
        </patternFill>
      </fill>
      <alignment horizontal="center" vertical="bottom" textRotation="0" wrapText="0" indent="0" justifyLastLine="0" shrinkToFit="0" readingOrder="0"/>
    </dxf>
    <dxf>
      <numFmt numFmtId="179" formatCode="#,##0.00\ _€"/>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176" formatCode="#,##0.00\ &quot;€&quot;"/>
      <fill>
        <patternFill patternType="none">
          <fgColor indexed="64"/>
          <bgColor indexed="65"/>
        </patternFill>
      </fill>
      <alignment horizontal="center" vertical="bottom" textRotation="0" wrapText="0" indent="0" justifyLastLine="0" shrinkToFit="0" readingOrder="0"/>
    </dxf>
    <dxf>
      <numFmt numFmtId="179" formatCode="#,##0.00\ _€"/>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176" formatCode="#,##0.00\ &quot;€&quot;"/>
      <fill>
        <patternFill patternType="none">
          <fgColor indexed="64"/>
          <bgColor indexed="65"/>
        </patternFill>
      </fill>
      <alignment horizontal="center" vertical="bottom" textRotation="0" wrapText="0" indent="0" justifyLastLine="0" shrinkToFit="0" readingOrder="0"/>
    </dxf>
    <dxf>
      <numFmt numFmtId="179" formatCode="#,##0.00\ _€"/>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176" formatCode="#,##0.00\ &quot;€&quo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1"/>
        <color indexed="63"/>
        <name val="Calibri"/>
        <family val="2"/>
        <scheme val="none"/>
      </font>
      <fill>
        <patternFill patternType="solid">
          <fgColor indexed="64"/>
          <bgColor indexed="22"/>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0" formatCode="General"/>
      <alignment horizontal="center" vertical="bottom" textRotation="0" wrapText="0" indent="0" justifyLastLine="0" shrinkToFit="0" readingOrder="0"/>
      <border diagonalUp="0" diagonalDown="0" outline="0">
        <left style="thin">
          <color indexed="64"/>
        </left>
        <right/>
        <top/>
        <bottom/>
      </border>
    </dxf>
    <dxf>
      <numFmt numFmtId="172" formatCode="_-* #,##0.00\ [$€-40C]_-;\-* #,##0.00\ [$€-40C]_-;_-* &quot;-&quot;??\ [$€-40C]_-;_-@_-"/>
      <alignment horizontal="center" vertical="bottom" textRotation="0" wrapText="0" indent="0" justifyLastLine="0" shrinkToFit="0" readingOrder="0"/>
    </dxf>
    <dxf>
      <numFmt numFmtId="172" formatCode="_-* #,##0.00\ [$€-40C]_-;\-* #,##0.00\ [$€-40C]_-;_-* &quot;-&quot;??\ [$€-40C]_-;_-@_-"/>
      <alignment horizontal="center" vertical="bottom" textRotation="0" wrapText="0" indent="0" justifyLastLine="0" shrinkToFit="0" readingOrder="0"/>
    </dxf>
    <dxf>
      <numFmt numFmtId="172" formatCode="_-* #,##0.00\ [$€-40C]_-;\-* #,##0.00\ [$€-40C]_-;_-* &quot;-&quot;??\ [$€-40C]_-;_-@_-"/>
      <alignment horizontal="right" vertical="bottom" textRotation="0" wrapText="0" indent="0" justifyLastLine="0" shrinkToFit="0" readingOrder="0"/>
    </dxf>
    <dxf>
      <numFmt numFmtId="176" formatCode="#,##0.00\ &quot;€&quot;"/>
      <alignment horizontal="right" vertical="bottom" textRotation="0" wrapText="0" indent="0" justifyLastLine="0" shrinkToFit="0" readingOrder="0"/>
    </dxf>
    <dxf>
      <numFmt numFmtId="172" formatCode="_-* #,##0.00\ [$€-40C]_-;\-* #,##0.00\ [$€-40C]_-;_-* &quot;-&quot;??\ [$€-40C]_-;_-@_-"/>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numFmt numFmtId="171" formatCode="_-* #,##0.00\ [$€-80C]_-;\-* #,##0.00\ [$€-80C]_-;_-* &quot;-&quot;??\ [$€-80C]_-;_-@_-"/>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177" formatCode="d/mm/yyyy"/>
      <alignment horizontal="center" vertical="bottom" textRotation="0" wrapText="0" indent="0" justifyLastLine="0" shrinkToFit="0" readingOrder="0"/>
    </dxf>
    <dxf>
      <alignment horizontal="center" vertical="bottom" textRotation="0" wrapText="0" indent="0" justifyLastLine="0" shrinkToFit="0" readingOrder="0"/>
    </dxf>
    <dxf>
      <numFmt numFmtId="177" formatCode="d/mm/yyyy"/>
      <alignment horizontal="center" vertical="bottom" textRotation="0" wrapText="0" indent="0" justifyLastLine="0" shrinkToFit="0" readingOrder="0"/>
    </dxf>
    <dxf>
      <alignment horizontal="center" vertical="bottom" textRotation="0" wrapText="0" indent="0" justifyLastLine="0" shrinkToFit="0" readingOrder="0"/>
    </dxf>
    <dxf>
      <numFmt numFmtId="177" formatCode="d/mm/yyyy"/>
      <alignment horizontal="center" textRotation="0" indent="0" justifyLastLine="0" shrinkToFit="0" readingOrder="0"/>
    </dxf>
    <dxf>
      <numFmt numFmtId="0" formatCode="General"/>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font>
        <b/>
        <i val="0"/>
        <strike val="0"/>
        <condense val="0"/>
        <extend val="0"/>
        <outline val="0"/>
        <shadow val="0"/>
        <u val="none"/>
        <vertAlign val="baseline"/>
        <sz val="9"/>
        <color indexed="9"/>
        <name val="Arial"/>
        <scheme val="none"/>
      </font>
      <numFmt numFmtId="1" formatCode="0"/>
      <fill>
        <patternFill patternType="solid">
          <fgColor indexed="64"/>
          <bgColor rgb="FF991F3D"/>
        </patternFill>
      </fill>
      <alignment horizontal="center" vertical="center" textRotation="0" wrapText="1" indent="0" justifyLastLine="0" shrinkToFit="0" readingOrder="0"/>
      <border diagonalUp="0" diagonalDown="0" outline="0">
        <left style="thin">
          <color theme="0"/>
        </left>
        <right style="thin">
          <color theme="0"/>
        </right>
        <top/>
        <bottom/>
      </border>
    </dxf>
    <dxf>
      <font>
        <b/>
        <i val="0"/>
        <strike val="0"/>
        <condense val="0"/>
        <extend val="0"/>
        <outline val="0"/>
        <shadow val="0"/>
        <u val="none"/>
        <vertAlign val="baseline"/>
        <sz val="11"/>
        <color indexed="63"/>
        <name val="Calibri"/>
        <family val="2"/>
        <scheme val="none"/>
      </font>
      <fill>
        <patternFill patternType="solid">
          <fgColor indexed="64"/>
          <bgColor indexed="22"/>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font>
      <numFmt numFmtId="2" formatCode="0.00"/>
      <fill>
        <patternFill patternType="solid">
          <fgColor indexed="64"/>
          <bgColor theme="0" tint="-0.249977111117893"/>
        </patternFill>
      </fill>
      <alignment horizontal="center" vertical="bottom" textRotation="0" wrapText="0" indent="0" justifyLastLine="0" shrinkToFit="0" readingOrder="0"/>
      <border diagonalUp="0" diagonalDown="0" outline="0">
        <left/>
        <right style="thin">
          <color indexed="64"/>
        </right>
        <top/>
        <bottom/>
      </border>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2" formatCode="0.00"/>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2" formatCode="0.00"/>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2" formatCode="0.00"/>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2" formatCode="0.00"/>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2" formatCode="0.00"/>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2" formatCode="0.00"/>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2" formatCode="0.00"/>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2" formatCode="0.00"/>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2" formatCode="0.00"/>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2" formatCode="0.00"/>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2" formatCode="0.00"/>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2" formatCode="0.00"/>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sz val="11"/>
        <color auto="1"/>
        <name val="Calibri"/>
        <family val="2"/>
      </font>
      <numFmt numFmtId="2" formatCode="0.00"/>
      <fill>
        <patternFill patternType="none">
          <fgColor indexed="64"/>
          <bgColor indexed="65"/>
        </patternFill>
      </fill>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2" formatCode="0.00"/>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2" formatCode="0.00"/>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2" formatCode="0.00"/>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2" formatCode="0.00"/>
      <fill>
        <patternFill patternType="none">
          <fgColor indexed="64"/>
          <bgColor indexed="65"/>
        </patternFill>
      </fill>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2" formatCode="0.00"/>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2" formatCode="0.00"/>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2" formatCode="0.00"/>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2" formatCode="0.00"/>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2" formatCode="0.00"/>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2" formatCode="0.00"/>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2" formatCode="0.00"/>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2" formatCode="0.00"/>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scheme val="none"/>
      </font>
      <numFmt numFmtId="2" formatCode="0.00"/>
      <fill>
        <patternFill patternType="none">
          <fgColor indexed="64"/>
          <bgColor indexed="65"/>
        </patternFill>
      </fill>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scheme val="none"/>
      </font>
      <numFmt numFmtId="2" formatCode="0.00"/>
      <fill>
        <patternFill patternType="none">
          <fgColor indexed="64"/>
          <bgColor indexed="65"/>
        </patternFill>
      </fill>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scheme val="none"/>
      </font>
      <numFmt numFmtId="2" formatCode="0.00"/>
      <fill>
        <patternFill patternType="none">
          <fgColor indexed="64"/>
          <bgColor indexed="65"/>
        </patternFill>
      </fill>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scheme val="none"/>
      </font>
      <numFmt numFmtId="2" formatCode="0.00"/>
      <fill>
        <patternFill patternType="none">
          <fgColor indexed="64"/>
          <bgColor indexed="65"/>
        </patternFill>
      </fill>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scheme val="none"/>
      </font>
      <numFmt numFmtId="2" formatCode="0.00"/>
      <fill>
        <patternFill patternType="none">
          <fgColor indexed="64"/>
          <bgColor indexed="65"/>
        </patternFill>
      </fill>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2" formatCode="0.00"/>
      <fill>
        <patternFill patternType="none">
          <fgColor indexed="64"/>
          <bgColor indexed="65"/>
        </patternFill>
      </fill>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2" formatCode="0.00"/>
      <fill>
        <patternFill patternType="none">
          <fgColor indexed="64"/>
          <bgColor indexed="65"/>
        </patternFill>
      </fill>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2" formatCode="0.00"/>
      <fill>
        <patternFill patternType="none">
          <fgColor indexed="64"/>
          <bgColor indexed="65"/>
        </patternFill>
      </fill>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2" formatCode="0.00"/>
      <fill>
        <patternFill patternType="none">
          <fgColor indexed="64"/>
          <bgColor indexed="65"/>
        </patternFill>
      </fill>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167" formatCode="0.000"/>
      <fill>
        <patternFill patternType="none">
          <fgColor indexed="64"/>
          <bgColor indexed="65"/>
        </patternFill>
      </fill>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dxf>
    <dxf>
      <numFmt numFmtId="167" formatCode="0.000"/>
    </dxf>
    <dxf>
      <font>
        <b val="0"/>
        <i val="0"/>
        <strike val="0"/>
        <condense val="0"/>
        <extend val="0"/>
        <outline val="0"/>
        <shadow val="0"/>
        <u val="none"/>
        <vertAlign val="baseline"/>
        <sz val="10"/>
        <color auto="1"/>
        <name val="Arial"/>
        <scheme val="none"/>
      </font>
      <numFmt numFmtId="167" formatCode="0.000"/>
      <fill>
        <patternFill patternType="none">
          <fgColor indexed="64"/>
          <bgColor indexed="65"/>
        </patternFill>
      </fill>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font>
      <numFmt numFmtId="167" formatCode="0.000"/>
      <fill>
        <patternFill patternType="none">
          <fgColor indexed="64"/>
          <bgColor indexed="65"/>
        </patternFill>
      </fill>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font>
      <numFmt numFmtId="167" formatCode="0.000"/>
      <fill>
        <patternFill patternType="none">
          <fgColor indexed="64"/>
          <bgColor indexed="65"/>
        </patternFill>
      </fill>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font>
      <numFmt numFmtId="0" formatCode="General"/>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indexed="63"/>
        <name val="Calibri"/>
        <family val="2"/>
        <scheme val="none"/>
      </font>
      <fill>
        <patternFill patternType="solid">
          <fgColor indexed="64"/>
          <bgColor indexed="22"/>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0" formatCode="General"/>
      <alignment horizontal="center" vertical="bottom" textRotation="0" wrapText="0" indent="0" justifyLastLine="0" shrinkToFit="0" readingOrder="0"/>
      <border diagonalUp="0" diagonalDown="0">
        <left style="thin">
          <color indexed="64"/>
        </left>
        <right/>
        <top/>
        <bottom/>
      </border>
    </dxf>
    <dxf>
      <numFmt numFmtId="172" formatCode="_-* #,##0.00\ [$€-40C]_-;\-* #,##0.00\ [$€-40C]_-;_-* &quot;-&quot;??\ [$€-40C]_-;_-@_-"/>
      <alignment horizontal="center" vertical="bottom" textRotation="0" wrapText="0" indent="0" justifyLastLine="0" shrinkToFit="0" readingOrder="0"/>
    </dxf>
    <dxf>
      <numFmt numFmtId="172" formatCode="_-* #,##0.00\ [$€-40C]_-;\-* #,##0.00\ [$€-40C]_-;_-* &quot;-&quot;??\ [$€-40C]_-;_-@_-"/>
      <alignment horizontal="center" vertical="bottom" textRotation="0" wrapText="0" indent="0" justifyLastLine="0" shrinkToFit="0" readingOrder="0"/>
    </dxf>
    <dxf>
      <numFmt numFmtId="172" formatCode="_-* #,##0.00\ [$€-40C]_-;\-* #,##0.00\ [$€-40C]_-;_-* &quot;-&quot;??\ [$€-40C]_-;_-@_-"/>
      <alignment horizontal="center" vertical="bottom" textRotation="0" wrapText="0" indent="0" justifyLastLine="0" shrinkToFit="0" readingOrder="0"/>
    </dxf>
    <dxf>
      <numFmt numFmtId="172" formatCode="_-* #,##0.00\ [$€-40C]_-;\-* #,##0.00\ [$€-40C]_-;_-* &quot;-&quot;??\ [$€-40C]_-;_-@_-"/>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172" formatCode="_-* #,##0.00\ [$€-40C]_-;\-* #,##0.00\ [$€-40C]_-;_-* &quot;-&quot;??\ [$€-40C]_-;_-@_-"/>
      <alignment horizontal="center" vertical="bottom" textRotation="0" wrapText="0" indent="0" justifyLastLine="0" shrinkToFit="0" readingOrder="0"/>
    </dxf>
    <dxf>
      <numFmt numFmtId="34" formatCode="_-* #,##0.00\ &quot;€&quot;_-;\-* #,##0.00\ &quot;€&quot;_-;_-* &quot;-&quot;??\ &quot;€&quot;_-;_-@_-"/>
      <alignment horizontal="center" vertical="bottom" textRotation="0" wrapText="0" indent="0" justifyLastLine="0" shrinkToFit="0" readingOrder="0"/>
    </dxf>
    <dxf>
      <numFmt numFmtId="167" formatCode="0.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172" formatCode="_-* #,##0.00\ [$€-40C]_-;\-* #,##0.00\ [$€-40C]_-;_-* &quot;-&quot;??\ [$€-40C]_-;_-@_-"/>
      <alignment horizontal="center" vertical="bottom" textRotation="0" wrapText="0" indent="0" justifyLastLine="0" shrinkToFit="0" readingOrder="0"/>
    </dxf>
    <dxf>
      <numFmt numFmtId="34" formatCode="_-* #,##0.00\ &quot;€&quot;_-;\-* #,##0.00\ &quot;€&quot;_-;_-* &quot;-&quot;??\ &quot;€&quot;_-;_-@_-"/>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171" formatCode="_-* #,##0.00\ [$€-80C]_-;\-* #,##0.00\ [$€-80C]_-;_-* &quot;-&quot;??\ [$€-80C]_-;_-@_-"/>
      <alignment horizontal="center" vertical="bottom" textRotation="0" wrapText="0" indent="0" justifyLastLine="0" shrinkToFit="0" readingOrder="0"/>
    </dxf>
    <dxf>
      <numFmt numFmtId="34" formatCode="_-* #,##0.00\ &quot;€&quot;_-;\-* #,##0.00\ &quot;€&quot;_-;_-* &quot;-&quot;??\ &quot;€&quot;_-;_-@_-"/>
      <alignment horizontal="center" vertical="bottom" textRotation="0" wrapText="0" indent="0" justifyLastLine="0" shrinkToFit="0" readingOrder="0"/>
    </dxf>
    <dxf>
      <font>
        <b val="0"/>
        <i val="0"/>
        <strike val="0"/>
        <condense val="0"/>
        <extend val="0"/>
        <outline val="0"/>
        <shadow val="0"/>
        <u val="none"/>
        <vertAlign val="baseline"/>
        <sz val="10"/>
        <color rgb="FF0070C0"/>
        <name val="Arial"/>
        <family val="2"/>
        <scheme val="none"/>
      </font>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177" formatCode="d/mm/yyyy"/>
      <alignment horizontal="center" vertical="bottom" textRotation="0" wrapText="0" indent="0" justifyLastLine="0" shrinkToFit="0" readingOrder="0"/>
    </dxf>
    <dxf>
      <alignment horizontal="center" vertical="bottom" textRotation="0" wrapText="0" indent="0" justifyLastLine="0" shrinkToFit="0" readingOrder="0"/>
    </dxf>
    <dxf>
      <numFmt numFmtId="177" formatCode="d/mm/yyyy"/>
      <alignment horizontal="center" vertical="bottom" textRotation="0" wrapText="0" indent="0" justifyLastLine="0" shrinkToFit="0" readingOrder="0"/>
    </dxf>
    <dxf>
      <alignment horizontal="center" vertical="bottom" textRotation="0" wrapText="0" indent="0" justifyLastLine="0" shrinkToFit="0" readingOrder="0"/>
    </dxf>
    <dxf>
      <numFmt numFmtId="177" formatCode="d/mm/yyyy"/>
      <alignment horizontal="center" textRotation="0" indent="0" justifyLastLine="0" shrinkToFit="0" readingOrder="0"/>
    </dxf>
    <dxf>
      <numFmt numFmtId="0" formatCode="General"/>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left"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0"/>
        <color theme="3"/>
        <name val="Arial"/>
        <family val="2"/>
        <scheme val="none"/>
      </font>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left"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font>
        <b/>
        <i val="0"/>
        <strike val="0"/>
        <condense val="0"/>
        <extend val="0"/>
        <outline val="0"/>
        <shadow val="0"/>
        <u val="none"/>
        <vertAlign val="baseline"/>
        <sz val="9"/>
        <color indexed="9"/>
        <name val="Arial"/>
        <scheme val="none"/>
      </font>
      <numFmt numFmtId="1" formatCode="0"/>
      <fill>
        <patternFill patternType="solid">
          <fgColor indexed="64"/>
          <bgColor rgb="FF991F3D"/>
        </patternFill>
      </fill>
      <alignment horizontal="center" vertical="center" textRotation="0" wrapText="1" indent="0" justifyLastLine="0" shrinkToFit="0" readingOrder="0"/>
      <border diagonalUp="0" diagonalDown="0" outline="0">
        <left style="thin">
          <color theme="0"/>
        </left>
        <right style="thin">
          <color theme="0"/>
        </right>
        <top/>
        <bottom/>
      </border>
    </dxf>
    <dxf>
      <font>
        <strike val="0"/>
        <outline val="0"/>
        <shadow val="0"/>
        <u val="none"/>
        <vertAlign val="baseline"/>
        <sz val="10"/>
        <color auto="1"/>
        <name val="Arial"/>
        <scheme val="none"/>
      </font>
      <fill>
        <patternFill patternType="none">
          <fgColor indexed="64"/>
          <bgColor auto="1"/>
        </patternFill>
      </fill>
    </dxf>
    <dxf>
      <font>
        <strike val="0"/>
        <outline val="0"/>
        <shadow val="0"/>
        <u val="none"/>
        <vertAlign val="baseline"/>
        <sz val="10"/>
        <color auto="1"/>
        <name val="Arial"/>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scheme val="none"/>
      </font>
      <fill>
        <patternFill patternType="none">
          <fgColor indexed="64"/>
          <bgColor indexed="65"/>
        </patternFill>
      </fill>
    </dxf>
    <dxf>
      <font>
        <strike val="0"/>
        <outline val="0"/>
        <shadow val="0"/>
        <u val="none"/>
        <vertAlign val="baseline"/>
        <sz val="10"/>
        <color auto="1"/>
        <name val="Arial"/>
        <scheme val="none"/>
      </font>
      <fill>
        <patternFill patternType="none">
          <fgColor indexed="64"/>
          <bgColor auto="1"/>
        </patternFill>
      </fill>
    </dxf>
    <dxf>
      <font>
        <b val="0"/>
        <i val="0"/>
        <strike val="0"/>
        <condense val="0"/>
        <extend val="0"/>
        <outline val="0"/>
        <shadow val="0"/>
        <u val="none"/>
        <vertAlign val="baseline"/>
        <sz val="10"/>
        <color auto="1"/>
        <name val="Arial"/>
        <scheme val="none"/>
      </font>
      <numFmt numFmtId="22" formatCode="mmm\-yy"/>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scheme val="none"/>
      </font>
      <numFmt numFmtId="19" formatCode="dd/mm/yyyy"/>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scheme val="none"/>
      </font>
      <numFmt numFmtId="19" formatCode="dd/mm/yyyy"/>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scheme val="none"/>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center"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left" vertical="center"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164" formatCode="&quot;€&quot;\ #,##0.00;&quot;€&quot;\ \-#,##0.00"/>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family val="2"/>
        <scheme val="none"/>
      </font>
      <numFmt numFmtId="2" formatCode="0.00"/>
      <alignment horizontal="center" vertical="center"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auto="1"/>
        <name val="Arial"/>
        <scheme val="none"/>
      </font>
      <numFmt numFmtId="19" formatCode="dd/mm/yyyy"/>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19" formatCode="dd/mm/yyyy"/>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19" formatCode="dd/mm/yyyy"/>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19" formatCode="dd/mm/yyyy"/>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0"/>
        <color auto="1"/>
        <name val="Arial"/>
        <scheme val="none"/>
      </font>
      <numFmt numFmtId="0" formatCode="General"/>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style="thin">
          <color auto="1"/>
        </left>
        <right style="thin">
          <color indexed="64"/>
        </right>
        <top style="thin">
          <color auto="1"/>
        </top>
        <bottom/>
      </border>
    </dxf>
    <dxf>
      <font>
        <b val="0"/>
        <i val="0"/>
        <strike val="0"/>
        <condense val="0"/>
        <extend val="0"/>
        <outline val="0"/>
        <shadow val="0"/>
        <u val="none"/>
        <vertAlign val="baseline"/>
        <sz val="10"/>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30" formatCode="@"/>
      <fill>
        <patternFill patternType="none">
          <fgColor indexed="64"/>
          <bgColor indexed="65"/>
        </patternFill>
      </fill>
      <alignment horizontal="left" vertical="center"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auto="1"/>
        <name val="Arial"/>
        <scheme val="none"/>
      </font>
      <numFmt numFmtId="30" formatCode="@"/>
      <fill>
        <patternFill patternType="none">
          <fgColor indexed="64"/>
          <bgColor indexed="65"/>
        </patternFill>
      </fill>
      <alignment horizontal="left" vertical="center"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numFmt numFmtId="30" formatCode="@"/>
      <fill>
        <patternFill patternType="none">
          <fgColor indexed="64"/>
          <bgColor indexed="65"/>
        </patternFill>
      </fill>
      <alignment horizontal="left" vertical="center" textRotation="0" wrapText="1" indent="0" justifyLastLine="0" shrinkToFit="0" readingOrder="0"/>
      <border diagonalUp="0" diagonalDown="0">
        <left style="thin">
          <color auto="1"/>
        </left>
        <right style="thin">
          <color auto="1"/>
        </right>
        <top style="thin">
          <color auto="1"/>
        </top>
        <bottom/>
        <vertical/>
        <horizontal/>
      </border>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center" textRotation="0" wrapText="1" indent="0" justifyLastLine="0" shrinkToFit="0" readingOrder="0"/>
      <border diagonalUp="0" diagonalDown="0">
        <left style="thin">
          <color auto="1"/>
        </left>
        <right style="thin">
          <color auto="1"/>
        </right>
        <top style="thin">
          <color auto="1"/>
        </top>
        <bottom/>
      </border>
    </dxf>
    <dxf>
      <font>
        <b val="0"/>
        <i val="0"/>
        <strike val="0"/>
        <condense val="0"/>
        <extend val="0"/>
        <outline val="0"/>
        <shadow val="0"/>
        <u val="none"/>
        <vertAlign val="baseline"/>
        <sz val="10"/>
        <color auto="1"/>
        <name val="Arial"/>
        <scheme val="none"/>
      </font>
      <numFmt numFmtId="30" formatCode="@"/>
      <fill>
        <patternFill patternType="none">
          <fgColor indexed="64"/>
          <bgColor indexed="65"/>
        </patternFill>
      </fill>
      <alignment horizontal="left" vertical="center"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30" formatCode="@"/>
      <fill>
        <patternFill patternType="none">
          <fgColor indexed="64"/>
          <bgColor indexed="65"/>
        </patternFill>
      </fill>
      <alignment horizontal="left" vertical="center"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auto="1"/>
        <name val="Arial"/>
        <scheme val="none"/>
      </font>
      <numFmt numFmtId="30" formatCode="@"/>
      <fill>
        <patternFill patternType="none">
          <fgColor indexed="64"/>
          <bgColor indexed="65"/>
        </patternFill>
      </fill>
      <alignment horizontal="left" vertical="center"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auto="1"/>
        <name val="Arial"/>
        <scheme val="none"/>
      </font>
      <numFmt numFmtId="30" formatCode="@"/>
      <fill>
        <patternFill patternType="none">
          <fgColor indexed="64"/>
          <bgColor indexed="65"/>
        </patternFill>
      </fill>
      <alignment horizontal="left" vertical="center"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30" formatCode="@"/>
      <fill>
        <patternFill patternType="none">
          <fgColor indexed="64"/>
          <bgColor indexed="65"/>
        </patternFill>
      </fill>
      <alignment horizontal="left" vertical="center"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30" formatCode="@"/>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auto="1"/>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theme="0"/>
        </top>
        <bottom style="medium">
          <color indexed="64"/>
        </bottom>
      </border>
    </dxf>
    <dxf>
      <font>
        <strike val="0"/>
        <outline val="0"/>
        <shadow val="0"/>
        <u val="none"/>
        <vertAlign val="baseline"/>
        <sz val="10"/>
        <color auto="1"/>
        <name val="Arial"/>
        <scheme val="none"/>
      </font>
      <fill>
        <patternFill patternType="none">
          <fgColor indexed="64"/>
          <bgColor auto="1"/>
        </patternFill>
      </fill>
    </dxf>
    <dxf>
      <border outline="0">
        <bottom style="thin">
          <color theme="0"/>
        </bottom>
      </border>
    </dxf>
    <dxf>
      <font>
        <strike val="0"/>
        <outline val="0"/>
        <shadow val="0"/>
        <u val="none"/>
        <vertAlign val="baseline"/>
        <sz val="10"/>
        <name val="Arial"/>
        <scheme val="none"/>
      </font>
    </dxf>
    <dxf>
      <fill>
        <patternFill>
          <bgColor rgb="FFFFC000"/>
        </patternFill>
      </fill>
    </dxf>
    <dxf>
      <fill>
        <patternFill>
          <bgColor theme="4" tint="0.79995117038483843"/>
        </patternFill>
      </fill>
    </dxf>
    <dxf>
      <fill>
        <patternFill patternType="solid">
          <fgColor theme="4" tint="0.79995117038483843"/>
          <bgColor theme="4" tint="0.79995117038483843"/>
        </patternFill>
      </fill>
      <border>
        <top/>
      </border>
    </dxf>
    <dxf>
      <fill>
        <patternFill patternType="solid">
          <fgColor theme="4" tint="0.79995117038483843"/>
          <bgColor theme="4" tint="0.79995117038483843"/>
        </patternFill>
      </fill>
      <border>
        <bottom/>
      </border>
    </dxf>
  </dxfs>
  <tableStyles count="1" defaultTableStyle="TableStyleMedium2" defaultPivotStyle="PivotStyleLight16">
    <tableStyle name="Flattened Pivot Style" table="0" count="3" xr9:uid="{00000000-0011-0000-FFFF-FFFF00000000}">
      <tableStyleElement type="headerRow" dxfId="413"/>
      <tableStyleElement type="totalRow" dxfId="412"/>
      <tableStyleElement type="secondRowStripe" dxfId="411"/>
    </tableStyle>
  </tableStyles>
  <colors>
    <mruColors>
      <color rgb="FFFF6A00"/>
      <color rgb="FF991F3D"/>
      <color rgb="FFDA9694"/>
      <color rgb="FFCC8800"/>
      <color rgb="FFA1C4D0"/>
      <color rgb="FFFFD9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styles" Target="styles.xml"/><Relationship Id="rId26" Type="http://schemas.openxmlformats.org/officeDocument/2006/relationships/customXml" Target="../customXml/item4.xml"/><Relationship Id="rId39" Type="http://schemas.openxmlformats.org/officeDocument/2006/relationships/customXml" Target="../customXml/item17.xml"/><Relationship Id="rId21" Type="http://schemas.microsoft.com/office/2007/relationships/customDataProps" Target="customData/itemProps1.xml"/><Relationship Id="rId34" Type="http://schemas.openxmlformats.org/officeDocument/2006/relationships/customXml" Target="../customXml/item12.xml"/><Relationship Id="rId42" Type="http://schemas.openxmlformats.org/officeDocument/2006/relationships/customXml" Target="../customXml/item20.xml"/><Relationship Id="rId47" Type="http://schemas.openxmlformats.org/officeDocument/2006/relationships/customXml" Target="../customXml/item25.xml"/><Relationship Id="rId50" Type="http://schemas.openxmlformats.org/officeDocument/2006/relationships/customXml" Target="../customXml/item28.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theme" Target="theme/theme1.xml"/><Relationship Id="rId29" Type="http://schemas.openxmlformats.org/officeDocument/2006/relationships/customXml" Target="../customXml/item7.xml"/><Relationship Id="rId11" Type="http://schemas.openxmlformats.org/officeDocument/2006/relationships/worksheet" Target="worksheets/sheet11.xml"/><Relationship Id="rId24" Type="http://schemas.openxmlformats.org/officeDocument/2006/relationships/customXml" Target="../customXml/item2.xml"/><Relationship Id="rId32" Type="http://schemas.openxmlformats.org/officeDocument/2006/relationships/customXml" Target="../customXml/item10.xml"/><Relationship Id="rId37" Type="http://schemas.openxmlformats.org/officeDocument/2006/relationships/customXml" Target="../customXml/item15.xml"/><Relationship Id="rId40" Type="http://schemas.openxmlformats.org/officeDocument/2006/relationships/customXml" Target="../customXml/item18.xml"/><Relationship Id="rId45" Type="http://schemas.openxmlformats.org/officeDocument/2006/relationships/customXml" Target="../customXml/item23.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sharedStrings" Target="sharedStrings.xml"/><Relationship Id="rId31" Type="http://schemas.openxmlformats.org/officeDocument/2006/relationships/customXml" Target="../customXml/item9.xml"/><Relationship Id="rId44" Type="http://schemas.openxmlformats.org/officeDocument/2006/relationships/customXml" Target="../customXml/item22.xml"/><Relationship Id="rId52" Type="http://schemas.openxmlformats.org/officeDocument/2006/relationships/customXml" Target="../customXml/item3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 Id="rId27" Type="http://schemas.openxmlformats.org/officeDocument/2006/relationships/customXml" Target="../customXml/item5.xml"/><Relationship Id="rId30" Type="http://schemas.openxmlformats.org/officeDocument/2006/relationships/customXml" Target="../customXml/item8.xml"/><Relationship Id="rId35" Type="http://schemas.openxmlformats.org/officeDocument/2006/relationships/customXml" Target="../customXml/item13.xml"/><Relationship Id="rId43" Type="http://schemas.openxmlformats.org/officeDocument/2006/relationships/customXml" Target="../customXml/item21.xml"/><Relationship Id="rId48" Type="http://schemas.openxmlformats.org/officeDocument/2006/relationships/customXml" Target="../customXml/item26.xml"/><Relationship Id="rId8" Type="http://schemas.openxmlformats.org/officeDocument/2006/relationships/worksheet" Target="worksheets/sheet8.xml"/><Relationship Id="rId51" Type="http://schemas.openxmlformats.org/officeDocument/2006/relationships/customXml" Target="../customXml/item29.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connections" Target="connections.xml"/><Relationship Id="rId25" Type="http://schemas.openxmlformats.org/officeDocument/2006/relationships/customXml" Target="../customXml/item3.xml"/><Relationship Id="rId33" Type="http://schemas.openxmlformats.org/officeDocument/2006/relationships/customXml" Target="../customXml/item11.xml"/><Relationship Id="rId38" Type="http://schemas.openxmlformats.org/officeDocument/2006/relationships/customXml" Target="../customXml/item16.xml"/><Relationship Id="rId46" Type="http://schemas.openxmlformats.org/officeDocument/2006/relationships/customXml" Target="../customXml/item24.xml"/><Relationship Id="rId20" Type="http://schemas.openxmlformats.org/officeDocument/2006/relationships/sheetMetadata" Target="metadata.xml"/><Relationship Id="rId41"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1.xml"/><Relationship Id="rId23" Type="http://schemas.openxmlformats.org/officeDocument/2006/relationships/customXml" Target="../customXml/item1.xml"/><Relationship Id="rId28" Type="http://schemas.openxmlformats.org/officeDocument/2006/relationships/customXml" Target="../customXml/item6.xml"/><Relationship Id="rId36" Type="http://schemas.openxmlformats.org/officeDocument/2006/relationships/customXml" Target="../customXml/item14.xml"/><Relationship Id="rId49" Type="http://schemas.openxmlformats.org/officeDocument/2006/relationships/customXml" Target="../customXml/item2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Evolution des Shares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percentStacked"/>
        <c:varyColors val="0"/>
        <c:ser>
          <c:idx val="0"/>
          <c:order val="0"/>
          <c:tx>
            <c:strRef>
              <c:f>Dashboards!$B$3</c:f>
              <c:strCache>
                <c:ptCount val="1"/>
                <c:pt idx="0">
                  <c:v>TALAN</c:v>
                </c:pt>
              </c:strCache>
            </c:strRef>
          </c:tx>
          <c:spPr>
            <a:solidFill>
              <a:schemeClr val="accent1"/>
            </a:solidFill>
            <a:ln>
              <a:noFill/>
            </a:ln>
            <a:effectLst/>
          </c:spPr>
          <c:invertIfNegative val="0"/>
          <c:cat>
            <c:strRef>
              <c:f>Dashboards!$C$2:$K$2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Dashboards!$C$3:$K$3</c:f>
              <c:numCache>
                <c:formatCode>_("€"* #,##0.00_);_("€"* \(#,##0.00\);_("€"* "-"??_);_(@_)</c:formatCode>
                <c:ptCount val="9"/>
                <c:pt idx="0">
                  <c:v>24829.09</c:v>
                </c:pt>
                <c:pt idx="1">
                  <c:v>56800.165000000001</c:v>
                </c:pt>
                <c:pt idx="2">
                  <c:v>64201.875</c:v>
                </c:pt>
                <c:pt idx="3">
                  <c:v>94391.779999999984</c:v>
                </c:pt>
                <c:pt idx="4">
                  <c:v>176372.17499999999</c:v>
                </c:pt>
                <c:pt idx="5">
                  <c:v>230302.78999999998</c:v>
                </c:pt>
                <c:pt idx="6">
                  <c:v>230847.78000000003</c:v>
                </c:pt>
                <c:pt idx="7">
                  <c:v>288675.63500000007</c:v>
                </c:pt>
                <c:pt idx="8">
                  <c:v>347667.17</c:v>
                </c:pt>
              </c:numCache>
            </c:numRef>
          </c:val>
          <c:extLst>
            <c:ext xmlns:c16="http://schemas.microsoft.com/office/drawing/2014/chart" uri="{C3380CC4-5D6E-409C-BE32-E72D297353CC}">
              <c16:uniqueId val="{00000000-5156-49D0-BD4F-6C34E92F5989}"/>
            </c:ext>
          </c:extLst>
        </c:ser>
        <c:ser>
          <c:idx val="1"/>
          <c:order val="1"/>
          <c:tx>
            <c:strRef>
              <c:f>Dashboards!#REF!</c:f>
              <c:strCache>
                <c:ptCount val="1"/>
                <c:pt idx="0">
                  <c:v>#REF!</c:v>
                </c:pt>
              </c:strCache>
            </c:strRef>
          </c:tx>
          <c:spPr>
            <a:solidFill>
              <a:schemeClr val="accent2"/>
            </a:solidFill>
            <a:ln>
              <a:noFill/>
            </a:ln>
            <a:effectLst/>
          </c:spPr>
          <c:invertIfNegative val="0"/>
          <c:cat>
            <c:strRef>
              <c:f>Dashboards!$C$2:$K$2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Dashboards!#REF!</c:f>
              <c:numCache>
                <c:formatCode>General</c:formatCode>
                <c:ptCount val="1"/>
                <c:pt idx="0">
                  <c:v>1</c:v>
                </c:pt>
              </c:numCache>
            </c:numRef>
          </c:val>
          <c:extLst>
            <c:ext xmlns:c16="http://schemas.microsoft.com/office/drawing/2014/chart" uri="{C3380CC4-5D6E-409C-BE32-E72D297353CC}">
              <c16:uniqueId val="{00000001-5156-49D0-BD4F-6C34E92F5989}"/>
            </c:ext>
          </c:extLst>
        </c:ser>
        <c:ser>
          <c:idx val="2"/>
          <c:order val="2"/>
          <c:tx>
            <c:strRef>
              <c:f>Dashboards!$B$4</c:f>
              <c:strCache>
                <c:ptCount val="1"/>
                <c:pt idx="0">
                  <c:v>CGI LUX + BE</c:v>
                </c:pt>
              </c:strCache>
            </c:strRef>
          </c:tx>
          <c:spPr>
            <a:solidFill>
              <a:schemeClr val="accent3"/>
            </a:solidFill>
            <a:ln>
              <a:noFill/>
            </a:ln>
            <a:effectLst/>
          </c:spPr>
          <c:invertIfNegative val="0"/>
          <c:cat>
            <c:strRef>
              <c:f>Dashboards!$C$2:$K$2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Dashboards!$C$4:$K$4</c:f>
              <c:numCache>
                <c:formatCode>_("€"* #,##0.00_);_("€"* \(#,##0.00\);_("€"* "-"??_);_(@_)</c:formatCode>
                <c:ptCount val="9"/>
                <c:pt idx="0">
                  <c:v>141720.06999999998</c:v>
                </c:pt>
                <c:pt idx="1">
                  <c:v>543617.625</c:v>
                </c:pt>
                <c:pt idx="2">
                  <c:v>486632.13500000001</c:v>
                </c:pt>
                <c:pt idx="3">
                  <c:v>465866.04499999993</c:v>
                </c:pt>
                <c:pt idx="4">
                  <c:v>512888.60499999981</c:v>
                </c:pt>
                <c:pt idx="5">
                  <c:v>533196.27499999991</c:v>
                </c:pt>
                <c:pt idx="6">
                  <c:v>519333.43999999989</c:v>
                </c:pt>
                <c:pt idx="7">
                  <c:v>490798.63500000007</c:v>
                </c:pt>
                <c:pt idx="8">
                  <c:v>510935.87499999994</c:v>
                </c:pt>
              </c:numCache>
            </c:numRef>
          </c:val>
          <c:extLst>
            <c:ext xmlns:c16="http://schemas.microsoft.com/office/drawing/2014/chart" uri="{C3380CC4-5D6E-409C-BE32-E72D297353CC}">
              <c16:uniqueId val="{00000002-5156-49D0-BD4F-6C34E92F5989}"/>
            </c:ext>
          </c:extLst>
        </c:ser>
        <c:ser>
          <c:idx val="3"/>
          <c:order val="3"/>
          <c:tx>
            <c:strRef>
              <c:f>Dashboards!$B$5</c:f>
              <c:strCache>
                <c:ptCount val="1"/>
                <c:pt idx="0">
                  <c:v>EDDA</c:v>
                </c:pt>
              </c:strCache>
            </c:strRef>
          </c:tx>
          <c:spPr>
            <a:solidFill>
              <a:schemeClr val="accent4"/>
            </a:solidFill>
            <a:ln>
              <a:noFill/>
            </a:ln>
            <a:effectLst/>
          </c:spPr>
          <c:invertIfNegative val="0"/>
          <c:cat>
            <c:strRef>
              <c:f>Dashboards!$C$2:$K$2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Dashboards!$C$5:$K$5</c:f>
              <c:numCache>
                <c:formatCode>_("€"* #,##0.00_);_("€"* \(#,##0.00\);_("€"* "-"??_);_(@_)</c:formatCode>
                <c:ptCount val="9"/>
                <c:pt idx="0">
                  <c:v>195451.70499999996</c:v>
                </c:pt>
                <c:pt idx="1">
                  <c:v>457486.26</c:v>
                </c:pt>
                <c:pt idx="2">
                  <c:v>396557.88999999984</c:v>
                </c:pt>
                <c:pt idx="3">
                  <c:v>474481.87999999995</c:v>
                </c:pt>
                <c:pt idx="4">
                  <c:v>519556.16000000009</c:v>
                </c:pt>
                <c:pt idx="5">
                  <c:v>583642.04500000027</c:v>
                </c:pt>
                <c:pt idx="6">
                  <c:v>581230.55499999993</c:v>
                </c:pt>
                <c:pt idx="7">
                  <c:v>594051.49500000011</c:v>
                </c:pt>
                <c:pt idx="8">
                  <c:v>626915.13499999989</c:v>
                </c:pt>
              </c:numCache>
            </c:numRef>
          </c:val>
          <c:extLst>
            <c:ext xmlns:c16="http://schemas.microsoft.com/office/drawing/2014/chart" uri="{C3380CC4-5D6E-409C-BE32-E72D297353CC}">
              <c16:uniqueId val="{00000003-5156-49D0-BD4F-6C34E92F5989}"/>
            </c:ext>
          </c:extLst>
        </c:ser>
        <c:ser>
          <c:idx val="4"/>
          <c:order val="4"/>
          <c:tx>
            <c:strRef>
              <c:f>Dashboards!$B$6</c:f>
              <c:strCache>
                <c:ptCount val="1"/>
                <c:pt idx="0">
                  <c:v>TREMEND</c:v>
                </c:pt>
              </c:strCache>
            </c:strRef>
          </c:tx>
          <c:spPr>
            <a:solidFill>
              <a:schemeClr val="accent5"/>
            </a:solidFill>
            <a:ln>
              <a:noFill/>
            </a:ln>
            <a:effectLst/>
          </c:spPr>
          <c:invertIfNegative val="0"/>
          <c:cat>
            <c:strRef>
              <c:f>Dashboards!$C$2:$K$2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Dashboards!$C$6:$K$6</c:f>
              <c:numCache>
                <c:formatCode>_("€"* #,##0.00_);_("€"* \(#,##0.00\);_("€"* "-"??_);_(@_)</c:formatCode>
                <c:ptCount val="9"/>
                <c:pt idx="0">
                  <c:v>0</c:v>
                </c:pt>
                <c:pt idx="1">
                  <c:v>84954.43</c:v>
                </c:pt>
                <c:pt idx="2">
                  <c:v>107505.995</c:v>
                </c:pt>
                <c:pt idx="3">
                  <c:v>135584.75999999998</c:v>
                </c:pt>
                <c:pt idx="4">
                  <c:v>151548.90500000003</c:v>
                </c:pt>
                <c:pt idx="5">
                  <c:v>167747.41500000004</c:v>
                </c:pt>
                <c:pt idx="6">
                  <c:v>175706.25</c:v>
                </c:pt>
                <c:pt idx="7">
                  <c:v>187403.50499999998</c:v>
                </c:pt>
                <c:pt idx="8">
                  <c:v>206999.42</c:v>
                </c:pt>
              </c:numCache>
            </c:numRef>
          </c:val>
          <c:extLst>
            <c:ext xmlns:c16="http://schemas.microsoft.com/office/drawing/2014/chart" uri="{C3380CC4-5D6E-409C-BE32-E72D297353CC}">
              <c16:uniqueId val="{00000004-5156-49D0-BD4F-6C34E92F5989}"/>
            </c:ext>
          </c:extLst>
        </c:ser>
        <c:ser>
          <c:idx val="5"/>
          <c:order val="5"/>
          <c:tx>
            <c:strRef>
              <c:f>Dashboards!$B$7</c:f>
              <c:strCache>
                <c:ptCount val="1"/>
                <c:pt idx="0">
                  <c:v>Wavestone</c:v>
                </c:pt>
              </c:strCache>
            </c:strRef>
          </c:tx>
          <c:spPr>
            <a:solidFill>
              <a:schemeClr val="accent6"/>
            </a:solidFill>
            <a:ln>
              <a:noFill/>
            </a:ln>
            <a:effectLst/>
          </c:spPr>
          <c:invertIfNegative val="0"/>
          <c:cat>
            <c:strRef>
              <c:f>Dashboards!$C$2:$K$2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Dashboards!$C$7:$K$7</c:f>
              <c:numCache>
                <c:formatCode>_("€"* #,##0.00_);_("€"* \(#,##0.00\);_("€"* "-"??_);_(@_)</c:formatCode>
                <c:ptCount val="9"/>
                <c:pt idx="0">
                  <c:v>27759.53</c:v>
                </c:pt>
                <c:pt idx="1">
                  <c:v>34497.279999999999</c:v>
                </c:pt>
                <c:pt idx="2">
                  <c:v>42029.039999999994</c:v>
                </c:pt>
                <c:pt idx="3">
                  <c:v>33833.94</c:v>
                </c:pt>
                <c:pt idx="4">
                  <c:v>29896.674999999999</c:v>
                </c:pt>
                <c:pt idx="5">
                  <c:v>34028.25</c:v>
                </c:pt>
                <c:pt idx="6">
                  <c:v>29702.625</c:v>
                </c:pt>
                <c:pt idx="7">
                  <c:v>31144.5</c:v>
                </c:pt>
                <c:pt idx="8">
                  <c:v>24919.870000000003</c:v>
                </c:pt>
              </c:numCache>
            </c:numRef>
          </c:val>
          <c:extLst>
            <c:ext xmlns:c16="http://schemas.microsoft.com/office/drawing/2014/chart" uri="{C3380CC4-5D6E-409C-BE32-E72D297353CC}">
              <c16:uniqueId val="{00000005-5156-49D0-BD4F-6C34E92F5989}"/>
            </c:ext>
          </c:extLst>
        </c:ser>
        <c:dLbls>
          <c:showLegendKey val="0"/>
          <c:showVal val="0"/>
          <c:showCatName val="0"/>
          <c:showSerName val="0"/>
          <c:showPercent val="0"/>
          <c:showBubbleSize val="0"/>
        </c:dLbls>
        <c:gapWidth val="150"/>
        <c:overlap val="100"/>
        <c:axId val="2119595647"/>
        <c:axId val="2119596607"/>
      </c:barChart>
      <c:catAx>
        <c:axId val="21195956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119596607"/>
        <c:crosses val="autoZero"/>
        <c:auto val="1"/>
        <c:lblAlgn val="ctr"/>
        <c:lblOffset val="100"/>
        <c:noMultiLvlLbl val="0"/>
      </c:catAx>
      <c:valAx>
        <c:axId val="2119596607"/>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119595647"/>
        <c:crosses val="autoZero"/>
        <c:crossBetween val="between"/>
      </c:val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Répartition globale des Shares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4A8-4D61-9B2F-4F0D75AF1348}"/>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1-E439-462E-899D-A0D3235D5067}"/>
              </c:ext>
            </c:extLst>
          </c:dPt>
          <c:dPt>
            <c:idx val="2"/>
            <c:bubble3D val="0"/>
            <c:spPr>
              <a:solidFill>
                <a:schemeClr val="accent4"/>
              </a:solidFill>
              <a:ln w="19050">
                <a:solidFill>
                  <a:schemeClr val="lt1"/>
                </a:solidFill>
              </a:ln>
              <a:effectLst/>
            </c:spPr>
            <c:extLst>
              <c:ext xmlns:c16="http://schemas.microsoft.com/office/drawing/2014/chart" uri="{C3380CC4-5D6E-409C-BE32-E72D297353CC}">
                <c16:uniqueId val="{00000002-E439-462E-899D-A0D3235D5067}"/>
              </c:ext>
            </c:extLst>
          </c:dPt>
          <c:dPt>
            <c:idx val="3"/>
            <c:bubble3D val="0"/>
            <c:spPr>
              <a:solidFill>
                <a:schemeClr val="accent5"/>
              </a:solidFill>
              <a:ln w="19050">
                <a:solidFill>
                  <a:schemeClr val="lt1"/>
                </a:solidFill>
              </a:ln>
              <a:effectLst/>
            </c:spPr>
            <c:extLst>
              <c:ext xmlns:c16="http://schemas.microsoft.com/office/drawing/2014/chart" uri="{C3380CC4-5D6E-409C-BE32-E72D297353CC}">
                <c16:uniqueId val="{00000003-E439-462E-899D-A0D3235D5067}"/>
              </c:ext>
            </c:extLst>
          </c:dPt>
          <c:dPt>
            <c:idx val="4"/>
            <c:bubble3D val="0"/>
            <c:spPr>
              <a:solidFill>
                <a:schemeClr val="accent6"/>
              </a:solidFill>
              <a:ln w="19050">
                <a:solidFill>
                  <a:schemeClr val="lt1"/>
                </a:solidFill>
              </a:ln>
              <a:effectLst/>
            </c:spPr>
            <c:extLst>
              <c:ext xmlns:c16="http://schemas.microsoft.com/office/drawing/2014/chart" uri="{C3380CC4-5D6E-409C-BE32-E72D297353CC}">
                <c16:uniqueId val="{00000004-E439-462E-899D-A0D3235D506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Dashboards!$B$3:$B$7</c:f>
              <c:strCache>
                <c:ptCount val="5"/>
                <c:pt idx="0">
                  <c:v>TALAN</c:v>
                </c:pt>
                <c:pt idx="1">
                  <c:v>CGI LUX + BE</c:v>
                </c:pt>
                <c:pt idx="2">
                  <c:v>EDDA</c:v>
                </c:pt>
                <c:pt idx="3">
                  <c:v>TREMEND</c:v>
                </c:pt>
                <c:pt idx="4">
                  <c:v>Wavestone</c:v>
                </c:pt>
              </c:strCache>
            </c:strRef>
          </c:cat>
          <c:val>
            <c:numRef>
              <c:f>Dashboards!$P$3:$P$7</c:f>
              <c:numCache>
                <c:formatCode>_("€"* #,##0.00_);_("€"* \(#,##0.00\);_("€"* "-"??_);_(@_)</c:formatCode>
                <c:ptCount val="5"/>
                <c:pt idx="0">
                  <c:v>1915047.9550000001</c:v>
                </c:pt>
                <c:pt idx="1">
                  <c:v>5113196.1350000007</c:v>
                </c:pt>
                <c:pt idx="2">
                  <c:v>5312495.8050000006</c:v>
                </c:pt>
                <c:pt idx="3">
                  <c:v>1422979.66</c:v>
                </c:pt>
                <c:pt idx="4">
                  <c:v>331819.14</c:v>
                </c:pt>
              </c:numCache>
            </c:numRef>
          </c:val>
          <c:extLst>
            <c:ext xmlns:c16="http://schemas.microsoft.com/office/drawing/2014/chart" uri="{C3380CC4-5D6E-409C-BE32-E72D297353CC}">
              <c16:uniqueId val="{00000000-E439-462E-899D-A0D3235D5067}"/>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Répartition des revenus Imagin'IT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ser>
          <c:idx val="0"/>
          <c:order val="0"/>
          <c:tx>
            <c:strRef>
              <c:f>Dashboards!$B$3</c:f>
              <c:strCache>
                <c:ptCount val="1"/>
                <c:pt idx="0">
                  <c:v>TALAN</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og"/>
            <c:dispRSqr val="0"/>
            <c:dispEq val="0"/>
          </c:trendline>
          <c:cat>
            <c:strRef>
              <c:f>Dashboards!$C$2:$K$2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Dashboards!$C$3:$K$3</c:f>
              <c:numCache>
                <c:formatCode>_("€"* #,##0.00_);_("€"* \(#,##0.00\);_("€"* "-"??_);_(@_)</c:formatCode>
                <c:ptCount val="9"/>
                <c:pt idx="0">
                  <c:v>24829.09</c:v>
                </c:pt>
                <c:pt idx="1">
                  <c:v>56800.165000000001</c:v>
                </c:pt>
                <c:pt idx="2">
                  <c:v>64201.875</c:v>
                </c:pt>
                <c:pt idx="3">
                  <c:v>94391.779999999984</c:v>
                </c:pt>
                <c:pt idx="4">
                  <c:v>176372.17499999999</c:v>
                </c:pt>
                <c:pt idx="5">
                  <c:v>230302.78999999998</c:v>
                </c:pt>
                <c:pt idx="6">
                  <c:v>230847.78000000003</c:v>
                </c:pt>
                <c:pt idx="7">
                  <c:v>288675.63500000007</c:v>
                </c:pt>
                <c:pt idx="8">
                  <c:v>347667.17</c:v>
                </c:pt>
              </c:numCache>
            </c:numRef>
          </c:val>
          <c:smooth val="0"/>
          <c:extLst>
            <c:ext xmlns:c16="http://schemas.microsoft.com/office/drawing/2014/chart" uri="{C3380CC4-5D6E-409C-BE32-E72D297353CC}">
              <c16:uniqueId val="{00000000-4079-4C15-8F47-C5FC3D32C62E}"/>
            </c:ext>
          </c:extLst>
        </c:ser>
        <c:ser>
          <c:idx val="1"/>
          <c:order val="1"/>
          <c:tx>
            <c:strRef>
              <c:f>Dashboards!$B$4</c:f>
              <c:strCache>
                <c:ptCount val="1"/>
                <c:pt idx="0">
                  <c:v>CGI LUX + BE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ysDot"/>
              </a:ln>
              <a:effectLst/>
            </c:spPr>
            <c:trendlineType val="log"/>
            <c:dispRSqr val="0"/>
            <c:dispEq val="0"/>
          </c:trendline>
          <c:cat>
            <c:strRef>
              <c:f>Dashboards!$C$2:$K$2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Dashboards!$C$4:$K$4</c:f>
              <c:numCache>
                <c:formatCode>_("€"* #,##0.00_);_("€"* \(#,##0.00\);_("€"* "-"??_);_(@_)</c:formatCode>
                <c:ptCount val="9"/>
                <c:pt idx="0">
                  <c:v>141720.06999999998</c:v>
                </c:pt>
                <c:pt idx="1">
                  <c:v>543617.625</c:v>
                </c:pt>
                <c:pt idx="2">
                  <c:v>486632.13500000001</c:v>
                </c:pt>
                <c:pt idx="3">
                  <c:v>465866.04499999993</c:v>
                </c:pt>
                <c:pt idx="4">
                  <c:v>512888.60499999981</c:v>
                </c:pt>
                <c:pt idx="5">
                  <c:v>533196.27499999991</c:v>
                </c:pt>
                <c:pt idx="6">
                  <c:v>519333.43999999989</c:v>
                </c:pt>
                <c:pt idx="7">
                  <c:v>490798.63500000007</c:v>
                </c:pt>
                <c:pt idx="8">
                  <c:v>510935.87499999994</c:v>
                </c:pt>
              </c:numCache>
            </c:numRef>
          </c:val>
          <c:smooth val="0"/>
          <c:extLst>
            <c:ext xmlns:c16="http://schemas.microsoft.com/office/drawing/2014/chart" uri="{C3380CC4-5D6E-409C-BE32-E72D297353CC}">
              <c16:uniqueId val="{00000001-4079-4C15-8F47-C5FC3D32C62E}"/>
            </c:ext>
          </c:extLst>
        </c:ser>
        <c:ser>
          <c:idx val="2"/>
          <c:order val="2"/>
          <c:tx>
            <c:strRef>
              <c:f>Dashboards!$B$5</c:f>
              <c:strCache>
                <c:ptCount val="1"/>
                <c:pt idx="0">
                  <c:v>EDDA</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log"/>
            <c:dispRSqr val="0"/>
            <c:dispEq val="0"/>
          </c:trendline>
          <c:cat>
            <c:strRef>
              <c:f>Dashboards!$C$2:$K$2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Dashboards!$C$5:$K$5</c:f>
              <c:numCache>
                <c:formatCode>_("€"* #,##0.00_);_("€"* \(#,##0.00\);_("€"* "-"??_);_(@_)</c:formatCode>
                <c:ptCount val="9"/>
                <c:pt idx="0">
                  <c:v>195451.70499999996</c:v>
                </c:pt>
                <c:pt idx="1">
                  <c:v>457486.26</c:v>
                </c:pt>
                <c:pt idx="2">
                  <c:v>396557.88999999984</c:v>
                </c:pt>
                <c:pt idx="3">
                  <c:v>474481.87999999995</c:v>
                </c:pt>
                <c:pt idx="4">
                  <c:v>519556.16000000009</c:v>
                </c:pt>
                <c:pt idx="5">
                  <c:v>583642.04500000027</c:v>
                </c:pt>
                <c:pt idx="6">
                  <c:v>581230.55499999993</c:v>
                </c:pt>
                <c:pt idx="7">
                  <c:v>594051.49500000011</c:v>
                </c:pt>
                <c:pt idx="8">
                  <c:v>626915.13499999989</c:v>
                </c:pt>
              </c:numCache>
            </c:numRef>
          </c:val>
          <c:smooth val="0"/>
          <c:extLst>
            <c:ext xmlns:c16="http://schemas.microsoft.com/office/drawing/2014/chart" uri="{C3380CC4-5D6E-409C-BE32-E72D297353CC}">
              <c16:uniqueId val="{00000002-4079-4C15-8F47-C5FC3D32C62E}"/>
            </c:ext>
          </c:extLst>
        </c:ser>
        <c:ser>
          <c:idx val="3"/>
          <c:order val="3"/>
          <c:tx>
            <c:strRef>
              <c:f>Dashboards!$B$6</c:f>
              <c:strCache>
                <c:ptCount val="1"/>
                <c:pt idx="0">
                  <c:v>TREMEND</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trendline>
            <c:spPr>
              <a:ln w="19050" cap="rnd">
                <a:solidFill>
                  <a:schemeClr val="accent5"/>
                </a:solidFill>
                <a:prstDash val="sysDot"/>
              </a:ln>
              <a:effectLst/>
            </c:spPr>
            <c:trendlineType val="log"/>
            <c:dispRSqr val="0"/>
            <c:dispEq val="0"/>
          </c:trendline>
          <c:cat>
            <c:strRef>
              <c:f>Dashboards!$C$2:$K$2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Dashboards!$C$6:$K$6</c:f>
              <c:numCache>
                <c:formatCode>_("€"* #,##0.00_);_("€"* \(#,##0.00\);_("€"* "-"??_);_(@_)</c:formatCode>
                <c:ptCount val="9"/>
                <c:pt idx="0">
                  <c:v>0</c:v>
                </c:pt>
                <c:pt idx="1">
                  <c:v>84954.43</c:v>
                </c:pt>
                <c:pt idx="2">
                  <c:v>107505.995</c:v>
                </c:pt>
                <c:pt idx="3">
                  <c:v>135584.75999999998</c:v>
                </c:pt>
                <c:pt idx="4">
                  <c:v>151548.90500000003</c:v>
                </c:pt>
                <c:pt idx="5">
                  <c:v>167747.41500000004</c:v>
                </c:pt>
                <c:pt idx="6">
                  <c:v>175706.25</c:v>
                </c:pt>
                <c:pt idx="7">
                  <c:v>187403.50499999998</c:v>
                </c:pt>
                <c:pt idx="8">
                  <c:v>206999.42</c:v>
                </c:pt>
              </c:numCache>
            </c:numRef>
          </c:val>
          <c:smooth val="0"/>
          <c:extLst>
            <c:ext xmlns:c16="http://schemas.microsoft.com/office/drawing/2014/chart" uri="{C3380CC4-5D6E-409C-BE32-E72D297353CC}">
              <c16:uniqueId val="{00000003-4079-4C15-8F47-C5FC3D32C62E}"/>
            </c:ext>
          </c:extLst>
        </c:ser>
        <c:ser>
          <c:idx val="4"/>
          <c:order val="4"/>
          <c:tx>
            <c:strRef>
              <c:f>Dashboards!$B$7</c:f>
              <c:strCache>
                <c:ptCount val="1"/>
                <c:pt idx="0">
                  <c:v>Wavestone</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trendline>
            <c:spPr>
              <a:ln w="19050" cap="rnd">
                <a:solidFill>
                  <a:schemeClr val="accent6"/>
                </a:solidFill>
                <a:prstDash val="sysDot"/>
              </a:ln>
              <a:effectLst/>
            </c:spPr>
            <c:trendlineType val="log"/>
            <c:dispRSqr val="0"/>
            <c:dispEq val="0"/>
          </c:trendline>
          <c:cat>
            <c:strRef>
              <c:f>Dashboards!$C$2:$K$2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Dashboards!$C$7:$K$7</c:f>
              <c:numCache>
                <c:formatCode>_("€"* #,##0.00_);_("€"* \(#,##0.00\);_("€"* "-"??_);_(@_)</c:formatCode>
                <c:ptCount val="9"/>
                <c:pt idx="0">
                  <c:v>27759.53</c:v>
                </c:pt>
                <c:pt idx="1">
                  <c:v>34497.279999999999</c:v>
                </c:pt>
                <c:pt idx="2">
                  <c:v>42029.039999999994</c:v>
                </c:pt>
                <c:pt idx="3">
                  <c:v>33833.94</c:v>
                </c:pt>
                <c:pt idx="4">
                  <c:v>29896.674999999999</c:v>
                </c:pt>
                <c:pt idx="5">
                  <c:v>34028.25</c:v>
                </c:pt>
                <c:pt idx="6">
                  <c:v>29702.625</c:v>
                </c:pt>
                <c:pt idx="7">
                  <c:v>31144.5</c:v>
                </c:pt>
                <c:pt idx="8">
                  <c:v>24919.870000000003</c:v>
                </c:pt>
              </c:numCache>
            </c:numRef>
          </c:val>
          <c:smooth val="0"/>
          <c:extLst>
            <c:ext xmlns:c16="http://schemas.microsoft.com/office/drawing/2014/chart" uri="{C3380CC4-5D6E-409C-BE32-E72D297353CC}">
              <c16:uniqueId val="{00000004-4079-4C15-8F47-C5FC3D32C62E}"/>
            </c:ext>
          </c:extLst>
        </c:ser>
        <c:dLbls>
          <c:showLegendKey val="0"/>
          <c:showVal val="0"/>
          <c:showCatName val="0"/>
          <c:showSerName val="0"/>
          <c:showPercent val="0"/>
          <c:showBubbleSize val="0"/>
        </c:dLbls>
        <c:marker val="1"/>
        <c:smooth val="0"/>
        <c:axId val="333395728"/>
        <c:axId val="333142480"/>
      </c:lineChart>
      <c:catAx>
        <c:axId val="333395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3142480"/>
        <c:crosses val="autoZero"/>
        <c:auto val="1"/>
        <c:lblAlgn val="ctr"/>
        <c:lblOffset val="100"/>
        <c:noMultiLvlLbl val="0"/>
      </c:catAx>
      <c:valAx>
        <c:axId val="33314248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33957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Evolution des Shares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percentStacked"/>
        <c:varyColors val="0"/>
        <c:ser>
          <c:idx val="0"/>
          <c:order val="0"/>
          <c:tx>
            <c:strRef>
              <c:f>'Dashboards Lot 1'!$B$3</c:f>
              <c:strCache>
                <c:ptCount val="1"/>
                <c:pt idx="0">
                  <c:v>TALAN</c:v>
                </c:pt>
              </c:strCache>
            </c:strRef>
          </c:tx>
          <c:spPr>
            <a:solidFill>
              <a:schemeClr val="accent1"/>
            </a:solidFill>
            <a:ln>
              <a:noFill/>
            </a:ln>
            <a:effectLst/>
          </c:spPr>
          <c:invertIfNegative val="0"/>
          <c:cat>
            <c:strRef>
              <c:f>'Dashboards Lot 1'!$C$2:$K$2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 Lot 1'!$C$3:$K$3</c:f>
              <c:numCache>
                <c:formatCode>_("€"* #,##0.00_);_("€"* \(#,##0.00\);_("€"* "-"??_);_(@_)</c:formatCode>
                <c:ptCount val="9"/>
                <c:pt idx="0">
                  <c:v>16854.900000000001</c:v>
                </c:pt>
                <c:pt idx="1">
                  <c:v>30063.174999999999</c:v>
                </c:pt>
                <c:pt idx="2">
                  <c:v>40748.375000000007</c:v>
                </c:pt>
                <c:pt idx="3">
                  <c:v>52817.45</c:v>
                </c:pt>
                <c:pt idx="4">
                  <c:v>111698.95000000001</c:v>
                </c:pt>
                <c:pt idx="5">
                  <c:v>157226.88000000006</c:v>
                </c:pt>
                <c:pt idx="6">
                  <c:v>156190.48500000002</c:v>
                </c:pt>
                <c:pt idx="7">
                  <c:v>176914.60499999995</c:v>
                </c:pt>
                <c:pt idx="8">
                  <c:v>193271.28999999998</c:v>
                </c:pt>
              </c:numCache>
            </c:numRef>
          </c:val>
          <c:extLst>
            <c:ext xmlns:c16="http://schemas.microsoft.com/office/drawing/2014/chart" uri="{C3380CC4-5D6E-409C-BE32-E72D297353CC}">
              <c16:uniqueId val="{00000000-3F64-44E2-B529-4F0FDAF9CC44}"/>
            </c:ext>
          </c:extLst>
        </c:ser>
        <c:ser>
          <c:idx val="1"/>
          <c:order val="1"/>
          <c:tx>
            <c:strRef>
              <c:f>Dashboards!#REF!</c:f>
              <c:strCache>
                <c:ptCount val="1"/>
                <c:pt idx="0">
                  <c:v>#REF!</c:v>
                </c:pt>
              </c:strCache>
            </c:strRef>
          </c:tx>
          <c:spPr>
            <a:solidFill>
              <a:schemeClr val="accent2"/>
            </a:solidFill>
            <a:ln>
              <a:noFill/>
            </a:ln>
            <a:effectLst/>
          </c:spPr>
          <c:invertIfNegative val="0"/>
          <c:cat>
            <c:strRef>
              <c:f>'Dashboards Lot 1'!$C$2:$K$2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Dashboards!#REF!</c:f>
              <c:numCache>
                <c:formatCode>General</c:formatCode>
                <c:ptCount val="1"/>
                <c:pt idx="0">
                  <c:v>1</c:v>
                </c:pt>
              </c:numCache>
            </c:numRef>
          </c:val>
          <c:extLst>
            <c:ext xmlns:c16="http://schemas.microsoft.com/office/drawing/2014/chart" uri="{C3380CC4-5D6E-409C-BE32-E72D297353CC}">
              <c16:uniqueId val="{00000001-3F64-44E2-B529-4F0FDAF9CC44}"/>
            </c:ext>
          </c:extLst>
        </c:ser>
        <c:ser>
          <c:idx val="2"/>
          <c:order val="2"/>
          <c:tx>
            <c:strRef>
              <c:f>'Dashboards Lot 1'!$B$4</c:f>
              <c:strCache>
                <c:ptCount val="1"/>
                <c:pt idx="0">
                  <c:v>CGI LUX + BE</c:v>
                </c:pt>
              </c:strCache>
            </c:strRef>
          </c:tx>
          <c:spPr>
            <a:solidFill>
              <a:schemeClr val="accent3"/>
            </a:solidFill>
            <a:ln>
              <a:noFill/>
            </a:ln>
            <a:effectLst/>
          </c:spPr>
          <c:invertIfNegative val="0"/>
          <c:cat>
            <c:strRef>
              <c:f>'Dashboards Lot 1'!$C$2:$K$2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 Lot 1'!$C$4:$K$4</c:f>
              <c:numCache>
                <c:formatCode>_("€"* #,##0.00_);_("€"* \(#,##0.00\);_("€"* "-"??_);_(@_)</c:formatCode>
                <c:ptCount val="9"/>
                <c:pt idx="0">
                  <c:v>2124.48</c:v>
                </c:pt>
                <c:pt idx="1">
                  <c:v>32929.440000000002</c:v>
                </c:pt>
                <c:pt idx="2">
                  <c:v>26556</c:v>
                </c:pt>
                <c:pt idx="3">
                  <c:v>27352.68</c:v>
                </c:pt>
                <c:pt idx="4">
                  <c:v>29742.719999999998</c:v>
                </c:pt>
                <c:pt idx="5">
                  <c:v>31336.080000000002</c:v>
                </c:pt>
                <c:pt idx="6">
                  <c:v>28946.04</c:v>
                </c:pt>
                <c:pt idx="7">
                  <c:v>31336.080000000002</c:v>
                </c:pt>
                <c:pt idx="8">
                  <c:v>30046.6</c:v>
                </c:pt>
              </c:numCache>
            </c:numRef>
          </c:val>
          <c:extLst>
            <c:ext xmlns:c16="http://schemas.microsoft.com/office/drawing/2014/chart" uri="{C3380CC4-5D6E-409C-BE32-E72D297353CC}">
              <c16:uniqueId val="{00000002-3F64-44E2-B529-4F0FDAF9CC44}"/>
            </c:ext>
          </c:extLst>
        </c:ser>
        <c:ser>
          <c:idx val="3"/>
          <c:order val="3"/>
          <c:tx>
            <c:strRef>
              <c:f>'Dashboards Lot 1'!$B$5</c:f>
              <c:strCache>
                <c:ptCount val="1"/>
                <c:pt idx="0">
                  <c:v>EDDA</c:v>
                </c:pt>
              </c:strCache>
            </c:strRef>
          </c:tx>
          <c:spPr>
            <a:solidFill>
              <a:schemeClr val="accent4"/>
            </a:solidFill>
            <a:ln>
              <a:noFill/>
            </a:ln>
            <a:effectLst/>
          </c:spPr>
          <c:invertIfNegative val="0"/>
          <c:cat>
            <c:strRef>
              <c:f>'Dashboards Lot 1'!$C$2:$K$2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 Lot 1'!$C$5:$K$5</c:f>
              <c:numCache>
                <c:formatCode>_("€"* #,##0.00_);_("€"* \(#,##0.00\);_("€"* "-"??_);_(@_)</c:formatCode>
                <c:ptCount val="9"/>
                <c:pt idx="0">
                  <c:v>132891.63999999998</c:v>
                </c:pt>
                <c:pt idx="1">
                  <c:v>250792.80000000002</c:v>
                </c:pt>
                <c:pt idx="2">
                  <c:v>213095.97500000001</c:v>
                </c:pt>
                <c:pt idx="3">
                  <c:v>271230.30000000005</c:v>
                </c:pt>
                <c:pt idx="4">
                  <c:v>334202.94</c:v>
                </c:pt>
                <c:pt idx="5">
                  <c:v>360221.46000000008</c:v>
                </c:pt>
                <c:pt idx="6">
                  <c:v>354395.35500000004</c:v>
                </c:pt>
                <c:pt idx="7">
                  <c:v>380006.62000000017</c:v>
                </c:pt>
                <c:pt idx="8">
                  <c:v>408516.56000000006</c:v>
                </c:pt>
              </c:numCache>
            </c:numRef>
          </c:val>
          <c:extLst>
            <c:ext xmlns:c16="http://schemas.microsoft.com/office/drawing/2014/chart" uri="{C3380CC4-5D6E-409C-BE32-E72D297353CC}">
              <c16:uniqueId val="{00000003-3F64-44E2-B529-4F0FDAF9CC44}"/>
            </c:ext>
          </c:extLst>
        </c:ser>
        <c:ser>
          <c:idx val="4"/>
          <c:order val="4"/>
          <c:tx>
            <c:strRef>
              <c:f>'Dashboards Lot 1'!$B$6</c:f>
              <c:strCache>
                <c:ptCount val="1"/>
                <c:pt idx="0">
                  <c:v>TREMEND</c:v>
                </c:pt>
              </c:strCache>
            </c:strRef>
          </c:tx>
          <c:spPr>
            <a:solidFill>
              <a:schemeClr val="accent5"/>
            </a:solidFill>
            <a:ln>
              <a:noFill/>
            </a:ln>
            <a:effectLst/>
          </c:spPr>
          <c:invertIfNegative val="0"/>
          <c:cat>
            <c:strRef>
              <c:f>'Dashboards Lot 1'!$C$2:$K$2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 Lot 1'!$C$6:$K$6</c:f>
              <c:numCache>
                <c:formatCode>_("€"* #,##0.00_);_("€"* \(#,##0.00\);_("€"* "-"??_);_(@_)</c:formatCode>
                <c:ptCount val="9"/>
                <c:pt idx="0">
                  <c:v>0</c:v>
                </c:pt>
                <c:pt idx="1">
                  <c:v>6160.7</c:v>
                </c:pt>
                <c:pt idx="2">
                  <c:v>28434</c:v>
                </c:pt>
                <c:pt idx="3">
                  <c:v>25590.6</c:v>
                </c:pt>
                <c:pt idx="4">
                  <c:v>38050.04</c:v>
                </c:pt>
                <c:pt idx="5">
                  <c:v>43975.179999999993</c:v>
                </c:pt>
                <c:pt idx="6">
                  <c:v>47340.75</c:v>
                </c:pt>
                <c:pt idx="7">
                  <c:v>45116.989999999991</c:v>
                </c:pt>
                <c:pt idx="8">
                  <c:v>47325.439999999995</c:v>
                </c:pt>
              </c:numCache>
            </c:numRef>
          </c:val>
          <c:extLst>
            <c:ext xmlns:c16="http://schemas.microsoft.com/office/drawing/2014/chart" uri="{C3380CC4-5D6E-409C-BE32-E72D297353CC}">
              <c16:uniqueId val="{00000004-3F64-44E2-B529-4F0FDAF9CC44}"/>
            </c:ext>
          </c:extLst>
        </c:ser>
        <c:ser>
          <c:idx val="5"/>
          <c:order val="5"/>
          <c:tx>
            <c:strRef>
              <c:f>'Dashboards Lot 1'!$B$7</c:f>
              <c:strCache>
                <c:ptCount val="1"/>
                <c:pt idx="0">
                  <c:v>Wavestone</c:v>
                </c:pt>
              </c:strCache>
            </c:strRef>
          </c:tx>
          <c:spPr>
            <a:solidFill>
              <a:schemeClr val="accent6"/>
            </a:solidFill>
            <a:ln>
              <a:noFill/>
            </a:ln>
            <a:effectLst/>
          </c:spPr>
          <c:invertIfNegative val="0"/>
          <c:cat>
            <c:strRef>
              <c:f>'Dashboards Lot 1'!$C$2:$K$2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 Lot 1'!$C$7:$K$7</c:f>
              <c:numCache>
                <c:formatCode>_("€"* #,##0.00_);_("€"* \(#,##0.00\);_("€"* "-"??_);_(@_)</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5-3F64-44E2-B529-4F0FDAF9CC44}"/>
            </c:ext>
          </c:extLst>
        </c:ser>
        <c:dLbls>
          <c:showLegendKey val="0"/>
          <c:showVal val="0"/>
          <c:showCatName val="0"/>
          <c:showSerName val="0"/>
          <c:showPercent val="0"/>
          <c:showBubbleSize val="0"/>
        </c:dLbls>
        <c:gapWidth val="150"/>
        <c:overlap val="100"/>
        <c:axId val="2119595647"/>
        <c:axId val="2119596607"/>
      </c:barChart>
      <c:catAx>
        <c:axId val="21195956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119596607"/>
        <c:crosses val="autoZero"/>
        <c:auto val="1"/>
        <c:lblAlgn val="ctr"/>
        <c:lblOffset val="100"/>
        <c:noMultiLvlLbl val="0"/>
      </c:catAx>
      <c:valAx>
        <c:axId val="2119596607"/>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119595647"/>
        <c:crosses val="autoZero"/>
        <c:crossBetween val="between"/>
      </c:val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Répartition globale des Shares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F2F-4A68-9E62-747F24298AFF}"/>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1F2F-4A68-9E62-747F24298AFF}"/>
              </c:ext>
            </c:extLst>
          </c:dPt>
          <c:dPt>
            <c:idx val="2"/>
            <c:bubble3D val="0"/>
            <c:spPr>
              <a:solidFill>
                <a:schemeClr val="accent4"/>
              </a:solidFill>
              <a:ln w="19050">
                <a:solidFill>
                  <a:schemeClr val="lt1"/>
                </a:solidFill>
              </a:ln>
              <a:effectLst/>
            </c:spPr>
            <c:extLst>
              <c:ext xmlns:c16="http://schemas.microsoft.com/office/drawing/2014/chart" uri="{C3380CC4-5D6E-409C-BE32-E72D297353CC}">
                <c16:uniqueId val="{00000005-1F2F-4A68-9E62-747F24298AFF}"/>
              </c:ext>
            </c:extLst>
          </c:dPt>
          <c:dPt>
            <c:idx val="3"/>
            <c:bubble3D val="0"/>
            <c:spPr>
              <a:solidFill>
                <a:schemeClr val="accent5"/>
              </a:solidFill>
              <a:ln w="19050">
                <a:solidFill>
                  <a:schemeClr val="lt1"/>
                </a:solidFill>
              </a:ln>
              <a:effectLst/>
            </c:spPr>
            <c:extLst>
              <c:ext xmlns:c16="http://schemas.microsoft.com/office/drawing/2014/chart" uri="{C3380CC4-5D6E-409C-BE32-E72D297353CC}">
                <c16:uniqueId val="{00000007-1F2F-4A68-9E62-747F24298AFF}"/>
              </c:ext>
            </c:extLst>
          </c:dPt>
          <c:dPt>
            <c:idx val="4"/>
            <c:bubble3D val="0"/>
            <c:spPr>
              <a:solidFill>
                <a:schemeClr val="accent6"/>
              </a:solidFill>
              <a:ln w="19050">
                <a:solidFill>
                  <a:schemeClr val="lt1"/>
                </a:solidFill>
              </a:ln>
              <a:effectLst/>
            </c:spPr>
            <c:extLst>
              <c:ext xmlns:c16="http://schemas.microsoft.com/office/drawing/2014/chart" uri="{C3380CC4-5D6E-409C-BE32-E72D297353CC}">
                <c16:uniqueId val="{00000009-1F2F-4A68-9E62-747F24298AF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'Dashboards Lot 1'!$B$3:$B$7</c:f>
              <c:strCache>
                <c:ptCount val="5"/>
                <c:pt idx="0">
                  <c:v>TALAN</c:v>
                </c:pt>
                <c:pt idx="1">
                  <c:v>CGI LUX + BE</c:v>
                </c:pt>
                <c:pt idx="2">
                  <c:v>EDDA</c:v>
                </c:pt>
                <c:pt idx="3">
                  <c:v>TREMEND</c:v>
                </c:pt>
                <c:pt idx="4">
                  <c:v>Wavestone</c:v>
                </c:pt>
              </c:strCache>
            </c:strRef>
          </c:cat>
          <c:val>
            <c:numRef>
              <c:f>'Dashboards Lot 1'!$P$3:$P$7</c:f>
              <c:numCache>
                <c:formatCode>_("€"* #,##0.00_);_("€"* \(#,##0.00\);_("€"* "-"??_);_(@_)</c:formatCode>
                <c:ptCount val="5"/>
                <c:pt idx="0">
                  <c:v>1132240.7450000001</c:v>
                </c:pt>
                <c:pt idx="1">
                  <c:v>319189.12</c:v>
                </c:pt>
                <c:pt idx="2">
                  <c:v>3299393.1450000005</c:v>
                </c:pt>
                <c:pt idx="3">
                  <c:v>303647.45999999996</c:v>
                </c:pt>
                <c:pt idx="4">
                  <c:v>0</c:v>
                </c:pt>
              </c:numCache>
            </c:numRef>
          </c:val>
          <c:extLst>
            <c:ext xmlns:c16="http://schemas.microsoft.com/office/drawing/2014/chart" uri="{C3380CC4-5D6E-409C-BE32-E72D297353CC}">
              <c16:uniqueId val="{0000000A-1F2F-4A68-9E62-747F24298AFF}"/>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Répartition des revenus Imagin'IT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ser>
          <c:idx val="0"/>
          <c:order val="0"/>
          <c:tx>
            <c:strRef>
              <c:f>'Dashboards Lot 1'!$B$3</c:f>
              <c:strCache>
                <c:ptCount val="1"/>
                <c:pt idx="0">
                  <c:v>TALAN</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og"/>
            <c:dispRSqr val="0"/>
            <c:dispEq val="0"/>
          </c:trendline>
          <c:cat>
            <c:strRef>
              <c:f>'Dashboards Lot 1'!$C$2:$K$2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 Lot 1'!$C$3:$K$3</c:f>
              <c:numCache>
                <c:formatCode>_("€"* #,##0.00_);_("€"* \(#,##0.00\);_("€"* "-"??_);_(@_)</c:formatCode>
                <c:ptCount val="9"/>
                <c:pt idx="0">
                  <c:v>16854.900000000001</c:v>
                </c:pt>
                <c:pt idx="1">
                  <c:v>30063.174999999999</c:v>
                </c:pt>
                <c:pt idx="2">
                  <c:v>40748.375000000007</c:v>
                </c:pt>
                <c:pt idx="3">
                  <c:v>52817.45</c:v>
                </c:pt>
                <c:pt idx="4">
                  <c:v>111698.95000000001</c:v>
                </c:pt>
                <c:pt idx="5">
                  <c:v>157226.88000000006</c:v>
                </c:pt>
                <c:pt idx="6">
                  <c:v>156190.48500000002</c:v>
                </c:pt>
                <c:pt idx="7">
                  <c:v>176914.60499999995</c:v>
                </c:pt>
                <c:pt idx="8">
                  <c:v>193271.28999999998</c:v>
                </c:pt>
              </c:numCache>
            </c:numRef>
          </c:val>
          <c:smooth val="0"/>
          <c:extLst>
            <c:ext xmlns:c16="http://schemas.microsoft.com/office/drawing/2014/chart" uri="{C3380CC4-5D6E-409C-BE32-E72D297353CC}">
              <c16:uniqueId val="{00000001-B2C7-4288-88FF-8BBEEC95EBC3}"/>
            </c:ext>
          </c:extLst>
        </c:ser>
        <c:ser>
          <c:idx val="1"/>
          <c:order val="1"/>
          <c:tx>
            <c:strRef>
              <c:f>'Dashboards Lot 1'!$B$4</c:f>
              <c:strCache>
                <c:ptCount val="1"/>
                <c:pt idx="0">
                  <c:v>CGI LUX + BE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ysDot"/>
              </a:ln>
              <a:effectLst/>
            </c:spPr>
            <c:trendlineType val="log"/>
            <c:dispRSqr val="0"/>
            <c:dispEq val="0"/>
          </c:trendline>
          <c:cat>
            <c:strRef>
              <c:f>'Dashboards Lot 1'!$C$2:$K$2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 Lot 1'!$C$4:$K$4</c:f>
              <c:numCache>
                <c:formatCode>_("€"* #,##0.00_);_("€"* \(#,##0.00\);_("€"* "-"??_);_(@_)</c:formatCode>
                <c:ptCount val="9"/>
                <c:pt idx="0">
                  <c:v>2124.48</c:v>
                </c:pt>
                <c:pt idx="1">
                  <c:v>32929.440000000002</c:v>
                </c:pt>
                <c:pt idx="2">
                  <c:v>26556</c:v>
                </c:pt>
                <c:pt idx="3">
                  <c:v>27352.68</c:v>
                </c:pt>
                <c:pt idx="4">
                  <c:v>29742.719999999998</c:v>
                </c:pt>
                <c:pt idx="5">
                  <c:v>31336.080000000002</c:v>
                </c:pt>
                <c:pt idx="6">
                  <c:v>28946.04</c:v>
                </c:pt>
                <c:pt idx="7">
                  <c:v>31336.080000000002</c:v>
                </c:pt>
                <c:pt idx="8">
                  <c:v>30046.6</c:v>
                </c:pt>
              </c:numCache>
            </c:numRef>
          </c:val>
          <c:smooth val="0"/>
          <c:extLst>
            <c:ext xmlns:c16="http://schemas.microsoft.com/office/drawing/2014/chart" uri="{C3380CC4-5D6E-409C-BE32-E72D297353CC}">
              <c16:uniqueId val="{00000003-B2C7-4288-88FF-8BBEEC95EBC3}"/>
            </c:ext>
          </c:extLst>
        </c:ser>
        <c:ser>
          <c:idx val="2"/>
          <c:order val="2"/>
          <c:tx>
            <c:strRef>
              <c:f>'Dashboards Lot 1'!$B$5</c:f>
              <c:strCache>
                <c:ptCount val="1"/>
                <c:pt idx="0">
                  <c:v>EDDA</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log"/>
            <c:dispRSqr val="0"/>
            <c:dispEq val="0"/>
          </c:trendline>
          <c:cat>
            <c:strRef>
              <c:f>'Dashboards Lot 1'!$C$2:$K$2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 Lot 1'!$C$5:$K$5</c:f>
              <c:numCache>
                <c:formatCode>_("€"* #,##0.00_);_("€"* \(#,##0.00\);_("€"* "-"??_);_(@_)</c:formatCode>
                <c:ptCount val="9"/>
                <c:pt idx="0">
                  <c:v>132891.63999999998</c:v>
                </c:pt>
                <c:pt idx="1">
                  <c:v>250792.80000000002</c:v>
                </c:pt>
                <c:pt idx="2">
                  <c:v>213095.97500000001</c:v>
                </c:pt>
                <c:pt idx="3">
                  <c:v>271230.30000000005</c:v>
                </c:pt>
                <c:pt idx="4">
                  <c:v>334202.94</c:v>
                </c:pt>
                <c:pt idx="5">
                  <c:v>360221.46000000008</c:v>
                </c:pt>
                <c:pt idx="6">
                  <c:v>354395.35500000004</c:v>
                </c:pt>
                <c:pt idx="7">
                  <c:v>380006.62000000017</c:v>
                </c:pt>
                <c:pt idx="8">
                  <c:v>408516.56000000006</c:v>
                </c:pt>
              </c:numCache>
            </c:numRef>
          </c:val>
          <c:smooth val="0"/>
          <c:extLst>
            <c:ext xmlns:c16="http://schemas.microsoft.com/office/drawing/2014/chart" uri="{C3380CC4-5D6E-409C-BE32-E72D297353CC}">
              <c16:uniqueId val="{00000005-B2C7-4288-88FF-8BBEEC95EBC3}"/>
            </c:ext>
          </c:extLst>
        </c:ser>
        <c:ser>
          <c:idx val="3"/>
          <c:order val="3"/>
          <c:tx>
            <c:strRef>
              <c:f>'Dashboards Lot 1'!$B$6</c:f>
              <c:strCache>
                <c:ptCount val="1"/>
                <c:pt idx="0">
                  <c:v>TREMEND</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trendline>
            <c:spPr>
              <a:ln w="19050" cap="rnd">
                <a:solidFill>
                  <a:schemeClr val="accent5"/>
                </a:solidFill>
                <a:prstDash val="sysDot"/>
              </a:ln>
              <a:effectLst/>
            </c:spPr>
            <c:trendlineType val="log"/>
            <c:dispRSqr val="0"/>
            <c:dispEq val="0"/>
          </c:trendline>
          <c:cat>
            <c:strRef>
              <c:f>'Dashboards Lot 1'!$C$2:$K$2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 Lot 1'!$C$6:$K$6</c:f>
              <c:numCache>
                <c:formatCode>_("€"* #,##0.00_);_("€"* \(#,##0.00\);_("€"* "-"??_);_(@_)</c:formatCode>
                <c:ptCount val="9"/>
                <c:pt idx="0">
                  <c:v>0</c:v>
                </c:pt>
                <c:pt idx="1">
                  <c:v>6160.7</c:v>
                </c:pt>
                <c:pt idx="2">
                  <c:v>28434</c:v>
                </c:pt>
                <c:pt idx="3">
                  <c:v>25590.6</c:v>
                </c:pt>
                <c:pt idx="4">
                  <c:v>38050.04</c:v>
                </c:pt>
                <c:pt idx="5">
                  <c:v>43975.179999999993</c:v>
                </c:pt>
                <c:pt idx="6">
                  <c:v>47340.75</c:v>
                </c:pt>
                <c:pt idx="7">
                  <c:v>45116.989999999991</c:v>
                </c:pt>
                <c:pt idx="8">
                  <c:v>47325.439999999995</c:v>
                </c:pt>
              </c:numCache>
            </c:numRef>
          </c:val>
          <c:smooth val="0"/>
          <c:extLst>
            <c:ext xmlns:c16="http://schemas.microsoft.com/office/drawing/2014/chart" uri="{C3380CC4-5D6E-409C-BE32-E72D297353CC}">
              <c16:uniqueId val="{00000007-B2C7-4288-88FF-8BBEEC95EBC3}"/>
            </c:ext>
          </c:extLst>
        </c:ser>
        <c:ser>
          <c:idx val="4"/>
          <c:order val="4"/>
          <c:tx>
            <c:strRef>
              <c:f>'Dashboards Lot 1'!$B$7</c:f>
              <c:strCache>
                <c:ptCount val="1"/>
                <c:pt idx="0">
                  <c:v>Wavestone</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trendline>
            <c:spPr>
              <a:ln w="19050" cap="rnd">
                <a:solidFill>
                  <a:schemeClr val="accent6"/>
                </a:solidFill>
                <a:prstDash val="sysDot"/>
              </a:ln>
              <a:effectLst/>
            </c:spPr>
            <c:trendlineType val="log"/>
            <c:dispRSqr val="0"/>
            <c:dispEq val="0"/>
          </c:trendline>
          <c:cat>
            <c:strRef>
              <c:f>'Dashboards Lot 1'!$C$2:$K$2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 Lot 1'!$C$7:$K$7</c:f>
              <c:numCache>
                <c:formatCode>_("€"* #,##0.00_);_("€"* \(#,##0.00\);_("€"* "-"??_);_(@_)</c:formatCode>
                <c:ptCount val="9"/>
                <c:pt idx="0">
                  <c:v>0</c:v>
                </c:pt>
                <c:pt idx="1">
                  <c:v>0</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09-B2C7-4288-88FF-8BBEEC95EBC3}"/>
            </c:ext>
          </c:extLst>
        </c:ser>
        <c:dLbls>
          <c:showLegendKey val="0"/>
          <c:showVal val="0"/>
          <c:showCatName val="0"/>
          <c:showSerName val="0"/>
          <c:showPercent val="0"/>
          <c:showBubbleSize val="0"/>
        </c:dLbls>
        <c:marker val="1"/>
        <c:smooth val="0"/>
        <c:axId val="333395728"/>
        <c:axId val="333142480"/>
      </c:lineChart>
      <c:catAx>
        <c:axId val="333395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3142480"/>
        <c:crosses val="autoZero"/>
        <c:auto val="1"/>
        <c:lblAlgn val="ctr"/>
        <c:lblOffset val="100"/>
        <c:noMultiLvlLbl val="0"/>
      </c:catAx>
      <c:valAx>
        <c:axId val="33314248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33957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Evolution des Shares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percentStacked"/>
        <c:varyColors val="0"/>
        <c:ser>
          <c:idx val="0"/>
          <c:order val="0"/>
          <c:tx>
            <c:strRef>
              <c:f>'Dashboards Lot 2'!$B$3</c:f>
              <c:strCache>
                <c:ptCount val="1"/>
                <c:pt idx="0">
                  <c:v>TALAN</c:v>
                </c:pt>
              </c:strCache>
            </c:strRef>
          </c:tx>
          <c:spPr>
            <a:solidFill>
              <a:schemeClr val="accent1"/>
            </a:solidFill>
            <a:ln>
              <a:noFill/>
            </a:ln>
            <a:effectLst/>
          </c:spPr>
          <c:invertIfNegative val="0"/>
          <c:cat>
            <c:strRef>
              <c:f>'Dashboards Lot 2'!$C$2:$K$2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 Lot 2'!$C$3:$K$3</c:f>
              <c:numCache>
                <c:formatCode>_("€"* #,##0.00_);_("€"* \(#,##0.00\);_("€"* "-"??_);_(@_)</c:formatCode>
                <c:ptCount val="9"/>
                <c:pt idx="0">
                  <c:v>7974.19</c:v>
                </c:pt>
                <c:pt idx="1">
                  <c:v>26736.989999999998</c:v>
                </c:pt>
                <c:pt idx="2">
                  <c:v>23453.5</c:v>
                </c:pt>
                <c:pt idx="3">
                  <c:v>26736.989999999998</c:v>
                </c:pt>
                <c:pt idx="4">
                  <c:v>22280.824999999997</c:v>
                </c:pt>
                <c:pt idx="5">
                  <c:v>27675.129999999997</c:v>
                </c:pt>
                <c:pt idx="6">
                  <c:v>26525.584999999999</c:v>
                </c:pt>
                <c:pt idx="7">
                  <c:v>25424.52</c:v>
                </c:pt>
                <c:pt idx="8">
                  <c:v>26658.720000000001</c:v>
                </c:pt>
              </c:numCache>
            </c:numRef>
          </c:val>
          <c:extLst>
            <c:ext xmlns:c16="http://schemas.microsoft.com/office/drawing/2014/chart" uri="{C3380CC4-5D6E-409C-BE32-E72D297353CC}">
              <c16:uniqueId val="{00000000-EAFE-4AAA-8CA6-D6E23931CAA8}"/>
            </c:ext>
          </c:extLst>
        </c:ser>
        <c:ser>
          <c:idx val="1"/>
          <c:order val="1"/>
          <c:tx>
            <c:strRef>
              <c:f>Dashboards!#REF!</c:f>
              <c:strCache>
                <c:ptCount val="1"/>
                <c:pt idx="0">
                  <c:v>#REF!</c:v>
                </c:pt>
              </c:strCache>
            </c:strRef>
          </c:tx>
          <c:spPr>
            <a:solidFill>
              <a:schemeClr val="accent2"/>
            </a:solidFill>
            <a:ln>
              <a:noFill/>
            </a:ln>
            <a:effectLst/>
          </c:spPr>
          <c:invertIfNegative val="0"/>
          <c:cat>
            <c:strRef>
              <c:f>'Dashboards Lot 2'!$C$2:$K$2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Dashboards!#REF!</c:f>
              <c:numCache>
                <c:formatCode>General</c:formatCode>
                <c:ptCount val="1"/>
                <c:pt idx="0">
                  <c:v>1</c:v>
                </c:pt>
              </c:numCache>
            </c:numRef>
          </c:val>
          <c:extLst>
            <c:ext xmlns:c16="http://schemas.microsoft.com/office/drawing/2014/chart" uri="{C3380CC4-5D6E-409C-BE32-E72D297353CC}">
              <c16:uniqueId val="{00000001-EAFE-4AAA-8CA6-D6E23931CAA8}"/>
            </c:ext>
          </c:extLst>
        </c:ser>
        <c:ser>
          <c:idx val="2"/>
          <c:order val="2"/>
          <c:tx>
            <c:strRef>
              <c:f>'Dashboards Lot 2'!$B$4</c:f>
              <c:strCache>
                <c:ptCount val="1"/>
                <c:pt idx="0">
                  <c:v>CGI LUX + BE</c:v>
                </c:pt>
              </c:strCache>
            </c:strRef>
          </c:tx>
          <c:spPr>
            <a:solidFill>
              <a:schemeClr val="accent3"/>
            </a:solidFill>
            <a:ln>
              <a:noFill/>
            </a:ln>
            <a:effectLst/>
          </c:spPr>
          <c:invertIfNegative val="0"/>
          <c:cat>
            <c:strRef>
              <c:f>'Dashboards Lot 2'!$C$2:$K$2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 Lot 2'!$C$4:$K$4</c:f>
              <c:numCache>
                <c:formatCode>_("€"* #,##0.00_);_("€"* \(#,##0.00\);_("€"* "-"??_);_(@_)</c:formatCode>
                <c:ptCount val="9"/>
                <c:pt idx="0">
                  <c:v>128881.45999999999</c:v>
                </c:pt>
                <c:pt idx="1">
                  <c:v>384808.51499999996</c:v>
                </c:pt>
                <c:pt idx="2">
                  <c:v>327826.27499999997</c:v>
                </c:pt>
                <c:pt idx="3">
                  <c:v>318296.13500000007</c:v>
                </c:pt>
                <c:pt idx="4">
                  <c:v>349080.01500000001</c:v>
                </c:pt>
                <c:pt idx="5">
                  <c:v>367879.25500000006</c:v>
                </c:pt>
                <c:pt idx="6">
                  <c:v>352455.78</c:v>
                </c:pt>
                <c:pt idx="7">
                  <c:v>348517.70000000007</c:v>
                </c:pt>
                <c:pt idx="8">
                  <c:v>340665.04500000004</c:v>
                </c:pt>
              </c:numCache>
            </c:numRef>
          </c:val>
          <c:extLst>
            <c:ext xmlns:c16="http://schemas.microsoft.com/office/drawing/2014/chart" uri="{C3380CC4-5D6E-409C-BE32-E72D297353CC}">
              <c16:uniqueId val="{00000002-EAFE-4AAA-8CA6-D6E23931CAA8}"/>
            </c:ext>
          </c:extLst>
        </c:ser>
        <c:ser>
          <c:idx val="3"/>
          <c:order val="3"/>
          <c:tx>
            <c:strRef>
              <c:f>'Dashboards Lot 2'!$B$5</c:f>
              <c:strCache>
                <c:ptCount val="1"/>
                <c:pt idx="0">
                  <c:v>EDDA</c:v>
                </c:pt>
              </c:strCache>
            </c:strRef>
          </c:tx>
          <c:spPr>
            <a:solidFill>
              <a:schemeClr val="accent4"/>
            </a:solidFill>
            <a:ln>
              <a:noFill/>
            </a:ln>
            <a:effectLst/>
          </c:spPr>
          <c:invertIfNegative val="0"/>
          <c:cat>
            <c:strRef>
              <c:f>'Dashboards Lot 2'!$C$2:$K$2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 Lot 2'!$C$5:$K$5</c:f>
              <c:numCache>
                <c:formatCode>_("€"* #,##0.00_);_("€"* \(#,##0.00\);_("€"* "-"??_);_(@_)</c:formatCode>
                <c:ptCount val="9"/>
                <c:pt idx="0">
                  <c:v>7785.92</c:v>
                </c:pt>
                <c:pt idx="1">
                  <c:v>70192.63</c:v>
                </c:pt>
                <c:pt idx="2">
                  <c:v>85487.180000000008</c:v>
                </c:pt>
                <c:pt idx="3">
                  <c:v>119688.89000000001</c:v>
                </c:pt>
                <c:pt idx="4">
                  <c:v>103124.84</c:v>
                </c:pt>
                <c:pt idx="5">
                  <c:v>86304.69</c:v>
                </c:pt>
                <c:pt idx="6">
                  <c:v>106841.95000000001</c:v>
                </c:pt>
                <c:pt idx="7">
                  <c:v>127437.70999999999</c:v>
                </c:pt>
                <c:pt idx="8">
                  <c:v>131535.96000000002</c:v>
                </c:pt>
              </c:numCache>
            </c:numRef>
          </c:val>
          <c:extLst>
            <c:ext xmlns:c16="http://schemas.microsoft.com/office/drawing/2014/chart" uri="{C3380CC4-5D6E-409C-BE32-E72D297353CC}">
              <c16:uniqueId val="{00000003-EAFE-4AAA-8CA6-D6E23931CAA8}"/>
            </c:ext>
          </c:extLst>
        </c:ser>
        <c:ser>
          <c:idx val="4"/>
          <c:order val="4"/>
          <c:tx>
            <c:strRef>
              <c:f>'Dashboards Lot 2'!$B$6</c:f>
              <c:strCache>
                <c:ptCount val="1"/>
                <c:pt idx="0">
                  <c:v>TREMEND</c:v>
                </c:pt>
              </c:strCache>
            </c:strRef>
          </c:tx>
          <c:spPr>
            <a:solidFill>
              <a:schemeClr val="accent5"/>
            </a:solidFill>
            <a:ln>
              <a:noFill/>
            </a:ln>
            <a:effectLst/>
          </c:spPr>
          <c:invertIfNegative val="0"/>
          <c:cat>
            <c:strRef>
              <c:f>'Dashboards Lot 2'!$C$2:$K$2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 Lot 2'!$C$6:$K$6</c:f>
              <c:numCache>
                <c:formatCode>_("€"* #,##0.00_);_("€"* \(#,##0.00\);_("€"* "-"??_);_(@_)</c:formatCode>
                <c:ptCount val="9"/>
                <c:pt idx="0">
                  <c:v>0</c:v>
                </c:pt>
                <c:pt idx="1">
                  <c:v>78793.73000000001</c:v>
                </c:pt>
                <c:pt idx="2">
                  <c:v>79071.994999999995</c:v>
                </c:pt>
                <c:pt idx="3">
                  <c:v>109994.15999999999</c:v>
                </c:pt>
                <c:pt idx="4">
                  <c:v>113498.86500000001</c:v>
                </c:pt>
                <c:pt idx="5">
                  <c:v>123772.235</c:v>
                </c:pt>
                <c:pt idx="6">
                  <c:v>120706.02000000002</c:v>
                </c:pt>
                <c:pt idx="7">
                  <c:v>114818.03500000002</c:v>
                </c:pt>
                <c:pt idx="8">
                  <c:v>131149.02000000002</c:v>
                </c:pt>
              </c:numCache>
            </c:numRef>
          </c:val>
          <c:extLst>
            <c:ext xmlns:c16="http://schemas.microsoft.com/office/drawing/2014/chart" uri="{C3380CC4-5D6E-409C-BE32-E72D297353CC}">
              <c16:uniqueId val="{00000004-EAFE-4AAA-8CA6-D6E23931CAA8}"/>
            </c:ext>
          </c:extLst>
        </c:ser>
        <c:ser>
          <c:idx val="5"/>
          <c:order val="5"/>
          <c:tx>
            <c:strRef>
              <c:f>'Dashboards Lot 2'!$B$7</c:f>
              <c:strCache>
                <c:ptCount val="1"/>
                <c:pt idx="0">
                  <c:v>Wavestone</c:v>
                </c:pt>
              </c:strCache>
            </c:strRef>
          </c:tx>
          <c:spPr>
            <a:solidFill>
              <a:schemeClr val="accent6"/>
            </a:solidFill>
            <a:ln>
              <a:noFill/>
            </a:ln>
            <a:effectLst/>
          </c:spPr>
          <c:invertIfNegative val="0"/>
          <c:cat>
            <c:strRef>
              <c:f>'Dashboards Lot 2'!$C$2:$K$2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 Lot 2'!$C$7:$K$7</c:f>
              <c:numCache>
                <c:formatCode>_("€"* #,##0.00_);_("€"* \(#,##0.00\);_("€"* "-"??_);_(@_)</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5-EAFE-4AAA-8CA6-D6E23931CAA8}"/>
            </c:ext>
          </c:extLst>
        </c:ser>
        <c:dLbls>
          <c:showLegendKey val="0"/>
          <c:showVal val="0"/>
          <c:showCatName val="0"/>
          <c:showSerName val="0"/>
          <c:showPercent val="0"/>
          <c:showBubbleSize val="0"/>
        </c:dLbls>
        <c:gapWidth val="150"/>
        <c:overlap val="100"/>
        <c:axId val="2119595647"/>
        <c:axId val="2119596607"/>
      </c:barChart>
      <c:catAx>
        <c:axId val="21195956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119596607"/>
        <c:crosses val="autoZero"/>
        <c:auto val="1"/>
        <c:lblAlgn val="ctr"/>
        <c:lblOffset val="100"/>
        <c:noMultiLvlLbl val="0"/>
      </c:catAx>
      <c:valAx>
        <c:axId val="2119596607"/>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119595647"/>
        <c:crosses val="autoZero"/>
        <c:crossBetween val="between"/>
      </c:val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Répartition globale des Shares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6EE-426D-964D-02819C9C10E0}"/>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06EE-426D-964D-02819C9C10E0}"/>
              </c:ext>
            </c:extLst>
          </c:dPt>
          <c:dPt>
            <c:idx val="2"/>
            <c:bubble3D val="0"/>
            <c:spPr>
              <a:solidFill>
                <a:schemeClr val="accent4"/>
              </a:solidFill>
              <a:ln w="19050">
                <a:solidFill>
                  <a:schemeClr val="lt1"/>
                </a:solidFill>
              </a:ln>
              <a:effectLst/>
            </c:spPr>
            <c:extLst>
              <c:ext xmlns:c16="http://schemas.microsoft.com/office/drawing/2014/chart" uri="{C3380CC4-5D6E-409C-BE32-E72D297353CC}">
                <c16:uniqueId val="{00000005-06EE-426D-964D-02819C9C10E0}"/>
              </c:ext>
            </c:extLst>
          </c:dPt>
          <c:dPt>
            <c:idx val="3"/>
            <c:bubble3D val="0"/>
            <c:spPr>
              <a:solidFill>
                <a:schemeClr val="accent5"/>
              </a:solidFill>
              <a:ln w="19050">
                <a:solidFill>
                  <a:schemeClr val="lt1"/>
                </a:solidFill>
              </a:ln>
              <a:effectLst/>
            </c:spPr>
            <c:extLst>
              <c:ext xmlns:c16="http://schemas.microsoft.com/office/drawing/2014/chart" uri="{C3380CC4-5D6E-409C-BE32-E72D297353CC}">
                <c16:uniqueId val="{00000007-06EE-426D-964D-02819C9C10E0}"/>
              </c:ext>
            </c:extLst>
          </c:dPt>
          <c:dPt>
            <c:idx val="4"/>
            <c:bubble3D val="0"/>
            <c:spPr>
              <a:solidFill>
                <a:schemeClr val="accent6"/>
              </a:solidFill>
              <a:ln w="19050">
                <a:solidFill>
                  <a:schemeClr val="lt1"/>
                </a:solidFill>
              </a:ln>
              <a:effectLst/>
            </c:spPr>
            <c:extLst>
              <c:ext xmlns:c16="http://schemas.microsoft.com/office/drawing/2014/chart" uri="{C3380CC4-5D6E-409C-BE32-E72D297353CC}">
                <c16:uniqueId val="{00000009-06EE-426D-964D-02819C9C10E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'Dashboards Lot 2'!$B$3:$B$7</c:f>
              <c:strCache>
                <c:ptCount val="5"/>
                <c:pt idx="0">
                  <c:v>TALAN</c:v>
                </c:pt>
                <c:pt idx="1">
                  <c:v>CGI LUX + BE</c:v>
                </c:pt>
                <c:pt idx="2">
                  <c:v>EDDA</c:v>
                </c:pt>
                <c:pt idx="3">
                  <c:v>TREMEND</c:v>
                </c:pt>
                <c:pt idx="4">
                  <c:v>Wavestone</c:v>
                </c:pt>
              </c:strCache>
            </c:strRef>
          </c:cat>
          <c:val>
            <c:numRef>
              <c:f>'Dashboards Lot 2'!$P$3:$P$7</c:f>
              <c:numCache>
                <c:formatCode>_("€"* #,##0.00_);_("€"* \(#,##0.00\);_("€"* "-"??_);_(@_)</c:formatCode>
                <c:ptCount val="5"/>
                <c:pt idx="0">
                  <c:v>260119.21</c:v>
                </c:pt>
                <c:pt idx="1">
                  <c:v>3353509.0649999999</c:v>
                </c:pt>
                <c:pt idx="2">
                  <c:v>983588.54</c:v>
                </c:pt>
                <c:pt idx="3">
                  <c:v>1011043.0000000001</c:v>
                </c:pt>
                <c:pt idx="4">
                  <c:v>0</c:v>
                </c:pt>
              </c:numCache>
            </c:numRef>
          </c:val>
          <c:extLst>
            <c:ext xmlns:c16="http://schemas.microsoft.com/office/drawing/2014/chart" uri="{C3380CC4-5D6E-409C-BE32-E72D297353CC}">
              <c16:uniqueId val="{0000000A-06EE-426D-964D-02819C9C10E0}"/>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Répartition des revenus Imagin'IT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ser>
          <c:idx val="0"/>
          <c:order val="0"/>
          <c:tx>
            <c:strRef>
              <c:f>'Dashboards Lot 2'!$B$3</c:f>
              <c:strCache>
                <c:ptCount val="1"/>
                <c:pt idx="0">
                  <c:v>TALAN</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og"/>
            <c:dispRSqr val="0"/>
            <c:dispEq val="0"/>
          </c:trendline>
          <c:cat>
            <c:strRef>
              <c:f>'Dashboards Lot 2'!$C$2:$K$2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 Lot 2'!$C$3:$K$3</c:f>
              <c:numCache>
                <c:formatCode>_("€"* #,##0.00_);_("€"* \(#,##0.00\);_("€"* "-"??_);_(@_)</c:formatCode>
                <c:ptCount val="9"/>
                <c:pt idx="0">
                  <c:v>7974.19</c:v>
                </c:pt>
                <c:pt idx="1">
                  <c:v>26736.989999999998</c:v>
                </c:pt>
                <c:pt idx="2">
                  <c:v>23453.5</c:v>
                </c:pt>
                <c:pt idx="3">
                  <c:v>26736.989999999998</c:v>
                </c:pt>
                <c:pt idx="4">
                  <c:v>22280.824999999997</c:v>
                </c:pt>
                <c:pt idx="5">
                  <c:v>27675.129999999997</c:v>
                </c:pt>
                <c:pt idx="6">
                  <c:v>26525.584999999999</c:v>
                </c:pt>
                <c:pt idx="7">
                  <c:v>25424.52</c:v>
                </c:pt>
                <c:pt idx="8">
                  <c:v>26658.720000000001</c:v>
                </c:pt>
              </c:numCache>
            </c:numRef>
          </c:val>
          <c:smooth val="0"/>
          <c:extLst>
            <c:ext xmlns:c16="http://schemas.microsoft.com/office/drawing/2014/chart" uri="{C3380CC4-5D6E-409C-BE32-E72D297353CC}">
              <c16:uniqueId val="{00000001-5444-4A5E-AC82-E14F3896E1B9}"/>
            </c:ext>
          </c:extLst>
        </c:ser>
        <c:ser>
          <c:idx val="1"/>
          <c:order val="1"/>
          <c:tx>
            <c:strRef>
              <c:f>'Dashboards Lot 2'!$B$4</c:f>
              <c:strCache>
                <c:ptCount val="1"/>
                <c:pt idx="0">
                  <c:v>CGI LUX + BE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ysDot"/>
              </a:ln>
              <a:effectLst/>
            </c:spPr>
            <c:trendlineType val="log"/>
            <c:dispRSqr val="0"/>
            <c:dispEq val="0"/>
          </c:trendline>
          <c:cat>
            <c:strRef>
              <c:f>'Dashboards Lot 2'!$C$2:$K$2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 Lot 2'!$C$4:$K$4</c:f>
              <c:numCache>
                <c:formatCode>_("€"* #,##0.00_);_("€"* \(#,##0.00\);_("€"* "-"??_);_(@_)</c:formatCode>
                <c:ptCount val="9"/>
                <c:pt idx="0">
                  <c:v>128881.45999999999</c:v>
                </c:pt>
                <c:pt idx="1">
                  <c:v>384808.51499999996</c:v>
                </c:pt>
                <c:pt idx="2">
                  <c:v>327826.27499999997</c:v>
                </c:pt>
                <c:pt idx="3">
                  <c:v>318296.13500000007</c:v>
                </c:pt>
                <c:pt idx="4">
                  <c:v>349080.01500000001</c:v>
                </c:pt>
                <c:pt idx="5">
                  <c:v>367879.25500000006</c:v>
                </c:pt>
                <c:pt idx="6">
                  <c:v>352455.78</c:v>
                </c:pt>
                <c:pt idx="7">
                  <c:v>348517.70000000007</c:v>
                </c:pt>
                <c:pt idx="8">
                  <c:v>340665.04500000004</c:v>
                </c:pt>
              </c:numCache>
            </c:numRef>
          </c:val>
          <c:smooth val="0"/>
          <c:extLst>
            <c:ext xmlns:c16="http://schemas.microsoft.com/office/drawing/2014/chart" uri="{C3380CC4-5D6E-409C-BE32-E72D297353CC}">
              <c16:uniqueId val="{00000003-5444-4A5E-AC82-E14F3896E1B9}"/>
            </c:ext>
          </c:extLst>
        </c:ser>
        <c:ser>
          <c:idx val="2"/>
          <c:order val="2"/>
          <c:tx>
            <c:strRef>
              <c:f>'Dashboards Lot 2'!$B$5</c:f>
              <c:strCache>
                <c:ptCount val="1"/>
                <c:pt idx="0">
                  <c:v>EDDA</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log"/>
            <c:dispRSqr val="0"/>
            <c:dispEq val="0"/>
          </c:trendline>
          <c:cat>
            <c:strRef>
              <c:f>'Dashboards Lot 2'!$C$2:$K$2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 Lot 2'!$C$5:$K$5</c:f>
              <c:numCache>
                <c:formatCode>_("€"* #,##0.00_);_("€"* \(#,##0.00\);_("€"* "-"??_);_(@_)</c:formatCode>
                <c:ptCount val="9"/>
                <c:pt idx="0">
                  <c:v>7785.92</c:v>
                </c:pt>
                <c:pt idx="1">
                  <c:v>70192.63</c:v>
                </c:pt>
                <c:pt idx="2">
                  <c:v>85487.180000000008</c:v>
                </c:pt>
                <c:pt idx="3">
                  <c:v>119688.89000000001</c:v>
                </c:pt>
                <c:pt idx="4">
                  <c:v>103124.84</c:v>
                </c:pt>
                <c:pt idx="5">
                  <c:v>86304.69</c:v>
                </c:pt>
                <c:pt idx="6">
                  <c:v>106841.95000000001</c:v>
                </c:pt>
                <c:pt idx="7">
                  <c:v>127437.70999999999</c:v>
                </c:pt>
                <c:pt idx="8">
                  <c:v>131535.96000000002</c:v>
                </c:pt>
              </c:numCache>
            </c:numRef>
          </c:val>
          <c:smooth val="0"/>
          <c:extLst>
            <c:ext xmlns:c16="http://schemas.microsoft.com/office/drawing/2014/chart" uri="{C3380CC4-5D6E-409C-BE32-E72D297353CC}">
              <c16:uniqueId val="{00000005-5444-4A5E-AC82-E14F3896E1B9}"/>
            </c:ext>
          </c:extLst>
        </c:ser>
        <c:ser>
          <c:idx val="3"/>
          <c:order val="3"/>
          <c:tx>
            <c:strRef>
              <c:f>'Dashboards Lot 2'!$B$6</c:f>
              <c:strCache>
                <c:ptCount val="1"/>
                <c:pt idx="0">
                  <c:v>TREMEND</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trendline>
            <c:spPr>
              <a:ln w="19050" cap="rnd">
                <a:solidFill>
                  <a:schemeClr val="accent5"/>
                </a:solidFill>
                <a:prstDash val="sysDot"/>
              </a:ln>
              <a:effectLst/>
            </c:spPr>
            <c:trendlineType val="log"/>
            <c:dispRSqr val="0"/>
            <c:dispEq val="0"/>
          </c:trendline>
          <c:cat>
            <c:strRef>
              <c:f>'Dashboards Lot 2'!$C$2:$K$2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 Lot 2'!$C$6:$K$6</c:f>
              <c:numCache>
                <c:formatCode>_("€"* #,##0.00_);_("€"* \(#,##0.00\);_("€"* "-"??_);_(@_)</c:formatCode>
                <c:ptCount val="9"/>
                <c:pt idx="0">
                  <c:v>0</c:v>
                </c:pt>
                <c:pt idx="1">
                  <c:v>78793.73000000001</c:v>
                </c:pt>
                <c:pt idx="2">
                  <c:v>79071.994999999995</c:v>
                </c:pt>
                <c:pt idx="3">
                  <c:v>109994.15999999999</c:v>
                </c:pt>
                <c:pt idx="4">
                  <c:v>113498.86500000001</c:v>
                </c:pt>
                <c:pt idx="5">
                  <c:v>123772.235</c:v>
                </c:pt>
                <c:pt idx="6">
                  <c:v>120706.02000000002</c:v>
                </c:pt>
                <c:pt idx="7">
                  <c:v>114818.03500000002</c:v>
                </c:pt>
                <c:pt idx="8">
                  <c:v>131149.02000000002</c:v>
                </c:pt>
              </c:numCache>
            </c:numRef>
          </c:val>
          <c:smooth val="0"/>
          <c:extLst>
            <c:ext xmlns:c16="http://schemas.microsoft.com/office/drawing/2014/chart" uri="{C3380CC4-5D6E-409C-BE32-E72D297353CC}">
              <c16:uniqueId val="{00000007-5444-4A5E-AC82-E14F3896E1B9}"/>
            </c:ext>
          </c:extLst>
        </c:ser>
        <c:ser>
          <c:idx val="4"/>
          <c:order val="4"/>
          <c:tx>
            <c:strRef>
              <c:f>'Dashboards Lot 2'!$B$7</c:f>
              <c:strCache>
                <c:ptCount val="1"/>
                <c:pt idx="0">
                  <c:v>Wavestone</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trendline>
            <c:spPr>
              <a:ln w="19050" cap="rnd">
                <a:solidFill>
                  <a:schemeClr val="accent6"/>
                </a:solidFill>
                <a:prstDash val="sysDot"/>
              </a:ln>
              <a:effectLst/>
            </c:spPr>
            <c:trendlineType val="log"/>
            <c:dispRSqr val="0"/>
            <c:dispEq val="0"/>
          </c:trendline>
          <c:cat>
            <c:strRef>
              <c:f>'Dashboards Lot 2'!$C$2:$K$2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 Lot 2'!$C$7:$K$7</c:f>
              <c:numCache>
                <c:formatCode>_("€"* #,##0.00_);_("€"* \(#,##0.00\);_("€"* "-"??_);_(@_)</c:formatCode>
                <c:ptCount val="9"/>
                <c:pt idx="0">
                  <c:v>0</c:v>
                </c:pt>
                <c:pt idx="1">
                  <c:v>0</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09-5444-4A5E-AC82-E14F3896E1B9}"/>
            </c:ext>
          </c:extLst>
        </c:ser>
        <c:dLbls>
          <c:showLegendKey val="0"/>
          <c:showVal val="0"/>
          <c:showCatName val="0"/>
          <c:showSerName val="0"/>
          <c:showPercent val="0"/>
          <c:showBubbleSize val="0"/>
        </c:dLbls>
        <c:marker val="1"/>
        <c:smooth val="0"/>
        <c:axId val="333395728"/>
        <c:axId val="333142480"/>
      </c:lineChart>
      <c:catAx>
        <c:axId val="333395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3142480"/>
        <c:crosses val="autoZero"/>
        <c:auto val="1"/>
        <c:lblAlgn val="ctr"/>
        <c:lblOffset val="100"/>
        <c:noMultiLvlLbl val="0"/>
      </c:catAx>
      <c:valAx>
        <c:axId val="33314248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33957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Evolution des Shares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percentStacked"/>
        <c:varyColors val="0"/>
        <c:ser>
          <c:idx val="0"/>
          <c:order val="0"/>
          <c:tx>
            <c:strRef>
              <c:f>'Dashboards Lot 3'!$B$3</c:f>
              <c:strCache>
                <c:ptCount val="1"/>
                <c:pt idx="0">
                  <c:v>TALAN</c:v>
                </c:pt>
              </c:strCache>
            </c:strRef>
          </c:tx>
          <c:spPr>
            <a:solidFill>
              <a:schemeClr val="accent1"/>
            </a:solidFill>
            <a:ln>
              <a:noFill/>
            </a:ln>
            <a:effectLst/>
          </c:spPr>
          <c:invertIfNegative val="0"/>
          <c:cat>
            <c:strRef>
              <c:f>'Dashboards Lot 3'!$C$2:$K$2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 Lot 3'!$C$3:$K$3</c:f>
              <c:numCache>
                <c:formatCode>_("€"* #,##0.00_);_("€"* \(#,##0.00\);_("€"* "-"??_);_(@_)</c:formatCode>
                <c:ptCount val="9"/>
                <c:pt idx="0">
                  <c:v>0</c:v>
                </c:pt>
                <c:pt idx="1">
                  <c:v>0</c:v>
                </c:pt>
                <c:pt idx="2">
                  <c:v>0</c:v>
                </c:pt>
                <c:pt idx="3">
                  <c:v>14837.34</c:v>
                </c:pt>
                <c:pt idx="4">
                  <c:v>42392.4</c:v>
                </c:pt>
                <c:pt idx="5">
                  <c:v>45400.78</c:v>
                </c:pt>
                <c:pt idx="6">
                  <c:v>48131.709999999992</c:v>
                </c:pt>
                <c:pt idx="7">
                  <c:v>86336.510000000009</c:v>
                </c:pt>
                <c:pt idx="8">
                  <c:v>127737.16000000002</c:v>
                </c:pt>
              </c:numCache>
            </c:numRef>
          </c:val>
          <c:extLst>
            <c:ext xmlns:c16="http://schemas.microsoft.com/office/drawing/2014/chart" uri="{C3380CC4-5D6E-409C-BE32-E72D297353CC}">
              <c16:uniqueId val="{00000000-D78D-488B-8717-579E760AFC16}"/>
            </c:ext>
          </c:extLst>
        </c:ser>
        <c:ser>
          <c:idx val="1"/>
          <c:order val="1"/>
          <c:tx>
            <c:strRef>
              <c:f>Dashboards!#REF!</c:f>
              <c:strCache>
                <c:ptCount val="1"/>
                <c:pt idx="0">
                  <c:v>#REF!</c:v>
                </c:pt>
              </c:strCache>
            </c:strRef>
          </c:tx>
          <c:spPr>
            <a:solidFill>
              <a:schemeClr val="accent2"/>
            </a:solidFill>
            <a:ln>
              <a:noFill/>
            </a:ln>
            <a:effectLst/>
          </c:spPr>
          <c:invertIfNegative val="0"/>
          <c:cat>
            <c:strRef>
              <c:f>'Dashboards Lot 3'!$C$2:$K$2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Dashboards!#REF!</c:f>
              <c:numCache>
                <c:formatCode>General</c:formatCode>
                <c:ptCount val="1"/>
                <c:pt idx="0">
                  <c:v>1</c:v>
                </c:pt>
              </c:numCache>
            </c:numRef>
          </c:val>
          <c:extLst>
            <c:ext xmlns:c16="http://schemas.microsoft.com/office/drawing/2014/chart" uri="{C3380CC4-5D6E-409C-BE32-E72D297353CC}">
              <c16:uniqueId val="{00000001-D78D-488B-8717-579E760AFC16}"/>
            </c:ext>
          </c:extLst>
        </c:ser>
        <c:ser>
          <c:idx val="2"/>
          <c:order val="2"/>
          <c:tx>
            <c:strRef>
              <c:f>'Dashboards Lot 3'!$B$4</c:f>
              <c:strCache>
                <c:ptCount val="1"/>
                <c:pt idx="0">
                  <c:v>CGI LUX + BE</c:v>
                </c:pt>
              </c:strCache>
            </c:strRef>
          </c:tx>
          <c:spPr>
            <a:solidFill>
              <a:schemeClr val="accent3"/>
            </a:solidFill>
            <a:ln>
              <a:noFill/>
            </a:ln>
            <a:effectLst/>
          </c:spPr>
          <c:invertIfNegative val="0"/>
          <c:cat>
            <c:strRef>
              <c:f>'Dashboards Lot 3'!$C$2:$K$2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 Lot 3'!$C$4:$K$4</c:f>
              <c:numCache>
                <c:formatCode>_("€"* #,##0.00_);_("€"* \(#,##0.00\);_("€"* "-"??_);_(@_)</c:formatCode>
                <c:ptCount val="9"/>
                <c:pt idx="0">
                  <c:v>10714.13</c:v>
                </c:pt>
                <c:pt idx="1">
                  <c:v>125879.66999999998</c:v>
                </c:pt>
                <c:pt idx="2">
                  <c:v>132249.86000000002</c:v>
                </c:pt>
                <c:pt idx="3">
                  <c:v>120217.23</c:v>
                </c:pt>
                <c:pt idx="4">
                  <c:v>134065.87</c:v>
                </c:pt>
                <c:pt idx="5">
                  <c:v>133980.94</c:v>
                </c:pt>
                <c:pt idx="6">
                  <c:v>137931.62</c:v>
                </c:pt>
                <c:pt idx="7">
                  <c:v>110944.855</c:v>
                </c:pt>
                <c:pt idx="8">
                  <c:v>140224.23000000001</c:v>
                </c:pt>
              </c:numCache>
            </c:numRef>
          </c:val>
          <c:extLst>
            <c:ext xmlns:c16="http://schemas.microsoft.com/office/drawing/2014/chart" uri="{C3380CC4-5D6E-409C-BE32-E72D297353CC}">
              <c16:uniqueId val="{00000002-D78D-488B-8717-579E760AFC16}"/>
            </c:ext>
          </c:extLst>
        </c:ser>
        <c:ser>
          <c:idx val="3"/>
          <c:order val="3"/>
          <c:tx>
            <c:strRef>
              <c:f>'Dashboards Lot 3'!$B$5</c:f>
              <c:strCache>
                <c:ptCount val="1"/>
                <c:pt idx="0">
                  <c:v>EDDA</c:v>
                </c:pt>
              </c:strCache>
            </c:strRef>
          </c:tx>
          <c:spPr>
            <a:solidFill>
              <a:schemeClr val="accent4"/>
            </a:solidFill>
            <a:ln>
              <a:noFill/>
            </a:ln>
            <a:effectLst/>
          </c:spPr>
          <c:invertIfNegative val="0"/>
          <c:cat>
            <c:strRef>
              <c:f>'Dashboards Lot 3'!$C$2:$K$2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 Lot 3'!$C$5:$K$5</c:f>
              <c:numCache>
                <c:formatCode>_("€"* #,##0.00_);_("€"* \(#,##0.00\);_("€"* "-"??_);_(@_)</c:formatCode>
                <c:ptCount val="9"/>
                <c:pt idx="0">
                  <c:v>54774.145000000011</c:v>
                </c:pt>
                <c:pt idx="1">
                  <c:v>136500.83000000002</c:v>
                </c:pt>
                <c:pt idx="2">
                  <c:v>97974.735000000001</c:v>
                </c:pt>
                <c:pt idx="3">
                  <c:v>83562.690000000017</c:v>
                </c:pt>
                <c:pt idx="4">
                  <c:v>82228.38</c:v>
                </c:pt>
                <c:pt idx="5">
                  <c:v>137115.89499999999</c:v>
                </c:pt>
                <c:pt idx="6">
                  <c:v>119993.25</c:v>
                </c:pt>
                <c:pt idx="7">
                  <c:v>86607.164999999994</c:v>
                </c:pt>
                <c:pt idx="8">
                  <c:v>86862.61500000002</c:v>
                </c:pt>
              </c:numCache>
            </c:numRef>
          </c:val>
          <c:extLst>
            <c:ext xmlns:c16="http://schemas.microsoft.com/office/drawing/2014/chart" uri="{C3380CC4-5D6E-409C-BE32-E72D297353CC}">
              <c16:uniqueId val="{00000003-D78D-488B-8717-579E760AFC16}"/>
            </c:ext>
          </c:extLst>
        </c:ser>
        <c:ser>
          <c:idx val="4"/>
          <c:order val="4"/>
          <c:tx>
            <c:strRef>
              <c:f>'Dashboards Lot 3'!$B$6</c:f>
              <c:strCache>
                <c:ptCount val="1"/>
                <c:pt idx="0">
                  <c:v>TREMEND</c:v>
                </c:pt>
              </c:strCache>
            </c:strRef>
          </c:tx>
          <c:spPr>
            <a:solidFill>
              <a:schemeClr val="accent5"/>
            </a:solidFill>
            <a:ln>
              <a:noFill/>
            </a:ln>
            <a:effectLst/>
          </c:spPr>
          <c:invertIfNegative val="0"/>
          <c:cat>
            <c:strRef>
              <c:f>'Dashboards Lot 3'!$C$2:$K$2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 Lot 3'!$C$6:$K$6</c:f>
              <c:numCache>
                <c:formatCode>_("€"* #,##0.00_);_("€"* \(#,##0.00\);_("€"* "-"??_);_(@_)</c:formatCode>
                <c:ptCount val="9"/>
                <c:pt idx="0">
                  <c:v>0</c:v>
                </c:pt>
                <c:pt idx="1">
                  <c:v>0</c:v>
                </c:pt>
                <c:pt idx="2">
                  <c:v>0</c:v>
                </c:pt>
                <c:pt idx="3">
                  <c:v>0</c:v>
                </c:pt>
                <c:pt idx="4">
                  <c:v>0</c:v>
                </c:pt>
                <c:pt idx="5">
                  <c:v>0</c:v>
                </c:pt>
                <c:pt idx="6">
                  <c:v>7659.4800000000005</c:v>
                </c:pt>
                <c:pt idx="7">
                  <c:v>27468.48</c:v>
                </c:pt>
                <c:pt idx="8">
                  <c:v>28524.959999999999</c:v>
                </c:pt>
              </c:numCache>
            </c:numRef>
          </c:val>
          <c:extLst>
            <c:ext xmlns:c16="http://schemas.microsoft.com/office/drawing/2014/chart" uri="{C3380CC4-5D6E-409C-BE32-E72D297353CC}">
              <c16:uniqueId val="{00000004-D78D-488B-8717-579E760AFC16}"/>
            </c:ext>
          </c:extLst>
        </c:ser>
        <c:ser>
          <c:idx val="5"/>
          <c:order val="5"/>
          <c:tx>
            <c:strRef>
              <c:f>'Dashboards Lot 3'!$B$7</c:f>
              <c:strCache>
                <c:ptCount val="1"/>
                <c:pt idx="0">
                  <c:v>Wavestone</c:v>
                </c:pt>
              </c:strCache>
            </c:strRef>
          </c:tx>
          <c:spPr>
            <a:solidFill>
              <a:schemeClr val="accent6"/>
            </a:solidFill>
            <a:ln>
              <a:noFill/>
            </a:ln>
            <a:effectLst/>
          </c:spPr>
          <c:invertIfNegative val="0"/>
          <c:cat>
            <c:strRef>
              <c:f>'Dashboards Lot 3'!$C$2:$K$2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 Lot 3'!$C$7:$K$7</c:f>
              <c:numCache>
                <c:formatCode>_("€"* #,##0.00_);_("€"* \(#,##0.00\);_("€"* "-"??_);_(@_)</c:formatCode>
                <c:ptCount val="9"/>
                <c:pt idx="0">
                  <c:v>27759.53</c:v>
                </c:pt>
                <c:pt idx="1">
                  <c:v>34497.279999999999</c:v>
                </c:pt>
                <c:pt idx="2">
                  <c:v>42029.039999999994</c:v>
                </c:pt>
                <c:pt idx="3">
                  <c:v>33833.94</c:v>
                </c:pt>
                <c:pt idx="4">
                  <c:v>29896.674999999999</c:v>
                </c:pt>
                <c:pt idx="5">
                  <c:v>34028.25</c:v>
                </c:pt>
                <c:pt idx="6">
                  <c:v>29702.625</c:v>
                </c:pt>
                <c:pt idx="7">
                  <c:v>31144.5</c:v>
                </c:pt>
                <c:pt idx="8">
                  <c:v>24919.870000000003</c:v>
                </c:pt>
              </c:numCache>
            </c:numRef>
          </c:val>
          <c:extLst>
            <c:ext xmlns:c16="http://schemas.microsoft.com/office/drawing/2014/chart" uri="{C3380CC4-5D6E-409C-BE32-E72D297353CC}">
              <c16:uniqueId val="{00000005-D78D-488B-8717-579E760AFC16}"/>
            </c:ext>
          </c:extLst>
        </c:ser>
        <c:dLbls>
          <c:showLegendKey val="0"/>
          <c:showVal val="0"/>
          <c:showCatName val="0"/>
          <c:showSerName val="0"/>
          <c:showPercent val="0"/>
          <c:showBubbleSize val="0"/>
        </c:dLbls>
        <c:gapWidth val="150"/>
        <c:overlap val="100"/>
        <c:axId val="2119595647"/>
        <c:axId val="2119596607"/>
      </c:barChart>
      <c:catAx>
        <c:axId val="21195956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119596607"/>
        <c:crosses val="autoZero"/>
        <c:auto val="1"/>
        <c:lblAlgn val="ctr"/>
        <c:lblOffset val="100"/>
        <c:noMultiLvlLbl val="0"/>
      </c:catAx>
      <c:valAx>
        <c:axId val="2119596607"/>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119595647"/>
        <c:crosses val="autoZero"/>
        <c:crossBetween val="between"/>
      </c:val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Répartition globale des Shares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D33-41C5-92E4-A9ACABB3C38F}"/>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8D33-41C5-92E4-A9ACABB3C38F}"/>
              </c:ext>
            </c:extLst>
          </c:dPt>
          <c:dPt>
            <c:idx val="2"/>
            <c:bubble3D val="0"/>
            <c:spPr>
              <a:solidFill>
                <a:schemeClr val="accent4"/>
              </a:solidFill>
              <a:ln w="19050">
                <a:solidFill>
                  <a:schemeClr val="lt1"/>
                </a:solidFill>
              </a:ln>
              <a:effectLst/>
            </c:spPr>
            <c:extLst>
              <c:ext xmlns:c16="http://schemas.microsoft.com/office/drawing/2014/chart" uri="{C3380CC4-5D6E-409C-BE32-E72D297353CC}">
                <c16:uniqueId val="{00000005-8D33-41C5-92E4-A9ACABB3C38F}"/>
              </c:ext>
            </c:extLst>
          </c:dPt>
          <c:dPt>
            <c:idx val="3"/>
            <c:bubble3D val="0"/>
            <c:spPr>
              <a:solidFill>
                <a:schemeClr val="accent5"/>
              </a:solidFill>
              <a:ln w="19050">
                <a:solidFill>
                  <a:schemeClr val="lt1"/>
                </a:solidFill>
              </a:ln>
              <a:effectLst/>
            </c:spPr>
            <c:extLst>
              <c:ext xmlns:c16="http://schemas.microsoft.com/office/drawing/2014/chart" uri="{C3380CC4-5D6E-409C-BE32-E72D297353CC}">
                <c16:uniqueId val="{00000007-8D33-41C5-92E4-A9ACABB3C38F}"/>
              </c:ext>
            </c:extLst>
          </c:dPt>
          <c:dPt>
            <c:idx val="4"/>
            <c:bubble3D val="0"/>
            <c:spPr>
              <a:solidFill>
                <a:schemeClr val="accent6"/>
              </a:solidFill>
              <a:ln w="19050">
                <a:solidFill>
                  <a:schemeClr val="lt1"/>
                </a:solidFill>
              </a:ln>
              <a:effectLst/>
            </c:spPr>
            <c:extLst>
              <c:ext xmlns:c16="http://schemas.microsoft.com/office/drawing/2014/chart" uri="{C3380CC4-5D6E-409C-BE32-E72D297353CC}">
                <c16:uniqueId val="{00000009-8D33-41C5-92E4-A9ACABB3C38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'Dashboards Lot 3'!$B$3:$B$7</c:f>
              <c:strCache>
                <c:ptCount val="5"/>
                <c:pt idx="0">
                  <c:v>TALAN</c:v>
                </c:pt>
                <c:pt idx="1">
                  <c:v>CGI LUX + BE</c:v>
                </c:pt>
                <c:pt idx="2">
                  <c:v>EDDA</c:v>
                </c:pt>
                <c:pt idx="3">
                  <c:v>TREMEND</c:v>
                </c:pt>
                <c:pt idx="4">
                  <c:v>Wavestone</c:v>
                </c:pt>
              </c:strCache>
            </c:strRef>
          </c:cat>
          <c:val>
            <c:numRef>
              <c:f>'Dashboards Lot 3'!$P$3:$P$7</c:f>
              <c:numCache>
                <c:formatCode>_("€"* #,##0.00_);_("€"* \(#,##0.00\);_("€"* "-"??_);_(@_)</c:formatCode>
                <c:ptCount val="5"/>
                <c:pt idx="0">
                  <c:v>522688.00000000006</c:v>
                </c:pt>
                <c:pt idx="1">
                  <c:v>1440497.95</c:v>
                </c:pt>
                <c:pt idx="2">
                  <c:v>1029514.1200000001</c:v>
                </c:pt>
                <c:pt idx="3">
                  <c:v>108289.20000000001</c:v>
                </c:pt>
                <c:pt idx="4">
                  <c:v>331819.14</c:v>
                </c:pt>
              </c:numCache>
            </c:numRef>
          </c:val>
          <c:extLst>
            <c:ext xmlns:c16="http://schemas.microsoft.com/office/drawing/2014/chart" uri="{C3380CC4-5D6E-409C-BE32-E72D297353CC}">
              <c16:uniqueId val="{0000000A-8D33-41C5-92E4-A9ACABB3C38F}"/>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Répartition des revenus Imagin'IT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ser>
          <c:idx val="0"/>
          <c:order val="0"/>
          <c:tx>
            <c:strRef>
              <c:f>'Dashboards Lot 3'!$B$3</c:f>
              <c:strCache>
                <c:ptCount val="1"/>
                <c:pt idx="0">
                  <c:v>TALAN</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og"/>
            <c:dispRSqr val="0"/>
            <c:dispEq val="0"/>
          </c:trendline>
          <c:cat>
            <c:strRef>
              <c:f>'Dashboards Lot 3'!$C$2:$K$2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 Lot 3'!$C$3:$K$3</c:f>
              <c:numCache>
                <c:formatCode>_("€"* #,##0.00_);_("€"* \(#,##0.00\);_("€"* "-"??_);_(@_)</c:formatCode>
                <c:ptCount val="9"/>
                <c:pt idx="0">
                  <c:v>0</c:v>
                </c:pt>
                <c:pt idx="1">
                  <c:v>0</c:v>
                </c:pt>
                <c:pt idx="2">
                  <c:v>0</c:v>
                </c:pt>
                <c:pt idx="3">
                  <c:v>14837.34</c:v>
                </c:pt>
                <c:pt idx="4">
                  <c:v>42392.4</c:v>
                </c:pt>
                <c:pt idx="5">
                  <c:v>45400.78</c:v>
                </c:pt>
                <c:pt idx="6">
                  <c:v>48131.709999999992</c:v>
                </c:pt>
                <c:pt idx="7">
                  <c:v>86336.510000000009</c:v>
                </c:pt>
                <c:pt idx="8">
                  <c:v>127737.16000000002</c:v>
                </c:pt>
              </c:numCache>
            </c:numRef>
          </c:val>
          <c:smooth val="0"/>
          <c:extLst>
            <c:ext xmlns:c16="http://schemas.microsoft.com/office/drawing/2014/chart" uri="{C3380CC4-5D6E-409C-BE32-E72D297353CC}">
              <c16:uniqueId val="{00000001-46F2-4F7C-BD54-ED078B549358}"/>
            </c:ext>
          </c:extLst>
        </c:ser>
        <c:ser>
          <c:idx val="1"/>
          <c:order val="1"/>
          <c:tx>
            <c:strRef>
              <c:f>'Dashboards Lot 3'!$B$4</c:f>
              <c:strCache>
                <c:ptCount val="1"/>
                <c:pt idx="0">
                  <c:v>CGI LUX + BE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ysDot"/>
              </a:ln>
              <a:effectLst/>
            </c:spPr>
            <c:trendlineType val="log"/>
            <c:dispRSqr val="0"/>
            <c:dispEq val="0"/>
          </c:trendline>
          <c:cat>
            <c:strRef>
              <c:f>'Dashboards Lot 3'!$C$2:$K$2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 Lot 3'!$C$4:$K$4</c:f>
              <c:numCache>
                <c:formatCode>_("€"* #,##0.00_);_("€"* \(#,##0.00\);_("€"* "-"??_);_(@_)</c:formatCode>
                <c:ptCount val="9"/>
                <c:pt idx="0">
                  <c:v>10714.13</c:v>
                </c:pt>
                <c:pt idx="1">
                  <c:v>125879.66999999998</c:v>
                </c:pt>
                <c:pt idx="2">
                  <c:v>132249.86000000002</c:v>
                </c:pt>
                <c:pt idx="3">
                  <c:v>120217.23</c:v>
                </c:pt>
                <c:pt idx="4">
                  <c:v>134065.87</c:v>
                </c:pt>
                <c:pt idx="5">
                  <c:v>133980.94</c:v>
                </c:pt>
                <c:pt idx="6">
                  <c:v>137931.62</c:v>
                </c:pt>
                <c:pt idx="7">
                  <c:v>110944.855</c:v>
                </c:pt>
                <c:pt idx="8">
                  <c:v>140224.23000000001</c:v>
                </c:pt>
              </c:numCache>
            </c:numRef>
          </c:val>
          <c:smooth val="0"/>
          <c:extLst>
            <c:ext xmlns:c16="http://schemas.microsoft.com/office/drawing/2014/chart" uri="{C3380CC4-5D6E-409C-BE32-E72D297353CC}">
              <c16:uniqueId val="{00000003-46F2-4F7C-BD54-ED078B549358}"/>
            </c:ext>
          </c:extLst>
        </c:ser>
        <c:ser>
          <c:idx val="2"/>
          <c:order val="2"/>
          <c:tx>
            <c:strRef>
              <c:f>'Dashboards Lot 3'!$B$5</c:f>
              <c:strCache>
                <c:ptCount val="1"/>
                <c:pt idx="0">
                  <c:v>EDDA</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log"/>
            <c:dispRSqr val="0"/>
            <c:dispEq val="0"/>
          </c:trendline>
          <c:cat>
            <c:strRef>
              <c:f>'Dashboards Lot 3'!$C$2:$K$2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 Lot 3'!$C$5:$K$5</c:f>
              <c:numCache>
                <c:formatCode>_("€"* #,##0.00_);_("€"* \(#,##0.00\);_("€"* "-"??_);_(@_)</c:formatCode>
                <c:ptCount val="9"/>
                <c:pt idx="0">
                  <c:v>54774.145000000011</c:v>
                </c:pt>
                <c:pt idx="1">
                  <c:v>136500.83000000002</c:v>
                </c:pt>
                <c:pt idx="2">
                  <c:v>97974.735000000001</c:v>
                </c:pt>
                <c:pt idx="3">
                  <c:v>83562.690000000017</c:v>
                </c:pt>
                <c:pt idx="4">
                  <c:v>82228.38</c:v>
                </c:pt>
                <c:pt idx="5">
                  <c:v>137115.89499999999</c:v>
                </c:pt>
                <c:pt idx="6">
                  <c:v>119993.25</c:v>
                </c:pt>
                <c:pt idx="7">
                  <c:v>86607.164999999994</c:v>
                </c:pt>
                <c:pt idx="8">
                  <c:v>86862.61500000002</c:v>
                </c:pt>
              </c:numCache>
            </c:numRef>
          </c:val>
          <c:smooth val="0"/>
          <c:extLst>
            <c:ext xmlns:c16="http://schemas.microsoft.com/office/drawing/2014/chart" uri="{C3380CC4-5D6E-409C-BE32-E72D297353CC}">
              <c16:uniqueId val="{00000005-46F2-4F7C-BD54-ED078B549358}"/>
            </c:ext>
          </c:extLst>
        </c:ser>
        <c:ser>
          <c:idx val="3"/>
          <c:order val="3"/>
          <c:tx>
            <c:strRef>
              <c:f>'Dashboards Lot 3'!$B$6</c:f>
              <c:strCache>
                <c:ptCount val="1"/>
                <c:pt idx="0">
                  <c:v>TREMEND</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trendline>
            <c:spPr>
              <a:ln w="19050" cap="rnd">
                <a:solidFill>
                  <a:schemeClr val="accent5"/>
                </a:solidFill>
                <a:prstDash val="sysDot"/>
              </a:ln>
              <a:effectLst/>
            </c:spPr>
            <c:trendlineType val="log"/>
            <c:dispRSqr val="0"/>
            <c:dispEq val="0"/>
          </c:trendline>
          <c:cat>
            <c:strRef>
              <c:f>'Dashboards Lot 3'!$C$2:$K$2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 Lot 3'!$C$6:$K$6</c:f>
              <c:numCache>
                <c:formatCode>_("€"* #,##0.00_);_("€"* \(#,##0.00\);_("€"* "-"??_);_(@_)</c:formatCode>
                <c:ptCount val="9"/>
                <c:pt idx="0">
                  <c:v>0</c:v>
                </c:pt>
                <c:pt idx="1">
                  <c:v>0</c:v>
                </c:pt>
                <c:pt idx="2">
                  <c:v>0</c:v>
                </c:pt>
                <c:pt idx="3">
                  <c:v>0</c:v>
                </c:pt>
                <c:pt idx="4">
                  <c:v>0</c:v>
                </c:pt>
                <c:pt idx="5">
                  <c:v>0</c:v>
                </c:pt>
                <c:pt idx="6">
                  <c:v>7659.4800000000005</c:v>
                </c:pt>
                <c:pt idx="7">
                  <c:v>27468.48</c:v>
                </c:pt>
                <c:pt idx="8">
                  <c:v>28524.959999999999</c:v>
                </c:pt>
              </c:numCache>
            </c:numRef>
          </c:val>
          <c:smooth val="0"/>
          <c:extLst>
            <c:ext xmlns:c16="http://schemas.microsoft.com/office/drawing/2014/chart" uri="{C3380CC4-5D6E-409C-BE32-E72D297353CC}">
              <c16:uniqueId val="{00000007-46F2-4F7C-BD54-ED078B549358}"/>
            </c:ext>
          </c:extLst>
        </c:ser>
        <c:ser>
          <c:idx val="4"/>
          <c:order val="4"/>
          <c:tx>
            <c:strRef>
              <c:f>'Dashboards Lot 3'!$B$7</c:f>
              <c:strCache>
                <c:ptCount val="1"/>
                <c:pt idx="0">
                  <c:v>Wavestone</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trendline>
            <c:spPr>
              <a:ln w="19050" cap="rnd">
                <a:solidFill>
                  <a:schemeClr val="accent6"/>
                </a:solidFill>
                <a:prstDash val="sysDot"/>
              </a:ln>
              <a:effectLst/>
            </c:spPr>
            <c:trendlineType val="log"/>
            <c:dispRSqr val="0"/>
            <c:dispEq val="0"/>
          </c:trendline>
          <c:cat>
            <c:strRef>
              <c:f>'Dashboards Lot 3'!$C$2:$K$2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 Lot 3'!$C$7:$K$7</c:f>
              <c:numCache>
                <c:formatCode>_("€"* #,##0.00_);_("€"* \(#,##0.00\);_("€"* "-"??_);_(@_)</c:formatCode>
                <c:ptCount val="9"/>
                <c:pt idx="0">
                  <c:v>27759.53</c:v>
                </c:pt>
                <c:pt idx="1">
                  <c:v>34497.279999999999</c:v>
                </c:pt>
                <c:pt idx="2">
                  <c:v>42029.039999999994</c:v>
                </c:pt>
                <c:pt idx="3">
                  <c:v>33833.94</c:v>
                </c:pt>
                <c:pt idx="4">
                  <c:v>29896.674999999999</c:v>
                </c:pt>
                <c:pt idx="5">
                  <c:v>34028.25</c:v>
                </c:pt>
                <c:pt idx="6">
                  <c:v>29702.625</c:v>
                </c:pt>
                <c:pt idx="7">
                  <c:v>31144.5</c:v>
                </c:pt>
                <c:pt idx="8">
                  <c:v>24919.870000000003</c:v>
                </c:pt>
              </c:numCache>
            </c:numRef>
          </c:val>
          <c:smooth val="0"/>
          <c:extLst>
            <c:ext xmlns:c16="http://schemas.microsoft.com/office/drawing/2014/chart" uri="{C3380CC4-5D6E-409C-BE32-E72D297353CC}">
              <c16:uniqueId val="{00000009-46F2-4F7C-BD54-ED078B549358}"/>
            </c:ext>
          </c:extLst>
        </c:ser>
        <c:dLbls>
          <c:showLegendKey val="0"/>
          <c:showVal val="0"/>
          <c:showCatName val="0"/>
          <c:showSerName val="0"/>
          <c:showPercent val="0"/>
          <c:showBubbleSize val="0"/>
        </c:dLbls>
        <c:marker val="1"/>
        <c:smooth val="0"/>
        <c:axId val="333395728"/>
        <c:axId val="333142480"/>
      </c:lineChart>
      <c:catAx>
        <c:axId val="333395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3142480"/>
        <c:crosses val="autoZero"/>
        <c:auto val="1"/>
        <c:lblAlgn val="ctr"/>
        <c:lblOffset val="100"/>
        <c:noMultiLvlLbl val="0"/>
      </c:catAx>
      <c:valAx>
        <c:axId val="33314248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33957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ustomData/_rels/itemProps1.xml.rels><?xml version="1.0" encoding="UTF-8" standalone="yes"?>
<Relationships xmlns="http://schemas.openxmlformats.org/package/2006/relationships"><Relationship Id="rId1" Type="http://schemas.microsoft.com/office/2007/relationships/customData" Target="item1.data"/></Relationships>
</file>

<file path=xl/customData/itemProps1.xml><?xml version="1.0" encoding="utf-8"?>
<datastoreItem xmlns="http://schemas.microsoft.com/office/spreadsheetml/2009/9/main" id="Microsoft_SQLServer_AnalysisServices"/>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1</xdr:col>
      <xdr:colOff>17146</xdr:colOff>
      <xdr:row>9</xdr:row>
      <xdr:rowOff>17145</xdr:rowOff>
    </xdr:from>
    <xdr:to>
      <xdr:col>6</xdr:col>
      <xdr:colOff>266700</xdr:colOff>
      <xdr:row>26</xdr:row>
      <xdr:rowOff>15240</xdr:rowOff>
    </xdr:to>
    <xdr:graphicFrame macro="">
      <xdr:nvGraphicFramePr>
        <xdr:cNvPr id="2" name="Graphique 1">
          <a:extLst>
            <a:ext uri="{FF2B5EF4-FFF2-40B4-BE49-F238E27FC236}">
              <a16:creationId xmlns:a16="http://schemas.microsoft.com/office/drawing/2014/main" id="{CBBBC8F2-2408-5380-532A-8B9CFB70AF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923924</xdr:colOff>
      <xdr:row>9</xdr:row>
      <xdr:rowOff>49530</xdr:rowOff>
    </xdr:from>
    <xdr:to>
      <xdr:col>11</xdr:col>
      <xdr:colOff>866774</xdr:colOff>
      <xdr:row>25</xdr:row>
      <xdr:rowOff>160020</xdr:rowOff>
    </xdr:to>
    <xdr:graphicFrame macro="">
      <xdr:nvGraphicFramePr>
        <xdr:cNvPr id="3" name="Graphique 2">
          <a:extLst>
            <a:ext uri="{FF2B5EF4-FFF2-40B4-BE49-F238E27FC236}">
              <a16:creationId xmlns:a16="http://schemas.microsoft.com/office/drawing/2014/main" id="{9A9C5E7E-11F0-0362-54A0-5D567EA3FB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26670</xdr:colOff>
      <xdr:row>27</xdr:row>
      <xdr:rowOff>133350</xdr:rowOff>
    </xdr:from>
    <xdr:to>
      <xdr:col>9</xdr:col>
      <xdr:colOff>695325</xdr:colOff>
      <xdr:row>54</xdr:row>
      <xdr:rowOff>38100</xdr:rowOff>
    </xdr:to>
    <xdr:graphicFrame macro="">
      <xdr:nvGraphicFramePr>
        <xdr:cNvPr id="5" name="Graphique 4">
          <a:extLst>
            <a:ext uri="{FF2B5EF4-FFF2-40B4-BE49-F238E27FC236}">
              <a16:creationId xmlns:a16="http://schemas.microsoft.com/office/drawing/2014/main" id="{B261204F-088B-135E-AD88-E3A072E9D1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17146</xdr:colOff>
      <xdr:row>9</xdr:row>
      <xdr:rowOff>17145</xdr:rowOff>
    </xdr:from>
    <xdr:to>
      <xdr:col>6</xdr:col>
      <xdr:colOff>266700</xdr:colOff>
      <xdr:row>26</xdr:row>
      <xdr:rowOff>15240</xdr:rowOff>
    </xdr:to>
    <xdr:graphicFrame macro="">
      <xdr:nvGraphicFramePr>
        <xdr:cNvPr id="2" name="Graphique 1">
          <a:extLst>
            <a:ext uri="{FF2B5EF4-FFF2-40B4-BE49-F238E27FC236}">
              <a16:creationId xmlns:a16="http://schemas.microsoft.com/office/drawing/2014/main" id="{E64B7859-7E5B-4822-B24A-9EB9C5191E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923924</xdr:colOff>
      <xdr:row>9</xdr:row>
      <xdr:rowOff>49530</xdr:rowOff>
    </xdr:from>
    <xdr:to>
      <xdr:col>11</xdr:col>
      <xdr:colOff>866774</xdr:colOff>
      <xdr:row>25</xdr:row>
      <xdr:rowOff>160020</xdr:rowOff>
    </xdr:to>
    <xdr:graphicFrame macro="">
      <xdr:nvGraphicFramePr>
        <xdr:cNvPr id="3" name="Graphique 2">
          <a:extLst>
            <a:ext uri="{FF2B5EF4-FFF2-40B4-BE49-F238E27FC236}">
              <a16:creationId xmlns:a16="http://schemas.microsoft.com/office/drawing/2014/main" id="{381DFD19-033D-4B30-AB98-1564C99B68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26670</xdr:colOff>
      <xdr:row>27</xdr:row>
      <xdr:rowOff>133350</xdr:rowOff>
    </xdr:from>
    <xdr:to>
      <xdr:col>9</xdr:col>
      <xdr:colOff>695325</xdr:colOff>
      <xdr:row>54</xdr:row>
      <xdr:rowOff>38100</xdr:rowOff>
    </xdr:to>
    <xdr:graphicFrame macro="">
      <xdr:nvGraphicFramePr>
        <xdr:cNvPr id="4" name="Graphique 3">
          <a:extLst>
            <a:ext uri="{FF2B5EF4-FFF2-40B4-BE49-F238E27FC236}">
              <a16:creationId xmlns:a16="http://schemas.microsoft.com/office/drawing/2014/main" id="{73188601-341F-4C90-811A-FE2BADA3E1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17146</xdr:colOff>
      <xdr:row>9</xdr:row>
      <xdr:rowOff>17145</xdr:rowOff>
    </xdr:from>
    <xdr:to>
      <xdr:col>6</xdr:col>
      <xdr:colOff>266700</xdr:colOff>
      <xdr:row>26</xdr:row>
      <xdr:rowOff>15240</xdr:rowOff>
    </xdr:to>
    <xdr:graphicFrame macro="">
      <xdr:nvGraphicFramePr>
        <xdr:cNvPr id="2" name="Graphique 1">
          <a:extLst>
            <a:ext uri="{FF2B5EF4-FFF2-40B4-BE49-F238E27FC236}">
              <a16:creationId xmlns:a16="http://schemas.microsoft.com/office/drawing/2014/main" id="{02901DEE-C8C6-4FC4-8745-9FEA4690D8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923924</xdr:colOff>
      <xdr:row>9</xdr:row>
      <xdr:rowOff>49530</xdr:rowOff>
    </xdr:from>
    <xdr:to>
      <xdr:col>11</xdr:col>
      <xdr:colOff>866774</xdr:colOff>
      <xdr:row>25</xdr:row>
      <xdr:rowOff>160020</xdr:rowOff>
    </xdr:to>
    <xdr:graphicFrame macro="">
      <xdr:nvGraphicFramePr>
        <xdr:cNvPr id="3" name="Graphique 2">
          <a:extLst>
            <a:ext uri="{FF2B5EF4-FFF2-40B4-BE49-F238E27FC236}">
              <a16:creationId xmlns:a16="http://schemas.microsoft.com/office/drawing/2014/main" id="{76D2BC28-4426-4EB0-98C4-778090B786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26670</xdr:colOff>
      <xdr:row>27</xdr:row>
      <xdr:rowOff>133350</xdr:rowOff>
    </xdr:from>
    <xdr:to>
      <xdr:col>9</xdr:col>
      <xdr:colOff>695325</xdr:colOff>
      <xdr:row>54</xdr:row>
      <xdr:rowOff>38100</xdr:rowOff>
    </xdr:to>
    <xdr:graphicFrame macro="">
      <xdr:nvGraphicFramePr>
        <xdr:cNvPr id="4" name="Graphique 3">
          <a:extLst>
            <a:ext uri="{FF2B5EF4-FFF2-40B4-BE49-F238E27FC236}">
              <a16:creationId xmlns:a16="http://schemas.microsoft.com/office/drawing/2014/main" id="{18B8DF1F-0C7E-47DC-802F-681FB0AE40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17146</xdr:colOff>
      <xdr:row>9</xdr:row>
      <xdr:rowOff>17145</xdr:rowOff>
    </xdr:from>
    <xdr:to>
      <xdr:col>6</xdr:col>
      <xdr:colOff>266700</xdr:colOff>
      <xdr:row>26</xdr:row>
      <xdr:rowOff>15240</xdr:rowOff>
    </xdr:to>
    <xdr:graphicFrame macro="">
      <xdr:nvGraphicFramePr>
        <xdr:cNvPr id="2" name="Graphique 1">
          <a:extLst>
            <a:ext uri="{FF2B5EF4-FFF2-40B4-BE49-F238E27FC236}">
              <a16:creationId xmlns:a16="http://schemas.microsoft.com/office/drawing/2014/main" id="{2BEFB815-6003-4BBF-8E8F-CDED11F748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923924</xdr:colOff>
      <xdr:row>9</xdr:row>
      <xdr:rowOff>49530</xdr:rowOff>
    </xdr:from>
    <xdr:to>
      <xdr:col>11</xdr:col>
      <xdr:colOff>866774</xdr:colOff>
      <xdr:row>25</xdr:row>
      <xdr:rowOff>160020</xdr:rowOff>
    </xdr:to>
    <xdr:graphicFrame macro="">
      <xdr:nvGraphicFramePr>
        <xdr:cNvPr id="3" name="Graphique 2">
          <a:extLst>
            <a:ext uri="{FF2B5EF4-FFF2-40B4-BE49-F238E27FC236}">
              <a16:creationId xmlns:a16="http://schemas.microsoft.com/office/drawing/2014/main" id="{6D22C964-B870-49AF-9BA4-1FF683B651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26670</xdr:colOff>
      <xdr:row>27</xdr:row>
      <xdr:rowOff>133350</xdr:rowOff>
    </xdr:from>
    <xdr:to>
      <xdr:col>9</xdr:col>
      <xdr:colOff>695325</xdr:colOff>
      <xdr:row>54</xdr:row>
      <xdr:rowOff>38100</xdr:rowOff>
    </xdr:to>
    <xdr:graphicFrame macro="">
      <xdr:nvGraphicFramePr>
        <xdr:cNvPr id="4" name="Graphique 3">
          <a:extLst>
            <a:ext uri="{FF2B5EF4-FFF2-40B4-BE49-F238E27FC236}">
              <a16:creationId xmlns:a16="http://schemas.microsoft.com/office/drawing/2014/main" id="{847BC46A-A4E6-4BFD-9305-CF3CA95C98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Keller, Olivier" refreshedDate="45622.591099074074" createdVersion="6" refreshedVersion="8" minRefreshableVersion="3" recordCount="175" xr:uid="{00000000-000A-0000-FFFF-FFFF05000000}">
  <cacheSource type="worksheet">
    <worksheetSource name="TAB_CS"/>
  </cacheSource>
  <cacheFields count="78">
    <cacheField name="ID" numFmtId="0">
      <sharedItems containsBlank="1" containsMixedTypes="1" containsNumber="1" containsInteger="1" minValue="1" maxValue="170"/>
    </cacheField>
    <cacheField name="Reference" numFmtId="0">
      <sharedItems containsBlank="1" containsMixedTypes="1" containsNumber="1" containsInteger="1" minValue="11235" maxValue="11235" count="166">
        <s v="_x0009_DIGITTMII-007029-6000053863-REQ-01"/>
        <s v="_x0009_DIGITTMII-009325-DIGITTMII-005585-MOD-01-6000053863-REQ-01"/>
        <s v="DIGITTMII-012161-DIGITTMII-011049-MOD-01-6000053863-REQ-01"/>
        <s v="DIGITTMII-000214-6000053863-REQ-01"/>
        <s v="DIGITTMII-000659-6000053863-REQ-01"/>
        <s v="DIGITTMII-001410-6000053863-REQ-01"/>
        <s v="DIGITTMII-001415-6000053863-REQ-01"/>
        <s v="DIGITTMII-001416-6000053863-REQ-01"/>
        <s v="DIGITTMII-001772-6000053863-REQ-01"/>
        <s v="DIGITTMII-001774-6000053863-REQ-01"/>
        <s v="DIGITTMII-001940-6000053863-REQ-01"/>
        <s v="DIGITTMII-001957-6000053863-REQ-01"/>
        <s v="DIGITTMII-002098-6000053863-REQ-01"/>
        <s v="DIGITTMII-002150-6000053863-REQ-01"/>
        <s v="DIGITTMII-002191-6000053863-REQ-01"/>
        <s v="DIGITTMII-002416-6000053863-REQ-01"/>
        <s v="DIGITTMII-002474-6000053863-REQ-01"/>
        <s v="DIGITTMII-002819-6000053863-REQ-01"/>
        <s v="DIGITTMII-002829-6000053863-REQ-01"/>
        <s v="DIGITTMII-002906-6000053863-REQ-01"/>
        <s v="DIGITTMII-002931-6000053863-REQ-01"/>
        <s v="DIGITTMII-003098-6000053863-REQ-01"/>
        <s v="DIGITTMII-003129-6000053863-REQ-01"/>
        <s v="DIGITTMII-003143-6000053863-REQ-01"/>
        <s v="DIGITTMII-003241-6000053863-REQ-01"/>
        <s v="DIGITTMII-003344-6000053863-REQ-01"/>
        <s v="DIGITTMII-003389-6000053863-REQ-01"/>
        <s v="DIGITTMII-003431-6000053863-REQ-01"/>
        <s v="DIGITTMII-003463-6000053863-REQ-01"/>
        <s v="DIGITTMII-003533-6000053863-REQ-01"/>
        <s v="DIGITTMII-003743-6000053863-REQ-01"/>
        <s v="DIGITTMII-003772-6000053863-REQ-01"/>
        <s v="DIGITTMII-004019-6000053863-REQ-01"/>
        <s v="DIGITTMII-004430-6000053863-REQ-01"/>
        <s v="DIGITTMII-004446-6000053863-REQ-01"/>
        <s v="DIGITTMII-004465-6000053863-REQ-01"/>
        <s v="DIGITTMII-004504-6000053863-REQ-01"/>
        <s v="DIGITTMII-005154-6000053863-REQ-01"/>
        <s v="DIGITTMII-005337-6000053863-REQ-01"/>
        <s v="DIGITTMII-005400-DIGITTMII-001940-EXT-01-6000053863-REQ-01"/>
        <s v="DIGITTMII-005585-DIGITTMII-003344-EXT-01-6000053863-REQ-01"/>
        <s v="DIGITTMII-005592-DIGITTMII-002150-EXT-01-6000053863-REQ-01"/>
        <s v="DIGITTMII-005727-DIGITTMII-000214-EXT-01-6000053863-REQ-01"/>
        <s v="DIGITTMII-005922-DIGITTMII-001415-EXT-01-6000053863-REQ-01"/>
        <s v="DIGITTMII-005981-DIGITTMII-003389-EXT-01-6000053863-REQ-01"/>
        <s v="DIGITTMII-006067-6000053863-REQ-01"/>
        <s v="DIGITTMII-006275-DIGITTMII-003533-EXT-01-6000053863-REQ-01"/>
        <s v="DIGITTMII-006278-6000053863-REQ-01"/>
        <s v="DIGITTMII-006300-6000053863-REQ-01"/>
        <s v="DIGITTMII-006302-6000053863-REQ-01"/>
        <s v="DIGITTMII-006542-DIGITTMII-003463-EXT-01-6000053863-REQ-01"/>
        <s v="DIGITTMII-006621-DIGITTMII-002474-EXT-01-6000053863-REQ-01"/>
        <s v="DIGITTMII-006710-DIGITTMII-001957-EXT-01-6000053863-REQ-01"/>
        <s v="DIGITTMII-006713-DIGITTMII-002931-EXT-01-6000053863-REQ-01"/>
        <s v="DIGITTMII-006870-DIGITTMII-003743-EXT-01-6000053863-REQ-01"/>
        <s v="DIGITTMII-006985-DIGITTMII-001410-EXT-01-6000053863-REQ-01"/>
        <s v="DIGITTMII-006994-DIGITTMII-001416-EXT-01-6000053863-REQ-01"/>
        <s v="DIGITTMII-007373-DIGITTMII-002906-EXT-01-6000053863-REQ-01"/>
        <s v="DIGITTMII-007384-DIGITTMII-002098-EXT-01-6000053863-REQ-01"/>
        <s v="DIGITTMII-007455-DIGITTMII-002819-EXT-01-6000053863-REQ-01"/>
        <s v="DIGITTMII-007512-DIGITTMII-001772-EXT-01-6000053863-REQ-01"/>
        <s v="DIGITTMII-007670-6000053863-REQ-01"/>
        <s v="DIGITTMII-007691-DIGITTMII-004504-MOD-05-6000053863-REQ-01"/>
        <s v="DIGITTMII-007936-6000053863-REQ-01"/>
        <s v="DIGITTMII-008170-DIGITTMII-003129-EXT-01-6000053863-REQ-01"/>
        <s v="DIGITTMII-008218-DIGITTMII-003431-EXT-01-6000053863-REQ-01"/>
        <s v="DIGITTMII-008426-DIGITTMII-003389-EXT-02-6000053863-REQ-01"/>
        <s v="DIGITTMII-008616-DIGITTMII-003241-EXT-01-6000053863-REQ-01"/>
        <s v="DIGITTMII-008641-6000053863-REQ-01"/>
        <s v="DIGITTMII-008866-DIGITTMII-001774-EXT-01-6000053863-REQ-01-OFF-01"/>
        <s v="DIGITTMII-009034-DIGITTMII-002416-EXT-02-6000053863-REQ-01"/>
        <s v="DIGITTMII-009146-6000053863-REQ-01"/>
        <s v="DIGITTMII-009161-DIGITTMII-003143-EXT-01-6000053863-REQ-01"/>
        <s v="DIGITTMII-009215-DIGITTMII-000659-EXT-01-6000053863-REQ-01"/>
        <s v="DIGITTMII-009438-DIGITTMII-001957-MOD-02-6000053863-REQ-01"/>
        <s v="DIGITTMII-009632-6000053863-REQ-01"/>
        <s v="DIGITTMII-009749-DIGITTMII-003344-EXT-02-6000053863-REQ-01"/>
        <s v="DIGITTMII-009932-DIGITTMII-002829-EXT-01-6000053863-REQ-01"/>
        <s v="DIGITTMII-010281-DIGITTMII-004465-EXT-02-6000053863-REQ-01"/>
        <s v="DIGITTMII-010435-DIGITTMII-004504-EXT-01-6000053863-REQ-01"/>
        <s v="DIGITTMII-010645-DIGITTMII-006710-MOD-03-6000053863-REQ-01"/>
        <s v="DIGITTMII-010695-DIGITTMII-003533-EXT-02-6000053863-REQ-01"/>
        <s v="DIGITTMII-010768-DIGITTMII-002098-EXT-02-6000053863-REQ-01"/>
        <s v="DIGITTMII-010947-DIGITTMII-003743-EXT-02-6000053863-REQ-01"/>
        <s v="DIGITTMII-011049-DIGITTMII-002819-EXT-02-6000053863-REQ-01_x0009_"/>
        <s v="DIGITTMII-011065-DIGITTMII-004446-EXT-01-6000053863-REQ-01"/>
        <s v="DIGITTMII-011066-DIGITTMII-004430-EXT-01-6000053863-REQ-01"/>
        <s v="DIGITTMII-011235-6000053863-REQ-01"/>
        <s v="DIGITTMII-011244-6000053863-REQ-01"/>
        <s v="DIGITTMII-011326-DIGITTMII-002906-EXT-02-6000053863-REQ-01"/>
        <s v="DIGITTMII-011457-DIGITTMII-002191-EXT-02-6000053863-REQ-01"/>
        <s v="DIGITTMII-011735-DIGITTMII-006302-EXT-01-6000053863-REQ-01"/>
        <s v="DIGITTMII-011810-DIGITTMII-006278-EXT-01-6000053863-REQ-01"/>
        <s v="DIGITTMII-011888-DIGITTMII-001957-EXT-02-6000053863-REQ-01"/>
        <s v="DIGITTMII-011993-DIGITTMII-003772-EXT-01-6000053863-REQ-01"/>
        <s v="DIGITTMII-012394-DIGITTMII-002819-EXT-03-6000053863-REQ-01"/>
        <s v="DIGITTMII-012573-DIGITTMII-005337-EXT-01-6000053863-REQ-01"/>
        <s v="DIGITTMII-012730-DIGITTMII-004019-EXT-01-6000053863-REQ-01"/>
        <s v="DIGITTMII-013723-DIGITTMII-002474-EXT-02-6000053863-REQ-01"/>
        <s v="DIGITTMII-008383-6000053863-REQ-01"/>
        <s v="DIGITTMII-012575-DIGITTMII-002191-EXT-03-6000053863-REQ-01"/>
        <s v="DIGITTMII-009597-6000053863-REQ-01"/>
        <s v="DIGITTMII-013640-DIGITTMII-001940-EXT-02-6000053863-REQ-01"/>
        <s v="DIGITTMII-013706-DIGITTMII-009146-EXT-01-6000053863-REQ-01"/>
        <s v="DIGITTMII-013264-DIGITTMII-001772-EXT-02-6000053863-REQ-01"/>
        <s v="DIGITTMII-013721-DIGITTMII-001415-EXT-02-6000053863-REQ-01"/>
        <s v="DIGITTMII-013905-DIGITTMII-003463-EXT-02-6000053863-REQ-01"/>
        <s v="DIGITTMII-014031-DIGITTMII-003533-EXT-03-6000053863-REQ-01"/>
        <s v="DIGITTMII-014090-DIGITTMII-003389-EXT-03-6000053863-REQ-01"/>
        <s v="DIGITTMII-014261-DIGITTMII-007512-MOD-01-6000053863-REQ-01"/>
        <s v="DIGITTMII-014457-DIGITTMII-000214-EXT-02-6000053863-REQ-01"/>
        <s v="DIGITTMII-014656-DIGITTMII-003344-EXT-03-6000053863-REQ-0"/>
        <s v="DIGITTMII-015280-DIGITTMII-003772-EXT-02-6000053863-REQ-0"/>
        <s v="DIGITTMII-015256-DIGITTMII-002906-EXT-03-6000053863-REQ-01"/>
        <s v="DIGITTMII-011608-DIGITTMII-009749-MOD-01-6000053863-REQ-01"/>
        <s v="DIGITTMII-011653-6000053863-REQ-01"/>
        <s v="DIGITTMII-015091-DIGITTMII-003431-EXT-02-6000053863-REQ-01"/>
        <s v="DIGITTMII-015251-DIGITTMII-001410-EXT-02-6000053863-REQ-01"/>
        <s v="DIGITTMII-015440-DIGITTMII-002098-EXT-03-6000053863-REQ-01"/>
        <s v="DIGITTMII-015505-DIGITTMII-003743-EXT-03-6000053863-REQ-01"/>
        <s v="DIGITTMII-015548-DIGITTMII-008641-EXT-01-6000053863-REQ-01"/>
        <s v="DIGITTMII-015612-DIGITTMII-001957-EXT-03-6000053863-REQ-01"/>
        <s v="DIGITTMII-015656-DIGITTMII-004446-EXT-02-6000053863-REQ-01"/>
        <s v="DIGITTMII-015661-DIGITTMII-004430-EXT-02-6000053863-REQ-01"/>
        <s v="DIGITTMII-015688-DIGITTMII-001416-EXT-03-6000053863-REQ-01"/>
        <s v="DIGITTMII-012876-6000053863-REQ-01"/>
        <s v="DIGITTMII-016057-DIGITTMII-007029-EXT-01-6000053863-REQ-01"/>
        <s v="DIGITTMII-016140-DIGITTMII-004504-EXT-02-6000053863-REQ-0"/>
        <s v="DIGITTMII-016268-DIGITTMII-003241-EXT-03-6000053863-REQ-01"/>
        <s v="DIGITTMII-015625-DIGITTMII-006278-EXT-02-6000053863-REQ-01"/>
        <s v="DIGITTMII-014680-DIGITTMII-007936-EXT-01-6000053863-REQ-0"/>
        <s v="DIGITTMII-016730-DIGITTMII-006302-EXT-02-6000053863-REQ-01"/>
        <s v="DIGITTMII-016208-DIGITTMII-003129-EXT-02-6000053863-REQ-01"/>
        <s v="DIGITTMII-015865-6000053863-REQ-01"/>
        <s v="DIGITTMII-013551-DIGITTMII-002150-EXT-02-6000053863-REQ-01"/>
        <s v="DIGITTMII-014696-DIGITTMII-001774-EXT-02-6000053863-REQ-01"/>
        <s v="DIGITTMII-010199-6000053863-REQ-01"/>
        <s v="DIGITTMII-014553-6000053863-REQ-01"/>
        <s v="DIGITTMII-017038-DIGITTMII-000659-EXT-02-6000053863-REQ-01"/>
        <s v="DIGITTMII-017158-DIGITTMII-012876-EXT-01-6000053863-REQ-01"/>
        <s v="DIGITTMII-017439-DIGITTMII-002819-EXT-04-6000053863-REQ-01"/>
        <s v="DIGITTMII-016317-DIGITTMII-008383-EXT-01-6000053863-REQ-01"/>
        <s v="DIGITTMII-017285-DIGITTMII-006300-EXT-01-6000053863-REQ-01"/>
        <s v="DIGITTMII-017563-DIGITTMII-011653-EXT-01-6000053863-REQ-01"/>
        <s v="DIGITTMII-015011-6000053863-REQ-01"/>
        <s v="DIGITTMII-017717-DIGITTMII-004504-EXT-03-6000053863-REQ-01"/>
        <s v="DIGITTMII-017719-DIGITTMII-003743-EXT-04-6000053863-REQ-01"/>
        <s v="DIGITTMII-017918-DIGITTMII-002098-EXT-04-6000053863-REQ-01"/>
        <s v="DIGITTMII-017243-6000053863-REQ-01"/>
        <s v="DIGITTMII-017933-DIGITTMII-009632-EXT-01-6000053863-REQ-01"/>
        <s v="DIGITTMII-017817-DIGITTMII-000214-EXT-03-6000053863-REQ-01"/>
        <s v="DIGITTMII-018153-DIGITTMII-007670-EXT-01-6000053863-REQ-01"/>
        <s v="DIGITTMII-016501-6000053863-REQ-01"/>
        <s v="DIGITTMII-017718-DIGITTMII-013551-MOD-01-6000053863-REQ-01"/>
        <s v="DIGITTMII-018064-DIGITTMII-003533-EXT-04-6000053863-REQ-01"/>
        <s v="DIGITTMII-018451-DIGITTMII-002829-EXT-02-6000053863-REQ-01"/>
        <s v="DIGITTMII-018932-DIGITTMII-012876-EXT-02-6000053863-REQ-01"/>
        <s v="DIGITTMII-019242-DIGITTMII-002819-EXT-05-6000053863-REQ-01"/>
        <s v="DIGITTMII-019166-DIGITTMII-014553-EXT-01-6000053863-REQ-01"/>
        <s v="DIGITTMII-019554-DIGITTMII-003344-EXT-04-6000053863-REQ-01"/>
        <s v="DIGITTMII-019611-DIGITTMII-008641-EXT-02-6000053863-REQ-01"/>
        <s v="DIGITTMII-019273-DIGITTMII-011235-EXT-01-6000053863-REQ-01"/>
        <s v="DIGITTMII-019555-DIGITTMII-001940-EXT-03-6000053863-REQ-01"/>
        <s v="DIGITTMII-019657-DIGITTMII-002150-EXT-03-6000053863-REQ-01"/>
        <m/>
        <n v="11235" u="1"/>
      </sharedItems>
    </cacheField>
    <cacheField name="Activity code" numFmtId="0">
      <sharedItems containsBlank="1"/>
    </cacheField>
    <cacheField name="Lot" numFmtId="0">
      <sharedItems containsBlank="1" containsMixedTypes="1" containsNumber="1" containsInteger="1" minValue="0" maxValue="1" count="7">
        <s v="Lot 2"/>
        <s v="Lot 1"/>
        <s v="Lot 3"/>
        <s v=""/>
        <m/>
        <n v="0" u="1"/>
        <n v="1" u="1"/>
      </sharedItems>
    </cacheField>
    <cacheField name="Business perimeter" numFmtId="0">
      <sharedItems containsBlank="1"/>
    </cacheField>
    <cacheField name="Modification request" numFmtId="0">
      <sharedItems containsBlank="1" containsMixedTypes="1" containsNumber="1" containsInteger="1" minValue="0" maxValue="0"/>
    </cacheField>
    <cacheField name="Institution/agency" numFmtId="0">
      <sharedItems containsBlank="1"/>
    </cacheField>
    <cacheField name="DG" numFmtId="0">
      <sharedItems containsBlank="1" containsMixedTypes="1" containsNumber="1" containsInteger="1" minValue="0" maxValue="0" count="39">
        <s v="DIGIT.R.2"/>
        <s v="DIGIT.A.4"/>
        <s v="DIGIT.A.3"/>
        <s v="REA D.2.003"/>
        <s v="DIGIT.D.3"/>
        <s v="REA"/>
        <s v="SANTE.R.1"/>
        <s v="JUST B.3"/>
        <s v="EMPL"/>
        <s v="DIGIT.D.1"/>
        <s v="DIGIT.B.4"/>
        <s v="HR"/>
        <s v="JUST CRIM"/>
        <s v="ENV"/>
        <s v="TRAD A.2."/>
        <s v="RTD.I.3"/>
        <s v="JUST"/>
        <s v="DIGIT.B.3"/>
        <s v="REGIO"/>
        <s v="RTD"/>
        <s v="JUST B.1"/>
        <s v="DIGIT.D.2"/>
        <s v="ESTAT"/>
        <s v="DIGIT.A.5"/>
        <s v="GROW"/>
        <s v="SG"/>
        <s v="DIGIT.B.1"/>
        <s v="SANTE"/>
        <s v="DIGIT.B.1_x0009_"/>
        <s v="ESTAT.A.5"/>
        <s v="HR.DS"/>
        <s v="DIGIT.C.2"/>
        <m/>
        <s v="DIGIT.A.2"/>
        <s v="DIGIT.C.4"/>
        <s v="ENER"/>
        <s v="DGT"/>
        <s v=""/>
        <n v="0" u="1"/>
      </sharedItems>
    </cacheField>
    <cacheField name="Description" numFmtId="0">
      <sharedItems containsBlank="1" containsMixedTypes="1" containsNumber="1" containsInteger="1" minValue="0" maxValue="0"/>
    </cacheField>
    <cacheField name="CS signature date" numFmtId="177">
      <sharedItems containsNonDate="0" containsDate="1" containsBlank="1" containsMixedTypes="1" minDate="1899-12-30T00:00:00" maxDate="2024-11-12T00:00:00"/>
    </cacheField>
    <cacheField name="CS Start date" numFmtId="177">
      <sharedItems containsNonDate="0" containsDate="1" containsBlank="1" containsMixedTypes="1" minDate="1899-12-30T00:00:00" maxDate="2025-06-12T00:00:00"/>
    </cacheField>
    <cacheField name="CS end date" numFmtId="177">
      <sharedItems containsNonDate="0" containsDate="1" containsBlank="1" containsMixedTypes="1" minDate="1899-12-30T00:00:00" maxDate="2026-11-01T00:00:00"/>
    </cacheField>
    <cacheField name="State" numFmtId="0">
      <sharedItems containsBlank="1" containsMixedTypes="1" containsNumber="1" containsInteger="1" minValue="0" maxValue="0"/>
    </cacheField>
    <cacheField name="Ressource" numFmtId="0">
      <sharedItems containsBlank="1"/>
    </cacheField>
    <cacheField name="Company" numFmtId="0">
      <sharedItems containsBlank="1" containsMixedTypes="1" containsNumber="1" containsInteger="1" minValue="0" maxValue="0" count="8">
        <s v="TREMEND"/>
        <s v="EDDA"/>
        <s v="Wavestone"/>
        <s v="CGI LUX"/>
        <s v="TALAN"/>
        <s v=""/>
        <n v="0"/>
        <m/>
      </sharedItems>
    </cacheField>
    <cacheField name="Tri-1" numFmtId="0">
      <sharedItems/>
    </cacheField>
    <cacheField name="Tri-2" numFmtId="0">
      <sharedItems/>
    </cacheField>
    <cacheField name="Profile" numFmtId="0">
      <sharedItems containsBlank="1"/>
    </cacheField>
    <cacheField name="Level" numFmtId="0">
      <sharedItems containsBlank="1" containsMixedTypes="1" containsNumber="1" containsInteger="1" minValue="0" maxValue="10"/>
    </cacheField>
    <cacheField name="Profile in €" numFmtId="2">
      <sharedItems containsString="0" containsBlank="1" containsNumber="1" minValue="0" maxValue="1000"/>
    </cacheField>
    <cacheField name="Commited days" numFmtId="167">
      <sharedItems containsString="0" containsBlank="1" containsNumber="1" minValue="0" maxValue="440"/>
    </cacheField>
    <cacheField name="Commited amount" numFmtId="44">
      <sharedItems containsSemiMixedTypes="0" containsString="0" containsNumber="1" minValue="0" maxValue="354873.2"/>
    </cacheField>
    <cacheField name="Producted days" numFmtId="2">
      <sharedItems containsSemiMixedTypes="0" containsString="0" containsNumber="1" minValue="0" maxValue="259"/>
    </cacheField>
    <cacheField name="Producted amounts" numFmtId="44">
      <sharedItems containsSemiMixedTypes="0" containsString="0" containsNumber="1" minValue="0" maxValue="200422.70499999999"/>
    </cacheField>
    <cacheField name="Remaining days" numFmtId="2">
      <sharedItems containsSemiMixedTypes="0" containsString="0" containsNumber="1" minValue="-17.5" maxValue="191.5"/>
    </cacheField>
    <cacheField name="Remaining amount" numFmtId="44">
      <sharedItems containsSemiMixedTypes="0" containsString="0" containsNumber="1" minValue="-7587.125" maxValue="154450.495"/>
    </cacheField>
    <cacheField name="Expected days" numFmtId="2">
      <sharedItems containsString="0" containsBlank="1" containsNumber="1" minValue="0" maxValue="191.5"/>
    </cacheField>
    <cacheField name="Expected amounts" numFmtId="172">
      <sharedItems containsSemiMixedTypes="0" containsString="0" containsNumber="1" minValue="0" maxValue="154450.495"/>
    </cacheField>
    <cacheField name="Budget" numFmtId="172">
      <sharedItems/>
    </cacheField>
    <cacheField name="F" numFmtId="0">
      <sharedItems containsNonDate="0" containsString="0" containsBlank="1"/>
    </cacheField>
    <cacheField name="Apr-2022" numFmtId="0">
      <sharedItems containsNonDate="0" containsString="0" containsBlank="1"/>
    </cacheField>
    <cacheField name="May-2022" numFmtId="167">
      <sharedItems containsNonDate="0" containsString="0" containsBlank="1"/>
    </cacheField>
    <cacheField name="Jun-2022" numFmtId="167">
      <sharedItems containsNonDate="0" containsString="0" containsBlank="1"/>
    </cacheField>
    <cacheField name="Jul-2022" numFmtId="167">
      <sharedItems containsNonDate="0" containsString="0" containsBlank="1"/>
    </cacheField>
    <cacheField name="Aug-2022" numFmtId="0">
      <sharedItems containsNonDate="0" containsString="0" containsBlank="1"/>
    </cacheField>
    <cacheField name="Sep-2022" numFmtId="167">
      <sharedItems containsString="0" containsBlank="1" containsNumber="1" containsInteger="1" minValue="4" maxValue="11"/>
    </cacheField>
    <cacheField name="Oct-2022" numFmtId="0">
      <sharedItems containsString="0" containsBlank="1" containsNumber="1" minValue="6" maxValue="21"/>
    </cacheField>
    <cacheField name="Nov-2022" numFmtId="0">
      <sharedItems containsString="0" containsBlank="1" containsNumber="1" minValue="2.5" maxValue="20.5"/>
    </cacheField>
    <cacheField name="Dec-2022" numFmtId="0">
      <sharedItems containsString="0" containsBlank="1" containsNumber="1" minValue="0.5" maxValue="21"/>
    </cacheField>
    <cacheField name="Jan-2023" numFmtId="0">
      <sharedItems containsString="0" containsBlank="1" containsNumber="1" minValue="15" maxValue="22"/>
    </cacheField>
    <cacheField name="Feb-2023" numFmtId="0">
      <sharedItems containsString="0" containsBlank="1" containsNumber="1" minValue="10" maxValue="20"/>
    </cacheField>
    <cacheField name="Mar-2023" numFmtId="0">
      <sharedItems containsString="0" containsBlank="1" containsNumber="1" minValue="4" maxValue="23"/>
    </cacheField>
    <cacheField name="Apr-2023" numFmtId="0">
      <sharedItems containsString="0" containsBlank="1" containsNumber="1" minValue="1" maxValue="19"/>
    </cacheField>
    <cacheField name="May-2023" numFmtId="0">
      <sharedItems containsString="0" containsBlank="1" containsNumber="1" minValue="1.5" maxValue="22"/>
    </cacheField>
    <cacheField name="Jun-2023" numFmtId="0">
      <sharedItems containsString="0" containsBlank="1" containsNumber="1" minValue="0.5" maxValue="23"/>
    </cacheField>
    <cacheField name="Jul-2023" numFmtId="2">
      <sharedItems containsString="0" containsBlank="1" containsNumber="1" minValue="1" maxValue="21"/>
    </cacheField>
    <cacheField name="Aug-2023" numFmtId="2">
      <sharedItems containsString="0" containsBlank="1" containsNumber="1" minValue="1" maxValue="22"/>
    </cacheField>
    <cacheField name="Sep-2023" numFmtId="2">
      <sharedItems containsString="0" containsBlank="1" containsNumber="1" minValue="0.5" maxValue="21"/>
    </cacheField>
    <cacheField name="Oct-2023" numFmtId="2">
      <sharedItems containsString="0" containsBlank="1" containsNumber="1" minValue="2.5" maxValue="22"/>
    </cacheField>
    <cacheField name="Nov-2023" numFmtId="2">
      <sharedItems containsString="0" containsBlank="1" containsNumber="1" minValue="1.5" maxValue="23"/>
    </cacheField>
    <cacheField name="Dec-2023" numFmtId="2">
      <sharedItems containsString="0" containsBlank="1" containsNumber="1" minValue="1" maxValue="20"/>
    </cacheField>
    <cacheField name="Jan-2024" numFmtId="2">
      <sharedItems containsString="0" containsBlank="1" containsNumber="1" minValue="2" maxValue="24"/>
    </cacheField>
    <cacheField name="Feb-2024" numFmtId="2">
      <sharedItems containsString="0" containsBlank="1" containsNumber="1" minValue="4" maxValue="24.5"/>
    </cacheField>
    <cacheField name="Mar-2024" numFmtId="2">
      <sharedItems containsString="0" containsBlank="1" containsNumber="1" minValue="4" maxValue="21"/>
    </cacheField>
    <cacheField name="Apr-2024" numFmtId="2">
      <sharedItems containsString="0" containsBlank="1" containsNumber="1" minValue="0.5" maxValue="21"/>
    </cacheField>
    <cacheField name="May-2024" numFmtId="2">
      <sharedItems containsString="0" containsBlank="1" containsNumber="1" minValue="0.5" maxValue="20"/>
    </cacheField>
    <cacheField name="Jun-2024" numFmtId="2">
      <sharedItems containsString="0" containsBlank="1" containsNumber="1" minValue="1" maxValue="20"/>
    </cacheField>
    <cacheField name="Jul-2024" numFmtId="2">
      <sharedItems containsString="0" containsBlank="1" containsNumber="1" minValue="0.5" maxValue="23"/>
    </cacheField>
    <cacheField name="Aug-2024" numFmtId="2">
      <sharedItems containsString="0" containsBlank="1" containsNumber="1" minValue="0" maxValue="21"/>
    </cacheField>
    <cacheField name="Sep-2024" numFmtId="2">
      <sharedItems containsString="0" containsBlank="1" containsNumber="1" minValue="0" maxValue="21"/>
    </cacheField>
    <cacheField name="P" numFmtId="2">
      <sharedItems containsNonDate="0" containsString="0" containsBlank="1"/>
    </cacheField>
    <cacheField name="Oct-2024" numFmtId="2">
      <sharedItems containsString="0" containsBlank="1" containsNumber="1" minValue="1" maxValue="23"/>
    </cacheField>
    <cacheField name="Nov-2024" numFmtId="2">
      <sharedItems containsString="0" containsBlank="1" containsNumber="1" minValue="2" maxValue="18"/>
    </cacheField>
    <cacheField name="Dec-2024" numFmtId="2">
      <sharedItems containsString="0" containsBlank="1" containsNumber="1" minValue="0.5" maxValue="18"/>
    </cacheField>
    <cacheField name="P+1" numFmtId="2">
      <sharedItems containsNonDate="0" containsString="0" containsBlank="1"/>
    </cacheField>
    <cacheField name="Jan-2025" numFmtId="2">
      <sharedItems containsString="0" containsBlank="1" containsNumber="1" minValue="1" maxValue="18"/>
    </cacheField>
    <cacheField name="Feb-2025" numFmtId="2">
      <sharedItems containsString="0" containsBlank="1" containsNumber="1" containsInteger="1" minValue="1" maxValue="18"/>
    </cacheField>
    <cacheField name="Mar-2025" numFmtId="2">
      <sharedItems containsString="0" containsBlank="1" containsNumber="1" minValue="7" maxValue="18"/>
    </cacheField>
    <cacheField name="Apr-2025" numFmtId="2">
      <sharedItems containsString="0" containsBlank="1" containsNumber="1" minValue="4" maxValue="18"/>
    </cacheField>
    <cacheField name="May-2025" numFmtId="2">
      <sharedItems containsString="0" containsBlank="1" containsNumber="1" minValue="2" maxValue="18"/>
    </cacheField>
    <cacheField name="Jun-2025" numFmtId="2">
      <sharedItems containsString="0" containsBlank="1" containsNumber="1" minValue="4.5" maxValue="18"/>
    </cacheField>
    <cacheField name="Jul-2025" numFmtId="2">
      <sharedItems containsString="0" containsBlank="1" containsNumber="1" containsInteger="1" minValue="18" maxValue="18"/>
    </cacheField>
    <cacheField name="Aug-2025" numFmtId="2">
      <sharedItems containsString="0" containsBlank="1" containsNumber="1" minValue="0.5" maxValue="18"/>
    </cacheField>
    <cacheField name="Sep-2025" numFmtId="2">
      <sharedItems containsString="0" containsBlank="1" containsNumber="1" containsInteger="1" minValue="18" maxValue="18"/>
    </cacheField>
    <cacheField name="Oct-2025" numFmtId="2">
      <sharedItems containsString="0" containsBlank="1" containsNumber="1" minValue="13.5" maxValue="18"/>
    </cacheField>
    <cacheField name="Nov-2025" numFmtId="2">
      <sharedItems containsString="0" containsBlank="1" containsNumber="1" minValue="11.5" maxValue="18"/>
    </cacheField>
    <cacheField name="Dec-2025" numFmtId="2">
      <sharedItems containsString="0" containsBlank="1" containsNumber="1" minValue="11.5" maxValue="18"/>
    </cacheField>
    <cacheField name="FP" numFmtId="2">
      <sharedItems containsString="0" containsBlank="1" containsNumber="1" containsInteger="1" minValue="15" maxValue="15"/>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5">
  <r>
    <n v="1"/>
    <x v="0"/>
    <s v="A-007029"/>
    <x v="0"/>
    <s v="NB"/>
    <n v="0"/>
    <s v="EC"/>
    <x v="0"/>
    <s v="Project Manager for budget &amp; financial IT tools - New"/>
    <d v="2023-06-16T00:00:00"/>
    <d v="1899-12-30T00:00:00"/>
    <d v="2023-06-19T00:00:00"/>
    <s v="START"/>
    <s v="SABĂU, Răzvan-Eugen"/>
    <x v="0"/>
    <s v="SABĂU, Răzvan-Eugen753,77"/>
    <s v="TREMENDNB"/>
    <s v="Project Manager"/>
    <n v="9"/>
    <n v="753.77"/>
    <n v="220"/>
    <n v="165829.4"/>
    <n v="220"/>
    <n v="165829.4"/>
    <n v="0"/>
    <n v="0"/>
    <n v="0"/>
    <n v="0"/>
    <s v="DIGIT.R.2TREMEND"/>
    <m/>
    <m/>
    <m/>
    <m/>
    <m/>
    <m/>
    <m/>
    <m/>
    <m/>
    <m/>
    <m/>
    <m/>
    <m/>
    <m/>
    <m/>
    <n v="7"/>
    <n v="20"/>
    <n v="18"/>
    <n v="20"/>
    <n v="18.5"/>
    <n v="9"/>
    <n v="15.5"/>
    <n v="18"/>
    <n v="17"/>
    <n v="18.5"/>
    <n v="18.5"/>
    <n v="8"/>
    <n v="19.5"/>
    <n v="12.5"/>
    <m/>
    <m/>
    <m/>
    <m/>
    <m/>
    <m/>
    <m/>
    <m/>
    <m/>
    <m/>
    <m/>
    <m/>
    <m/>
    <m/>
    <m/>
    <m/>
    <m/>
    <m/>
    <m/>
    <m/>
  </r>
  <r>
    <n v="2"/>
    <x v="1"/>
    <s v="-"/>
    <x v="1"/>
    <s v="BL"/>
    <n v="0"/>
    <s v="EC"/>
    <x v="1"/>
    <s v="Full stack Developer Level 8 Far-Site Comref"/>
    <d v="2023-08-31T00:00:00"/>
    <d v="1899-12-30T00:00:00"/>
    <d v="2024-09-30T00:00:00"/>
    <s v="START"/>
    <s v="MEDAN, Andrei"/>
    <x v="1"/>
    <s v="MEDAN, Andrei463,9"/>
    <s v="EDDABL"/>
    <s v="Full-stack developer-FAR"/>
    <n v="8"/>
    <n v="463.9"/>
    <n v="0"/>
    <n v="0"/>
    <n v="0"/>
    <n v="0"/>
    <n v="0"/>
    <n v="0"/>
    <n v="0"/>
    <n v="0"/>
    <s v="DIGIT.A.4EDDA"/>
    <m/>
    <m/>
    <m/>
    <m/>
    <m/>
    <m/>
    <m/>
    <m/>
    <m/>
    <m/>
    <m/>
    <m/>
    <m/>
    <m/>
    <m/>
    <m/>
    <m/>
    <m/>
    <m/>
    <m/>
    <m/>
    <m/>
    <m/>
    <m/>
    <m/>
    <m/>
    <m/>
    <m/>
    <m/>
    <m/>
    <m/>
    <m/>
    <m/>
    <m/>
    <m/>
    <m/>
    <m/>
    <m/>
    <m/>
    <m/>
    <m/>
    <m/>
    <m/>
    <m/>
    <m/>
    <m/>
    <m/>
    <m/>
    <m/>
  </r>
  <r>
    <n v="3"/>
    <x v="2"/>
    <s v="-"/>
    <x v="1"/>
    <s v="BL"/>
    <n v="0"/>
    <s v="EC"/>
    <x v="2"/>
    <s v="Back-End Developer (BED)"/>
    <d v="1899-12-30T00:00:00"/>
    <d v="1899-12-30T00:00:00"/>
    <d v="1899-12-30T00:00:00"/>
    <n v="0"/>
    <s v="POCHON, Régis"/>
    <x v="1"/>
    <s v="POCHON, Régis659"/>
    <s v="EDDABL"/>
    <s v="Back-end developer"/>
    <n v="10"/>
    <n v="659"/>
    <n v="0"/>
    <n v="0"/>
    <n v="0"/>
    <n v="0"/>
    <n v="0"/>
    <n v="0"/>
    <n v="0"/>
    <n v="0"/>
    <s v="DIGIT.A.3EDDA"/>
    <m/>
    <m/>
    <m/>
    <m/>
    <m/>
    <m/>
    <m/>
    <m/>
    <m/>
    <m/>
    <m/>
    <m/>
    <m/>
    <m/>
    <m/>
    <m/>
    <m/>
    <m/>
    <m/>
    <m/>
    <m/>
    <m/>
    <m/>
    <m/>
    <m/>
    <m/>
    <m/>
    <m/>
    <m/>
    <m/>
    <m/>
    <m/>
    <m/>
    <m/>
    <m/>
    <m/>
    <m/>
    <m/>
    <m/>
    <m/>
    <m/>
    <m/>
    <m/>
    <m/>
    <m/>
    <m/>
    <m/>
    <m/>
    <m/>
  </r>
  <r>
    <n v="4"/>
    <x v="3"/>
    <s v="A-000214"/>
    <x v="1"/>
    <s v="BL"/>
    <n v="0"/>
    <s v="REA"/>
    <x v="3"/>
    <s v="Expert Sharepoint"/>
    <d v="2022-09-06T00:00:00"/>
    <d v="2022-09-01T00:00:00"/>
    <d v="2023-02-28T00:00:00"/>
    <s v="CLOSE"/>
    <s v="SAYTEE, Meatau Larry"/>
    <x v="1"/>
    <s v="SAYTEE, Meatau Larry575,6"/>
    <s v="EDDABL"/>
    <s v="Back-end developer"/>
    <n v="8"/>
    <n v="575.6"/>
    <n v="120"/>
    <n v="69072"/>
    <n v="120"/>
    <n v="69072"/>
    <n v="0"/>
    <n v="0"/>
    <n v="0"/>
    <n v="0"/>
    <s v="REA D.2.003EDDA"/>
    <m/>
    <m/>
    <m/>
    <m/>
    <m/>
    <m/>
    <n v="11"/>
    <n v="21"/>
    <n v="20"/>
    <n v="16"/>
    <n v="20"/>
    <n v="20"/>
    <n v="12"/>
    <m/>
    <m/>
    <m/>
    <m/>
    <m/>
    <m/>
    <m/>
    <m/>
    <m/>
    <m/>
    <m/>
    <m/>
    <m/>
    <m/>
    <m/>
    <m/>
    <m/>
    <m/>
    <m/>
    <m/>
    <m/>
    <m/>
    <m/>
    <m/>
    <m/>
    <m/>
    <m/>
    <m/>
    <m/>
    <m/>
    <m/>
    <m/>
    <m/>
    <m/>
    <m/>
    <m/>
  </r>
  <r>
    <n v="5"/>
    <x v="4"/>
    <s v="A-000659"/>
    <x v="2"/>
    <s v="BL"/>
    <n v="0"/>
    <s v="EC"/>
    <x v="4"/>
    <s v="D3.002 - EU Send - OM min lvl 0 max lvl 10 - new"/>
    <d v="2022-09-09T00:00:00"/>
    <d v="2022-09-09T00:00:00"/>
    <d v="2023-09-30T00:00:00"/>
    <s v="CLOSE"/>
    <s v="LOPES GONÇALVES, Débora"/>
    <x v="2"/>
    <s v="LOPES GONÇALVES, Débora539,02"/>
    <s v="WavestoneBL"/>
    <s v="Onboarding manager"/>
    <n v="3"/>
    <n v="539.02"/>
    <n v="221"/>
    <n v="119123.42"/>
    <n v="221"/>
    <n v="119123.42"/>
    <n v="0"/>
    <n v="0"/>
    <n v="0"/>
    <n v="0"/>
    <s v="DIGIT.D.3Wavestone"/>
    <m/>
    <m/>
    <m/>
    <m/>
    <m/>
    <m/>
    <n v="4"/>
    <n v="15.5"/>
    <n v="20"/>
    <n v="16"/>
    <n v="22"/>
    <n v="19"/>
    <n v="23"/>
    <n v="13.5"/>
    <n v="19"/>
    <n v="19.5"/>
    <n v="15"/>
    <n v="22"/>
    <n v="10"/>
    <n v="2.5"/>
    <m/>
    <m/>
    <m/>
    <m/>
    <m/>
    <m/>
    <m/>
    <m/>
    <m/>
    <m/>
    <m/>
    <m/>
    <m/>
    <m/>
    <m/>
    <m/>
    <m/>
    <m/>
    <m/>
    <m/>
    <m/>
    <m/>
    <m/>
    <m/>
    <m/>
    <m/>
    <m/>
    <m/>
    <m/>
  </r>
  <r>
    <n v="6"/>
    <x v="5"/>
    <s v="A-001410"/>
    <x v="2"/>
    <s v="BL"/>
    <n v="0"/>
    <s v="REA"/>
    <x v="5"/>
    <s v="Expert in BI - 1"/>
    <d v="2022-09-16T00:00:00"/>
    <d v="2022-09-01T00:00:00"/>
    <d v="2023-07-14T00:00:00"/>
    <s v="CLOSE"/>
    <s v="VASILIKIOTIS, Themistoklis"/>
    <x v="1"/>
    <s v="VASILIKIOTIS, Themistoklis515,46"/>
    <s v="EDDABL"/>
    <s v="Business Intelligence expert-FAR"/>
    <n v="8"/>
    <n v="515.46"/>
    <n v="160"/>
    <n v="82473.600000000006"/>
    <n v="160"/>
    <n v="82473.600000000006"/>
    <n v="0"/>
    <n v="0"/>
    <n v="0"/>
    <n v="0"/>
    <s v="REAEDDA"/>
    <m/>
    <m/>
    <m/>
    <m/>
    <m/>
    <m/>
    <n v="8"/>
    <n v="21"/>
    <n v="18.5"/>
    <n v="15"/>
    <n v="16.5"/>
    <n v="20"/>
    <n v="23"/>
    <n v="18"/>
    <n v="17"/>
    <n v="3"/>
    <m/>
    <m/>
    <m/>
    <m/>
    <m/>
    <m/>
    <m/>
    <m/>
    <m/>
    <m/>
    <m/>
    <m/>
    <m/>
    <m/>
    <m/>
    <m/>
    <m/>
    <m/>
    <m/>
    <m/>
    <m/>
    <m/>
    <m/>
    <m/>
    <m/>
    <m/>
    <m/>
    <m/>
    <m/>
    <m/>
    <m/>
    <m/>
    <m/>
  </r>
  <r>
    <n v="7"/>
    <x v="6"/>
    <s v="A-001415"/>
    <x v="1"/>
    <s v="BL"/>
    <n v="0"/>
    <s v="REA"/>
    <x v="5"/>
    <s v="Full-Stack Developer (FSD) level 7-8 Near-site in Java, Spring, Hibernate, Angular"/>
    <d v="2022-10-06T00:00:00"/>
    <d v="2022-09-30T00:00:00"/>
    <d v="2023-05-31T00:00:00"/>
    <s v="CLOSE"/>
    <s v="SARBU, Cornelia"/>
    <x v="1"/>
    <s v="SARBU, Cornelia580,74"/>
    <s v="EDDABL"/>
    <s v="Full-stack developer"/>
    <n v="8"/>
    <n v="580.74"/>
    <n v="120"/>
    <n v="69688.800000000003"/>
    <n v="120"/>
    <n v="69688.800000000003"/>
    <n v="0"/>
    <n v="0"/>
    <n v="0"/>
    <n v="0"/>
    <s v="REAEDDA"/>
    <m/>
    <m/>
    <m/>
    <m/>
    <m/>
    <m/>
    <m/>
    <n v="13"/>
    <n v="18"/>
    <n v="16"/>
    <n v="21"/>
    <n v="20"/>
    <n v="21"/>
    <n v="11"/>
    <m/>
    <m/>
    <m/>
    <m/>
    <m/>
    <m/>
    <m/>
    <m/>
    <m/>
    <m/>
    <m/>
    <m/>
    <m/>
    <m/>
    <m/>
    <m/>
    <m/>
    <m/>
    <m/>
    <m/>
    <m/>
    <m/>
    <m/>
    <m/>
    <m/>
    <m/>
    <m/>
    <m/>
    <m/>
    <m/>
    <m/>
    <m/>
    <m/>
    <m/>
    <m/>
  </r>
  <r>
    <n v="8"/>
    <x v="7"/>
    <s v="A-001416"/>
    <x v="1"/>
    <s v="BL"/>
    <n v="0"/>
    <s v="REA"/>
    <x v="5"/>
    <s v="Full-Stack Developer (FSD) level 7-8 Near-site in Java, Spring, Hibernate, Angular"/>
    <d v="2022-10-19T00:00:00"/>
    <d v="2022-09-30T00:00:00"/>
    <d v="2023-06-16T00:00:00"/>
    <s v="CLOSE"/>
    <s v="DIAZ MUNOZ, Jaime"/>
    <x v="1"/>
    <s v="DIAZ MUNOZ, Jaime580,74"/>
    <s v="EDDABL"/>
    <s v="Full-stack developer"/>
    <n v="8"/>
    <n v="580.74"/>
    <n v="110"/>
    <n v="63881.4"/>
    <n v="110"/>
    <n v="63881.4"/>
    <n v="0"/>
    <n v="0"/>
    <n v="0"/>
    <n v="0"/>
    <s v="REAEDDA"/>
    <m/>
    <m/>
    <m/>
    <m/>
    <m/>
    <m/>
    <m/>
    <m/>
    <m/>
    <n v="6"/>
    <n v="21"/>
    <n v="20"/>
    <n v="22"/>
    <n v="17"/>
    <n v="19"/>
    <n v="5"/>
    <m/>
    <m/>
    <m/>
    <m/>
    <m/>
    <m/>
    <m/>
    <m/>
    <m/>
    <m/>
    <m/>
    <m/>
    <m/>
    <m/>
    <m/>
    <m/>
    <m/>
    <m/>
    <m/>
    <m/>
    <m/>
    <m/>
    <m/>
    <m/>
    <m/>
    <m/>
    <m/>
    <m/>
    <m/>
    <m/>
    <m/>
    <m/>
    <m/>
  </r>
  <r>
    <n v="9"/>
    <x v="8"/>
    <s v="A-001772"/>
    <x v="0"/>
    <s v="BL"/>
    <n v="0"/>
    <s v="EC"/>
    <x v="6"/>
    <s v="APPLICATION/CLOUD ARCHITECT with expertise in Java EE full stack"/>
    <d v="2022-11-15T00:00:00"/>
    <d v="2022-12-01T00:00:00"/>
    <d v="2024-02-29T00:00:00"/>
    <s v="START"/>
    <s v="KATHAL, Tanisha"/>
    <x v="1"/>
    <s v="KATHAL, Tanisha506,96"/>
    <s v="EDDABL"/>
    <s v="Application/Cloud architect"/>
    <n v="7"/>
    <n v="506.96"/>
    <n v="220"/>
    <n v="111531.2"/>
    <n v="220"/>
    <n v="111531.2"/>
    <n v="0"/>
    <n v="0"/>
    <n v="0"/>
    <n v="0"/>
    <s v="SANTE.R.1EDDA"/>
    <m/>
    <m/>
    <m/>
    <m/>
    <m/>
    <m/>
    <m/>
    <m/>
    <m/>
    <m/>
    <n v="18"/>
    <n v="19"/>
    <n v="22"/>
    <n v="17"/>
    <n v="18"/>
    <n v="21.5"/>
    <n v="17.5"/>
    <n v="16"/>
    <n v="18"/>
    <n v="19"/>
    <n v="19.5"/>
    <n v="5"/>
    <n v="9.5"/>
    <m/>
    <m/>
    <m/>
    <m/>
    <m/>
    <m/>
    <m/>
    <m/>
    <m/>
    <m/>
    <m/>
    <m/>
    <m/>
    <m/>
    <m/>
    <m/>
    <m/>
    <m/>
    <m/>
    <m/>
    <m/>
    <m/>
    <m/>
    <m/>
    <m/>
    <m/>
  </r>
  <r>
    <n v="10"/>
    <x v="9"/>
    <s v="A-001774"/>
    <x v="0"/>
    <s v="BL"/>
    <n v="0"/>
    <s v="EC"/>
    <x v="7"/>
    <s v="Project Manager (PM)"/>
    <d v="2022-10-17T00:00:00"/>
    <d v="2022-10-17T00:00:00"/>
    <d v="2024-01-31T00:00:00"/>
    <s v="CLOSE"/>
    <s v="VAN DE GUCHT, Pascal"/>
    <x v="3"/>
    <s v="VAN DE GUCHT, Pascal806,53"/>
    <s v="CGI LUXBL"/>
    <s v="Project Manager"/>
    <n v="10"/>
    <n v="806.53"/>
    <n v="220"/>
    <n v="177436.6"/>
    <n v="220"/>
    <n v="177436.6"/>
    <n v="0"/>
    <n v="0"/>
    <n v="0"/>
    <n v="0"/>
    <s v="JUST B.3CGI LUX"/>
    <m/>
    <m/>
    <m/>
    <m/>
    <m/>
    <m/>
    <m/>
    <n v="9.5"/>
    <n v="20.5"/>
    <n v="20"/>
    <n v="21"/>
    <n v="20"/>
    <n v="23"/>
    <n v="18"/>
    <n v="20"/>
    <n v="23"/>
    <n v="19"/>
    <n v="20.5"/>
    <n v="5.5"/>
    <m/>
    <m/>
    <m/>
    <m/>
    <m/>
    <m/>
    <m/>
    <m/>
    <m/>
    <m/>
    <m/>
    <m/>
    <m/>
    <m/>
    <m/>
    <m/>
    <m/>
    <m/>
    <m/>
    <m/>
    <m/>
    <m/>
    <m/>
    <m/>
    <m/>
    <m/>
    <m/>
    <m/>
    <m/>
    <m/>
  </r>
  <r>
    <n v="11"/>
    <x v="10"/>
    <s v="A-001940"/>
    <x v="2"/>
    <s v="BL"/>
    <n v="0"/>
    <s v="EC"/>
    <x v="8"/>
    <s v="Onboarding manager for EUROPASS project"/>
    <d v="2022-11-03T00:00:00"/>
    <d v="2022-11-03T00:00:00"/>
    <d v="2023-06-30T00:00:00"/>
    <s v="CLOSE"/>
    <s v="COOKE, Justin"/>
    <x v="3"/>
    <s v="COOKE, Justin865,54"/>
    <s v="CGI LUXBL"/>
    <s v="Onboarding manager"/>
    <n v="10"/>
    <n v="865.54"/>
    <n v="60"/>
    <n v="51932.399999999994"/>
    <n v="60"/>
    <n v="51932.399999999994"/>
    <n v="0"/>
    <n v="0"/>
    <n v="0"/>
    <n v="0"/>
    <s v="EMPLCGI LUX"/>
    <m/>
    <m/>
    <m/>
    <m/>
    <m/>
    <m/>
    <m/>
    <m/>
    <m/>
    <n v="3.5"/>
    <n v="19"/>
    <n v="15"/>
    <n v="21.5"/>
    <n v="1"/>
    <m/>
    <m/>
    <m/>
    <m/>
    <m/>
    <m/>
    <m/>
    <m/>
    <m/>
    <m/>
    <m/>
    <m/>
    <m/>
    <m/>
    <m/>
    <m/>
    <m/>
    <m/>
    <m/>
    <m/>
    <m/>
    <m/>
    <m/>
    <m/>
    <m/>
    <m/>
    <m/>
    <m/>
    <m/>
    <m/>
    <m/>
    <m/>
    <m/>
    <m/>
    <m/>
  </r>
  <r>
    <n v="12"/>
    <x v="11"/>
    <s v="A-001957"/>
    <x v="1"/>
    <s v="BL"/>
    <s v="DIGITTMII-005124-DIGITTMII-001957-MOD-01-6000053863-REQ-01"/>
    <s v="EC"/>
    <x v="9"/>
    <s v="2022-D1.003.370 - NEW - DIGIT TMII - Full Stack Developer L6/7"/>
    <d v="2022-10-21T00:00:00"/>
    <d v="2022-10-21T00:00:00"/>
    <d v="2023-09-30T00:00:00"/>
    <s v="START"/>
    <s v="LORENC, Adrian"/>
    <x v="4"/>
    <s v="LORENC, Adrian433,55"/>
    <s v="TALANBL"/>
    <s v="Full-stack developer-FAR"/>
    <n v="7"/>
    <n v="433.55"/>
    <n v="60"/>
    <n v="26013"/>
    <n v="77.5"/>
    <n v="33600.125"/>
    <n v="-17.5"/>
    <n v="-7587.125"/>
    <n v="0"/>
    <n v="0"/>
    <s v="DIGIT.D.1TALAN"/>
    <m/>
    <m/>
    <m/>
    <m/>
    <m/>
    <m/>
    <m/>
    <m/>
    <m/>
    <m/>
    <m/>
    <n v="10"/>
    <n v="22"/>
    <n v="17"/>
    <n v="11"/>
    <m/>
    <m/>
    <n v="1"/>
    <n v="16.5"/>
    <m/>
    <m/>
    <m/>
    <m/>
    <m/>
    <m/>
    <m/>
    <m/>
    <m/>
    <m/>
    <m/>
    <m/>
    <m/>
    <m/>
    <m/>
    <m/>
    <m/>
    <m/>
    <m/>
    <m/>
    <m/>
    <m/>
    <m/>
    <m/>
    <m/>
    <m/>
    <m/>
    <m/>
    <m/>
    <m/>
  </r>
  <r>
    <n v="12"/>
    <x v="11"/>
    <s v="A-001957"/>
    <x v="1"/>
    <s v="BL"/>
    <s v="DIGITTMII-005124-DIGITTMII-001957-MOD-01-6000053863-REQ-01"/>
    <s v="EC"/>
    <x v="9"/>
    <s v="2022-D1.003.370 - NEW - DIGIT TMII - Full Stack Developer L6/7"/>
    <d v="2022-10-21T00:00:00"/>
    <d v="2022-10-21T00:00:00"/>
    <d v="2023-09-30T00:00:00"/>
    <s v="START"/>
    <s v="PIETRAS, Adam"/>
    <x v="4"/>
    <s v="PIETRAS, Adam443,55"/>
    <s v="TALANBL"/>
    <s v="Full-stack developer-FAR"/>
    <n v="7"/>
    <n v="443.55"/>
    <n v="142.5"/>
    <n v="63205.875"/>
    <n v="125"/>
    <n v="55443.75"/>
    <n v="17.5"/>
    <n v="7762.125"/>
    <n v="0"/>
    <n v="0"/>
    <s v="DIGIT.D.1TALAN"/>
    <m/>
    <m/>
    <m/>
    <m/>
    <m/>
    <m/>
    <m/>
    <n v="6"/>
    <n v="20"/>
    <n v="12"/>
    <n v="15"/>
    <n v="13"/>
    <n v="8.5"/>
    <n v="13"/>
    <n v="12.5"/>
    <n v="14"/>
    <n v="8"/>
    <m/>
    <n v="3"/>
    <m/>
    <m/>
    <m/>
    <m/>
    <m/>
    <m/>
    <m/>
    <m/>
    <m/>
    <m/>
    <m/>
    <m/>
    <m/>
    <m/>
    <m/>
    <m/>
    <m/>
    <m/>
    <m/>
    <m/>
    <m/>
    <m/>
    <m/>
    <m/>
    <m/>
    <m/>
    <m/>
    <m/>
    <m/>
    <m/>
  </r>
  <r>
    <n v="13"/>
    <x v="12"/>
    <s v="A-002098"/>
    <x v="0"/>
    <s v="BL"/>
    <n v="0"/>
    <s v="EC"/>
    <x v="10"/>
    <s v="Project manager (PM) level 9"/>
    <d v="2022-10-20T00:00:00"/>
    <d v="2022-10-20T00:00:00"/>
    <d v="2023-09-30T00:00:00"/>
    <s v="CLOSE"/>
    <s v="DE ANDRES DEL CASTILLO, David"/>
    <x v="3"/>
    <s v="DE ANDRES DEL CASTILLO, David753,77"/>
    <s v="CGI LUXBL"/>
    <s v="Project Manager"/>
    <n v="9"/>
    <n v="753.77"/>
    <n v="110"/>
    <n v="82914.7"/>
    <n v="110"/>
    <n v="82914.7"/>
    <n v="0"/>
    <n v="0"/>
    <n v="0"/>
    <n v="0"/>
    <s v="DIGIT.B.4CGI LUX"/>
    <m/>
    <m/>
    <m/>
    <m/>
    <m/>
    <m/>
    <m/>
    <m/>
    <n v="4"/>
    <n v="16"/>
    <n v="20"/>
    <n v="19"/>
    <n v="21"/>
    <n v="14"/>
    <n v="16"/>
    <m/>
    <m/>
    <m/>
    <m/>
    <m/>
    <m/>
    <m/>
    <m/>
    <m/>
    <m/>
    <m/>
    <m/>
    <m/>
    <m/>
    <m/>
    <m/>
    <m/>
    <m/>
    <m/>
    <m/>
    <m/>
    <m/>
    <m/>
    <m/>
    <m/>
    <m/>
    <m/>
    <m/>
    <m/>
    <m/>
    <m/>
    <m/>
    <m/>
    <m/>
  </r>
  <r>
    <n v="14"/>
    <x v="13"/>
    <s v="A-002150"/>
    <x v="2"/>
    <s v="BL"/>
    <n v="0"/>
    <s v="EC"/>
    <x v="8"/>
    <s v="Onboarding manager for EUROPASS project"/>
    <d v="2022-11-07T00:00:00"/>
    <d v="2022-11-07T00:00:00"/>
    <d v="2023-12-31T00:00:00"/>
    <s v="CLOSE"/>
    <s v="NICULESCU, Calin"/>
    <x v="3"/>
    <s v="NICULESCU, Calin865,54"/>
    <s v="CGI LUXBL"/>
    <s v="Onboarding manager"/>
    <n v="10"/>
    <n v="865.54"/>
    <n v="40"/>
    <n v="34621.599999999999"/>
    <n v="40"/>
    <n v="34621.599999999999"/>
    <n v="0"/>
    <n v="0"/>
    <n v="0"/>
    <n v="0"/>
    <s v="EMPLCGI LUX"/>
    <m/>
    <m/>
    <m/>
    <m/>
    <m/>
    <m/>
    <m/>
    <m/>
    <m/>
    <m/>
    <m/>
    <n v="16"/>
    <n v="23"/>
    <n v="1"/>
    <m/>
    <m/>
    <m/>
    <m/>
    <m/>
    <m/>
    <m/>
    <m/>
    <m/>
    <m/>
    <m/>
    <m/>
    <m/>
    <m/>
    <m/>
    <m/>
    <m/>
    <m/>
    <m/>
    <m/>
    <m/>
    <m/>
    <m/>
    <m/>
    <m/>
    <m/>
    <m/>
    <m/>
    <m/>
    <m/>
    <m/>
    <m/>
    <m/>
    <m/>
    <m/>
  </r>
  <r>
    <n v="15"/>
    <x v="14"/>
    <s v="A-002191"/>
    <x v="0"/>
    <s v="BL"/>
    <n v="0"/>
    <s v="EC"/>
    <x v="11"/>
    <s v="Project manager"/>
    <d v="2022-12-19T00:00:00"/>
    <d v="1899-12-30T00:00:00"/>
    <d v="1899-12-30T00:00:00"/>
    <s v="CLOSE"/>
    <s v="FREIRE FERREIRA, Carlos Miguel"/>
    <x v="3"/>
    <s v="FREIRE FERREIRA, Carlos Miguel704,46"/>
    <s v="CGI LUXBL"/>
    <s v="Project Manager"/>
    <n v="8"/>
    <n v="704.46"/>
    <n v="220"/>
    <n v="154981.20000000001"/>
    <n v="220"/>
    <n v="154981.20000000001"/>
    <n v="0"/>
    <n v="0"/>
    <n v="0"/>
    <n v="0"/>
    <s v="HRCGI LUX"/>
    <m/>
    <m/>
    <m/>
    <m/>
    <m/>
    <m/>
    <m/>
    <m/>
    <m/>
    <m/>
    <n v="21"/>
    <n v="20"/>
    <n v="23"/>
    <n v="14"/>
    <n v="19"/>
    <n v="21"/>
    <n v="11"/>
    <n v="21"/>
    <n v="20"/>
    <n v="20"/>
    <n v="20"/>
    <n v="10"/>
    <m/>
    <m/>
    <m/>
    <m/>
    <m/>
    <m/>
    <m/>
    <m/>
    <m/>
    <m/>
    <m/>
    <m/>
    <m/>
    <m/>
    <m/>
    <m/>
    <m/>
    <m/>
    <m/>
    <m/>
    <m/>
    <m/>
    <m/>
    <m/>
    <m/>
    <m/>
    <m/>
  </r>
  <r>
    <n v="16"/>
    <x v="15"/>
    <s v="A-002416"/>
    <x v="0"/>
    <s v="BL"/>
    <n v="0"/>
    <s v="EC"/>
    <x v="12"/>
    <s v="Project Manager (PM)"/>
    <d v="2022-11-04T00:00:00"/>
    <d v="2022-11-04T00:00:00"/>
    <d v="2024-01-31T00:00:00"/>
    <s v="CLOSE"/>
    <s v="BEN MILOUD, Djamila"/>
    <x v="3"/>
    <s v="BEN MILOUD, Djamila806,53"/>
    <s v="CGI LUXBL"/>
    <s v="Project Manager"/>
    <n v="10"/>
    <n v="806.53"/>
    <n v="220"/>
    <n v="177436.6"/>
    <n v="220"/>
    <n v="177436.6"/>
    <n v="0"/>
    <n v="0"/>
    <n v="0"/>
    <n v="0"/>
    <s v="JUST CRIMCGI LUX"/>
    <m/>
    <m/>
    <m/>
    <m/>
    <m/>
    <m/>
    <m/>
    <m/>
    <m/>
    <n v="12"/>
    <n v="20"/>
    <n v="20"/>
    <n v="23"/>
    <n v="19"/>
    <n v="20"/>
    <n v="22"/>
    <n v="8.5"/>
    <n v="16"/>
    <n v="20"/>
    <n v="22"/>
    <n v="17.5"/>
    <m/>
    <m/>
    <m/>
    <m/>
    <m/>
    <m/>
    <m/>
    <m/>
    <m/>
    <m/>
    <m/>
    <m/>
    <m/>
    <m/>
    <m/>
    <m/>
    <m/>
    <m/>
    <m/>
    <m/>
    <m/>
    <m/>
    <m/>
    <m/>
    <m/>
    <m/>
    <m/>
    <m/>
  </r>
  <r>
    <n v="17"/>
    <x v="16"/>
    <s v="A-002474"/>
    <x v="1"/>
    <s v="BL"/>
    <n v="0"/>
    <s v="EC"/>
    <x v="9"/>
    <s v="2022-D1.002.352- NEW - DIGIT TMII - Full stack developer L7/8"/>
    <d v="2022-10-25T00:00:00"/>
    <d v="2022-10-25T00:00:00"/>
    <d v="2023-09-30T00:00:00"/>
    <s v="CLOSE"/>
    <s v="ADAM, Nathalie"/>
    <x v="1"/>
    <s v="ADAM, Nathalie580,74"/>
    <s v="EDDABL"/>
    <s v="Full-stack developer"/>
    <n v="8"/>
    <n v="580.74"/>
    <n v="90"/>
    <n v="52266.6"/>
    <n v="90"/>
    <n v="52266.6"/>
    <n v="0"/>
    <n v="0"/>
    <n v="0"/>
    <n v="0"/>
    <s v="DIGIT.D.1EDDA"/>
    <m/>
    <m/>
    <m/>
    <m/>
    <m/>
    <m/>
    <m/>
    <m/>
    <n v="8"/>
    <n v="12"/>
    <n v="16"/>
    <n v="12"/>
    <n v="18"/>
    <n v="13"/>
    <n v="11"/>
    <m/>
    <m/>
    <m/>
    <m/>
    <m/>
    <m/>
    <m/>
    <m/>
    <m/>
    <m/>
    <m/>
    <m/>
    <m/>
    <m/>
    <m/>
    <m/>
    <m/>
    <m/>
    <m/>
    <m/>
    <m/>
    <m/>
    <m/>
    <m/>
    <m/>
    <m/>
    <m/>
    <m/>
    <m/>
    <m/>
    <m/>
    <m/>
    <m/>
    <m/>
  </r>
  <r>
    <n v="18"/>
    <x v="17"/>
    <s v="A-002819"/>
    <x v="1"/>
    <s v="NB"/>
    <n v="0"/>
    <s v="EC"/>
    <x v="10"/>
    <s v="Back-end developer (BED)  Lev 10"/>
    <d v="2022-11-16T00:00:00"/>
    <d v="2022-11-16T00:00:00"/>
    <d v="2023-09-30T00:00:00"/>
    <s v="CLOSE"/>
    <s v="POCHON, Régis"/>
    <x v="1"/>
    <s v="POCHON, Régis659"/>
    <s v="EDDANB"/>
    <s v="Back-end developer"/>
    <n v="10"/>
    <n v="659"/>
    <n v="120"/>
    <n v="79080"/>
    <n v="120"/>
    <n v="79080"/>
    <n v="0"/>
    <n v="0"/>
    <n v="0"/>
    <n v="0"/>
    <s v="DIGIT.B.4EDDA"/>
    <m/>
    <m/>
    <m/>
    <m/>
    <m/>
    <m/>
    <m/>
    <m/>
    <n v="7.5"/>
    <n v="16"/>
    <n v="21"/>
    <n v="20"/>
    <n v="21"/>
    <n v="17"/>
    <n v="17"/>
    <n v="0.5"/>
    <m/>
    <m/>
    <m/>
    <m/>
    <m/>
    <m/>
    <m/>
    <m/>
    <m/>
    <m/>
    <m/>
    <m/>
    <m/>
    <m/>
    <m/>
    <m/>
    <m/>
    <m/>
    <m/>
    <m/>
    <m/>
    <m/>
    <m/>
    <m/>
    <m/>
    <m/>
    <m/>
    <m/>
    <m/>
    <m/>
    <m/>
    <m/>
    <m/>
  </r>
  <r>
    <n v="19"/>
    <x v="18"/>
    <s v="A-002829"/>
    <x v="1"/>
    <s v="BL"/>
    <n v="0"/>
    <s v="EC"/>
    <x v="13"/>
    <s v="Full Stack Developer for policy supporting systems"/>
    <d v="2022-11-30T00:00:00"/>
    <d v="2022-11-30T00:00:00"/>
    <d v="2023-11-30T00:00:00"/>
    <s v="CLOSE"/>
    <s v="TRINDADE-SALGUEIRO, Nuno"/>
    <x v="3"/>
    <s v="TRINDADE-SALGUEIRO, Nuno531,12"/>
    <s v="CGI LUXBL"/>
    <s v="Full-stack developer-FAR"/>
    <n v="10"/>
    <n v="531.12"/>
    <n v="181"/>
    <n v="96132.72"/>
    <n v="181"/>
    <n v="96132.72"/>
    <n v="0"/>
    <n v="0"/>
    <n v="0"/>
    <n v="0"/>
    <s v="ENVCGI LUX"/>
    <m/>
    <m/>
    <m/>
    <m/>
    <m/>
    <m/>
    <m/>
    <m/>
    <m/>
    <n v="4"/>
    <n v="21"/>
    <n v="19"/>
    <n v="22"/>
    <n v="14"/>
    <n v="18"/>
    <n v="18"/>
    <n v="19"/>
    <n v="21.5"/>
    <n v="11"/>
    <n v="13.5"/>
    <m/>
    <m/>
    <m/>
    <m/>
    <m/>
    <m/>
    <m/>
    <m/>
    <m/>
    <m/>
    <m/>
    <m/>
    <m/>
    <m/>
    <m/>
    <m/>
    <m/>
    <m/>
    <m/>
    <m/>
    <m/>
    <m/>
    <m/>
    <m/>
    <m/>
    <m/>
    <m/>
    <m/>
    <m/>
  </r>
  <r>
    <n v="20"/>
    <x v="19"/>
    <s v="A-002906"/>
    <x v="0"/>
    <s v="BL"/>
    <n v="0"/>
    <s v="EC"/>
    <x v="10"/>
    <s v="Project manager (PM) level 2"/>
    <d v="2022-11-30T00:00:00"/>
    <d v="2022-11-30T00:00:00"/>
    <d v="2023-09-30T00:00:00"/>
    <s v="CLOSE"/>
    <s v="TURCITU, Mihai-Alexandru "/>
    <x v="3"/>
    <s v="TURCITU, Mihai-Alexandru 469,41"/>
    <s v="CGI LUXBL"/>
    <s v="Project Manager"/>
    <n v="2"/>
    <n v="469.41"/>
    <n v="110"/>
    <n v="51635.100000000006"/>
    <n v="110"/>
    <n v="51635.100000000006"/>
    <n v="0"/>
    <n v="0"/>
    <n v="0"/>
    <n v="0"/>
    <s v="DIGIT.B.4CGI LUX"/>
    <m/>
    <m/>
    <m/>
    <m/>
    <m/>
    <m/>
    <m/>
    <m/>
    <n v="5.5"/>
    <n v="16"/>
    <n v="17"/>
    <n v="18"/>
    <n v="20"/>
    <n v="18"/>
    <n v="15.5"/>
    <m/>
    <m/>
    <m/>
    <m/>
    <m/>
    <m/>
    <m/>
    <m/>
    <m/>
    <m/>
    <m/>
    <m/>
    <m/>
    <m/>
    <m/>
    <m/>
    <m/>
    <m/>
    <m/>
    <m/>
    <m/>
    <m/>
    <m/>
    <m/>
    <m/>
    <m/>
    <m/>
    <m/>
    <m/>
    <m/>
    <m/>
    <m/>
    <m/>
    <m/>
  </r>
  <r>
    <n v="21"/>
    <x v="20"/>
    <s v="A-002931"/>
    <x v="0"/>
    <s v="BL"/>
    <n v="0"/>
    <s v="EC"/>
    <x v="9"/>
    <s v="2022-D1.001.505 - NEW - DIGIT TMII - DS- L6/7"/>
    <d v="2022-11-14T00:00:00"/>
    <d v="2022-11-14T00:00:00"/>
    <d v="2023-09-30T00:00:00"/>
    <s v="CLOSE"/>
    <s v="DOUHAIZENET, Gael"/>
    <x v="1"/>
    <s v="DOUHAIZENET, Gael536,96"/>
    <s v="EDDABL"/>
    <s v="Data Scientist"/>
    <n v="7"/>
    <n v="536.96"/>
    <n v="100"/>
    <n v="53696"/>
    <n v="100"/>
    <n v="53696"/>
    <n v="0"/>
    <n v="0"/>
    <n v="0"/>
    <n v="0"/>
    <s v="DIGIT.D.1EDDA"/>
    <m/>
    <m/>
    <m/>
    <m/>
    <m/>
    <m/>
    <m/>
    <m/>
    <n v="2.5"/>
    <n v="12"/>
    <n v="19.5"/>
    <n v="18.5"/>
    <n v="23"/>
    <n v="15"/>
    <n v="9.5"/>
    <m/>
    <m/>
    <m/>
    <m/>
    <m/>
    <m/>
    <m/>
    <m/>
    <m/>
    <m/>
    <m/>
    <m/>
    <m/>
    <m/>
    <m/>
    <m/>
    <m/>
    <m/>
    <m/>
    <m/>
    <m/>
    <m/>
    <m/>
    <m/>
    <m/>
    <m/>
    <m/>
    <m/>
    <m/>
    <m/>
    <m/>
    <m/>
    <m/>
    <m/>
  </r>
  <r>
    <n v="22"/>
    <x v="21"/>
    <s v="A-003098"/>
    <x v="2"/>
    <s v="BL"/>
    <n v="0"/>
    <s v="EC"/>
    <x v="14"/>
    <s v="Trade Policy Information Systems"/>
    <d v="2022-11-24T00:00:00"/>
    <d v="2022-12-01T00:00:00"/>
    <d v="2023-12-31T00:00:00"/>
    <s v="START"/>
    <s v="STROOBANTS, Luc"/>
    <x v="1"/>
    <s v="STROOBANTS, Luc735,38"/>
    <s v="EDDABL"/>
    <s v="Business Intelligence expert"/>
    <n v="9"/>
    <n v="735.38"/>
    <n v="100"/>
    <n v="73538"/>
    <n v="100"/>
    <n v="73538"/>
    <n v="0"/>
    <n v="0"/>
    <n v="0"/>
    <n v="0"/>
    <s v="TRAD A.2.EDDA"/>
    <m/>
    <m/>
    <m/>
    <m/>
    <m/>
    <m/>
    <m/>
    <m/>
    <m/>
    <n v="16"/>
    <n v="20.5"/>
    <n v="20"/>
    <n v="23"/>
    <n v="19"/>
    <n v="1.5"/>
    <m/>
    <m/>
    <m/>
    <m/>
    <m/>
    <m/>
    <m/>
    <m/>
    <m/>
    <m/>
    <m/>
    <m/>
    <m/>
    <m/>
    <m/>
    <m/>
    <m/>
    <m/>
    <m/>
    <m/>
    <m/>
    <m/>
    <m/>
    <m/>
    <m/>
    <m/>
    <m/>
    <m/>
    <m/>
    <m/>
    <m/>
    <m/>
    <m/>
    <m/>
  </r>
  <r>
    <n v="23"/>
    <x v="22"/>
    <s v="A-003129"/>
    <x v="2"/>
    <s v="BL"/>
    <n v="0"/>
    <s v="EC"/>
    <x v="15"/>
    <s v="IT Services for Security System"/>
    <d v="2022-11-21T00:00:00"/>
    <d v="2022-11-21T00:00:00"/>
    <d v="2023-10-31T00:00:00"/>
    <s v="CLOSE"/>
    <s v="KIRIMLIDOU, Dimoula"/>
    <x v="1"/>
    <s v="KIRIMLIDOU, Dimoula469,07"/>
    <s v="EDDABL"/>
    <s v="Enterprise architect-FAR"/>
    <n v="8"/>
    <n v="469.07"/>
    <n v="160"/>
    <n v="75051.199999999997"/>
    <n v="160"/>
    <n v="75051.199999999997"/>
    <n v="0"/>
    <n v="0"/>
    <n v="0"/>
    <n v="0"/>
    <s v="RTD.I.3EDDA"/>
    <m/>
    <m/>
    <m/>
    <m/>
    <m/>
    <m/>
    <m/>
    <m/>
    <m/>
    <n v="0.5"/>
    <n v="18.5"/>
    <n v="19"/>
    <n v="21.5"/>
    <n v="16"/>
    <n v="18.5"/>
    <n v="22"/>
    <n v="15"/>
    <n v="13"/>
    <n v="16"/>
    <m/>
    <m/>
    <m/>
    <m/>
    <m/>
    <m/>
    <m/>
    <m/>
    <m/>
    <m/>
    <m/>
    <m/>
    <m/>
    <m/>
    <m/>
    <m/>
    <m/>
    <m/>
    <m/>
    <m/>
    <m/>
    <m/>
    <m/>
    <m/>
    <m/>
    <m/>
    <m/>
    <m/>
    <m/>
    <m/>
  </r>
  <r>
    <n v="24"/>
    <x v="23"/>
    <s v="A-003143"/>
    <x v="0"/>
    <s v="BL"/>
    <n v="0"/>
    <s v="EC"/>
    <x v="16"/>
    <s v="Project Manager (PM)"/>
    <d v="2022-12-21T00:00:00"/>
    <d v="1899-12-30T00:00:00"/>
    <d v="1899-12-30T00:00:00"/>
    <s v="PENDING"/>
    <s v="PAPASPYROU, Vasileios"/>
    <x v="0"/>
    <s v="PAPASPYROU, Vasileios704,46"/>
    <s v="TREMENDBL"/>
    <s v="Project Manager"/>
    <n v="8"/>
    <n v="704.46"/>
    <n v="220"/>
    <n v="154981.20000000001"/>
    <n v="220"/>
    <n v="154981.20000000001"/>
    <n v="0"/>
    <n v="0"/>
    <n v="0"/>
    <n v="0"/>
    <s v="JUSTTREMEND"/>
    <m/>
    <m/>
    <m/>
    <m/>
    <m/>
    <m/>
    <m/>
    <m/>
    <m/>
    <m/>
    <n v="17"/>
    <n v="16"/>
    <n v="20"/>
    <n v="14"/>
    <n v="20"/>
    <n v="21"/>
    <n v="10"/>
    <n v="18"/>
    <n v="19"/>
    <n v="21"/>
    <n v="20"/>
    <n v="19"/>
    <n v="5"/>
    <m/>
    <m/>
    <m/>
    <m/>
    <m/>
    <m/>
    <m/>
    <m/>
    <m/>
    <m/>
    <m/>
    <m/>
    <m/>
    <m/>
    <m/>
    <m/>
    <m/>
    <m/>
    <m/>
    <m/>
    <m/>
    <m/>
    <m/>
    <m/>
    <m/>
    <m/>
  </r>
  <r>
    <n v="25"/>
    <x v="24"/>
    <s v="A-003241"/>
    <x v="1"/>
    <s v="BL"/>
    <n v="0"/>
    <s v="EC"/>
    <x v="4"/>
    <s v="D3.003 - EULOGIN -Request Full stack developer Level min0-max10 (5)"/>
    <d v="2022-11-21T00:00:00"/>
    <d v="2022-11-21T00:00:00"/>
    <d v="2023-09-30T00:00:00"/>
    <s v="CLOSE"/>
    <s v="ESCRIBANO, Ruben "/>
    <x v="1"/>
    <s v="ESCRIBANO, Ruben 443,05"/>
    <s v="EDDABL"/>
    <s v="Full-stack developer"/>
    <n v="4"/>
    <n v="443.05"/>
    <n v="180"/>
    <n v="79749"/>
    <n v="180"/>
    <n v="79749"/>
    <n v="0"/>
    <n v="0"/>
    <n v="0"/>
    <n v="0"/>
    <s v="DIGIT.D.3EDDA"/>
    <m/>
    <m/>
    <m/>
    <m/>
    <m/>
    <m/>
    <m/>
    <m/>
    <n v="7"/>
    <n v="16"/>
    <n v="22"/>
    <n v="18"/>
    <n v="22"/>
    <n v="16"/>
    <n v="17.5"/>
    <n v="15"/>
    <n v="14"/>
    <n v="12"/>
    <n v="20.5"/>
    <m/>
    <m/>
    <m/>
    <m/>
    <m/>
    <m/>
    <m/>
    <m/>
    <m/>
    <m/>
    <m/>
    <m/>
    <m/>
    <m/>
    <m/>
    <m/>
    <m/>
    <m/>
    <m/>
    <m/>
    <m/>
    <m/>
    <m/>
    <m/>
    <m/>
    <m/>
    <m/>
    <m/>
    <m/>
    <m/>
  </r>
  <r>
    <n v="26"/>
    <x v="25"/>
    <s v="A-003344"/>
    <x v="1"/>
    <s v="NB"/>
    <n v="0"/>
    <s v="EC"/>
    <x v="17"/>
    <s v="Full stack Developer Level 8 Far-Site Comref"/>
    <d v="2022-11-15T00:00:00"/>
    <d v="2022-11-15T00:00:00"/>
    <d v="2023-09-30T00:00:00"/>
    <s v="CLOSE"/>
    <s v="MEDAN, Andrei"/>
    <x v="1"/>
    <s v="MEDAN, Andrei463,9"/>
    <s v="EDDANB"/>
    <s v="Full-stack developer-FAR"/>
    <n v="8"/>
    <n v="463.9"/>
    <n v="90"/>
    <n v="41751"/>
    <n v="90"/>
    <n v="41751"/>
    <n v="0"/>
    <n v="0"/>
    <n v="0"/>
    <n v="0"/>
    <s v="DIGIT.B.3EDDA"/>
    <m/>
    <m/>
    <m/>
    <m/>
    <m/>
    <m/>
    <m/>
    <m/>
    <n v="16"/>
    <n v="15.5"/>
    <n v="21"/>
    <n v="19"/>
    <n v="18.5"/>
    <m/>
    <m/>
    <m/>
    <m/>
    <m/>
    <m/>
    <m/>
    <m/>
    <m/>
    <m/>
    <m/>
    <m/>
    <m/>
    <m/>
    <m/>
    <m/>
    <m/>
    <m/>
    <m/>
    <m/>
    <m/>
    <m/>
    <m/>
    <m/>
    <m/>
    <m/>
    <m/>
    <m/>
    <m/>
    <m/>
    <m/>
    <m/>
    <m/>
    <m/>
    <m/>
    <m/>
  </r>
  <r>
    <n v="27"/>
    <x v="26"/>
    <s v="A-003389"/>
    <x v="2"/>
    <s v="BL"/>
    <n v="0"/>
    <s v="EC"/>
    <x v="15"/>
    <s v="IT Services for e-Grants Management System"/>
    <d v="2022-11-10T00:00:00"/>
    <d v="2022-11-10T00:00:00"/>
    <d v="2023-10-31T00:00:00"/>
    <s v="CLOSE"/>
    <s v="CHATTERJEE, Pallavi"/>
    <x v="1"/>
    <s v="CHATTERJEE, Pallavi524,32"/>
    <s v="EDDABL"/>
    <s v="Business Intelligence expert"/>
    <n v="4"/>
    <n v="524.32000000000005"/>
    <n v="160"/>
    <n v="83891.200000000012"/>
    <n v="160"/>
    <n v="83891.200000000012"/>
    <n v="0"/>
    <n v="0"/>
    <n v="0"/>
    <n v="0"/>
    <s v="RTD.I.3EDDA"/>
    <m/>
    <m/>
    <m/>
    <m/>
    <m/>
    <m/>
    <m/>
    <m/>
    <n v="13"/>
    <n v="15"/>
    <n v="21"/>
    <n v="16"/>
    <n v="23"/>
    <n v="17"/>
    <n v="16.5"/>
    <n v="19.5"/>
    <n v="19"/>
    <m/>
    <m/>
    <m/>
    <m/>
    <m/>
    <m/>
    <m/>
    <m/>
    <m/>
    <m/>
    <m/>
    <m/>
    <m/>
    <m/>
    <m/>
    <m/>
    <m/>
    <m/>
    <m/>
    <m/>
    <m/>
    <m/>
    <m/>
    <m/>
    <m/>
    <m/>
    <m/>
    <m/>
    <m/>
    <m/>
    <m/>
    <m/>
  </r>
  <r>
    <n v="28"/>
    <x v="27"/>
    <s v="A-003431"/>
    <x v="1"/>
    <s v="NB"/>
    <n v="0"/>
    <s v="EC"/>
    <x v="15"/>
    <s v="IT Architecture, Operations and Common Components"/>
    <d v="2022-11-14T00:00:00"/>
    <d v="2022-11-14T00:00:00"/>
    <d v="2023-10-31T00:00:00"/>
    <s v="CLOSE"/>
    <s v="MEJRI, Mohamed"/>
    <x v="1"/>
    <s v="MEJRI, Mohamed621,39"/>
    <s v="EDDANB"/>
    <s v="Full-stack developer"/>
    <n v="9"/>
    <n v="621.39"/>
    <n v="93"/>
    <n v="57789.27"/>
    <n v="93"/>
    <n v="57789.27"/>
    <n v="0"/>
    <n v="0"/>
    <n v="0"/>
    <n v="0"/>
    <s v="RTD.I.3EDDA"/>
    <m/>
    <m/>
    <m/>
    <m/>
    <m/>
    <m/>
    <m/>
    <m/>
    <m/>
    <m/>
    <m/>
    <m/>
    <m/>
    <m/>
    <n v="2"/>
    <n v="22"/>
    <n v="20"/>
    <n v="22"/>
    <n v="18"/>
    <n v="9"/>
    <m/>
    <m/>
    <m/>
    <m/>
    <m/>
    <m/>
    <m/>
    <m/>
    <m/>
    <m/>
    <m/>
    <m/>
    <m/>
    <m/>
    <m/>
    <m/>
    <m/>
    <m/>
    <m/>
    <m/>
    <m/>
    <m/>
    <m/>
    <m/>
    <m/>
    <m/>
    <m/>
    <m/>
    <m/>
  </r>
  <r>
    <n v="28"/>
    <x v="27"/>
    <s v="A-003431"/>
    <x v="1"/>
    <s v="BL"/>
    <n v="0"/>
    <s v="EC"/>
    <x v="15"/>
    <s v="IT Architecture, Operations and Common Components"/>
    <d v="2022-11-14T00:00:00"/>
    <d v="2022-11-14T00:00:00"/>
    <d v="2023-10-31T00:00:00"/>
    <s v="CLOSE"/>
    <s v="SANTILLI, Antonio"/>
    <x v="1"/>
    <s v="SANTILLI, Antonio621,39"/>
    <s v="EDDABL"/>
    <s v="Full-stack developer"/>
    <n v="9"/>
    <n v="621.39"/>
    <n v="67"/>
    <n v="41633.129999999997"/>
    <n v="67"/>
    <n v="41633.129999999997"/>
    <n v="0"/>
    <n v="0"/>
    <n v="0"/>
    <n v="0"/>
    <s v="RTD.I.3EDDA"/>
    <m/>
    <m/>
    <m/>
    <m/>
    <m/>
    <m/>
    <m/>
    <m/>
    <n v="12"/>
    <n v="16"/>
    <n v="21"/>
    <n v="18"/>
    <m/>
    <m/>
    <m/>
    <m/>
    <m/>
    <m/>
    <m/>
    <m/>
    <m/>
    <m/>
    <m/>
    <m/>
    <m/>
    <m/>
    <m/>
    <m/>
    <m/>
    <m/>
    <m/>
    <m/>
    <m/>
    <m/>
    <m/>
    <m/>
    <m/>
    <m/>
    <m/>
    <m/>
    <m/>
    <m/>
    <m/>
    <m/>
    <m/>
    <m/>
    <m/>
    <m/>
    <m/>
  </r>
  <r>
    <n v="29"/>
    <x v="28"/>
    <s v="A-003463"/>
    <x v="0"/>
    <s v="BL"/>
    <n v="0"/>
    <s v="EC"/>
    <x v="18"/>
    <s v="Data-warehouse &amp; report. devel"/>
    <d v="2022-11-23T00:00:00"/>
    <d v="2022-11-23T00:00:00"/>
    <d v="2023-06-30T00:00:00"/>
    <s v="CLOSE"/>
    <s v="MASTRANDREA, Barbara Maria"/>
    <x v="4"/>
    <s v="MASTRANDREA, Barbara Maria469,07"/>
    <s v="TALANBL"/>
    <s v="Data warehouse and reporting developer-FAR"/>
    <n v="8"/>
    <n v="469.07"/>
    <n v="107"/>
    <n v="50190.49"/>
    <n v="107"/>
    <n v="50190.49"/>
    <n v="0"/>
    <n v="0"/>
    <n v="0"/>
    <n v="0"/>
    <s v="REGIOTALAN"/>
    <m/>
    <m/>
    <m/>
    <m/>
    <m/>
    <m/>
    <m/>
    <m/>
    <m/>
    <n v="17"/>
    <n v="18.5"/>
    <n v="18.5"/>
    <n v="20"/>
    <n v="19"/>
    <n v="14"/>
    <m/>
    <m/>
    <m/>
    <m/>
    <m/>
    <m/>
    <m/>
    <m/>
    <m/>
    <m/>
    <m/>
    <m/>
    <m/>
    <m/>
    <m/>
    <m/>
    <m/>
    <m/>
    <m/>
    <m/>
    <m/>
    <m/>
    <m/>
    <m/>
    <m/>
    <m/>
    <m/>
    <m/>
    <m/>
    <m/>
    <m/>
    <m/>
    <m/>
    <m/>
  </r>
  <r>
    <n v="30"/>
    <x v="29"/>
    <s v="A-003533"/>
    <x v="0"/>
    <s v="BL"/>
    <n v="0"/>
    <s v="EC"/>
    <x v="10"/>
    <s v="Project manager (PM) level 9"/>
    <d v="2022-11-18T00:00:00"/>
    <d v="2022-11-18T00:00:00"/>
    <d v="2023-09-30T00:00:00"/>
    <s v="CLOSE"/>
    <s v="OLLINGER, Yannick"/>
    <x v="3"/>
    <s v="OLLINGER, Yannick753,77"/>
    <s v="CGI LUXBL"/>
    <s v="Project Manager"/>
    <n v="9"/>
    <n v="753.77"/>
    <n v="97"/>
    <n v="73115.69"/>
    <n v="97"/>
    <n v="73115.69"/>
    <n v="0"/>
    <n v="0"/>
    <n v="0"/>
    <n v="0"/>
    <s v="DIGIT.B.4CGI LUX"/>
    <m/>
    <m/>
    <m/>
    <m/>
    <m/>
    <m/>
    <m/>
    <m/>
    <n v="3"/>
    <n v="21"/>
    <n v="20.5"/>
    <n v="20"/>
    <n v="23"/>
    <n v="9.5"/>
    <m/>
    <m/>
    <m/>
    <m/>
    <m/>
    <m/>
    <m/>
    <m/>
    <m/>
    <m/>
    <m/>
    <m/>
    <m/>
    <m/>
    <m/>
    <m/>
    <m/>
    <m/>
    <m/>
    <m/>
    <m/>
    <m/>
    <m/>
    <m/>
    <m/>
    <m/>
    <m/>
    <m/>
    <m/>
    <m/>
    <m/>
    <m/>
    <m/>
    <m/>
    <m/>
  </r>
  <r>
    <n v="31"/>
    <x v="30"/>
    <s v="A-003743"/>
    <x v="0"/>
    <s v="BL"/>
    <n v="0"/>
    <s v="EC"/>
    <x v="10"/>
    <s v="Project manager (PM) level 9"/>
    <d v="2022-11-16T00:00:00"/>
    <d v="2022-11-16T00:00:00"/>
    <d v="2023-09-30T00:00:00"/>
    <s v="CLOSE"/>
    <s v="WHYE, Gregory"/>
    <x v="3"/>
    <s v="WHYE, Gregory753,77"/>
    <s v="CGI LUXBL"/>
    <s v="Project Manager"/>
    <n v="9"/>
    <n v="753.77"/>
    <n v="107"/>
    <n v="80653.39"/>
    <n v="107"/>
    <n v="80653.39"/>
    <n v="0"/>
    <n v="0"/>
    <n v="0"/>
    <n v="0"/>
    <s v="DIGIT.B.4CGI LUX"/>
    <m/>
    <m/>
    <m/>
    <m/>
    <m/>
    <m/>
    <m/>
    <m/>
    <n v="6"/>
    <n v="16"/>
    <n v="21"/>
    <n v="19.5"/>
    <n v="23"/>
    <n v="17"/>
    <n v="4.5"/>
    <m/>
    <m/>
    <m/>
    <m/>
    <m/>
    <m/>
    <m/>
    <m/>
    <m/>
    <m/>
    <m/>
    <m/>
    <m/>
    <m/>
    <m/>
    <m/>
    <m/>
    <m/>
    <m/>
    <m/>
    <m/>
    <m/>
    <m/>
    <m/>
    <m/>
    <m/>
    <m/>
    <m/>
    <m/>
    <m/>
    <m/>
    <m/>
    <m/>
    <m/>
  </r>
  <r>
    <n v="32"/>
    <x v="31"/>
    <s v="A-003772"/>
    <x v="2"/>
    <s v="NB"/>
    <n v="0"/>
    <s v="EC"/>
    <x v="17"/>
    <s v="D3.003 - EU Provisioning - Onboarding manager level 0-10"/>
    <d v="2023-06-16T00:00:00"/>
    <d v="2023-07-01T00:00:00"/>
    <d v="2024-09-30T00:00:00"/>
    <s v="START"/>
    <s v="IERVOLINO, Andrea"/>
    <x v="4"/>
    <s v="IERVOLINO, Andrea706,54"/>
    <s v="TALANNB"/>
    <s v="Onboarding manager"/>
    <n v="7"/>
    <n v="706.54"/>
    <n v="100"/>
    <n v="70654"/>
    <n v="100"/>
    <n v="70654"/>
    <n v="0"/>
    <n v="0"/>
    <n v="0"/>
    <n v="0"/>
    <s v="DIGIT.B.3TALAN"/>
    <m/>
    <m/>
    <m/>
    <m/>
    <m/>
    <m/>
    <m/>
    <m/>
    <m/>
    <m/>
    <m/>
    <m/>
    <m/>
    <m/>
    <m/>
    <m/>
    <m/>
    <m/>
    <n v="21"/>
    <n v="22"/>
    <n v="21"/>
    <n v="17"/>
    <n v="19"/>
    <m/>
    <m/>
    <m/>
    <m/>
    <m/>
    <m/>
    <m/>
    <m/>
    <m/>
    <m/>
    <m/>
    <m/>
    <m/>
    <m/>
    <m/>
    <m/>
    <m/>
    <m/>
    <m/>
    <m/>
    <m/>
    <m/>
    <m/>
    <m/>
    <m/>
    <m/>
  </r>
  <r>
    <n v="33"/>
    <x v="32"/>
    <s v="A-004019"/>
    <x v="1"/>
    <s v="NB"/>
    <n v="0"/>
    <s v="EC"/>
    <x v="19"/>
    <s v="Request for a FSD"/>
    <d v="2023-03-07T00:00:00"/>
    <d v="2023-03-07T00:00:00"/>
    <d v="2024-05-31T00:00:00"/>
    <s v="START"/>
    <s v="DUMITRU, Florin-Gabriel"/>
    <x v="0"/>
    <s v="DUMITRU, Florin-Gabriel473,9"/>
    <s v="TREMENDNB"/>
    <s v="Full-stack developer-FAR"/>
    <n v="8"/>
    <n v="473.9"/>
    <n v="220"/>
    <n v="104258"/>
    <n v="220"/>
    <n v="104258"/>
    <n v="0"/>
    <n v="0"/>
    <n v="0"/>
    <n v="0"/>
    <s v="RTDTREMEND"/>
    <m/>
    <m/>
    <m/>
    <m/>
    <m/>
    <m/>
    <m/>
    <m/>
    <m/>
    <m/>
    <m/>
    <m/>
    <n v="13"/>
    <n v="18"/>
    <n v="22"/>
    <n v="20"/>
    <n v="21"/>
    <n v="22"/>
    <n v="11"/>
    <n v="19"/>
    <n v="20"/>
    <n v="10"/>
    <n v="17"/>
    <n v="21"/>
    <n v="6"/>
    <m/>
    <m/>
    <m/>
    <m/>
    <m/>
    <m/>
    <m/>
    <m/>
    <m/>
    <m/>
    <m/>
    <m/>
    <m/>
    <m/>
    <m/>
    <m/>
    <m/>
    <m/>
    <m/>
    <m/>
    <m/>
    <m/>
    <m/>
    <m/>
  </r>
  <r>
    <n v="34"/>
    <x v="33"/>
    <s v="A-004430"/>
    <x v="0"/>
    <s v="BL"/>
    <n v="0"/>
    <s v="EC"/>
    <x v="4"/>
    <s v="D3.001 - TESTA - Project Manager level min9-max10 (10)"/>
    <d v="2022-11-28T00:00:00"/>
    <d v="2022-11-28T00:00:00"/>
    <d v="2023-09-30T00:00:00"/>
    <s v="CLOSE"/>
    <s v="GAGO CABEZAS, Irma"/>
    <x v="3"/>
    <s v="GAGO CABEZAS, Irma806,53"/>
    <s v="CGI LUXBL"/>
    <s v="Project Manager"/>
    <n v="10"/>
    <n v="806.53"/>
    <n v="185"/>
    <n v="149208.04999999999"/>
    <n v="185"/>
    <n v="149208.04999999999"/>
    <n v="0"/>
    <n v="0"/>
    <n v="0"/>
    <n v="0"/>
    <s v="DIGIT.D.3CGI LUX"/>
    <m/>
    <m/>
    <m/>
    <m/>
    <m/>
    <m/>
    <m/>
    <m/>
    <m/>
    <n v="10.5"/>
    <n v="16.5"/>
    <n v="16"/>
    <n v="20"/>
    <n v="17"/>
    <n v="12"/>
    <n v="21.5"/>
    <n v="15"/>
    <n v="11.5"/>
    <n v="20.5"/>
    <n v="13"/>
    <n v="11.5"/>
    <m/>
    <m/>
    <m/>
    <m/>
    <m/>
    <m/>
    <m/>
    <m/>
    <m/>
    <m/>
    <m/>
    <m/>
    <m/>
    <m/>
    <m/>
    <m/>
    <m/>
    <m/>
    <m/>
    <m/>
    <m/>
    <m/>
    <m/>
    <m/>
    <m/>
    <m/>
    <m/>
    <m/>
  </r>
  <r>
    <n v="35"/>
    <x v="34"/>
    <s v="A-004446"/>
    <x v="2"/>
    <s v="BL"/>
    <n v="0"/>
    <s v="EC"/>
    <x v="4"/>
    <s v="D3.001 - TESTA - On-boarding Manager level min8-max9 (9)"/>
    <d v="2022-11-24T00:00:00"/>
    <d v="2022-11-24T00:00:00"/>
    <d v="2023-09-30T00:00:00"/>
    <s v="CLOSE"/>
    <s v="DEVLEESCHOUWER, Sophie"/>
    <x v="3"/>
    <s v="DEVLEESCHOUWER, Sophie808,92"/>
    <s v="CGI LUXBL"/>
    <s v="Onboarding manager"/>
    <n v="9"/>
    <n v="808.92"/>
    <n v="185"/>
    <n v="149650.19999999998"/>
    <n v="185"/>
    <n v="149650.19999999998"/>
    <n v="0"/>
    <n v="0"/>
    <n v="0"/>
    <n v="0"/>
    <s v="DIGIT.D.3CGI LUX"/>
    <m/>
    <m/>
    <m/>
    <m/>
    <m/>
    <m/>
    <m/>
    <m/>
    <m/>
    <n v="9.5"/>
    <n v="15.5"/>
    <n v="17"/>
    <n v="22"/>
    <n v="16.5"/>
    <n v="14"/>
    <n v="18.5"/>
    <n v="14"/>
    <n v="14"/>
    <n v="19.5"/>
    <n v="14.5"/>
    <n v="10"/>
    <m/>
    <m/>
    <m/>
    <m/>
    <m/>
    <m/>
    <m/>
    <m/>
    <m/>
    <m/>
    <m/>
    <m/>
    <m/>
    <m/>
    <m/>
    <m/>
    <m/>
    <m/>
    <m/>
    <m/>
    <m/>
    <m/>
    <m/>
    <m/>
    <m/>
    <m/>
    <m/>
    <m/>
  </r>
  <r>
    <n v="36"/>
    <x v="35"/>
    <s v="A-004465"/>
    <x v="0"/>
    <s v="BL"/>
    <n v="0"/>
    <s v="EC"/>
    <x v="20"/>
    <s v="Project Manager (PM)"/>
    <d v="2022-12-16T00:00:00"/>
    <d v="2023-01-03T00:00:00"/>
    <d v="2024-02-29T00:00:00"/>
    <s v="START"/>
    <s v="DEBSKI, Tomasz"/>
    <x v="0"/>
    <s v="DEBSKI, Tomasz753,77"/>
    <s v="TREMENDBL"/>
    <s v="Project Manager"/>
    <n v="9"/>
    <n v="753.77"/>
    <n v="220"/>
    <n v="165829.4"/>
    <n v="220"/>
    <n v="165829.4"/>
    <n v="0"/>
    <n v="0"/>
    <n v="0"/>
    <n v="0"/>
    <s v="JUST B.1TREMEND"/>
    <m/>
    <m/>
    <m/>
    <m/>
    <m/>
    <m/>
    <m/>
    <m/>
    <m/>
    <m/>
    <n v="17"/>
    <n v="15"/>
    <n v="23"/>
    <n v="10.5"/>
    <n v="16"/>
    <n v="20"/>
    <n v="18"/>
    <n v="6"/>
    <n v="20"/>
    <n v="20"/>
    <n v="17.5"/>
    <n v="14"/>
    <n v="18"/>
    <n v="5"/>
    <m/>
    <m/>
    <m/>
    <m/>
    <m/>
    <m/>
    <m/>
    <m/>
    <m/>
    <m/>
    <m/>
    <m/>
    <m/>
    <m/>
    <m/>
    <m/>
    <m/>
    <m/>
    <m/>
    <m/>
    <m/>
    <m/>
    <m/>
    <m/>
    <m/>
  </r>
  <r>
    <n v="37"/>
    <x v="36"/>
    <s v="A-004504"/>
    <x v="0"/>
    <s v="BL"/>
    <n v="0"/>
    <s v="EC"/>
    <x v="10"/>
    <s v="Project manager (PM) level 8"/>
    <d v="2022-12-01T00:00:00"/>
    <d v="2022-12-01T00:00:00"/>
    <d v="2023-09-30T00:00:00"/>
    <s v="CLOSE"/>
    <s v="ADESANYA, Kehinde"/>
    <x v="3"/>
    <s v="ADESANYA, Kehinde704,46"/>
    <s v="CGI LUXBL"/>
    <s v="Project Manager"/>
    <n v="8"/>
    <n v="704.46"/>
    <n v="55"/>
    <n v="38745.300000000003"/>
    <n v="55"/>
    <n v="38745.300000000003"/>
    <n v="0"/>
    <n v="0"/>
    <n v="0"/>
    <n v="0"/>
    <s v="DIGIT.B.4CGI LUX"/>
    <m/>
    <m/>
    <m/>
    <m/>
    <m/>
    <m/>
    <m/>
    <m/>
    <m/>
    <n v="15"/>
    <n v="21"/>
    <n v="19"/>
    <m/>
    <m/>
    <m/>
    <m/>
    <m/>
    <m/>
    <m/>
    <m/>
    <m/>
    <m/>
    <m/>
    <m/>
    <m/>
    <m/>
    <m/>
    <m/>
    <m/>
    <m/>
    <m/>
    <m/>
    <m/>
    <m/>
    <m/>
    <m/>
    <m/>
    <m/>
    <m/>
    <m/>
    <m/>
    <m/>
    <m/>
    <m/>
    <m/>
    <m/>
    <m/>
    <m/>
    <m/>
  </r>
  <r>
    <n v="39"/>
    <x v="37"/>
    <s v="A-005154"/>
    <x v="2"/>
    <s v="NB"/>
    <n v="0"/>
    <s v="EC"/>
    <x v="21"/>
    <s v="LIOP - IT Expert"/>
    <d v="2023-03-03T00:00:00"/>
    <d v="2023-03-03T00:00:00"/>
    <d v="1899-12-30T00:00:00"/>
    <s v="START"/>
    <s v="DI GIACOMO, Debora"/>
    <x v="2"/>
    <s v="DI GIACOMO, Debora1000"/>
    <s v="WavestoneNB"/>
    <s v="IT specialist / expert profile-FAR"/>
    <n v="0"/>
    <n v="1000"/>
    <n v="90"/>
    <n v="90000"/>
    <n v="22.5"/>
    <n v="22500"/>
    <n v="67.5"/>
    <n v="67500"/>
    <n v="0"/>
    <n v="0"/>
    <s v="DIGIT.D.2Wavestone"/>
    <m/>
    <m/>
    <m/>
    <m/>
    <m/>
    <m/>
    <m/>
    <m/>
    <m/>
    <m/>
    <m/>
    <m/>
    <m/>
    <n v="6"/>
    <m/>
    <n v="8"/>
    <m/>
    <n v="7"/>
    <n v="1.5"/>
    <m/>
    <m/>
    <m/>
    <m/>
    <m/>
    <m/>
    <m/>
    <m/>
    <m/>
    <m/>
    <m/>
    <m/>
    <m/>
    <m/>
    <m/>
    <m/>
    <m/>
    <m/>
    <m/>
    <m/>
    <m/>
    <m/>
    <m/>
    <m/>
    <m/>
    <m/>
    <m/>
    <m/>
    <m/>
    <m/>
  </r>
  <r>
    <n v="41"/>
    <x v="38"/>
    <s v="A-005337"/>
    <x v="0"/>
    <s v="NB"/>
    <n v="0"/>
    <s v="EC"/>
    <x v="11"/>
    <s v="Workplace security specialist"/>
    <d v="2023-03-08T00:00:00"/>
    <d v="2023-03-08T00:00:00"/>
    <d v="2024-10-30T00:00:00"/>
    <s v="START"/>
    <s v="BINTZ, Adrien"/>
    <x v="1"/>
    <s v="BINTZ, Adrien442,79"/>
    <s v="EDDANB"/>
    <s v="Workplace security specialist"/>
    <n v="5"/>
    <n v="442.79"/>
    <n v="220"/>
    <n v="97413.8"/>
    <n v="220"/>
    <n v="97413.8"/>
    <n v="0"/>
    <n v="0"/>
    <n v="0"/>
    <n v="0"/>
    <s v="HREDDA"/>
    <m/>
    <m/>
    <m/>
    <m/>
    <m/>
    <m/>
    <m/>
    <m/>
    <m/>
    <m/>
    <m/>
    <m/>
    <n v="17"/>
    <n v="18"/>
    <n v="17"/>
    <n v="21"/>
    <n v="21"/>
    <n v="12"/>
    <n v="21"/>
    <n v="21"/>
    <n v="19"/>
    <n v="15"/>
    <n v="18"/>
    <n v="15"/>
    <n v="5"/>
    <m/>
    <m/>
    <m/>
    <m/>
    <m/>
    <m/>
    <m/>
    <m/>
    <m/>
    <m/>
    <m/>
    <m/>
    <m/>
    <m/>
    <m/>
    <m/>
    <m/>
    <m/>
    <m/>
    <m/>
    <m/>
    <m/>
    <m/>
    <m/>
  </r>
  <r>
    <n v="42"/>
    <x v="39"/>
    <s v="A-005400"/>
    <x v="2"/>
    <s v="NB"/>
    <n v="0"/>
    <s v="EC"/>
    <x v="8"/>
    <s v="Onboarding manager for EUROPASS project"/>
    <d v="2023-02-28T00:00:00"/>
    <d v="2023-02-28T00:00:00"/>
    <d v="2024-06-30T00:00:00"/>
    <s v="PENDING"/>
    <s v="COOKE, Justin"/>
    <x v="3"/>
    <s v="COOKE, Justin865,54"/>
    <s v="CGI LUXNB"/>
    <s v="Onboarding manager"/>
    <n v="10"/>
    <n v="865.54"/>
    <n v="220"/>
    <n v="190418.8"/>
    <n v="220"/>
    <n v="190418.8"/>
    <n v="0"/>
    <n v="0"/>
    <n v="0"/>
    <n v="0"/>
    <s v="EMPLCGI LUX"/>
    <m/>
    <m/>
    <m/>
    <m/>
    <m/>
    <m/>
    <m/>
    <m/>
    <m/>
    <m/>
    <m/>
    <m/>
    <m/>
    <n v="16"/>
    <n v="15.5"/>
    <n v="21.5"/>
    <n v="15.5"/>
    <n v="9"/>
    <n v="20"/>
    <n v="22"/>
    <n v="20"/>
    <n v="16"/>
    <n v="18"/>
    <n v="17"/>
    <n v="18"/>
    <n v="11.5"/>
    <m/>
    <m/>
    <m/>
    <m/>
    <m/>
    <m/>
    <m/>
    <m/>
    <m/>
    <m/>
    <m/>
    <m/>
    <m/>
    <m/>
    <m/>
    <m/>
    <m/>
    <m/>
    <m/>
    <m/>
    <m/>
    <m/>
    <m/>
  </r>
  <r>
    <n v="43"/>
    <x v="40"/>
    <s v="A-005585"/>
    <x v="1"/>
    <s v="NB"/>
    <n v="0"/>
    <s v="EC"/>
    <x v="17"/>
    <s v="Full stack Developer Level 8 Far-Site Comref"/>
    <d v="2023-03-08T00:00:00"/>
    <d v="1899-12-30T00:00:00"/>
    <d v="2024-09-30T00:00:00"/>
    <s v="CLOSE"/>
    <s v="MEDAN, Andrei"/>
    <x v="1"/>
    <s v="MEDAN, Andrei463,9"/>
    <s v="EDDANB"/>
    <s v="Full-stack developer-FAR"/>
    <n v="8"/>
    <n v="463.9"/>
    <n v="120"/>
    <n v="55668"/>
    <n v="120"/>
    <n v="55668"/>
    <n v="0"/>
    <n v="0"/>
    <n v="0"/>
    <n v="0"/>
    <s v="DIGIT.B.3EDDA"/>
    <m/>
    <m/>
    <m/>
    <m/>
    <m/>
    <m/>
    <m/>
    <m/>
    <m/>
    <m/>
    <m/>
    <m/>
    <n v="4"/>
    <n v="16.5"/>
    <n v="19"/>
    <n v="20"/>
    <n v="17.5"/>
    <n v="17.5"/>
    <n v="14.5"/>
    <n v="11"/>
    <m/>
    <m/>
    <m/>
    <m/>
    <m/>
    <m/>
    <m/>
    <m/>
    <m/>
    <m/>
    <m/>
    <m/>
    <m/>
    <m/>
    <m/>
    <m/>
    <m/>
    <m/>
    <m/>
    <m/>
    <m/>
    <m/>
    <m/>
    <m/>
    <m/>
    <m/>
    <m/>
    <m/>
    <m/>
  </r>
  <r>
    <n v="44"/>
    <x v="41"/>
    <s v="A-005592"/>
    <x v="2"/>
    <s v="NB"/>
    <n v="0"/>
    <s v="EC"/>
    <x v="8"/>
    <s v="Onboarding manager for Europass project"/>
    <d v="2023-03-22T00:00:00"/>
    <d v="2023-03-22T00:00:00"/>
    <d v="2024-06-30T00:00:00"/>
    <s v="PENDING"/>
    <s v="NICULESCU, Calin"/>
    <x v="3"/>
    <s v="NICULESCU, Calin865,54"/>
    <s v="CGI LUXNB"/>
    <s v="Onboarding manager"/>
    <n v="10"/>
    <n v="865.54"/>
    <n v="220"/>
    <n v="190418.8"/>
    <n v="220"/>
    <n v="190418.8"/>
    <n v="0"/>
    <n v="0"/>
    <n v="0"/>
    <n v="0"/>
    <s v="EMPLCGI LUX"/>
    <m/>
    <m/>
    <m/>
    <m/>
    <m/>
    <m/>
    <m/>
    <m/>
    <m/>
    <m/>
    <m/>
    <m/>
    <m/>
    <n v="13"/>
    <n v="17"/>
    <n v="22"/>
    <n v="14"/>
    <n v="18"/>
    <n v="18"/>
    <n v="21"/>
    <n v="16.5"/>
    <n v="15"/>
    <n v="19.5"/>
    <n v="18"/>
    <n v="18.5"/>
    <n v="9.5"/>
    <m/>
    <m/>
    <m/>
    <m/>
    <m/>
    <m/>
    <m/>
    <m/>
    <m/>
    <m/>
    <m/>
    <m/>
    <m/>
    <m/>
    <m/>
    <m/>
    <m/>
    <m/>
    <m/>
    <m/>
    <m/>
    <m/>
    <m/>
  </r>
  <r>
    <n v="45"/>
    <x v="42"/>
    <s v="A-005727"/>
    <x v="1"/>
    <s v="NB"/>
    <n v="0"/>
    <s v="REA"/>
    <x v="5"/>
    <s v="Expert Sharepoint"/>
    <d v="2023-04-03T00:00:00"/>
    <d v="1899-12-30T00:00:00"/>
    <d v="2024-05-15T00:00:00"/>
    <s v="PENDING"/>
    <s v="SAYTEE, Meatau Larry"/>
    <x v="1"/>
    <s v="SAYTEE, Meatau Larry575,6"/>
    <s v="EDDANB"/>
    <s v="Back-end developer"/>
    <n v="8"/>
    <n v="575.6"/>
    <n v="220"/>
    <n v="126632"/>
    <n v="220"/>
    <n v="126632"/>
    <n v="0"/>
    <n v="0"/>
    <n v="0"/>
    <n v="0"/>
    <s v="REAEDDA"/>
    <m/>
    <m/>
    <m/>
    <m/>
    <m/>
    <m/>
    <m/>
    <m/>
    <m/>
    <m/>
    <m/>
    <m/>
    <m/>
    <n v="7.5"/>
    <n v="18"/>
    <n v="22"/>
    <n v="20"/>
    <n v="22"/>
    <n v="21"/>
    <n v="22"/>
    <n v="19"/>
    <n v="15"/>
    <n v="21"/>
    <n v="21"/>
    <n v="11.5"/>
    <m/>
    <m/>
    <m/>
    <m/>
    <m/>
    <m/>
    <m/>
    <m/>
    <m/>
    <m/>
    <m/>
    <m/>
    <m/>
    <m/>
    <m/>
    <m/>
    <m/>
    <m/>
    <m/>
    <m/>
    <m/>
    <m/>
    <m/>
    <m/>
  </r>
  <r>
    <n v="46"/>
    <x v="43"/>
    <s v="A-005922"/>
    <x v="1"/>
    <s v="NB"/>
    <n v="0"/>
    <s v="REA"/>
    <x v="5"/>
    <s v="Full-Stack Developer (FSD) level 7-8 Near-site in Java, Spring, Hibernate, Angular"/>
    <d v="2023-04-05T00:00:00"/>
    <d v="1899-12-30T00:00:00"/>
    <d v="2024-06-30T00:00:00"/>
    <s v="PENDING"/>
    <s v="SARBU, Cornelia"/>
    <x v="1"/>
    <s v="SARBU, Cornelia580,74"/>
    <s v="EDDANB"/>
    <s v="Full-stack developer"/>
    <n v="8"/>
    <n v="580.74"/>
    <n v="220"/>
    <n v="127762.8"/>
    <n v="220"/>
    <n v="127762.8"/>
    <n v="0"/>
    <n v="0"/>
    <n v="0"/>
    <n v="0"/>
    <s v="REAEDDA"/>
    <m/>
    <m/>
    <m/>
    <m/>
    <m/>
    <m/>
    <m/>
    <m/>
    <m/>
    <m/>
    <m/>
    <m/>
    <m/>
    <n v="6"/>
    <n v="19"/>
    <n v="22"/>
    <n v="20"/>
    <n v="20"/>
    <n v="21"/>
    <n v="20"/>
    <n v="19.5"/>
    <n v="15.5"/>
    <n v="20"/>
    <n v="20"/>
    <n v="17"/>
    <m/>
    <m/>
    <m/>
    <m/>
    <m/>
    <m/>
    <m/>
    <m/>
    <m/>
    <m/>
    <m/>
    <m/>
    <m/>
    <m/>
    <m/>
    <m/>
    <m/>
    <m/>
    <m/>
    <m/>
    <m/>
    <m/>
    <m/>
    <m/>
  </r>
  <r>
    <n v="47"/>
    <x v="44"/>
    <s v="A-005981"/>
    <x v="2"/>
    <s v="NB"/>
    <n v="0"/>
    <s v="EC"/>
    <x v="19"/>
    <s v="IT Services for e-Grants Management System"/>
    <d v="2023-03-31T00:00:00"/>
    <d v="2023-11-01T00:00:00"/>
    <d v="2024-10-31T00:00:00"/>
    <s v="CLOSE"/>
    <s v="CHATTERJEE, Pallavi"/>
    <x v="1"/>
    <s v="CHATTERJEE, Pallavi524,32"/>
    <s v="EDDANB"/>
    <s v="Business Intelligence expert"/>
    <n v="4"/>
    <n v="524.32000000000005"/>
    <n v="60"/>
    <n v="31459.200000000004"/>
    <n v="60"/>
    <n v="31459.200000000004"/>
    <n v="0"/>
    <n v="0"/>
    <n v="0"/>
    <n v="0"/>
    <s v="RTDEDDA"/>
    <m/>
    <m/>
    <m/>
    <m/>
    <m/>
    <m/>
    <m/>
    <m/>
    <m/>
    <m/>
    <m/>
    <m/>
    <m/>
    <m/>
    <m/>
    <m/>
    <n v="1"/>
    <n v="19.5"/>
    <n v="20"/>
    <n v="8"/>
    <n v="11.5"/>
    <m/>
    <m/>
    <m/>
    <m/>
    <m/>
    <m/>
    <m/>
    <m/>
    <m/>
    <m/>
    <m/>
    <m/>
    <m/>
    <m/>
    <m/>
    <m/>
    <m/>
    <m/>
    <m/>
    <m/>
    <m/>
    <m/>
    <m/>
    <m/>
    <m/>
    <m/>
    <m/>
    <m/>
  </r>
  <r>
    <n v="48"/>
    <x v="45"/>
    <s v="A-006067"/>
    <x v="1"/>
    <s v="NB"/>
    <n v="0"/>
    <s v="EC"/>
    <x v="22"/>
    <s v="WIHP JUNIOR PLATFORM DEVELOPER  FAR SITE-6"/>
    <d v="2023-06-27T00:00:00"/>
    <d v="2023-07-01T00:00:00"/>
    <d v="2023-12-31T00:00:00"/>
    <s v="CLOSE"/>
    <s v="VISICH, Valeryy"/>
    <x v="4"/>
    <s v="VISICH, Valeryy405,19"/>
    <s v="TALANNB"/>
    <s v="Full-stack developer-FAR"/>
    <n v="6"/>
    <n v="405.19"/>
    <n v="80"/>
    <n v="32415.200000000001"/>
    <n v="80"/>
    <n v="32415.200000000001"/>
    <n v="0"/>
    <n v="0"/>
    <n v="0"/>
    <n v="0"/>
    <s v="ESTATTALAN"/>
    <m/>
    <m/>
    <m/>
    <m/>
    <m/>
    <m/>
    <m/>
    <m/>
    <m/>
    <m/>
    <m/>
    <m/>
    <m/>
    <m/>
    <m/>
    <m/>
    <n v="11"/>
    <n v="22"/>
    <n v="21"/>
    <n v="22"/>
    <n v="4"/>
    <m/>
    <m/>
    <m/>
    <m/>
    <m/>
    <m/>
    <m/>
    <m/>
    <m/>
    <m/>
    <m/>
    <m/>
    <m/>
    <m/>
    <m/>
    <m/>
    <m/>
    <m/>
    <m/>
    <m/>
    <m/>
    <m/>
    <m/>
    <m/>
    <m/>
    <m/>
    <m/>
    <m/>
  </r>
  <r>
    <n v="49"/>
    <x v="46"/>
    <s v="A-006275"/>
    <x v="0"/>
    <s v="NB"/>
    <n v="0"/>
    <s v="EC"/>
    <x v="23"/>
    <s v="Extension PM lev. 9 OLLINGER following CS 3533"/>
    <d v="2023-03-24T00:00:00"/>
    <d v="1899-12-30T00:00:00"/>
    <d v="2024-09-30T00:00:00"/>
    <s v="START"/>
    <s v="OLLINGER, Yannick"/>
    <x v="3"/>
    <s v="OLLINGER, Yannick753,77"/>
    <s v="CGI LUXNB"/>
    <s v="Project Manager"/>
    <n v="9"/>
    <n v="753.77"/>
    <n v="110"/>
    <n v="82914.7"/>
    <n v="110"/>
    <n v="82914.7"/>
    <n v="0"/>
    <n v="0"/>
    <n v="0"/>
    <n v="0"/>
    <s v="DIGIT.A.5CGI LUX"/>
    <m/>
    <m/>
    <m/>
    <m/>
    <m/>
    <m/>
    <m/>
    <m/>
    <m/>
    <m/>
    <m/>
    <m/>
    <m/>
    <n v="9.5"/>
    <n v="14"/>
    <n v="22"/>
    <n v="10.5"/>
    <n v="21"/>
    <n v="21"/>
    <n v="12"/>
    <m/>
    <m/>
    <m/>
    <m/>
    <m/>
    <m/>
    <m/>
    <m/>
    <m/>
    <m/>
    <m/>
    <m/>
    <m/>
    <m/>
    <m/>
    <m/>
    <m/>
    <m/>
    <m/>
    <m/>
    <m/>
    <m/>
    <m/>
    <m/>
    <m/>
    <m/>
    <m/>
    <m/>
    <m/>
  </r>
  <r>
    <n v="50"/>
    <x v="47"/>
    <s v="A-006278"/>
    <x v="1"/>
    <s v="NB"/>
    <n v="0"/>
    <s v="EC"/>
    <x v="8"/>
    <s v="Full-stack developer - HORIZONTAL/IRM"/>
    <d v="2023-08-02T00:00:00"/>
    <d v="2023-08-02T00:00:00"/>
    <d v="2024-05-31T00:00:00"/>
    <s v="START"/>
    <s v="FERNANDEZ GUERRERO, Ivan"/>
    <x v="1"/>
    <s v="FERNANDEZ GUERRERO, Ivan580,74"/>
    <s v="EDDANB"/>
    <s v="Full-stack developer"/>
    <n v="8"/>
    <n v="580.74"/>
    <n v="80"/>
    <n v="46459.199999999997"/>
    <n v="80"/>
    <n v="46459.199999999997"/>
    <n v="0"/>
    <n v="0"/>
    <n v="0"/>
    <n v="0"/>
    <s v="EMPLEDDA"/>
    <m/>
    <m/>
    <m/>
    <m/>
    <m/>
    <m/>
    <m/>
    <m/>
    <m/>
    <m/>
    <m/>
    <m/>
    <m/>
    <m/>
    <m/>
    <m/>
    <m/>
    <m/>
    <n v="9.5"/>
    <n v="22"/>
    <n v="20"/>
    <n v="14"/>
    <n v="14.5"/>
    <m/>
    <m/>
    <m/>
    <m/>
    <m/>
    <m/>
    <m/>
    <m/>
    <m/>
    <m/>
    <m/>
    <m/>
    <m/>
    <m/>
    <m/>
    <m/>
    <m/>
    <m/>
    <m/>
    <m/>
    <m/>
    <m/>
    <m/>
    <m/>
    <m/>
    <m/>
  </r>
  <r>
    <n v="51"/>
    <x v="48"/>
    <s v="A-006300"/>
    <x v="0"/>
    <s v="NB"/>
    <n v="0"/>
    <s v="EC"/>
    <x v="24"/>
    <s v="GROW G4 New Data Scientist (DS) Level 0-5"/>
    <d v="2023-08-28T00:00:00"/>
    <d v="2023-08-28T00:00:00"/>
    <d v="2024-10-31T00:00:00"/>
    <s v="START"/>
    <s v="MARCELLINO, Costanza"/>
    <x v="3"/>
    <s v="MARCELLINO, Costanza413,82"/>
    <s v="CGI LUXNB"/>
    <s v="Data Scientist"/>
    <n v="4"/>
    <n v="413.82"/>
    <n v="220"/>
    <n v="91040.4"/>
    <n v="220"/>
    <n v="91040.4"/>
    <n v="0"/>
    <n v="0"/>
    <n v="0"/>
    <n v="0"/>
    <s v="GROWCGI LUX"/>
    <m/>
    <m/>
    <m/>
    <m/>
    <m/>
    <m/>
    <m/>
    <m/>
    <m/>
    <m/>
    <m/>
    <m/>
    <m/>
    <m/>
    <m/>
    <m/>
    <m/>
    <m/>
    <n v="21"/>
    <n v="16"/>
    <n v="18"/>
    <n v="15"/>
    <n v="17"/>
    <n v="15"/>
    <n v="15"/>
    <n v="15"/>
    <n v="16"/>
    <n v="15"/>
    <n v="16"/>
    <n v="16"/>
    <n v="15"/>
    <m/>
    <n v="10"/>
    <m/>
    <m/>
    <m/>
    <m/>
    <m/>
    <m/>
    <m/>
    <m/>
    <m/>
    <m/>
    <m/>
    <m/>
    <m/>
    <m/>
    <m/>
    <m/>
  </r>
  <r>
    <n v="52"/>
    <x v="49"/>
    <s v="A-006302"/>
    <x v="1"/>
    <s v="NB"/>
    <n v="0"/>
    <s v="EC"/>
    <x v="25"/>
    <s v="Full-Stack Developer (FSD)"/>
    <d v="2023-09-14T00:00:00"/>
    <d v="2023-09-15T00:00:00"/>
    <d v="2024-11-30T00:00:00"/>
    <s v="CLOSE"/>
    <s v="AFONSO, Leonardo"/>
    <x v="4"/>
    <s v="AFONSO, Leonardo507,24"/>
    <s v="TALANNB"/>
    <s v="Full-stack developer"/>
    <n v="6"/>
    <n v="507.24"/>
    <n v="40"/>
    <n v="20289.599999999999"/>
    <n v="40"/>
    <n v="20289.599999999999"/>
    <n v="0"/>
    <n v="0"/>
    <n v="0"/>
    <n v="0"/>
    <s v="SGTALAN"/>
    <m/>
    <m/>
    <m/>
    <m/>
    <m/>
    <m/>
    <m/>
    <m/>
    <m/>
    <m/>
    <m/>
    <m/>
    <m/>
    <m/>
    <m/>
    <m/>
    <m/>
    <m/>
    <n v="1"/>
    <n v="21.5"/>
    <n v="17.5"/>
    <m/>
    <m/>
    <m/>
    <m/>
    <m/>
    <m/>
    <m/>
    <m/>
    <m/>
    <m/>
    <m/>
    <m/>
    <m/>
    <m/>
    <m/>
    <m/>
    <m/>
    <m/>
    <m/>
    <m/>
    <m/>
    <m/>
    <m/>
    <m/>
    <m/>
    <m/>
    <m/>
    <m/>
  </r>
  <r>
    <n v="53"/>
    <x v="50"/>
    <s v="A-006542"/>
    <x v="0"/>
    <s v="NB"/>
    <n v="0"/>
    <s v="EC"/>
    <x v="18"/>
    <s v="Data-warehouse &amp; report. devel"/>
    <d v="2023-04-28T00:00:00"/>
    <d v="1899-12-30T00:00:00"/>
    <d v="2024-10-31T00:00:00"/>
    <s v="PENDING"/>
    <s v="MASTRANDREA, Barbara Maria"/>
    <x v="4"/>
    <s v="MASTRANDREA, Barbara Maria469,07"/>
    <s v="TALANNB"/>
    <s v="Data warehouse and reporting developer-FAR"/>
    <n v="8"/>
    <n v="469.07"/>
    <n v="216"/>
    <n v="101319.12"/>
    <n v="216"/>
    <n v="101319.12"/>
    <n v="0"/>
    <n v="0"/>
    <n v="0"/>
    <n v="0"/>
    <s v="REGIOTALAN"/>
    <m/>
    <m/>
    <m/>
    <m/>
    <m/>
    <m/>
    <m/>
    <m/>
    <m/>
    <m/>
    <m/>
    <m/>
    <m/>
    <m/>
    <n v="5"/>
    <n v="12"/>
    <n v="19"/>
    <n v="18"/>
    <n v="20"/>
    <n v="22"/>
    <n v="19.5"/>
    <n v="6"/>
    <n v="20"/>
    <n v="21"/>
    <n v="18"/>
    <n v="18"/>
    <n v="17.5"/>
    <m/>
    <m/>
    <m/>
    <m/>
    <m/>
    <m/>
    <m/>
    <m/>
    <m/>
    <m/>
    <m/>
    <m/>
    <m/>
    <m/>
    <m/>
    <m/>
    <m/>
    <m/>
    <m/>
    <m/>
    <m/>
    <m/>
  </r>
  <r>
    <n v="54"/>
    <x v="51"/>
    <s v="A-006621"/>
    <x v="1"/>
    <s v="BL"/>
    <n v="0"/>
    <s v="EC"/>
    <x v="26"/>
    <s v="2023-B1-002.058 - EXT - DIGIT TMII - ADAM - suite CS 2474"/>
    <d v="2023-04-14T00:00:00"/>
    <d v="1899-12-30T00:00:00"/>
    <d v="2024-09-30T00:00:00"/>
    <s v="PENDING"/>
    <s v="ADAM, Nathalie"/>
    <x v="1"/>
    <s v="ADAM, Nathalie580,74"/>
    <s v="EDDABL"/>
    <s v="Full-stack developer"/>
    <n v="8"/>
    <n v="580.74"/>
    <n v="145"/>
    <n v="84207.3"/>
    <n v="145"/>
    <n v="84207.3"/>
    <n v="0"/>
    <n v="0"/>
    <n v="0"/>
    <n v="0"/>
    <s v="DIGIT.B.1EDDA"/>
    <m/>
    <m/>
    <m/>
    <m/>
    <m/>
    <m/>
    <m/>
    <m/>
    <m/>
    <m/>
    <m/>
    <m/>
    <m/>
    <m/>
    <n v="2"/>
    <n v="17"/>
    <n v="13"/>
    <n v="13"/>
    <n v="13"/>
    <n v="18"/>
    <n v="15"/>
    <n v="2"/>
    <n v="14"/>
    <n v="17"/>
    <n v="11"/>
    <n v="10"/>
    <m/>
    <m/>
    <m/>
    <m/>
    <m/>
    <m/>
    <m/>
    <m/>
    <m/>
    <m/>
    <m/>
    <m/>
    <m/>
    <m/>
    <m/>
    <m/>
    <m/>
    <m/>
    <m/>
    <m/>
    <m/>
    <m/>
    <m/>
  </r>
  <r>
    <n v="55"/>
    <x v="52"/>
    <s v="A-006710"/>
    <x v="1"/>
    <s v="NB"/>
    <s v="DIGITTMII-007314-DIGITTMII-006710-MOD-01-6000053863-REQ-01"/>
    <s v="EC"/>
    <x v="26"/>
    <s v="2022-D1.003.372 - NEW - DIGIT TMII - Full Stack Developer L6/7"/>
    <d v="2023-04-21T00:00:00"/>
    <d v="1899-12-30T00:00:00"/>
    <d v="2024-09-30T00:00:00"/>
    <s v="CLOSE"/>
    <s v="APETRI, Ioana"/>
    <x v="4"/>
    <s v="APETRI, Ioana433,55"/>
    <s v="TALANNB"/>
    <s v="Full-stack developer-FAR"/>
    <n v="7"/>
    <n v="433.55"/>
    <n v="20"/>
    <n v="8671"/>
    <n v="20"/>
    <n v="8671"/>
    <n v="0"/>
    <n v="0"/>
    <n v="0"/>
    <n v="0"/>
    <s v="DIGIT.B.1TALAN"/>
    <m/>
    <m/>
    <m/>
    <m/>
    <m/>
    <m/>
    <m/>
    <m/>
    <m/>
    <m/>
    <m/>
    <m/>
    <m/>
    <m/>
    <m/>
    <m/>
    <m/>
    <m/>
    <m/>
    <m/>
    <n v="19"/>
    <n v="1"/>
    <m/>
    <m/>
    <m/>
    <m/>
    <m/>
    <m/>
    <m/>
    <m/>
    <m/>
    <m/>
    <m/>
    <m/>
    <m/>
    <m/>
    <m/>
    <m/>
    <m/>
    <m/>
    <m/>
    <m/>
    <m/>
    <m/>
    <m/>
    <m/>
    <m/>
    <m/>
    <m/>
  </r>
  <r>
    <n v="55"/>
    <x v="52"/>
    <s v="A-006710"/>
    <x v="1"/>
    <s v="NB"/>
    <s v="DIGITTMII-007314-DIGITTMII-006710-MOD-01-6000053863-REQ-01"/>
    <s v="EC"/>
    <x v="26"/>
    <s v="2022-D1.003.372 - NEW - DIGIT TMII - Full Stack Developer L6/7"/>
    <d v="2023-04-21T00:00:00"/>
    <d v="1899-12-30T00:00:00"/>
    <d v="2024-09-30T00:00:00"/>
    <s v="CLOSE"/>
    <s v="LORENC, Adrian"/>
    <x v="4"/>
    <s v="LORENC, Adrian443,55"/>
    <s v="TALANNB"/>
    <s v="Full-stack developer-FAR"/>
    <n v="7"/>
    <n v="443.55"/>
    <n v="200"/>
    <n v="88710"/>
    <n v="200"/>
    <n v="88710"/>
    <n v="0"/>
    <n v="0"/>
    <n v="0"/>
    <n v="0"/>
    <s v="DIGIT.B.1TALAN"/>
    <m/>
    <m/>
    <m/>
    <m/>
    <m/>
    <m/>
    <m/>
    <m/>
    <m/>
    <m/>
    <m/>
    <m/>
    <m/>
    <m/>
    <n v="4"/>
    <n v="21"/>
    <n v="20"/>
    <n v="19"/>
    <n v="1.5"/>
    <n v="21"/>
    <n v="15"/>
    <n v="16"/>
    <n v="21"/>
    <n v="16"/>
    <n v="18"/>
    <n v="18"/>
    <n v="9.5"/>
    <m/>
    <m/>
    <m/>
    <m/>
    <m/>
    <m/>
    <m/>
    <m/>
    <m/>
    <m/>
    <m/>
    <m/>
    <m/>
    <m/>
    <m/>
    <m/>
    <m/>
    <m/>
    <m/>
    <m/>
    <m/>
    <m/>
  </r>
  <r>
    <n v="56"/>
    <x v="53"/>
    <s v="A-006713"/>
    <x v="0"/>
    <s v="BL"/>
    <n v="0"/>
    <s v="EC"/>
    <x v="26"/>
    <s v="2023-B1.001.032 - EXT - DIGIT TMII - Douhaizenet - suite CS 2931"/>
    <d v="2023-04-15T00:00:00"/>
    <d v="1899-12-30T00:00:00"/>
    <d v="2024-09-30T00:00:00"/>
    <s v="CLOSE"/>
    <s v="DOUHAIZENET, Gael"/>
    <x v="1"/>
    <s v="DOUHAIZENET, Gael536,96"/>
    <s v="EDDABL"/>
    <s v="Data Scientist"/>
    <n v="7"/>
    <n v="536.96"/>
    <n v="121"/>
    <n v="64972.160000000003"/>
    <n v="121"/>
    <n v="64972.160000000003"/>
    <n v="0"/>
    <n v="0"/>
    <n v="0"/>
    <n v="0"/>
    <s v="DIGIT.B.1EDDA"/>
    <m/>
    <m/>
    <m/>
    <m/>
    <m/>
    <m/>
    <m/>
    <m/>
    <m/>
    <m/>
    <m/>
    <m/>
    <m/>
    <m/>
    <n v="7"/>
    <n v="19"/>
    <n v="19"/>
    <n v="13"/>
    <n v="21"/>
    <n v="22"/>
    <n v="20"/>
    <m/>
    <m/>
    <m/>
    <m/>
    <m/>
    <m/>
    <m/>
    <m/>
    <m/>
    <m/>
    <m/>
    <m/>
    <m/>
    <m/>
    <m/>
    <m/>
    <m/>
    <m/>
    <m/>
    <m/>
    <m/>
    <m/>
    <m/>
    <m/>
    <m/>
    <m/>
    <m/>
    <m/>
  </r>
  <r>
    <n v="57"/>
    <x v="54"/>
    <s v="A-006870"/>
    <x v="0"/>
    <s v="BL"/>
    <n v="0"/>
    <s v="EC"/>
    <x v="23"/>
    <s v="Extension PM level 9 WHYE  suite CS 3743"/>
    <d v="2023-04-12T00:00:00"/>
    <d v="1899-12-30T00:00:00"/>
    <d v="2024-09-30T00:00:00"/>
    <s v="CLOSE"/>
    <s v="WHYE, Gregory"/>
    <x v="3"/>
    <s v="WHYE, Gregory753,77"/>
    <s v="CGI LUXBL"/>
    <s v="Project Manager"/>
    <n v="9"/>
    <n v="753.77"/>
    <n v="120"/>
    <n v="90452.4"/>
    <n v="120"/>
    <n v="90452.4"/>
    <n v="0"/>
    <n v="0"/>
    <n v="0"/>
    <n v="0"/>
    <s v="DIGIT.A.5CGI LUX"/>
    <m/>
    <m/>
    <m/>
    <m/>
    <m/>
    <m/>
    <m/>
    <m/>
    <m/>
    <m/>
    <m/>
    <m/>
    <m/>
    <m/>
    <n v="14.5"/>
    <n v="20"/>
    <n v="18"/>
    <n v="22"/>
    <n v="21"/>
    <n v="22"/>
    <n v="2.5"/>
    <m/>
    <m/>
    <m/>
    <m/>
    <m/>
    <m/>
    <m/>
    <m/>
    <m/>
    <m/>
    <m/>
    <m/>
    <m/>
    <m/>
    <m/>
    <m/>
    <m/>
    <m/>
    <m/>
    <m/>
    <m/>
    <m/>
    <m/>
    <m/>
    <m/>
    <m/>
    <m/>
    <m/>
  </r>
  <r>
    <n v="58"/>
    <x v="55"/>
    <s v="A-006985"/>
    <x v="2"/>
    <s v="NB"/>
    <n v="0"/>
    <s v="REA"/>
    <x v="5"/>
    <s v="Expert in BI - 1"/>
    <d v="2023-05-05T00:00:00"/>
    <d v="1899-12-30T00:00:00"/>
    <d v="2024-07-31T00:00:00"/>
    <s v="PENDING"/>
    <s v="VASILIKIOTIS, Themis"/>
    <x v="1"/>
    <s v="VASILIKIOTIS, Themis515,46"/>
    <s v="EDDANB"/>
    <s v="Business Intelligence expert-FAR"/>
    <n v="8"/>
    <n v="515.46"/>
    <n v="220"/>
    <n v="113401.20000000001"/>
    <n v="220"/>
    <n v="113401.20000000001"/>
    <n v="0"/>
    <n v="0"/>
    <n v="0"/>
    <n v="0"/>
    <s v="REAEDDA"/>
    <m/>
    <m/>
    <m/>
    <m/>
    <m/>
    <m/>
    <m/>
    <m/>
    <m/>
    <m/>
    <m/>
    <m/>
    <m/>
    <m/>
    <m/>
    <n v="17.5"/>
    <n v="20"/>
    <n v="17"/>
    <n v="20"/>
    <n v="22"/>
    <n v="19.5"/>
    <n v="15"/>
    <n v="21"/>
    <n v="21"/>
    <n v="17"/>
    <n v="21"/>
    <n v="9"/>
    <m/>
    <m/>
    <m/>
    <m/>
    <m/>
    <m/>
    <m/>
    <m/>
    <m/>
    <m/>
    <m/>
    <m/>
    <m/>
    <m/>
    <m/>
    <m/>
    <m/>
    <m/>
    <m/>
    <m/>
    <m/>
    <m/>
  </r>
  <r>
    <n v="59"/>
    <x v="56"/>
    <s v="A-006994"/>
    <x v="1"/>
    <s v="NB"/>
    <n v="0"/>
    <s v="REA"/>
    <x v="5"/>
    <s v="Full-Stack Developer (FSD) level 7-8 Near-site in Java, Spring, Hibernate, Angular"/>
    <d v="2023-06-06T00:00:00"/>
    <d v="1899-12-30T00:00:00"/>
    <d v="2024-06-30T00:00:00"/>
    <s v="PENDING"/>
    <s v="DIAZ MUNOZ, Jaime"/>
    <x v="1"/>
    <s v="DIAZ MUNOZ, Jaime580,74"/>
    <s v="EDDANB"/>
    <s v="Full-stack developer"/>
    <n v="8"/>
    <n v="580.74"/>
    <n v="220"/>
    <n v="127762.8"/>
    <n v="220"/>
    <n v="127762.8"/>
    <n v="0"/>
    <n v="0"/>
    <n v="0"/>
    <n v="0"/>
    <s v="REAEDDA"/>
    <m/>
    <m/>
    <m/>
    <m/>
    <m/>
    <m/>
    <m/>
    <m/>
    <m/>
    <m/>
    <m/>
    <m/>
    <m/>
    <m/>
    <m/>
    <n v="9"/>
    <n v="12"/>
    <n v="21"/>
    <n v="21"/>
    <n v="22"/>
    <n v="20"/>
    <n v="16"/>
    <n v="21"/>
    <n v="20"/>
    <n v="18"/>
    <n v="21"/>
    <n v="19"/>
    <m/>
    <m/>
    <m/>
    <m/>
    <m/>
    <m/>
    <m/>
    <m/>
    <m/>
    <m/>
    <m/>
    <m/>
    <m/>
    <m/>
    <m/>
    <m/>
    <m/>
    <m/>
    <m/>
    <m/>
    <m/>
    <m/>
  </r>
  <r>
    <n v="60"/>
    <x v="57"/>
    <s v="A-007373"/>
    <x v="0"/>
    <s v="NB"/>
    <n v="0"/>
    <s v="EC"/>
    <x v="23"/>
    <s v="Extension PM level 2 TURCITU suite CS 2906"/>
    <d v="2023-05-04T00:00:00"/>
    <d v="1899-12-30T00:00:00"/>
    <d v="2024-09-30T00:00:00"/>
    <s v="CLOSE"/>
    <s v="TURCITU, Mihai-Alexandru "/>
    <x v="3"/>
    <s v="TURCITU, Mihai-Alexandru 469,41"/>
    <s v="CGI LUXNB"/>
    <s v="Project Manager"/>
    <n v="2"/>
    <n v="469.41"/>
    <n v="110"/>
    <n v="51635.100000000006"/>
    <n v="110"/>
    <n v="51635.100000000006"/>
    <n v="0"/>
    <n v="0"/>
    <n v="0"/>
    <n v="0"/>
    <s v="DIGIT.A.5CGI LUX"/>
    <m/>
    <m/>
    <m/>
    <m/>
    <m/>
    <m/>
    <m/>
    <m/>
    <m/>
    <m/>
    <m/>
    <m/>
    <m/>
    <m/>
    <n v="3.5"/>
    <n v="19"/>
    <n v="20"/>
    <n v="13"/>
    <n v="20"/>
    <n v="20"/>
    <n v="14.5"/>
    <m/>
    <m/>
    <m/>
    <m/>
    <m/>
    <m/>
    <m/>
    <m/>
    <m/>
    <m/>
    <m/>
    <m/>
    <m/>
    <m/>
    <m/>
    <m/>
    <m/>
    <m/>
    <m/>
    <m/>
    <m/>
    <m/>
    <m/>
    <m/>
    <m/>
    <m/>
    <m/>
    <m/>
  </r>
  <r>
    <n v="61"/>
    <x v="58"/>
    <s v="A-007384"/>
    <x v="0"/>
    <s v="NB"/>
    <n v="0"/>
    <s v="EC"/>
    <x v="1"/>
    <s v="Extension PM level 9 DE ANDRÉS DEL CASTILLO suite CS 2098"/>
    <d v="2023-05-10T00:00:00"/>
    <d v="1899-12-30T00:00:00"/>
    <d v="2024-09-30T00:00:00"/>
    <s v="CLOSE"/>
    <s v="DE ANDRES DEL CASTILLO, David"/>
    <x v="3"/>
    <s v="DE ANDRES DEL CASTILLO, David753,77"/>
    <s v="CGI LUXNB"/>
    <s v="Project Manager"/>
    <n v="9"/>
    <n v="753.77"/>
    <n v="90"/>
    <n v="67839.3"/>
    <n v="90"/>
    <n v="67839.3"/>
    <n v="0"/>
    <n v="0"/>
    <n v="0"/>
    <n v="0"/>
    <s v="DIGIT.A.4CGI LUX"/>
    <m/>
    <m/>
    <m/>
    <m/>
    <m/>
    <m/>
    <m/>
    <m/>
    <m/>
    <m/>
    <m/>
    <m/>
    <m/>
    <m/>
    <n v="2"/>
    <n v="22"/>
    <n v="16"/>
    <n v="18"/>
    <n v="19"/>
    <n v="13"/>
    <m/>
    <m/>
    <m/>
    <m/>
    <m/>
    <m/>
    <m/>
    <m/>
    <m/>
    <m/>
    <m/>
    <m/>
    <m/>
    <m/>
    <m/>
    <m/>
    <m/>
    <m/>
    <m/>
    <m/>
    <m/>
    <m/>
    <m/>
    <m/>
    <m/>
    <m/>
    <m/>
    <m/>
    <m/>
  </r>
  <r>
    <n v="62"/>
    <x v="59"/>
    <s v="A-007455"/>
    <x v="1"/>
    <s v="NB"/>
    <n v="0"/>
    <s v="EC"/>
    <x v="23"/>
    <s v=" Extension Back-end developer (BED) Lev 10 POCHON suite CS 2819"/>
    <d v="2023-05-02T00:00:00"/>
    <d v="1899-12-30T00:00:00"/>
    <d v="2024-09-30T00:00:00"/>
    <s v="CLOSE"/>
    <s v="POCHON, Régis"/>
    <x v="1"/>
    <s v="POCHON, Régis659"/>
    <s v="EDDANB"/>
    <s v="Back-end developer"/>
    <n v="10"/>
    <n v="659"/>
    <n v="90"/>
    <n v="59310"/>
    <n v="90"/>
    <n v="59310"/>
    <n v="0"/>
    <n v="0"/>
    <n v="0"/>
    <n v="0"/>
    <s v="DIGIT.A.5EDDA"/>
    <m/>
    <m/>
    <m/>
    <m/>
    <m/>
    <m/>
    <m/>
    <m/>
    <m/>
    <m/>
    <m/>
    <m/>
    <m/>
    <m/>
    <m/>
    <n v="20"/>
    <n v="18"/>
    <n v="15"/>
    <n v="20"/>
    <n v="17"/>
    <m/>
    <m/>
    <m/>
    <m/>
    <m/>
    <m/>
    <m/>
    <m/>
    <m/>
    <m/>
    <m/>
    <m/>
    <m/>
    <m/>
    <m/>
    <m/>
    <m/>
    <m/>
    <m/>
    <m/>
    <m/>
    <m/>
    <m/>
    <m/>
    <m/>
    <m/>
    <m/>
    <m/>
    <m/>
  </r>
  <r>
    <n v="63"/>
    <x v="60"/>
    <s v="A-007512"/>
    <x v="0"/>
    <s v="NB"/>
    <n v="0"/>
    <s v="EC"/>
    <x v="27"/>
    <n v="0"/>
    <d v="2023-06-09T00:00:00"/>
    <d v="1899-12-30T00:00:00"/>
    <d v="2024-04-30T00:00:00"/>
    <s v="PENDING"/>
    <s v="KATHAL, Tanisha"/>
    <x v="1"/>
    <s v="KATHAL, Tanisha533,56"/>
    <s v="EDDANB"/>
    <s v="Application/Cloud architect#R1"/>
    <n v="7"/>
    <n v="533.55999999999995"/>
    <n v="50"/>
    <n v="26677.999999999996"/>
    <n v="50"/>
    <n v="26677.999999999996"/>
    <n v="0"/>
    <n v="0"/>
    <n v="0"/>
    <n v="0"/>
    <s v="SANTEEDDA"/>
    <m/>
    <m/>
    <m/>
    <m/>
    <m/>
    <m/>
    <m/>
    <m/>
    <m/>
    <m/>
    <m/>
    <m/>
    <m/>
    <m/>
    <m/>
    <m/>
    <m/>
    <m/>
    <m/>
    <m/>
    <m/>
    <m/>
    <n v="2"/>
    <n v="21"/>
    <n v="17.5"/>
    <n v="9.5"/>
    <m/>
    <m/>
    <m/>
    <m/>
    <m/>
    <m/>
    <m/>
    <m/>
    <m/>
    <m/>
    <m/>
    <m/>
    <m/>
    <m/>
    <m/>
    <m/>
    <m/>
    <m/>
    <m/>
    <m/>
    <m/>
    <m/>
    <m/>
  </r>
  <r>
    <n v="64"/>
    <x v="61"/>
    <s v="A-007670"/>
    <x v="1"/>
    <s v="NB"/>
    <n v="0"/>
    <s v="EC"/>
    <x v="27"/>
    <s v="Back-End Developer (BED)"/>
    <d v="2023-09-21T00:00:00"/>
    <d v="1899-12-30T00:00:00"/>
    <d v="2024-12-31T00:00:00"/>
    <n v="0"/>
    <s v="ROSALES, Airy"/>
    <x v="1"/>
    <s v="ROSALES, Airy659"/>
    <s v="EDDANB"/>
    <s v="Back-end developer"/>
    <n v="6"/>
    <n v="659"/>
    <n v="220"/>
    <n v="144980"/>
    <n v="220"/>
    <n v="144980"/>
    <n v="0"/>
    <n v="0"/>
    <n v="0"/>
    <n v="0"/>
    <s v="SANTEEDDA"/>
    <m/>
    <m/>
    <m/>
    <m/>
    <m/>
    <m/>
    <m/>
    <m/>
    <m/>
    <m/>
    <m/>
    <m/>
    <m/>
    <m/>
    <m/>
    <m/>
    <m/>
    <m/>
    <m/>
    <m/>
    <n v="18"/>
    <n v="16"/>
    <n v="21"/>
    <n v="20.5"/>
    <n v="19"/>
    <n v="21"/>
    <n v="16"/>
    <n v="19"/>
    <n v="23"/>
    <n v="19"/>
    <n v="20"/>
    <m/>
    <n v="7.5"/>
    <m/>
    <m/>
    <m/>
    <m/>
    <m/>
    <m/>
    <m/>
    <m/>
    <m/>
    <m/>
    <m/>
    <m/>
    <m/>
    <m/>
    <m/>
    <m/>
  </r>
  <r>
    <n v="65"/>
    <x v="62"/>
    <s v="A-007691"/>
    <x v="0"/>
    <s v="NB"/>
    <s v="DIGITTMII-004504-6000053863-REQ-01"/>
    <s v="EC"/>
    <x v="23"/>
    <s v="Replacement ADESANYA with Diana LEFTER"/>
    <d v="2023-05-30T00:00:00"/>
    <d v="2023-06-01T00:00:00"/>
    <d v="2023-09-30T00:00:00"/>
    <s v="START"/>
    <s v="LEFTER, Diana"/>
    <x v="1"/>
    <s v="LEFTER, Diana704,46"/>
    <s v="EDDANB"/>
    <s v="Project Manager"/>
    <n v="8"/>
    <n v="704.46"/>
    <n v="130"/>
    <n v="91579.8"/>
    <n v="75"/>
    <n v="52834.5"/>
    <n v="55"/>
    <n v="38745.300000000003"/>
    <n v="0"/>
    <n v="0"/>
    <s v="DIGIT.A.5EDDA"/>
    <m/>
    <m/>
    <m/>
    <m/>
    <m/>
    <m/>
    <m/>
    <m/>
    <m/>
    <m/>
    <m/>
    <m/>
    <m/>
    <m/>
    <m/>
    <n v="7"/>
    <n v="20"/>
    <n v="19"/>
    <n v="19.5"/>
    <n v="9.5"/>
    <m/>
    <m/>
    <m/>
    <m/>
    <m/>
    <m/>
    <m/>
    <m/>
    <m/>
    <m/>
    <m/>
    <m/>
    <m/>
    <m/>
    <m/>
    <m/>
    <m/>
    <m/>
    <m/>
    <m/>
    <m/>
    <m/>
    <m/>
    <m/>
    <m/>
    <m/>
    <m/>
    <m/>
    <m/>
  </r>
  <r>
    <n v="66"/>
    <x v="63"/>
    <s v="A-007936"/>
    <x v="1"/>
    <s v="NB"/>
    <n v="0"/>
    <s v="EC"/>
    <x v="27"/>
    <s v="BACK-END DEVELOPER level 7-10 with expertise in digital distributed infrastructures"/>
    <d v="2023-08-02T00:00:00"/>
    <d v="2023-08-03T00:00:00"/>
    <d v="2024-09-30T00:00:00"/>
    <s v="START"/>
    <s v="CHOUAIECH, Mohamed"/>
    <x v="1"/>
    <s v="CHOUAIECH, Mohamed615,89"/>
    <s v="EDDANB"/>
    <s v="Back-end developer"/>
    <n v="9"/>
    <n v="615.89"/>
    <n v="220"/>
    <n v="135495.79999999999"/>
    <n v="220"/>
    <n v="135495.79999999999"/>
    <n v="0"/>
    <n v="0"/>
    <n v="0"/>
    <n v="0"/>
    <s v="SANTEEDDA"/>
    <m/>
    <m/>
    <m/>
    <m/>
    <m/>
    <m/>
    <m/>
    <m/>
    <m/>
    <m/>
    <m/>
    <m/>
    <m/>
    <m/>
    <m/>
    <m/>
    <m/>
    <n v="18"/>
    <n v="21"/>
    <n v="22"/>
    <n v="21"/>
    <n v="18"/>
    <n v="21"/>
    <n v="21"/>
    <n v="19"/>
    <n v="21"/>
    <n v="19"/>
    <n v="19"/>
    <m/>
    <m/>
    <m/>
    <m/>
    <m/>
    <m/>
    <m/>
    <m/>
    <m/>
    <m/>
    <m/>
    <m/>
    <m/>
    <m/>
    <m/>
    <m/>
    <m/>
    <m/>
    <m/>
    <m/>
    <m/>
  </r>
  <r>
    <n v="67"/>
    <x v="64"/>
    <s v="A-008170"/>
    <x v="2"/>
    <s v="NB"/>
    <n v="0"/>
    <s v="EC"/>
    <x v="19"/>
    <s v="IT Services for Security System"/>
    <d v="2023-06-15T00:00:00"/>
    <d v="2023-09-25T00:00:00"/>
    <d v="2024-10-31T00:00:00"/>
    <s v="PENDING"/>
    <s v="KIRIMLIDOU, Dimoula"/>
    <x v="1"/>
    <s v="KIRIMLIDOU, Dimoula469,07"/>
    <s v="EDDANB"/>
    <s v="Enterprise architect-FAR"/>
    <n v="8"/>
    <n v="469.07"/>
    <n v="180"/>
    <n v="84432.6"/>
    <n v="180"/>
    <n v="84432.6"/>
    <n v="0"/>
    <n v="0"/>
    <n v="0"/>
    <n v="0"/>
    <s v="RTDEDDA"/>
    <m/>
    <m/>
    <m/>
    <m/>
    <m/>
    <m/>
    <m/>
    <m/>
    <m/>
    <m/>
    <m/>
    <m/>
    <m/>
    <m/>
    <m/>
    <m/>
    <m/>
    <m/>
    <n v="5"/>
    <n v="22"/>
    <n v="19.5"/>
    <n v="15.5"/>
    <n v="18"/>
    <n v="21"/>
    <n v="18.5"/>
    <n v="20.5"/>
    <n v="16"/>
    <n v="16.5"/>
    <n v="7.5"/>
    <m/>
    <m/>
    <m/>
    <m/>
    <m/>
    <m/>
    <m/>
    <m/>
    <m/>
    <m/>
    <m/>
    <m/>
    <m/>
    <m/>
    <m/>
    <m/>
    <m/>
    <m/>
    <m/>
    <m/>
  </r>
  <r>
    <n v="68"/>
    <x v="65"/>
    <s v="A-008218"/>
    <x v="1"/>
    <s v="NB"/>
    <n v="0"/>
    <s v="EC"/>
    <x v="19"/>
    <s v="IT Architecture, Operations and Common Components"/>
    <d v="1899-12-30T00:00:00"/>
    <d v="1899-12-30T00:00:00"/>
    <d v="1899-12-30T00:00:00"/>
    <s v="START"/>
    <s v="MEJRI, Mohamed"/>
    <x v="1"/>
    <s v="MEJRI, Mohamed621,39"/>
    <s v="EDDANB"/>
    <s v="Full-stack developer"/>
    <s v="9"/>
    <n v="621.39"/>
    <n v="150"/>
    <n v="93208.5"/>
    <n v="150"/>
    <n v="93208.5"/>
    <n v="0"/>
    <n v="0"/>
    <n v="0"/>
    <n v="0"/>
    <s v="RTDEDDA"/>
    <m/>
    <m/>
    <m/>
    <m/>
    <m/>
    <m/>
    <m/>
    <m/>
    <m/>
    <m/>
    <m/>
    <m/>
    <m/>
    <m/>
    <m/>
    <m/>
    <m/>
    <m/>
    <m/>
    <n v="13"/>
    <n v="20"/>
    <n v="14"/>
    <n v="21"/>
    <n v="18"/>
    <n v="19"/>
    <n v="18.5"/>
    <n v="18"/>
    <n v="8.5"/>
    <m/>
    <m/>
    <m/>
    <m/>
    <m/>
    <m/>
    <m/>
    <m/>
    <m/>
    <m/>
    <m/>
    <m/>
    <m/>
    <m/>
    <m/>
    <m/>
    <m/>
    <m/>
    <m/>
    <m/>
    <m/>
  </r>
  <r>
    <n v="69"/>
    <x v="66"/>
    <s v="A-008426"/>
    <x v="2"/>
    <s v="NB"/>
    <n v="0"/>
    <s v="EC"/>
    <x v="19"/>
    <s v="IT Services for e-Grants Management System"/>
    <d v="2023-07-04T00:00:00"/>
    <d v="2023-11-01T00:00:00"/>
    <d v="2024-10-31T00:00:00"/>
    <s v="PENDING"/>
    <s v="CHATTERJEE, Pallavi"/>
    <x v="1"/>
    <s v="CHATTERJEE, Pallavi561,02"/>
    <s v="EDDANB"/>
    <s v="Business Intelligence expert"/>
    <s v="5"/>
    <n v="561.02"/>
    <n v="120"/>
    <n v="67322.399999999994"/>
    <n v="120"/>
    <n v="67322.399999999994"/>
    <n v="0"/>
    <n v="0"/>
    <n v="0"/>
    <n v="0"/>
    <s v="RTDEDDA"/>
    <m/>
    <m/>
    <m/>
    <m/>
    <m/>
    <m/>
    <m/>
    <m/>
    <m/>
    <m/>
    <m/>
    <m/>
    <m/>
    <m/>
    <m/>
    <m/>
    <m/>
    <m/>
    <m/>
    <m/>
    <n v="7.5"/>
    <n v="13.5"/>
    <n v="20"/>
    <n v="20"/>
    <n v="18.5"/>
    <n v="18"/>
    <n v="19"/>
    <n v="3.5"/>
    <m/>
    <m/>
    <m/>
    <m/>
    <m/>
    <m/>
    <m/>
    <m/>
    <m/>
    <m/>
    <m/>
    <m/>
    <m/>
    <m/>
    <m/>
    <m/>
    <m/>
    <m/>
    <m/>
    <m/>
    <m/>
  </r>
  <r>
    <n v="70"/>
    <x v="67"/>
    <s v="A-008616"/>
    <x v="1"/>
    <s v="NB"/>
    <n v="0"/>
    <s v="EC"/>
    <x v="17"/>
    <s v="B3.003 - EULOGIN - ESCRIBANO - Full stack developer Level 4 - Ext.1 of CS 3241"/>
    <d v="2023-07-04T00:00:00"/>
    <d v="2023-10-01T00:00:00"/>
    <d v="2024-09-30T00:00:00"/>
    <s v="PENDING"/>
    <s v="ESCRIBANO, Ruben"/>
    <x v="1"/>
    <s v="ESCRIBANO, Ruben443,05"/>
    <s v="EDDANB"/>
    <s v="Full-stack developer"/>
    <s v="4"/>
    <n v="443.05"/>
    <n v="150"/>
    <n v="66457.5"/>
    <n v="150"/>
    <n v="66457.5"/>
    <n v="0"/>
    <n v="0"/>
    <n v="0"/>
    <n v="0"/>
    <s v="DIGIT.B.3EDDA"/>
    <m/>
    <m/>
    <m/>
    <m/>
    <m/>
    <m/>
    <m/>
    <m/>
    <m/>
    <m/>
    <m/>
    <m/>
    <m/>
    <m/>
    <m/>
    <m/>
    <m/>
    <m/>
    <n v="0.5"/>
    <n v="21"/>
    <n v="15"/>
    <n v="15"/>
    <n v="17"/>
    <n v="21"/>
    <n v="18"/>
    <n v="19.5"/>
    <n v="19"/>
    <n v="4"/>
    <m/>
    <m/>
    <m/>
    <m/>
    <m/>
    <m/>
    <m/>
    <m/>
    <m/>
    <m/>
    <m/>
    <m/>
    <m/>
    <m/>
    <m/>
    <m/>
    <m/>
    <m/>
    <m/>
    <m/>
    <m/>
  </r>
  <r>
    <n v="71"/>
    <x v="68"/>
    <s v="A-008641"/>
    <x v="1"/>
    <s v="NB"/>
    <n v="0"/>
    <s v="EC"/>
    <x v="26"/>
    <s v="Full-Stack Developer (FSD)"/>
    <d v="2023-09-11T00:00:00"/>
    <d v="2023-09-11T00:00:00"/>
    <d v="2024-09-30T00:00:00"/>
    <n v="0"/>
    <s v="COLLING, Fabiano"/>
    <x v="4"/>
    <s v="COLLING, Fabiano580,74"/>
    <s v="TALANNB"/>
    <s v="Full-stack developer"/>
    <n v="8"/>
    <n v="580.74"/>
    <n v="150"/>
    <n v="87111"/>
    <n v="150"/>
    <n v="87111"/>
    <n v="0"/>
    <n v="0"/>
    <n v="0"/>
    <n v="0"/>
    <s v="DIGIT.B.1TALAN"/>
    <m/>
    <m/>
    <m/>
    <m/>
    <m/>
    <m/>
    <m/>
    <m/>
    <m/>
    <m/>
    <m/>
    <m/>
    <m/>
    <m/>
    <m/>
    <m/>
    <m/>
    <m/>
    <m/>
    <n v="12"/>
    <n v="20"/>
    <n v="16"/>
    <n v="21"/>
    <n v="21"/>
    <n v="18"/>
    <n v="11"/>
    <n v="19"/>
    <n v="12"/>
    <m/>
    <m/>
    <m/>
    <m/>
    <m/>
    <m/>
    <m/>
    <m/>
    <m/>
    <m/>
    <m/>
    <m/>
    <m/>
    <m/>
    <m/>
    <m/>
    <m/>
    <m/>
    <m/>
    <m/>
    <m/>
  </r>
  <r>
    <n v="72"/>
    <x v="69"/>
    <s v="A-008866"/>
    <x v="0"/>
    <s v="NB"/>
    <n v="0"/>
    <s v="EC"/>
    <x v="16"/>
    <s v="_x0009_Project Manager (PM)"/>
    <d v="2023-09-04T00:00:00"/>
    <d v="2023-09-04T00:00:00"/>
    <d v="2025-01-31T00:00:00"/>
    <s v="START"/>
    <s v="VAN DE GUCHT, Pascal"/>
    <x v="3"/>
    <s v="VAN DE GUCHT, Pascal806,53"/>
    <s v="CGI LUXNB"/>
    <s v="Project Manager"/>
    <n v="10"/>
    <n v="806.53"/>
    <n v="220"/>
    <n v="177436.6"/>
    <n v="220"/>
    <n v="177436.6"/>
    <n v="0"/>
    <n v="0"/>
    <n v="0"/>
    <n v="0"/>
    <s v="JUSTCGI LUX"/>
    <m/>
    <m/>
    <m/>
    <m/>
    <m/>
    <m/>
    <m/>
    <m/>
    <m/>
    <m/>
    <m/>
    <m/>
    <m/>
    <m/>
    <m/>
    <m/>
    <m/>
    <m/>
    <n v="15.5"/>
    <n v="22"/>
    <n v="20.5"/>
    <n v="20"/>
    <n v="24"/>
    <n v="24.5"/>
    <n v="21"/>
    <n v="17.5"/>
    <n v="19.5"/>
    <n v="19"/>
    <n v="16.5"/>
    <m/>
    <m/>
    <m/>
    <m/>
    <m/>
    <m/>
    <m/>
    <m/>
    <m/>
    <m/>
    <m/>
    <m/>
    <m/>
    <m/>
    <m/>
    <m/>
    <m/>
    <m/>
    <m/>
    <m/>
  </r>
  <r>
    <n v="73"/>
    <x v="70"/>
    <s v="A-009034"/>
    <x v="0"/>
    <s v="NB"/>
    <n v="0"/>
    <s v="EC"/>
    <x v="16"/>
    <s v="Project Manager_x0009_"/>
    <d v="2023-10-03T00:00:00"/>
    <d v="2023-10-03T00:00:00"/>
    <d v="2026-02-28T00:00:00"/>
    <n v="0"/>
    <s v="BEN MILOUD, Djamila"/>
    <x v="3"/>
    <s v="BEN MILOUD, Djamila806,53"/>
    <s v="CGI LUXNB"/>
    <s v="Project Manager"/>
    <n v="10"/>
    <n v="806.53"/>
    <n v="440"/>
    <n v="354873.2"/>
    <n v="248.5"/>
    <n v="200422.70499999999"/>
    <n v="191.5"/>
    <n v="154450.495"/>
    <n v="191.5"/>
    <n v="154450.495"/>
    <s v="JUSTCGI LUX"/>
    <m/>
    <m/>
    <m/>
    <m/>
    <m/>
    <m/>
    <m/>
    <m/>
    <m/>
    <m/>
    <m/>
    <m/>
    <m/>
    <m/>
    <m/>
    <m/>
    <m/>
    <m/>
    <m/>
    <m/>
    <n v="3.5"/>
    <n v="18"/>
    <n v="21"/>
    <n v="21"/>
    <n v="21"/>
    <n v="21"/>
    <n v="20"/>
    <n v="20"/>
    <n v="23"/>
    <n v="5"/>
    <n v="21"/>
    <m/>
    <n v="18"/>
    <n v="18"/>
    <n v="18"/>
    <m/>
    <n v="18"/>
    <n v="18"/>
    <n v="18"/>
    <n v="18"/>
    <n v="18"/>
    <n v="18"/>
    <n v="18"/>
    <n v="18"/>
    <n v="18"/>
    <n v="18"/>
    <n v="11.5"/>
    <m/>
    <m/>
  </r>
  <r>
    <n v="74"/>
    <x v="71"/>
    <s v="A-009146"/>
    <x v="2"/>
    <s v="NB"/>
    <n v="0"/>
    <s v="EC"/>
    <x v="1"/>
    <s v="Enterprise Architect (EA)"/>
    <d v="2023-12-04T00:00:00"/>
    <d v="2023-12-04T00:00:00"/>
    <d v="2024-09-30T00:00:00"/>
    <n v="0"/>
    <s v="ADESIDA, Yemi"/>
    <x v="1"/>
    <s v="ADESIDA, Yemi727,04"/>
    <s v="EDDANB"/>
    <s v="Enterprise architect"/>
    <n v="10"/>
    <n v="727.04"/>
    <n v="60"/>
    <n v="43622.399999999994"/>
    <n v="60"/>
    <n v="43622.399999999994"/>
    <n v="0"/>
    <n v="0"/>
    <n v="0"/>
    <n v="0"/>
    <s v="DIGIT.A.4EDDA"/>
    <m/>
    <m/>
    <m/>
    <m/>
    <m/>
    <m/>
    <m/>
    <m/>
    <m/>
    <m/>
    <m/>
    <m/>
    <m/>
    <m/>
    <m/>
    <m/>
    <m/>
    <m/>
    <m/>
    <m/>
    <m/>
    <n v="6"/>
    <n v="22"/>
    <n v="21"/>
    <n v="11"/>
    <m/>
    <m/>
    <m/>
    <m/>
    <m/>
    <m/>
    <m/>
    <m/>
    <m/>
    <m/>
    <m/>
    <m/>
    <m/>
    <m/>
    <m/>
    <m/>
    <m/>
    <m/>
    <m/>
    <m/>
    <m/>
    <m/>
    <m/>
    <m/>
  </r>
  <r>
    <n v="75"/>
    <x v="72"/>
    <s v="A-009161"/>
    <x v="0"/>
    <s v="NB"/>
    <n v="0"/>
    <s v="EC"/>
    <x v="16"/>
    <s v="Project Manager"/>
    <d v="2023-12-14T00:00:00"/>
    <d v="2024-01-01T00:00:00"/>
    <d v="2025-04-30T00:00:00"/>
    <n v="0"/>
    <s v="PAPASPYROU, Vasileios"/>
    <x v="0"/>
    <s v="PAPASPYROU, Vasileios741,44"/>
    <s v="TREMENDNB"/>
    <s v="Project Manager"/>
    <n v="8"/>
    <n v="741.44"/>
    <n v="220"/>
    <n v="163116.80000000002"/>
    <n v="220"/>
    <n v="163116.80000000002"/>
    <n v="0"/>
    <n v="0"/>
    <n v="0"/>
    <n v="0"/>
    <s v="JUSTTREMEND"/>
    <m/>
    <m/>
    <m/>
    <m/>
    <m/>
    <m/>
    <m/>
    <m/>
    <m/>
    <m/>
    <m/>
    <m/>
    <m/>
    <m/>
    <m/>
    <m/>
    <m/>
    <m/>
    <m/>
    <m/>
    <m/>
    <m/>
    <n v="14"/>
    <n v="21"/>
    <n v="18.5"/>
    <n v="18.5"/>
    <n v="19"/>
    <n v="19"/>
    <n v="23"/>
    <n v="19"/>
    <n v="15"/>
    <m/>
    <n v="18"/>
    <n v="18"/>
    <n v="17"/>
    <m/>
    <m/>
    <m/>
    <m/>
    <m/>
    <m/>
    <m/>
    <m/>
    <m/>
    <m/>
    <m/>
    <m/>
    <m/>
    <m/>
  </r>
  <r>
    <n v="76"/>
    <x v="73"/>
    <s v="A-009215"/>
    <x v="2"/>
    <s v="BL"/>
    <n v="0"/>
    <s v="EC"/>
    <x v="17"/>
    <s v="B3.002 - EU Send - Lopes Gonçalves, OM lvl 4 - extension request"/>
    <d v="2023-08-02T00:00:00"/>
    <d v="2023-08-02T00:00:00"/>
    <d v="2023-12-29T00:00:00"/>
    <s v="START"/>
    <s v="LOPES GONÇALVES, Débora"/>
    <x v="2"/>
    <s v="LOPES GONÇALVES, Débora576,75"/>
    <s v="WavestoneBL"/>
    <s v="Onboarding manager"/>
    <n v="4"/>
    <n v="576.75"/>
    <n v="221"/>
    <n v="127461.75"/>
    <n v="214"/>
    <n v="123424.5"/>
    <n v="7"/>
    <n v="4037.25"/>
    <n v="0"/>
    <n v="0"/>
    <s v="DIGIT.B.3Wavestone"/>
    <m/>
    <m/>
    <m/>
    <m/>
    <m/>
    <m/>
    <m/>
    <m/>
    <m/>
    <m/>
    <m/>
    <m/>
    <m/>
    <m/>
    <m/>
    <m/>
    <m/>
    <m/>
    <m/>
    <n v="18.5"/>
    <n v="17"/>
    <n v="14"/>
    <n v="19"/>
    <n v="19"/>
    <n v="21"/>
    <n v="18.5"/>
    <n v="16"/>
    <n v="17"/>
    <n v="22"/>
    <n v="21"/>
    <n v="11"/>
    <m/>
    <m/>
    <m/>
    <m/>
    <m/>
    <m/>
    <m/>
    <m/>
    <m/>
    <m/>
    <m/>
    <m/>
    <m/>
    <m/>
    <m/>
    <m/>
    <m/>
    <m/>
  </r>
  <r>
    <n v="77"/>
    <x v="74"/>
    <s v="A-009438"/>
    <x v="1"/>
    <s v="NB"/>
    <n v="0"/>
    <s v="EC"/>
    <x v="28"/>
    <s v="Full-Stack Developer (FSD)"/>
    <d v="2023-08-28T00:00:00"/>
    <d v="2023-08-30T00:00:00"/>
    <d v="2023-09-30T00:00:00"/>
    <n v="0"/>
    <s v="LORENC, Adrian"/>
    <x v="4"/>
    <s v="LORENC, Adrian443,55"/>
    <s v="TALANNB"/>
    <s v="Full-stack developer-FAR"/>
    <n v="7"/>
    <n v="443.55"/>
    <n v="0"/>
    <n v="0"/>
    <n v="0"/>
    <n v="0"/>
    <n v="0"/>
    <n v="0"/>
    <n v="0"/>
    <n v="0"/>
    <s v="DIGIT.B.1_x0009_TALAN"/>
    <m/>
    <m/>
    <m/>
    <m/>
    <m/>
    <m/>
    <m/>
    <m/>
    <m/>
    <m/>
    <m/>
    <m/>
    <m/>
    <m/>
    <m/>
    <m/>
    <m/>
    <m/>
    <m/>
    <m/>
    <m/>
    <m/>
    <m/>
    <m/>
    <m/>
    <m/>
    <m/>
    <m/>
    <m/>
    <m/>
    <m/>
    <m/>
    <m/>
    <m/>
    <m/>
    <m/>
    <m/>
    <m/>
    <m/>
    <m/>
    <m/>
    <m/>
    <m/>
    <m/>
    <m/>
    <m/>
    <m/>
    <m/>
    <m/>
  </r>
  <r>
    <n v="78"/>
    <x v="75"/>
    <s v="A-009632"/>
    <x v="1"/>
    <s v="NB"/>
    <s v="DIGITTMII-015995-DIGITTMII-009632-MOD-01-6000053863-REQ-01-OFF-02"/>
    <s v="EC"/>
    <x v="19"/>
    <s v="_x0009_Front-end Developer (FED)"/>
    <d v="2023-10-04T00:00:00"/>
    <d v="2023-10-05T00:00:00"/>
    <d v="2024-12-31T00:00:00"/>
    <n v="0"/>
    <s v="TRANDAFIR, Tiberiu"/>
    <x v="0"/>
    <s v="TRANDAFIR, Tiberiu274,61"/>
    <s v="TREMENDNB"/>
    <s v="Front-end developer-FAR"/>
    <n v="5"/>
    <n v="274.61"/>
    <n v="215"/>
    <n v="59041.15"/>
    <n v="215"/>
    <n v="59041.15"/>
    <n v="0"/>
    <n v="0"/>
    <n v="0"/>
    <n v="0"/>
    <s v="RTDTREMEND"/>
    <m/>
    <m/>
    <m/>
    <m/>
    <m/>
    <m/>
    <m/>
    <m/>
    <m/>
    <m/>
    <m/>
    <m/>
    <m/>
    <m/>
    <m/>
    <m/>
    <m/>
    <m/>
    <m/>
    <n v="19"/>
    <n v="20"/>
    <n v="15"/>
    <n v="20"/>
    <n v="20"/>
    <n v="19"/>
    <n v="21"/>
    <n v="18"/>
    <n v="19"/>
    <n v="23"/>
    <n v="19"/>
    <n v="2"/>
    <m/>
    <m/>
    <m/>
    <m/>
    <m/>
    <m/>
    <m/>
    <m/>
    <m/>
    <m/>
    <m/>
    <m/>
    <m/>
    <m/>
    <m/>
    <m/>
    <m/>
    <m/>
  </r>
  <r>
    <n v="79"/>
    <x v="76"/>
    <s v="A-009749"/>
    <x v="1"/>
    <s v="NB"/>
    <n v="0"/>
    <s v="EC"/>
    <x v="1"/>
    <s v="Full-Stack Developer (FSD)"/>
    <d v="2023-09-12T00:00:00"/>
    <d v="2023-09-13T00:00:00"/>
    <d v="2024-09-30T00:00:00"/>
    <n v="0"/>
    <s v="MEDAN, Andrei"/>
    <x v="1"/>
    <s v="MEDAN, Andrei463,9"/>
    <s v="EDDANB"/>
    <s v="Front-end developer-FAR"/>
    <n v="8"/>
    <n v="463.9"/>
    <n v="115"/>
    <n v="53348.5"/>
    <n v="115"/>
    <n v="53348.5"/>
    <n v="0"/>
    <n v="0"/>
    <n v="0"/>
    <n v="0"/>
    <s v="DIGIT.A.4EDDA"/>
    <m/>
    <m/>
    <m/>
    <m/>
    <m/>
    <m/>
    <m/>
    <m/>
    <m/>
    <m/>
    <m/>
    <m/>
    <m/>
    <m/>
    <m/>
    <m/>
    <m/>
    <m/>
    <m/>
    <n v="11"/>
    <n v="23"/>
    <n v="18"/>
    <n v="21"/>
    <n v="21"/>
    <n v="20.5"/>
    <n v="0.5"/>
    <m/>
    <m/>
    <m/>
    <m/>
    <m/>
    <m/>
    <m/>
    <m/>
    <m/>
    <m/>
    <m/>
    <m/>
    <m/>
    <m/>
    <m/>
    <m/>
    <m/>
    <m/>
    <m/>
    <m/>
    <m/>
    <m/>
    <m/>
  </r>
  <r>
    <n v="80"/>
    <x v="77"/>
    <s v="A-009932"/>
    <x v="1"/>
    <s v="NB"/>
    <n v="0"/>
    <s v="EC"/>
    <x v="13"/>
    <s v="Full-Stack Developer (FSD)_x0009_"/>
    <d v="2023-10-11T00:00:00"/>
    <d v="2023-10-11T00:00:00"/>
    <d v="2024-11-30T00:00:00"/>
    <n v="0"/>
    <s v="TRINDADE-SALGUEIRO, Nuno"/>
    <x v="3"/>
    <s v="TRINDADE-SALGUEIRO, Nuno531,12"/>
    <s v="CGI LUXNB"/>
    <s v="Full-stack developer-FAR"/>
    <n v="10"/>
    <n v="531.12"/>
    <n v="220"/>
    <n v="116846.39999999999"/>
    <n v="220"/>
    <n v="116846.39999999999"/>
    <n v="0"/>
    <n v="0"/>
    <n v="0"/>
    <n v="0"/>
    <s v="ENVCGI LUX"/>
    <m/>
    <m/>
    <m/>
    <m/>
    <m/>
    <m/>
    <m/>
    <m/>
    <m/>
    <m/>
    <m/>
    <m/>
    <m/>
    <m/>
    <m/>
    <m/>
    <m/>
    <m/>
    <m/>
    <n v="8.5"/>
    <n v="19"/>
    <n v="15"/>
    <n v="20.5"/>
    <n v="21"/>
    <n v="17.5"/>
    <n v="21"/>
    <n v="13.5"/>
    <n v="20"/>
    <n v="23"/>
    <n v="20"/>
    <n v="16"/>
    <m/>
    <n v="5"/>
    <m/>
    <m/>
    <m/>
    <m/>
    <m/>
    <m/>
    <m/>
    <m/>
    <m/>
    <m/>
    <m/>
    <m/>
    <m/>
    <m/>
    <m/>
    <m/>
  </r>
  <r>
    <n v="82"/>
    <x v="78"/>
    <s v="A-010281"/>
    <x v="0"/>
    <s v="NB"/>
    <n v="0"/>
    <s v="EC"/>
    <x v="16"/>
    <s v="_x0009_Project Manager"/>
    <d v="2023-10-25T00:00:00"/>
    <d v="2023-11-06T00:00:00"/>
    <d v="2025-03-31T00:00:00"/>
    <n v="0"/>
    <s v="DEBSKI, Tomasz"/>
    <x v="0"/>
    <s v="DEBSKI, Tomasz848,87"/>
    <s v="TREMENDNB"/>
    <s v="Project Manager"/>
    <n v="9"/>
    <n v="848.87"/>
    <n v="220"/>
    <n v="186751.4"/>
    <n v="177"/>
    <n v="150249.99"/>
    <n v="43"/>
    <n v="36501.410000000003"/>
    <n v="43"/>
    <n v="36501.410000000003"/>
    <s v="JUSTTREMEND"/>
    <m/>
    <m/>
    <m/>
    <m/>
    <m/>
    <m/>
    <m/>
    <m/>
    <m/>
    <m/>
    <m/>
    <m/>
    <m/>
    <m/>
    <m/>
    <m/>
    <m/>
    <m/>
    <m/>
    <m/>
    <m/>
    <m/>
    <m/>
    <n v="11"/>
    <n v="16"/>
    <n v="17"/>
    <n v="17"/>
    <n v="18"/>
    <n v="17.5"/>
    <n v="5.5"/>
    <n v="21"/>
    <m/>
    <n v="18"/>
    <n v="18"/>
    <n v="18"/>
    <m/>
    <n v="18"/>
    <n v="18"/>
    <n v="7"/>
    <m/>
    <m/>
    <m/>
    <m/>
    <m/>
    <m/>
    <m/>
    <m/>
    <m/>
    <m/>
  </r>
  <r>
    <n v="83"/>
    <x v="79"/>
    <s v="A-010435"/>
    <x v="0"/>
    <s v="NB"/>
    <n v="0"/>
    <s v="EC"/>
    <x v="23"/>
    <s v="_x0009_Project Manager"/>
    <d v="2023-09-29T00:00:00"/>
    <d v="2023-09-29T00:00:00"/>
    <d v="2024-09-30T00:00:00"/>
    <n v="0"/>
    <s v="LEFTER, Diana"/>
    <x v="1"/>
    <s v="LEFTER, Diana704,46"/>
    <s v="EDDANB"/>
    <s v="Project Manager"/>
    <n v="8"/>
    <n v="704.46"/>
    <n v="150"/>
    <n v="105669"/>
    <n v="150"/>
    <n v="105669"/>
    <n v="0"/>
    <n v="0"/>
    <n v="0"/>
    <n v="0"/>
    <s v="DIGIT.A.5EDDA"/>
    <m/>
    <m/>
    <m/>
    <m/>
    <m/>
    <m/>
    <m/>
    <m/>
    <m/>
    <m/>
    <m/>
    <m/>
    <m/>
    <m/>
    <m/>
    <m/>
    <m/>
    <m/>
    <m/>
    <n v="8"/>
    <n v="17"/>
    <n v="14"/>
    <n v="18"/>
    <n v="18"/>
    <n v="18.5"/>
    <n v="18.5"/>
    <n v="13"/>
    <n v="12"/>
    <n v="13"/>
    <m/>
    <m/>
    <m/>
    <m/>
    <m/>
    <m/>
    <m/>
    <m/>
    <m/>
    <m/>
    <m/>
    <m/>
    <m/>
    <m/>
    <m/>
    <m/>
    <m/>
    <m/>
    <m/>
    <m/>
  </r>
  <r>
    <n v="84"/>
    <x v="80"/>
    <s v="-"/>
    <x v="1"/>
    <s v="NB"/>
    <s v="DIGITTMII-006710-DIGITTMII-001957-EXT-01-6000053863-REQ-01"/>
    <s v="EC"/>
    <x v="26"/>
    <s v="Full-Stack Developer (FSD)_x0009_"/>
    <d v="1899-12-30T00:00:00"/>
    <d v="1899-12-30T00:00:00"/>
    <d v="1899-12-30T00:00:00"/>
    <n v="0"/>
    <s v="APETRI, Ioana"/>
    <x v="4"/>
    <s v="APETRI, Ioana443,55"/>
    <s v="TALANNB"/>
    <s v="Full-stack developer-FAR"/>
    <n v="7"/>
    <n v="443.55"/>
    <n v="0"/>
    <n v="0"/>
    <n v="0"/>
    <n v="0"/>
    <n v="0"/>
    <n v="0"/>
    <n v="0"/>
    <n v="0"/>
    <s v="DIGIT.B.1TALAN"/>
    <m/>
    <m/>
    <m/>
    <m/>
    <m/>
    <m/>
    <m/>
    <m/>
    <m/>
    <m/>
    <m/>
    <m/>
    <m/>
    <m/>
    <m/>
    <m/>
    <m/>
    <m/>
    <m/>
    <m/>
    <m/>
    <m/>
    <m/>
    <m/>
    <m/>
    <m/>
    <m/>
    <m/>
    <m/>
    <m/>
    <m/>
    <m/>
    <m/>
    <m/>
    <m/>
    <m/>
    <m/>
    <m/>
    <m/>
    <m/>
    <m/>
    <m/>
    <m/>
    <m/>
    <m/>
    <m/>
    <m/>
    <m/>
    <m/>
  </r>
  <r>
    <n v="85"/>
    <x v="81"/>
    <s v="A-010695"/>
    <x v="0"/>
    <s v="NB"/>
    <n v="0"/>
    <s v="EC"/>
    <x v="23"/>
    <s v="Project Manager"/>
    <d v="2023-10-11T00:00:00"/>
    <d v="2023-10-11T00:00:00"/>
    <d v="2024-09-30T00:00:00"/>
    <n v="0"/>
    <s v="OLLINGER, Yannick"/>
    <x v="3"/>
    <s v="OLLINGER, Yannick753,77"/>
    <s v="CGI LUXNB"/>
    <s v="Project Manager"/>
    <n v="9"/>
    <n v="753.77"/>
    <n v="120"/>
    <n v="90452.4"/>
    <n v="120"/>
    <n v="90452.4"/>
    <n v="0"/>
    <n v="0"/>
    <n v="0"/>
    <n v="0"/>
    <s v="DIGIT.A.5CGI LUX"/>
    <m/>
    <m/>
    <m/>
    <m/>
    <m/>
    <m/>
    <m/>
    <m/>
    <m/>
    <m/>
    <m/>
    <m/>
    <m/>
    <m/>
    <m/>
    <m/>
    <m/>
    <m/>
    <m/>
    <n v="9.5"/>
    <n v="21"/>
    <n v="16.5"/>
    <n v="21"/>
    <n v="21"/>
    <n v="20.5"/>
    <n v="10.5"/>
    <m/>
    <m/>
    <m/>
    <m/>
    <m/>
    <m/>
    <m/>
    <m/>
    <m/>
    <m/>
    <m/>
    <m/>
    <m/>
    <m/>
    <m/>
    <m/>
    <m/>
    <m/>
    <m/>
    <m/>
    <m/>
    <m/>
    <m/>
  </r>
  <r>
    <n v="86"/>
    <x v="82"/>
    <s v="A-010768"/>
    <x v="0"/>
    <s v="NB"/>
    <n v="0"/>
    <s v="EC"/>
    <x v="23"/>
    <s v="_x0009_Project Manager"/>
    <d v="2023-10-11T00:00:00"/>
    <d v="2023-10-11T00:00:00"/>
    <d v="2023-09-30T00:00:00"/>
    <n v="0"/>
    <s v="DE ANDRES DEL CASTILLO, David"/>
    <x v="3"/>
    <s v="DE ANDRES DEL CASTILLO, David753,77"/>
    <s v="CGI LUXNB"/>
    <s v="Project Manager"/>
    <n v="9"/>
    <n v="753.77"/>
    <n v="120"/>
    <n v="90452.4"/>
    <n v="120"/>
    <n v="90452.4"/>
    <n v="0"/>
    <n v="0"/>
    <n v="0"/>
    <n v="0"/>
    <s v="DIGIT.A.5CGI LUX"/>
    <m/>
    <m/>
    <m/>
    <m/>
    <m/>
    <m/>
    <m/>
    <m/>
    <m/>
    <m/>
    <m/>
    <m/>
    <m/>
    <m/>
    <m/>
    <m/>
    <m/>
    <m/>
    <m/>
    <n v="6"/>
    <n v="19"/>
    <n v="15"/>
    <n v="21"/>
    <n v="18"/>
    <n v="17"/>
    <n v="18.5"/>
    <n v="5.5"/>
    <m/>
    <m/>
    <m/>
    <m/>
    <m/>
    <m/>
    <m/>
    <m/>
    <m/>
    <m/>
    <m/>
    <m/>
    <m/>
    <m/>
    <m/>
    <m/>
    <m/>
    <m/>
    <m/>
    <m/>
    <m/>
    <m/>
  </r>
  <r>
    <n v="87"/>
    <x v="83"/>
    <s v="A-010947"/>
    <x v="0"/>
    <s v="BL"/>
    <n v="0"/>
    <s v="EC"/>
    <x v="23"/>
    <s v="Project Manager"/>
    <d v="2023-10-25T00:00:00"/>
    <d v="2023-10-25T00:00:00"/>
    <d v="2024-09-30T00:00:00"/>
    <n v="0"/>
    <s v="WHYE, Gregory"/>
    <x v="3"/>
    <s v="WHYE, Gregory753,77"/>
    <s v="CGI LUXBL"/>
    <s v="Project Manager"/>
    <n v="9"/>
    <n v="753.77"/>
    <n v="120"/>
    <n v="90452.4"/>
    <n v="120"/>
    <n v="90452.4"/>
    <n v="0"/>
    <n v="0"/>
    <n v="0"/>
    <n v="0"/>
    <s v="DIGIT.A.5CGI LUX"/>
    <m/>
    <m/>
    <m/>
    <m/>
    <m/>
    <m/>
    <m/>
    <m/>
    <m/>
    <m/>
    <m/>
    <m/>
    <m/>
    <m/>
    <m/>
    <m/>
    <m/>
    <m/>
    <m/>
    <m/>
    <n v="17.5"/>
    <n v="16"/>
    <n v="21"/>
    <n v="21"/>
    <n v="21"/>
    <n v="21"/>
    <n v="2.5"/>
    <m/>
    <m/>
    <m/>
    <m/>
    <m/>
    <m/>
    <m/>
    <m/>
    <m/>
    <m/>
    <m/>
    <m/>
    <m/>
    <m/>
    <m/>
    <m/>
    <m/>
    <m/>
    <m/>
    <m/>
    <m/>
    <m/>
  </r>
  <r>
    <n v="88"/>
    <x v="84"/>
    <s v="A-011049"/>
    <x v="1"/>
    <s v="NB"/>
    <n v="0"/>
    <s v="EC"/>
    <x v="23"/>
    <s v="_x0009_Back-End Developer (BED)"/>
    <d v="2023-10-13T00:00:00"/>
    <d v="2023-10-13T00:00:00"/>
    <d v="2024-09-30T00:00:00"/>
    <n v="0"/>
    <s v="POCHON, Régis"/>
    <x v="1"/>
    <s v="POCHON, Régis659"/>
    <s v="EDDANB"/>
    <s v="Back-end developer"/>
    <n v="10"/>
    <n v="659"/>
    <n v="120"/>
    <n v="79080"/>
    <n v="33"/>
    <n v="21747"/>
    <n v="87"/>
    <n v="57333"/>
    <n v="0"/>
    <n v="0"/>
    <s v="DIGIT.A.5EDDA"/>
    <m/>
    <m/>
    <m/>
    <m/>
    <m/>
    <m/>
    <m/>
    <m/>
    <m/>
    <m/>
    <m/>
    <m/>
    <m/>
    <m/>
    <m/>
    <m/>
    <m/>
    <m/>
    <m/>
    <n v="5"/>
    <n v="19"/>
    <n v="9"/>
    <m/>
    <m/>
    <m/>
    <m/>
    <m/>
    <m/>
    <m/>
    <m/>
    <m/>
    <m/>
    <m/>
    <m/>
    <m/>
    <m/>
    <m/>
    <m/>
    <m/>
    <m/>
    <m/>
    <m/>
    <m/>
    <m/>
    <m/>
    <m/>
    <m/>
    <m/>
    <m/>
  </r>
  <r>
    <n v="89"/>
    <x v="85"/>
    <s v="A-011065"/>
    <x v="2"/>
    <s v="NB"/>
    <n v="0"/>
    <s v="EC"/>
    <x v="17"/>
    <s v="_x0009_Onboarding Manager (OM)"/>
    <d v="2023-10-25T00:00:00"/>
    <d v="2023-10-25T00:00:00"/>
    <d v="2024-09-30T00:00:00"/>
    <n v="0"/>
    <s v="DEVLEESCHOUWER, Sophie"/>
    <x v="3"/>
    <s v="DEVLEESCHOUWER, Sophie808,92"/>
    <s v="CGI LUXNB"/>
    <s v="Onboarding manager"/>
    <n v="9"/>
    <n v="808.92"/>
    <n v="100"/>
    <n v="80892"/>
    <n v="100"/>
    <n v="80892"/>
    <n v="0"/>
    <n v="0"/>
    <n v="0"/>
    <n v="0"/>
    <s v="DIGIT.B.3CGI LUX"/>
    <m/>
    <m/>
    <m/>
    <m/>
    <m/>
    <m/>
    <m/>
    <m/>
    <m/>
    <m/>
    <m/>
    <m/>
    <m/>
    <m/>
    <m/>
    <m/>
    <m/>
    <m/>
    <m/>
    <m/>
    <n v="8"/>
    <n v="15"/>
    <n v="17"/>
    <n v="16.5"/>
    <n v="15.5"/>
    <n v="19"/>
    <n v="9"/>
    <m/>
    <m/>
    <m/>
    <m/>
    <m/>
    <m/>
    <m/>
    <m/>
    <m/>
    <m/>
    <m/>
    <m/>
    <m/>
    <m/>
    <m/>
    <m/>
    <m/>
    <m/>
    <m/>
    <m/>
    <m/>
    <m/>
  </r>
  <r>
    <n v="90"/>
    <x v="86"/>
    <s v="A-011066"/>
    <x v="0"/>
    <s v="NB"/>
    <n v="0"/>
    <s v="EC"/>
    <x v="17"/>
    <s v="Project Manager"/>
    <d v="2023-10-25T00:00:00"/>
    <d v="2023-10-26T00:00:00"/>
    <d v="2024-09-30T00:00:00"/>
    <n v="0"/>
    <s v="GAGO CABEZAS, Irma"/>
    <x v="3"/>
    <s v="GAGO CABEZAS, Irma806,53"/>
    <s v="CGI LUXNB"/>
    <s v="Project Manager"/>
    <n v="10"/>
    <n v="806.53"/>
    <n v="100"/>
    <n v="80653"/>
    <n v="100"/>
    <n v="80653"/>
    <n v="0"/>
    <n v="0"/>
    <n v="0"/>
    <n v="0"/>
    <s v="DIGIT.B.3CGI LUX"/>
    <m/>
    <m/>
    <m/>
    <m/>
    <m/>
    <m/>
    <m/>
    <m/>
    <m/>
    <m/>
    <m/>
    <m/>
    <m/>
    <m/>
    <m/>
    <m/>
    <m/>
    <m/>
    <m/>
    <m/>
    <n v="4"/>
    <n v="15"/>
    <n v="13"/>
    <n v="16"/>
    <n v="16.5"/>
    <n v="19"/>
    <n v="15.5"/>
    <n v="1"/>
    <m/>
    <m/>
    <m/>
    <m/>
    <m/>
    <m/>
    <m/>
    <m/>
    <m/>
    <m/>
    <m/>
    <m/>
    <m/>
    <m/>
    <m/>
    <m/>
    <m/>
    <m/>
    <m/>
    <m/>
    <m/>
  </r>
  <r>
    <n v="91"/>
    <x v="87"/>
    <s v="A-011235"/>
    <x v="1"/>
    <s v="NB"/>
    <n v="0"/>
    <s v="EC"/>
    <x v="29"/>
    <s v="Full-Stack Developer (FSD)_x0009_"/>
    <d v="2023-11-21T00:00:00"/>
    <d v="2023-12-01T00:00:00"/>
    <d v="2025-04-30T00:00:00"/>
    <n v="0"/>
    <s v="VISICH, Valeryy"/>
    <x v="4"/>
    <s v="VISICH, Valeryy405,19"/>
    <s v="TALANNB"/>
    <s v="Full-stack developer-FAR"/>
    <n v="6"/>
    <n v="405.19"/>
    <n v="260"/>
    <n v="105349.4"/>
    <n v="259"/>
    <n v="104944.21"/>
    <n v="1"/>
    <n v="405.19"/>
    <n v="1"/>
    <n v="405.19"/>
    <s v="ESTAT.A.5TALAN"/>
    <m/>
    <m/>
    <m/>
    <m/>
    <m/>
    <m/>
    <m/>
    <m/>
    <m/>
    <m/>
    <m/>
    <m/>
    <m/>
    <m/>
    <m/>
    <m/>
    <m/>
    <m/>
    <m/>
    <m/>
    <n v="3"/>
    <n v="16"/>
    <n v="21"/>
    <n v="21"/>
    <n v="19"/>
    <n v="21"/>
    <n v="19"/>
    <n v="20"/>
    <n v="23"/>
    <n v="21"/>
    <n v="21"/>
    <m/>
    <n v="18"/>
    <n v="18"/>
    <n v="18"/>
    <m/>
    <n v="1"/>
    <m/>
    <m/>
    <m/>
    <m/>
    <m/>
    <m/>
    <m/>
    <m/>
    <m/>
    <m/>
    <m/>
    <m/>
  </r>
  <r>
    <n v="92"/>
    <x v="88"/>
    <s v="-"/>
    <x v="2"/>
    <s v="NB"/>
    <n v="0"/>
    <s v="EC"/>
    <x v="17"/>
    <s v="PES"/>
    <d v="1899-12-30T00:00:00"/>
    <d v="1899-12-30T00:00:00"/>
    <d v="1899-12-30T00:00:00"/>
    <n v="0"/>
    <s v="DEVLEESCHOUWER, Sophie"/>
    <x v="3"/>
    <s v="DEVLEESCHOUWER, Sophie808,92"/>
    <s v="CGI LUXNB"/>
    <s v="Onboarding manager"/>
    <n v="9"/>
    <n v="808.92"/>
    <n v="1"/>
    <n v="10000"/>
    <n v="0"/>
    <n v="0"/>
    <n v="1"/>
    <n v="808.92"/>
    <n v="0"/>
    <n v="0"/>
    <s v="DIGIT.B.3CGI LUX"/>
    <m/>
    <m/>
    <m/>
    <m/>
    <m/>
    <m/>
    <m/>
    <m/>
    <m/>
    <m/>
    <m/>
    <m/>
    <m/>
    <m/>
    <m/>
    <m/>
    <m/>
    <m/>
    <m/>
    <m/>
    <m/>
    <m/>
    <m/>
    <m/>
    <m/>
    <m/>
    <m/>
    <m/>
    <m/>
    <m/>
    <m/>
    <m/>
    <m/>
    <m/>
    <m/>
    <m/>
    <m/>
    <m/>
    <m/>
    <m/>
    <m/>
    <m/>
    <m/>
    <m/>
    <m/>
    <m/>
    <m/>
    <m/>
    <m/>
  </r>
  <r>
    <n v="93"/>
    <x v="89"/>
    <s v="A-011326"/>
    <x v="0"/>
    <s v="NB"/>
    <n v="0"/>
    <s v="EC"/>
    <x v="23"/>
    <s v="Project Manager"/>
    <d v="1899-12-30T00:00:00"/>
    <d v="1899-12-30T00:00:00"/>
    <d v="1899-12-30T00:00:00"/>
    <n v="0"/>
    <s v="TURCITU, Mihai-Alexandru "/>
    <x v="3"/>
    <s v="TURCITU, Mihai-Alexandru 469,41"/>
    <s v="CGI LUXNB"/>
    <s v="Project Manager"/>
    <n v="2"/>
    <n v="469.41"/>
    <n v="101.5"/>
    <n v="47645.115000000005"/>
    <n v="101.5"/>
    <n v="47645.115000000005"/>
    <n v="0"/>
    <n v="0"/>
    <n v="0"/>
    <n v="0"/>
    <s v="DIGIT.A.5CGI LUX"/>
    <m/>
    <m/>
    <m/>
    <m/>
    <m/>
    <m/>
    <m/>
    <m/>
    <m/>
    <m/>
    <m/>
    <m/>
    <m/>
    <m/>
    <m/>
    <m/>
    <m/>
    <m/>
    <m/>
    <m/>
    <n v="6.5"/>
    <n v="15.5"/>
    <n v="18"/>
    <n v="21"/>
    <n v="21"/>
    <n v="19.5"/>
    <m/>
    <m/>
    <m/>
    <m/>
    <m/>
    <m/>
    <m/>
    <m/>
    <m/>
    <m/>
    <m/>
    <m/>
    <m/>
    <m/>
    <m/>
    <m/>
    <m/>
    <m/>
    <m/>
    <m/>
    <m/>
    <m/>
    <m/>
  </r>
  <r>
    <n v="94"/>
    <x v="90"/>
    <s v="A-011457"/>
    <x v="0"/>
    <s v="NB"/>
    <n v="0"/>
    <s v="EC"/>
    <x v="30"/>
    <s v="_x0009_Project Manager"/>
    <d v="1899-12-30T00:00:00"/>
    <d v="1899-12-30T00:00:00"/>
    <d v="1899-12-30T00:00:00"/>
    <n v="0"/>
    <s v="FREIRE FERREIRA, Carlos Miguel"/>
    <x v="3"/>
    <s v="FREIRE FERREIRA, Carlos Miguel704,46"/>
    <s v="CGI LUXNB"/>
    <s v="Project Manager"/>
    <n v="8"/>
    <n v="704.46"/>
    <n v="50"/>
    <n v="35223"/>
    <n v="50"/>
    <n v="35223"/>
    <n v="0"/>
    <n v="0"/>
    <n v="0"/>
    <n v="0"/>
    <s v="HR.DSCGI LUX"/>
    <m/>
    <m/>
    <m/>
    <m/>
    <m/>
    <m/>
    <m/>
    <m/>
    <m/>
    <m/>
    <m/>
    <m/>
    <m/>
    <m/>
    <m/>
    <m/>
    <m/>
    <m/>
    <m/>
    <m/>
    <m/>
    <n v="6"/>
    <n v="21"/>
    <n v="19"/>
    <n v="4"/>
    <m/>
    <m/>
    <m/>
    <m/>
    <m/>
    <m/>
    <m/>
    <m/>
    <m/>
    <m/>
    <m/>
    <m/>
    <m/>
    <m/>
    <m/>
    <m/>
    <m/>
    <m/>
    <m/>
    <m/>
    <m/>
    <m/>
    <m/>
    <m/>
  </r>
  <r>
    <n v="95"/>
    <x v="91"/>
    <s v="A-011735"/>
    <x v="1"/>
    <s v="NB"/>
    <n v="0"/>
    <s v="EC"/>
    <x v="25"/>
    <s v="_x0009_Full-Stack Developer (FSD)"/>
    <d v="2023-09-13T00:00:00"/>
    <d v="1899-12-30T00:00:00"/>
    <d v="1899-12-30T00:00:00"/>
    <n v="0"/>
    <s v="AFONSO, Leonardo"/>
    <x v="4"/>
    <s v="AFONSO, Leonardo507,24"/>
    <s v="TALANNB"/>
    <s v="Full-stack developer"/>
    <n v="6"/>
    <n v="507.24"/>
    <n v="150"/>
    <n v="76086"/>
    <n v="150"/>
    <n v="76086"/>
    <n v="0"/>
    <n v="0"/>
    <n v="0"/>
    <n v="0"/>
    <s v="SGTALAN"/>
    <m/>
    <m/>
    <m/>
    <m/>
    <m/>
    <m/>
    <m/>
    <m/>
    <m/>
    <m/>
    <m/>
    <m/>
    <m/>
    <m/>
    <m/>
    <m/>
    <m/>
    <m/>
    <m/>
    <m/>
    <n v="1.5"/>
    <n v="14"/>
    <n v="21"/>
    <n v="21"/>
    <n v="20"/>
    <n v="19"/>
    <n v="17"/>
    <n v="20"/>
    <n v="16.5"/>
    <m/>
    <m/>
    <m/>
    <m/>
    <m/>
    <m/>
    <m/>
    <m/>
    <m/>
    <m/>
    <m/>
    <m/>
    <m/>
    <m/>
    <m/>
    <m/>
    <m/>
    <m/>
    <m/>
    <m/>
  </r>
  <r>
    <n v="96"/>
    <x v="92"/>
    <s v="A-011810"/>
    <x v="1"/>
    <s v="NB"/>
    <n v="0"/>
    <s v="EC"/>
    <x v="8"/>
    <s v="_x0009_Full-Stack Developer (FSD)"/>
    <d v="2023-12-11T00:00:00"/>
    <d v="2024-01-01T00:00:00"/>
    <d v="2024-09-30T00:00:00"/>
    <n v="0"/>
    <s v="FERNANDEZ GUERRERO, Ivan"/>
    <x v="1"/>
    <s v="FERNANDEZ GUERRERO, Ivan611,25"/>
    <s v="EDDANB"/>
    <s v="Full-stack developer"/>
    <n v="8"/>
    <n v="611.25"/>
    <n v="147"/>
    <n v="89853.75"/>
    <n v="147"/>
    <n v="89853.75"/>
    <n v="0"/>
    <n v="0"/>
    <n v="0"/>
    <n v="0"/>
    <s v="EMPLEDDA"/>
    <m/>
    <m/>
    <m/>
    <m/>
    <m/>
    <m/>
    <m/>
    <m/>
    <m/>
    <m/>
    <m/>
    <m/>
    <m/>
    <m/>
    <m/>
    <m/>
    <m/>
    <m/>
    <m/>
    <m/>
    <m/>
    <m/>
    <n v="6.5"/>
    <n v="19.5"/>
    <n v="15"/>
    <n v="15"/>
    <n v="19"/>
    <n v="16.5"/>
    <n v="22.5"/>
    <n v="15"/>
    <n v="18"/>
    <m/>
    <m/>
    <m/>
    <m/>
    <m/>
    <m/>
    <m/>
    <m/>
    <m/>
    <m/>
    <m/>
    <m/>
    <m/>
    <m/>
    <m/>
    <m/>
    <m/>
    <m/>
  </r>
  <r>
    <n v="97"/>
    <x v="93"/>
    <s v="A-011888"/>
    <x v="1"/>
    <s v="NB"/>
    <n v="0"/>
    <s v="EC"/>
    <x v="26"/>
    <s v="Full-Stack Developer (FSD)"/>
    <d v="1899-12-30T00:00:00"/>
    <d v="1899-12-30T00:00:00"/>
    <d v="1899-12-30T00:00:00"/>
    <n v="0"/>
    <s v="APETRI, Ioana"/>
    <x v="4"/>
    <s v="APETRI, Ioana443,55"/>
    <s v="TALANNB"/>
    <s v="Full-stack developer-FAR"/>
    <n v="7"/>
    <n v="443.55"/>
    <n v="120"/>
    <n v="53226"/>
    <n v="120"/>
    <n v="53226"/>
    <n v="0"/>
    <n v="0"/>
    <n v="0"/>
    <n v="0"/>
    <s v="DIGIT.B.1TALAN"/>
    <m/>
    <m/>
    <m/>
    <m/>
    <m/>
    <m/>
    <m/>
    <m/>
    <m/>
    <m/>
    <m/>
    <m/>
    <m/>
    <m/>
    <m/>
    <m/>
    <m/>
    <m/>
    <m/>
    <m/>
    <m/>
    <n v="14"/>
    <n v="18"/>
    <n v="21"/>
    <n v="19"/>
    <n v="21"/>
    <n v="16"/>
    <n v="11"/>
    <m/>
    <m/>
    <m/>
    <m/>
    <m/>
    <m/>
    <m/>
    <m/>
    <m/>
    <m/>
    <m/>
    <m/>
    <m/>
    <m/>
    <m/>
    <m/>
    <m/>
    <m/>
    <m/>
    <m/>
    <m/>
  </r>
  <r>
    <n v="98"/>
    <x v="94"/>
    <s v="A-011993"/>
    <x v="2"/>
    <s v="NB"/>
    <n v="0"/>
    <s v="EC"/>
    <x v="17"/>
    <s v="_x0009_Onboarding Manager (OM)"/>
    <d v="2023-12-13T00:00:00"/>
    <d v="2024-01-01T00:00:00"/>
    <d v="2025-09-30T00:00:00"/>
    <n v="0"/>
    <s v="IERVOLINO, Andrea"/>
    <x v="4"/>
    <s v="IERVOLINO, Andrea743,64"/>
    <s v="TALANNB"/>
    <s v="Onboarding manager"/>
    <n v="7"/>
    <n v="743.64"/>
    <n v="60"/>
    <n v="44618.400000000001"/>
    <n v="60"/>
    <n v="44618.400000000001"/>
    <n v="0"/>
    <n v="0"/>
    <n v="0"/>
    <n v="0"/>
    <s v="DIGIT.B.3TALAN"/>
    <m/>
    <m/>
    <m/>
    <m/>
    <m/>
    <m/>
    <m/>
    <m/>
    <m/>
    <m/>
    <m/>
    <m/>
    <m/>
    <m/>
    <m/>
    <m/>
    <m/>
    <m/>
    <m/>
    <m/>
    <m/>
    <m/>
    <n v="2"/>
    <n v="21"/>
    <n v="20"/>
    <n v="17"/>
    <m/>
    <m/>
    <m/>
    <m/>
    <m/>
    <m/>
    <m/>
    <m/>
    <m/>
    <m/>
    <m/>
    <m/>
    <m/>
    <m/>
    <m/>
    <m/>
    <m/>
    <m/>
    <m/>
    <m/>
    <m/>
    <m/>
    <m/>
  </r>
  <r>
    <n v="99"/>
    <x v="95"/>
    <s v="A-012394"/>
    <x v="1"/>
    <s v="NB"/>
    <n v="0"/>
    <s v="EC"/>
    <x v="2"/>
    <s v="Back-End Developer (BED)"/>
    <d v="2023-12-01T00:00:00"/>
    <d v="2023-12-05T00:00:00"/>
    <d v="2024-09-30T00:00:00"/>
    <n v="0"/>
    <s v="POCHON, Régis"/>
    <x v="1"/>
    <s v="POCHON, Régis659"/>
    <s v="EDDANB"/>
    <s v="Back-end developer"/>
    <n v="10"/>
    <n v="659"/>
    <n v="151"/>
    <n v="99509"/>
    <n v="151"/>
    <n v="99509"/>
    <n v="0"/>
    <n v="0"/>
    <n v="0"/>
    <n v="0"/>
    <s v="DIGIT.A.3EDDA"/>
    <m/>
    <m/>
    <m/>
    <m/>
    <m/>
    <m/>
    <m/>
    <m/>
    <m/>
    <m/>
    <m/>
    <m/>
    <m/>
    <m/>
    <m/>
    <m/>
    <m/>
    <m/>
    <m/>
    <m/>
    <m/>
    <n v="6"/>
    <n v="21"/>
    <n v="20"/>
    <n v="15"/>
    <n v="21"/>
    <n v="17"/>
    <n v="18.5"/>
    <n v="20"/>
    <n v="12.5"/>
    <m/>
    <m/>
    <m/>
    <m/>
    <m/>
    <m/>
    <m/>
    <m/>
    <m/>
    <m/>
    <m/>
    <m/>
    <m/>
    <m/>
    <m/>
    <m/>
    <m/>
    <m/>
    <m/>
  </r>
  <r>
    <n v="100"/>
    <x v="96"/>
    <s v="A-012573"/>
    <x v="0"/>
    <s v="NB"/>
    <n v="0"/>
    <s v="EC"/>
    <x v="30"/>
    <s v="Workplace Security Specialist (WSS)"/>
    <d v="1899-12-30T00:00:00"/>
    <d v="1899-12-30T00:00:00"/>
    <d v="1899-12-30T00:00:00"/>
    <n v="0"/>
    <s v="BINTZ, Adrien"/>
    <x v="1"/>
    <s v="BINTZ, Adrien466,03"/>
    <s v="EDDANB"/>
    <s v="Workplace security specialist"/>
    <n v="5"/>
    <n v="466.03"/>
    <n v="200"/>
    <n v="93206"/>
    <n v="177"/>
    <n v="82487.31"/>
    <n v="23"/>
    <n v="10718.689999999999"/>
    <n v="23"/>
    <n v="10718.689999999999"/>
    <s v="HR.DSEDDA"/>
    <m/>
    <m/>
    <m/>
    <m/>
    <m/>
    <m/>
    <m/>
    <m/>
    <m/>
    <m/>
    <m/>
    <m/>
    <m/>
    <m/>
    <m/>
    <m/>
    <m/>
    <m/>
    <m/>
    <m/>
    <m/>
    <m/>
    <m/>
    <m/>
    <n v="10"/>
    <n v="21"/>
    <n v="19"/>
    <n v="18"/>
    <n v="23"/>
    <n v="11"/>
    <n v="21"/>
    <m/>
    <n v="18"/>
    <n v="18"/>
    <n v="18"/>
    <m/>
    <n v="18"/>
    <n v="5"/>
    <m/>
    <m/>
    <m/>
    <m/>
    <m/>
    <m/>
    <m/>
    <m/>
    <m/>
    <m/>
    <m/>
  </r>
  <r>
    <n v="101"/>
    <x v="97"/>
    <s v="A-012730"/>
    <x v="1"/>
    <s v="NB"/>
    <s v="DIGITTMII-015992-DIGITTMII-012730-MOD-01-6000053863-REQ-01-OFF-02"/>
    <s v="EC"/>
    <x v="19"/>
    <s v="_x0009_Full-Stack Developer (FSD)"/>
    <d v="2023-12-14T00:00:00"/>
    <d v="2023-12-15T00:00:00"/>
    <d v="2025-03-31T00:00:00"/>
    <n v="0"/>
    <s v="DUMITRU, Florin-Gabriel"/>
    <x v="0"/>
    <s v="DUMITRU, Florin-Gabriel532,43"/>
    <s v="TREMENDNB"/>
    <s v="Full-stack developer-FAR"/>
    <n v="9"/>
    <n v="532.42999999999995"/>
    <n v="217"/>
    <n v="115537.30999999998"/>
    <n v="185"/>
    <n v="98499.549999999988"/>
    <n v="32"/>
    <n v="17037.759999999998"/>
    <n v="32"/>
    <n v="17037.759999999998"/>
    <s v="RTDTREMEND"/>
    <m/>
    <m/>
    <m/>
    <m/>
    <m/>
    <m/>
    <m/>
    <m/>
    <m/>
    <m/>
    <m/>
    <m/>
    <m/>
    <m/>
    <m/>
    <m/>
    <m/>
    <m/>
    <m/>
    <m/>
    <m/>
    <m/>
    <m/>
    <m/>
    <n v="13"/>
    <n v="21"/>
    <n v="18"/>
    <n v="20"/>
    <n v="23"/>
    <n v="21"/>
    <n v="11"/>
    <m/>
    <n v="22"/>
    <n v="18"/>
    <n v="18"/>
    <m/>
    <n v="18"/>
    <n v="14"/>
    <m/>
    <m/>
    <m/>
    <m/>
    <m/>
    <m/>
    <m/>
    <m/>
    <m/>
    <m/>
    <m/>
  </r>
  <r>
    <n v="102"/>
    <x v="98"/>
    <s v="A-013723"/>
    <x v="1"/>
    <s v="BL"/>
    <n v="0"/>
    <s v="EC"/>
    <x v="31"/>
    <s v="_x0009_Full-Stack Developer (FSD)"/>
    <d v="2024-02-27T00:00:00"/>
    <d v="1899-12-30T00:00:00"/>
    <d v="2025-09-30T00:00:00"/>
    <n v="0"/>
    <s v="ADAM, Nathalie"/>
    <x v="1"/>
    <s v="ADAM, Nathalie654,04"/>
    <s v="EDDABL"/>
    <s v="Full-stack developer#R1"/>
    <n v="9"/>
    <n v="654.04"/>
    <n v="140"/>
    <n v="91565.599999999991"/>
    <n v="126.5"/>
    <n v="82736.06"/>
    <n v="13.5"/>
    <n v="8829.5399999999991"/>
    <n v="13.5"/>
    <n v="8829.5399999999991"/>
    <s v="DIGIT.C.2EDDA"/>
    <m/>
    <m/>
    <m/>
    <m/>
    <m/>
    <m/>
    <m/>
    <m/>
    <m/>
    <m/>
    <m/>
    <m/>
    <m/>
    <m/>
    <m/>
    <m/>
    <m/>
    <m/>
    <m/>
    <m/>
    <m/>
    <m/>
    <m/>
    <m/>
    <m/>
    <n v="6"/>
    <n v="15"/>
    <n v="14.5"/>
    <n v="17.5"/>
    <n v="6"/>
    <n v="15"/>
    <m/>
    <n v="16.5"/>
    <n v="18"/>
    <n v="18"/>
    <m/>
    <n v="13.5"/>
    <m/>
    <m/>
    <m/>
    <m/>
    <m/>
    <m/>
    <m/>
    <m/>
    <m/>
    <m/>
    <m/>
    <m/>
  </r>
  <r>
    <n v="103"/>
    <x v="99"/>
    <s v="A-008383"/>
    <x v="1"/>
    <s v="NB"/>
    <n v="0"/>
    <m/>
    <x v="32"/>
    <m/>
    <m/>
    <m/>
    <m/>
    <m/>
    <s v="SANDOVAL David"/>
    <x v="4"/>
    <s v="SANDOVAL David699,82"/>
    <s v="TALANNB"/>
    <s v="Full-stack developer#R1"/>
    <n v="10"/>
    <n v="699.82"/>
    <n v="116"/>
    <n v="81179.12000000001"/>
    <n v="116"/>
    <n v="81179.12000000001"/>
    <n v="0"/>
    <n v="0"/>
    <n v="0"/>
    <n v="0"/>
    <s v="TALAN"/>
    <m/>
    <m/>
    <m/>
    <m/>
    <m/>
    <m/>
    <m/>
    <m/>
    <m/>
    <m/>
    <m/>
    <m/>
    <m/>
    <m/>
    <m/>
    <m/>
    <m/>
    <m/>
    <m/>
    <m/>
    <m/>
    <m/>
    <m/>
    <n v="4"/>
    <n v="19"/>
    <n v="20.5"/>
    <n v="18"/>
    <n v="15"/>
    <n v="21"/>
    <n v="18.5"/>
    <m/>
    <m/>
    <m/>
    <m/>
    <m/>
    <m/>
    <m/>
    <m/>
    <m/>
    <m/>
    <m/>
    <m/>
    <m/>
    <m/>
    <m/>
    <m/>
    <m/>
    <m/>
    <m/>
  </r>
  <r>
    <n v="104"/>
    <x v="100"/>
    <s v="A-012575"/>
    <x v="0"/>
    <s v="NB"/>
    <n v="0"/>
    <s v="EC"/>
    <x v="30"/>
    <s v="Project Manager"/>
    <d v="2024-01-23T00:00:00"/>
    <d v="2024-01-23T00:00:00"/>
    <d v="2025-03-31T00:00:00"/>
    <n v="0"/>
    <s v="FREIRE FERREIRA, Carlos Miguel"/>
    <x v="3"/>
    <s v="FREIRE FERREIRA, Carlos Miguel741,44"/>
    <s v="CGI LUXNB"/>
    <s v="Project Manager#R1"/>
    <n v="8"/>
    <n v="741.44"/>
    <n v="200"/>
    <n v="148288"/>
    <n v="178"/>
    <n v="131976.32000000001"/>
    <n v="22"/>
    <n v="16311.68"/>
    <n v="22"/>
    <n v="16311.68"/>
    <s v="HR.DSCGI LUX"/>
    <m/>
    <m/>
    <m/>
    <m/>
    <m/>
    <m/>
    <m/>
    <m/>
    <m/>
    <m/>
    <m/>
    <m/>
    <m/>
    <m/>
    <m/>
    <m/>
    <m/>
    <m/>
    <m/>
    <m/>
    <m/>
    <m/>
    <m/>
    <m/>
    <n v="12"/>
    <n v="19"/>
    <n v="14"/>
    <n v="20"/>
    <n v="23"/>
    <n v="12"/>
    <n v="20"/>
    <m/>
    <n v="22"/>
    <n v="18"/>
    <n v="18"/>
    <m/>
    <n v="18"/>
    <n v="4"/>
    <m/>
    <m/>
    <m/>
    <m/>
    <m/>
    <m/>
    <m/>
    <m/>
    <m/>
    <m/>
    <m/>
  </r>
  <r>
    <n v="105"/>
    <x v="101"/>
    <s v="-"/>
    <x v="0"/>
    <s v="NB"/>
    <n v="0"/>
    <s v="EC"/>
    <x v="1"/>
    <s v="Test Automation Specialist (TEAS)"/>
    <s v="NOT YET SIGNED"/>
    <d v="1899-12-30T00:00:00"/>
    <d v="1899-12-30T00:00:00"/>
    <n v="0"/>
    <s v="URBINI Lorenzo"/>
    <x v="1"/>
    <s v="URBINI Lorenzo440,86"/>
    <s v="EDDANB"/>
    <s v="Test automation specialist#R1-FAR"/>
    <n v="10"/>
    <n v="440.86"/>
    <n v="0"/>
    <n v="0"/>
    <n v="0"/>
    <n v="0"/>
    <n v="0"/>
    <n v="0"/>
    <n v="0"/>
    <n v="0"/>
    <s v="DIGIT.A.4EDDA"/>
    <m/>
    <m/>
    <m/>
    <m/>
    <m/>
    <m/>
    <m/>
    <m/>
    <m/>
    <m/>
    <m/>
    <m/>
    <m/>
    <m/>
    <m/>
    <m/>
    <m/>
    <m/>
    <m/>
    <m/>
    <m/>
    <m/>
    <m/>
    <m/>
    <m/>
    <m/>
    <m/>
    <m/>
    <m/>
    <m/>
    <m/>
    <m/>
    <m/>
    <m/>
    <m/>
    <m/>
    <m/>
    <m/>
    <m/>
    <m/>
    <m/>
    <m/>
    <m/>
    <m/>
    <m/>
    <m/>
    <m/>
    <m/>
    <m/>
  </r>
  <r>
    <n v="106"/>
    <x v="102"/>
    <s v="A-013640"/>
    <x v="2"/>
    <s v="NB"/>
    <n v="0"/>
    <s v="EC"/>
    <x v="8"/>
    <s v="Onboarding Manager (OM)"/>
    <d v="2024-03-15T00:00:00"/>
    <d v="1899-12-30T00:00:00"/>
    <d v="2025-08-31T00:00:00"/>
    <n v="0"/>
    <s v="COOKE, Justin"/>
    <x v="3"/>
    <s v="COOKE, Justin910,99"/>
    <s v="CGI LUXNB"/>
    <s v="Onboarding manager#R1"/>
    <n v="10"/>
    <n v="910.99"/>
    <n v="210"/>
    <n v="191307.9"/>
    <n v="150.5"/>
    <n v="137103.995"/>
    <n v="59.5"/>
    <n v="54203.904999999999"/>
    <n v="59.5"/>
    <n v="54203.904999999999"/>
    <s v="EMPLCGI LUX"/>
    <m/>
    <m/>
    <m/>
    <m/>
    <m/>
    <m/>
    <m/>
    <m/>
    <m/>
    <m/>
    <m/>
    <m/>
    <m/>
    <m/>
    <m/>
    <m/>
    <m/>
    <m/>
    <m/>
    <m/>
    <m/>
    <m/>
    <m/>
    <m/>
    <m/>
    <n v="7.5"/>
    <n v="17.5"/>
    <n v="20"/>
    <n v="20"/>
    <n v="9"/>
    <n v="21"/>
    <m/>
    <n v="19.5"/>
    <n v="18"/>
    <n v="18"/>
    <m/>
    <n v="18"/>
    <n v="18"/>
    <n v="18"/>
    <n v="5.5"/>
    <m/>
    <m/>
    <m/>
    <m/>
    <m/>
    <m/>
    <m/>
    <m/>
    <m/>
  </r>
  <r>
    <n v="107"/>
    <x v="103"/>
    <s v="A-013706"/>
    <x v="2"/>
    <s v="NB"/>
    <n v="0"/>
    <s v="EC"/>
    <x v="1"/>
    <s v="Enterprise Architect (Ea)"/>
    <d v="2024-03-04T00:00:00"/>
    <d v="2024-03-04T00:00:00"/>
    <d v="2025-09-30T00:00:00"/>
    <n v="0"/>
    <s v="ADESIDA, Yemi"/>
    <x v="1"/>
    <s v="ADESIDA, Yemi765,24"/>
    <s v="EDDANB"/>
    <s v="Enterprise architect#R1"/>
    <n v="10"/>
    <n v="765.24"/>
    <n v="60"/>
    <n v="45914.400000000001"/>
    <n v="60"/>
    <n v="45914.400000000001"/>
    <n v="0"/>
    <n v="0"/>
    <n v="0"/>
    <n v="0"/>
    <s v="DIGIT.A.4EDDA"/>
    <m/>
    <m/>
    <m/>
    <m/>
    <m/>
    <m/>
    <m/>
    <m/>
    <m/>
    <m/>
    <m/>
    <m/>
    <m/>
    <m/>
    <m/>
    <m/>
    <m/>
    <m/>
    <m/>
    <m/>
    <m/>
    <m/>
    <m/>
    <m/>
    <n v="10"/>
    <n v="21"/>
    <n v="20"/>
    <n v="9"/>
    <m/>
    <m/>
    <m/>
    <m/>
    <m/>
    <m/>
    <m/>
    <m/>
    <m/>
    <m/>
    <m/>
    <m/>
    <m/>
    <m/>
    <m/>
    <m/>
    <m/>
    <m/>
    <m/>
    <m/>
    <m/>
  </r>
  <r>
    <n v="108"/>
    <x v="104"/>
    <s v="A-013264"/>
    <x v="0"/>
    <s v="NB"/>
    <n v="0"/>
    <s v="EC"/>
    <x v="27"/>
    <s v="Application/Cloud Architect (ACA)_x0009_"/>
    <d v="1899-12-30T00:00:00"/>
    <d v="1899-12-30T00:00:00"/>
    <d v="2025-05-31T00:00:00"/>
    <n v="0"/>
    <s v="KATHAL, Tanisha"/>
    <x v="1"/>
    <s v="KATHAL, Tanisha533,56"/>
    <s v="EDDANB"/>
    <s v="Application/Cloud architect#R1"/>
    <n v="7"/>
    <n v="533.55999999999995"/>
    <n v="220"/>
    <n v="117383.19999999998"/>
    <n v="152.5"/>
    <n v="81367.899999999994"/>
    <n v="67.5"/>
    <n v="36015.299999999996"/>
    <n v="67.5"/>
    <n v="36015.299999999996"/>
    <s v="SANTEEDDA"/>
    <m/>
    <m/>
    <m/>
    <m/>
    <m/>
    <m/>
    <m/>
    <m/>
    <m/>
    <m/>
    <m/>
    <m/>
    <m/>
    <m/>
    <m/>
    <m/>
    <m/>
    <m/>
    <m/>
    <m/>
    <m/>
    <m/>
    <m/>
    <m/>
    <m/>
    <n v="7.5"/>
    <n v="16"/>
    <n v="17.5"/>
    <n v="20.5"/>
    <n v="18"/>
    <n v="19"/>
    <m/>
    <n v="18"/>
    <n v="18"/>
    <n v="18"/>
    <m/>
    <n v="18"/>
    <n v="18"/>
    <n v="18"/>
    <n v="13.5"/>
    <m/>
    <m/>
    <m/>
    <m/>
    <m/>
    <m/>
    <m/>
    <m/>
    <m/>
  </r>
  <r>
    <n v="109"/>
    <x v="105"/>
    <s v="A-013721"/>
    <x v="1"/>
    <s v="NB"/>
    <n v="0"/>
    <s v="REA"/>
    <x v="5"/>
    <s v="Full-Stack Developer (FSD)"/>
    <d v="2024-03-25T00:00:00"/>
    <d v="2024-03-25T00:00:00"/>
    <d v="2025-06-30T00:00:00"/>
    <n v="0"/>
    <s v="SARBU, Cornelia"/>
    <x v="1"/>
    <s v="SARBU, Cornelia611,25"/>
    <s v="EDDANB"/>
    <s v="Full-stack developer#R1"/>
    <n v="8"/>
    <n v="611.25"/>
    <n v="220"/>
    <n v="134475"/>
    <n v="166.5"/>
    <n v="101773.125"/>
    <n v="53.5"/>
    <n v="32701.875"/>
    <n v="53.5"/>
    <n v="32701.875"/>
    <s v="REAEDDA"/>
    <m/>
    <m/>
    <m/>
    <m/>
    <m/>
    <m/>
    <m/>
    <m/>
    <m/>
    <m/>
    <m/>
    <m/>
    <m/>
    <m/>
    <m/>
    <m/>
    <m/>
    <m/>
    <m/>
    <m/>
    <m/>
    <m/>
    <m/>
    <m/>
    <m/>
    <n v="16.5"/>
    <n v="19"/>
    <n v="17.5"/>
    <n v="20"/>
    <n v="18.5"/>
    <n v="21"/>
    <m/>
    <n v="18"/>
    <n v="18"/>
    <n v="18"/>
    <m/>
    <n v="18"/>
    <n v="18"/>
    <n v="17.5"/>
    <m/>
    <m/>
    <m/>
    <m/>
    <m/>
    <m/>
    <m/>
    <m/>
    <m/>
    <m/>
  </r>
  <r>
    <n v="110"/>
    <x v="106"/>
    <s v="A-013905"/>
    <x v="0"/>
    <s v="NB"/>
    <n v="0"/>
    <s v="EC"/>
    <x v="18"/>
    <s v="Data Warehouse and Reporting Developer (DWRD)"/>
    <d v="1899-12-30T00:00:00"/>
    <d v="1899-12-30T00:00:00"/>
    <d v="2025-06-30T00:00:00"/>
    <n v="0"/>
    <s v="MASTRANDREA, Barbara Maria"/>
    <x v="4"/>
    <s v="MASTRANDREA, Barbara Maria493,68"/>
    <s v="TALANNB"/>
    <s v="Data warehouse and reporting developer#R1-FAR"/>
    <n v="8"/>
    <n v="493.68"/>
    <n v="220"/>
    <n v="108609.60000000001"/>
    <n v="125.5"/>
    <n v="61956.840000000004"/>
    <n v="94.5"/>
    <n v="46652.76"/>
    <n v="94.5"/>
    <n v="46652.76"/>
    <s v="REGIOTALAN"/>
    <m/>
    <m/>
    <m/>
    <m/>
    <m/>
    <m/>
    <m/>
    <m/>
    <m/>
    <m/>
    <m/>
    <m/>
    <m/>
    <m/>
    <m/>
    <m/>
    <m/>
    <m/>
    <m/>
    <m/>
    <m/>
    <m/>
    <m/>
    <m/>
    <m/>
    <m/>
    <n v="0.5"/>
    <n v="19.5"/>
    <n v="21"/>
    <n v="14.5"/>
    <n v="16"/>
    <m/>
    <n v="18"/>
    <n v="18"/>
    <n v="18"/>
    <m/>
    <n v="18"/>
    <n v="18"/>
    <n v="18"/>
    <n v="18"/>
    <n v="18"/>
    <n v="4.5"/>
    <m/>
    <m/>
    <m/>
    <m/>
    <m/>
    <m/>
    <m/>
  </r>
  <r>
    <n v="111"/>
    <x v="107"/>
    <s v="A-014031"/>
    <x v="0"/>
    <s v="NB"/>
    <n v="0"/>
    <s v="EC"/>
    <x v="33"/>
    <s v="Project Manager"/>
    <d v="1899-12-30T00:00:00"/>
    <d v="1899-12-30T00:00:00"/>
    <d v="2025-09-30T00:00:00"/>
    <n v="0"/>
    <s v="OLLINGER, Yannick"/>
    <x v="3"/>
    <s v="OLLINGER, Yannick793,34"/>
    <s v="CGI LUXNB"/>
    <s v="Project Manager#R1"/>
    <n v="9"/>
    <n v="793.34"/>
    <n v="120"/>
    <n v="95200.8"/>
    <n v="120"/>
    <n v="95200.8"/>
    <n v="0"/>
    <n v="0"/>
    <n v="0"/>
    <n v="0"/>
    <s v="DIGIT.A.2CGI LUX"/>
    <m/>
    <m/>
    <m/>
    <m/>
    <m/>
    <m/>
    <m/>
    <m/>
    <m/>
    <m/>
    <m/>
    <m/>
    <m/>
    <m/>
    <m/>
    <m/>
    <m/>
    <m/>
    <m/>
    <m/>
    <m/>
    <m/>
    <m/>
    <m/>
    <m/>
    <n v="10.5"/>
    <n v="20"/>
    <n v="20"/>
    <n v="12"/>
    <n v="19"/>
    <n v="21"/>
    <m/>
    <n v="17.5"/>
    <m/>
    <m/>
    <m/>
    <m/>
    <m/>
    <m/>
    <m/>
    <m/>
    <m/>
    <m/>
    <m/>
    <m/>
    <m/>
    <m/>
    <m/>
    <m/>
  </r>
  <r>
    <n v="112"/>
    <x v="108"/>
    <s v="A-014090"/>
    <x v="2"/>
    <s v="NB"/>
    <n v="0"/>
    <s v="EC"/>
    <x v="19"/>
    <s v="Business Intelligence Expert (BIE)"/>
    <d v="1899-12-30T00:00:00"/>
    <d v="1899-12-30T00:00:00"/>
    <d v="2025-10-31T00:00:00"/>
    <n v="0"/>
    <s v="CHATTERJEE, Pallavi"/>
    <x v="1"/>
    <s v="CHATTERJEE, Pallavi590,47"/>
    <s v="EDDANB"/>
    <s v="Business Intelligence expert#R1"/>
    <n v="5"/>
    <n v="590.47"/>
    <n v="200"/>
    <n v="118094"/>
    <n v="105.5"/>
    <n v="62294.585000000006"/>
    <n v="94.5"/>
    <n v="55799.415000000001"/>
    <n v="94.5"/>
    <n v="55799.415000000001"/>
    <s v="RTDEDDA"/>
    <m/>
    <m/>
    <m/>
    <m/>
    <m/>
    <m/>
    <m/>
    <m/>
    <m/>
    <m/>
    <m/>
    <m/>
    <m/>
    <m/>
    <m/>
    <m/>
    <m/>
    <m/>
    <m/>
    <m/>
    <m/>
    <m/>
    <m/>
    <m/>
    <m/>
    <m/>
    <m/>
    <n v="5"/>
    <n v="18"/>
    <n v="18"/>
    <n v="18"/>
    <m/>
    <n v="10.5"/>
    <n v="18"/>
    <n v="18"/>
    <m/>
    <n v="18"/>
    <n v="18"/>
    <n v="18"/>
    <n v="18"/>
    <n v="18"/>
    <n v="4.5"/>
    <m/>
    <m/>
    <m/>
    <m/>
    <m/>
    <m/>
    <m/>
  </r>
  <r>
    <n v="113"/>
    <x v="109"/>
    <s v="A-014261"/>
    <x v="0"/>
    <s v="NB"/>
    <n v="0"/>
    <s v="EC"/>
    <x v="27"/>
    <s v="Application/Cloud Architect (ACA)"/>
    <d v="1899-12-30T00:00:00"/>
    <d v="1899-12-30T00:00:00"/>
    <d v="2024-04-30T00:00:00"/>
    <n v="0"/>
    <s v="KATHAL, Tanisha"/>
    <x v="1"/>
    <s v="KATHAL, Tanisha533,56"/>
    <s v="EDDANB"/>
    <s v="Application/Cloud architect#R1"/>
    <n v="7"/>
    <n v="533.55999999999995"/>
    <n v="50"/>
    <n v="26677.999999999996"/>
    <n v="0"/>
    <n v="0"/>
    <n v="50"/>
    <n v="26677.999999999996"/>
    <n v="0"/>
    <n v="0"/>
    <s v="SANTEEDDA"/>
    <m/>
    <m/>
    <m/>
    <m/>
    <m/>
    <m/>
    <m/>
    <m/>
    <m/>
    <m/>
    <m/>
    <m/>
    <m/>
    <m/>
    <m/>
    <m/>
    <m/>
    <m/>
    <m/>
    <m/>
    <m/>
    <m/>
    <m/>
    <m/>
    <m/>
    <m/>
    <m/>
    <m/>
    <m/>
    <m/>
    <m/>
    <m/>
    <m/>
    <m/>
    <m/>
    <m/>
    <m/>
    <m/>
    <m/>
    <m/>
    <m/>
    <m/>
    <m/>
    <m/>
    <m/>
    <m/>
    <m/>
    <m/>
    <m/>
  </r>
  <r>
    <n v="114"/>
    <x v="110"/>
    <s v="A-014457"/>
    <x v="1"/>
    <s v="NB"/>
    <n v="0"/>
    <s v="REA"/>
    <x v="5"/>
    <s v="Back-End Developer (BED)"/>
    <d v="2024-04-08T00:00:00"/>
    <d v="2024-04-10T00:00:00"/>
    <d v="2024-11-30T00:00:00"/>
    <n v="0"/>
    <s v="SAYTEE, Meatau Larry"/>
    <x v="1"/>
    <s v="SAYTEE, Meatau Larry605,82"/>
    <s v="EDDANB"/>
    <s v="Back-end developer#R1"/>
    <n v="8"/>
    <n v="605.82000000000005"/>
    <n v="110"/>
    <n v="66640.200000000012"/>
    <n v="110"/>
    <n v="66640.200000000012"/>
    <n v="0"/>
    <n v="0"/>
    <n v="0"/>
    <n v="0"/>
    <s v="REAEDDA"/>
    <m/>
    <m/>
    <m/>
    <m/>
    <m/>
    <m/>
    <m/>
    <m/>
    <m/>
    <m/>
    <m/>
    <m/>
    <m/>
    <m/>
    <m/>
    <m/>
    <m/>
    <m/>
    <m/>
    <m/>
    <m/>
    <m/>
    <m/>
    <m/>
    <m/>
    <n v="9"/>
    <n v="19"/>
    <n v="20"/>
    <n v="22.5"/>
    <n v="21"/>
    <n v="17.5"/>
    <m/>
    <n v="1"/>
    <m/>
    <m/>
    <m/>
    <m/>
    <m/>
    <m/>
    <m/>
    <m/>
    <m/>
    <m/>
    <m/>
    <m/>
    <m/>
    <m/>
    <m/>
    <m/>
  </r>
  <r>
    <n v="115"/>
    <x v="111"/>
    <s v="A-014656"/>
    <x v="1"/>
    <s v="NB"/>
    <n v="0"/>
    <s v="EC"/>
    <x v="2"/>
    <s v="Full-Stack Developer (FSD)"/>
    <d v="1899-12-30T00:00:00"/>
    <d v="1899-12-30T00:00:00"/>
    <d v="2025-09-30T00:00:00"/>
    <n v="0"/>
    <s v="MEDAN, Andrei"/>
    <x v="1"/>
    <s v="MEDAN, Andrei522,43"/>
    <s v="EDDANB"/>
    <s v="Full-stack developer#R1-FAR"/>
    <n v="9"/>
    <n v="522.42999999999995"/>
    <n v="140"/>
    <n v="73140.2"/>
    <n v="140"/>
    <n v="73140.2"/>
    <n v="0"/>
    <n v="0"/>
    <n v="0"/>
    <n v="0"/>
    <s v="DIGIT.A.3EDDA"/>
    <m/>
    <m/>
    <m/>
    <m/>
    <m/>
    <m/>
    <m/>
    <m/>
    <m/>
    <m/>
    <m/>
    <m/>
    <m/>
    <m/>
    <m/>
    <m/>
    <m/>
    <m/>
    <m/>
    <m/>
    <m/>
    <m/>
    <m/>
    <m/>
    <m/>
    <n v="20"/>
    <n v="20"/>
    <n v="19.5"/>
    <n v="21.5"/>
    <n v="21"/>
    <n v="13"/>
    <m/>
    <n v="23"/>
    <n v="2"/>
    <m/>
    <m/>
    <m/>
    <m/>
    <m/>
    <m/>
    <m/>
    <m/>
    <m/>
    <m/>
    <m/>
    <m/>
    <m/>
    <m/>
    <m/>
  </r>
  <r>
    <n v="116"/>
    <x v="112"/>
    <s v="A-015280"/>
    <x v="2"/>
    <s v="NB"/>
    <n v="0"/>
    <s v="EC"/>
    <x v="17"/>
    <s v="Onboarding Manager (OM)"/>
    <d v="1899-12-30T00:00:00"/>
    <d v="2024-04-17T00:00:00"/>
    <d v="2025-09-30T00:00:00"/>
    <n v="0"/>
    <s v="IERVOLINO, Andrea"/>
    <x v="4"/>
    <s v="IERVOLINO, Andrea743,64"/>
    <s v="TALANNB"/>
    <s v="Onboarding manager#R1"/>
    <n v="7"/>
    <n v="743.64"/>
    <n v="180"/>
    <n v="133855.20000000001"/>
    <n v="161"/>
    <n v="119726.04"/>
    <n v="19"/>
    <n v="14129.16"/>
    <n v="19"/>
    <n v="14129.16"/>
    <s v="DIGIT.B.3TALAN"/>
    <m/>
    <m/>
    <m/>
    <m/>
    <m/>
    <m/>
    <m/>
    <m/>
    <m/>
    <m/>
    <m/>
    <m/>
    <m/>
    <m/>
    <m/>
    <m/>
    <m/>
    <m/>
    <m/>
    <m/>
    <m/>
    <m/>
    <m/>
    <m/>
    <m/>
    <n v="3"/>
    <n v="19"/>
    <n v="20"/>
    <n v="18"/>
    <n v="21"/>
    <n v="21"/>
    <m/>
    <n v="23"/>
    <n v="18"/>
    <n v="18"/>
    <m/>
    <n v="18"/>
    <n v="1"/>
    <m/>
    <m/>
    <m/>
    <m/>
    <m/>
    <m/>
    <m/>
    <m/>
    <m/>
    <m/>
    <m/>
  </r>
  <r>
    <n v="117"/>
    <x v="113"/>
    <s v="A-015256"/>
    <x v="0"/>
    <s v="NB"/>
    <n v="0"/>
    <s v="EC"/>
    <x v="33"/>
    <s v="Project Manager"/>
    <d v="1899-12-30T00:00:00"/>
    <d v="2024-04-24T00:00:00"/>
    <d v="2025-09-30T00:00:00"/>
    <n v="0"/>
    <s v="TURCITU, Mihai-Alexandru "/>
    <x v="3"/>
    <s v="TURCITU, Mihai-Alexandru 494,06"/>
    <s v="CGI LUXNB"/>
    <s v="Project Manager#R1"/>
    <n v="2"/>
    <n v="494.06"/>
    <n v="110"/>
    <n v="54346.6"/>
    <n v="110"/>
    <n v="54346.6"/>
    <n v="0"/>
    <n v="0"/>
    <n v="0"/>
    <n v="0"/>
    <s v="DIGIT.A.2CGI LUX"/>
    <m/>
    <m/>
    <m/>
    <m/>
    <m/>
    <m/>
    <m/>
    <m/>
    <m/>
    <m/>
    <m/>
    <m/>
    <m/>
    <m/>
    <m/>
    <m/>
    <m/>
    <m/>
    <m/>
    <m/>
    <m/>
    <m/>
    <m/>
    <m/>
    <m/>
    <n v="0.5"/>
    <n v="17.5"/>
    <n v="18.5"/>
    <n v="22.5"/>
    <n v="20.5"/>
    <n v="16"/>
    <m/>
    <n v="14.5"/>
    <m/>
    <m/>
    <m/>
    <m/>
    <m/>
    <m/>
    <m/>
    <m/>
    <m/>
    <m/>
    <m/>
    <m/>
    <m/>
    <m/>
    <m/>
    <m/>
  </r>
  <r>
    <n v="118"/>
    <x v="114"/>
    <s v="-"/>
    <x v="1"/>
    <s v="NB"/>
    <n v="0"/>
    <s v="EC"/>
    <x v="1"/>
    <s v="Full-Stack Developer (FSD)"/>
    <d v="1899-12-30T00:00:00"/>
    <d v="2023-09-13T00:00:00"/>
    <d v="2024-09-30T00:00:00"/>
    <n v="0"/>
    <s v="MEDAN, Andrei"/>
    <x v="1"/>
    <s v="MEDAN, Andrei463,9"/>
    <s v="EDDANB"/>
    <s v="Full-stack developer-FAR"/>
    <n v="8"/>
    <n v="463.9"/>
    <n v="0"/>
    <n v="0"/>
    <n v="0"/>
    <n v="0"/>
    <n v="0"/>
    <n v="0"/>
    <n v="0"/>
    <n v="0"/>
    <s v="DIGIT.A.4EDDA"/>
    <m/>
    <m/>
    <m/>
    <m/>
    <m/>
    <m/>
    <m/>
    <m/>
    <m/>
    <m/>
    <m/>
    <m/>
    <m/>
    <m/>
    <m/>
    <m/>
    <m/>
    <m/>
    <m/>
    <m/>
    <m/>
    <m/>
    <m/>
    <m/>
    <m/>
    <m/>
    <m/>
    <m/>
    <m/>
    <m/>
    <m/>
    <m/>
    <m/>
    <m/>
    <m/>
    <m/>
    <m/>
    <m/>
    <m/>
    <m/>
    <m/>
    <m/>
    <m/>
    <m/>
    <m/>
    <m/>
    <m/>
    <m/>
    <m/>
  </r>
  <r>
    <n v="119"/>
    <x v="115"/>
    <s v="A-011653"/>
    <x v="0"/>
    <s v="NB"/>
    <n v="0"/>
    <s v="EC"/>
    <x v="24"/>
    <s v="Application/Cloud Architect (ACA)"/>
    <d v="1899-12-30T00:00:00"/>
    <d v="2024-04-15T00:00:00"/>
    <d v="2025-03-01T00:00:00"/>
    <n v="0"/>
    <s v="DECANINI, Barbara"/>
    <x v="1"/>
    <s v="DECANINI, Barbara653,63"/>
    <s v="EDDANB"/>
    <s v="Application/Cloud architect#R1"/>
    <n v="10"/>
    <n v="653.63"/>
    <n v="120"/>
    <n v="78435.600000000006"/>
    <n v="120"/>
    <n v="78435.600000000006"/>
    <n v="0"/>
    <n v="0"/>
    <n v="0"/>
    <n v="0"/>
    <s v="GROWEDDA"/>
    <m/>
    <m/>
    <m/>
    <m/>
    <m/>
    <m/>
    <m/>
    <m/>
    <m/>
    <m/>
    <m/>
    <m/>
    <m/>
    <m/>
    <m/>
    <m/>
    <m/>
    <m/>
    <m/>
    <m/>
    <m/>
    <m/>
    <m/>
    <m/>
    <m/>
    <m/>
    <n v="14"/>
    <n v="20"/>
    <n v="22"/>
    <n v="13"/>
    <n v="15"/>
    <m/>
    <n v="23"/>
    <n v="13"/>
    <m/>
    <m/>
    <m/>
    <m/>
    <m/>
    <m/>
    <m/>
    <m/>
    <m/>
    <m/>
    <m/>
    <m/>
    <m/>
    <m/>
    <m/>
  </r>
  <r>
    <n v="120"/>
    <x v="116"/>
    <s v="A-015091"/>
    <x v="1"/>
    <s v="NB"/>
    <n v="0"/>
    <s v="EC"/>
    <x v="19"/>
    <s v="Full-Stack Developer (FSD)"/>
    <d v="1899-12-30T00:00:00"/>
    <d v="2024-04-18T00:00:00"/>
    <d v="2025-10-31T00:00:00"/>
    <n v="0"/>
    <s v="MEJRI, Mohamed"/>
    <x v="1"/>
    <s v="MEJRI, Mohamed654,04"/>
    <s v="EDDANB"/>
    <s v="Full-stack developer#R1"/>
    <n v="9"/>
    <n v="654.04"/>
    <n v="200"/>
    <n v="130808"/>
    <n v="115.5"/>
    <n v="75541.62"/>
    <n v="84.5"/>
    <n v="55266.38"/>
    <n v="84.5"/>
    <n v="55266.38"/>
    <s v="RTDEDDA"/>
    <m/>
    <m/>
    <m/>
    <m/>
    <m/>
    <m/>
    <m/>
    <m/>
    <m/>
    <m/>
    <m/>
    <m/>
    <m/>
    <m/>
    <m/>
    <m/>
    <m/>
    <m/>
    <m/>
    <m/>
    <m/>
    <m/>
    <m/>
    <m/>
    <m/>
    <m/>
    <m/>
    <n v="9"/>
    <n v="10"/>
    <n v="20.5"/>
    <n v="18"/>
    <m/>
    <n v="22"/>
    <n v="18"/>
    <n v="18"/>
    <m/>
    <n v="18"/>
    <n v="18"/>
    <n v="18"/>
    <n v="18"/>
    <n v="12.5"/>
    <m/>
    <m/>
    <m/>
    <m/>
    <m/>
    <m/>
    <m/>
    <m/>
  </r>
  <r>
    <n v="121"/>
    <x v="117"/>
    <s v="A-015251"/>
    <x v="2"/>
    <s v="NB"/>
    <n v="0"/>
    <s v="REA"/>
    <x v="5"/>
    <s v="Business Intelligence Expert (BIE)"/>
    <d v="2024-04-25T00:00:00"/>
    <d v="2024-05-07T00:00:00"/>
    <d v="2025-07-31T00:00:00"/>
    <n v="0"/>
    <s v="VASILIKIOTIS, Themistoklis"/>
    <x v="1"/>
    <s v="VASILIKIOTIS, Themistoklis542,52"/>
    <s v="EDDANB"/>
    <s v="Business Intelligence expert#R1-FAR"/>
    <n v="8"/>
    <n v="542.52"/>
    <n v="220"/>
    <n v="119354.4"/>
    <n v="136"/>
    <n v="73782.720000000001"/>
    <n v="84"/>
    <n v="45571.68"/>
    <n v="84"/>
    <n v="45571.68"/>
    <s v="REAEDDA"/>
    <m/>
    <m/>
    <m/>
    <m/>
    <m/>
    <m/>
    <m/>
    <m/>
    <m/>
    <m/>
    <m/>
    <m/>
    <m/>
    <m/>
    <m/>
    <m/>
    <m/>
    <m/>
    <m/>
    <m/>
    <m/>
    <m/>
    <m/>
    <m/>
    <m/>
    <m/>
    <n v="9"/>
    <n v="20"/>
    <n v="20"/>
    <n v="14"/>
    <n v="19"/>
    <m/>
    <n v="18"/>
    <n v="18"/>
    <n v="18"/>
    <m/>
    <n v="18"/>
    <n v="18"/>
    <n v="18"/>
    <n v="18"/>
    <n v="12"/>
    <m/>
    <m/>
    <m/>
    <m/>
    <m/>
    <m/>
    <m/>
    <m/>
  </r>
  <r>
    <n v="122"/>
    <x v="118"/>
    <s v="A-015440"/>
    <x v="0"/>
    <s v="NB"/>
    <n v="0"/>
    <s v="EC"/>
    <x v="33"/>
    <s v="Project Manager"/>
    <d v="2024-05-02T00:00:00"/>
    <d v="2024-05-03T00:00:00"/>
    <d v="2025-09-30T00:00:00"/>
    <n v="0"/>
    <s v="DE ANDRES DEL CASTILLO, David"/>
    <x v="3"/>
    <s v="DE ANDRES DEL CASTILLO, David793,34"/>
    <s v="CGI LUXNB"/>
    <s v="Project Manager#R1"/>
    <n v="9"/>
    <n v="793.34"/>
    <n v="110"/>
    <n v="87267.400000000009"/>
    <n v="110"/>
    <n v="87267.400000000009"/>
    <n v="0"/>
    <n v="0"/>
    <n v="0"/>
    <n v="0"/>
    <s v="DIGIT.A.2CGI LUX"/>
    <m/>
    <m/>
    <m/>
    <m/>
    <m/>
    <m/>
    <m/>
    <m/>
    <m/>
    <m/>
    <m/>
    <m/>
    <m/>
    <m/>
    <m/>
    <m/>
    <m/>
    <m/>
    <m/>
    <m/>
    <m/>
    <m/>
    <m/>
    <m/>
    <m/>
    <m/>
    <n v="7"/>
    <n v="13"/>
    <n v="19"/>
    <n v="16"/>
    <n v="18.5"/>
    <m/>
    <n v="18"/>
    <n v="18"/>
    <n v="0.5"/>
    <m/>
    <m/>
    <m/>
    <m/>
    <m/>
    <m/>
    <m/>
    <m/>
    <m/>
    <m/>
    <m/>
    <m/>
    <m/>
    <m/>
  </r>
  <r>
    <n v="123"/>
    <x v="119"/>
    <s v="A-015505"/>
    <x v="0"/>
    <s v="BL"/>
    <n v="0"/>
    <s v="EC"/>
    <x v="33"/>
    <s v="Project Manager"/>
    <d v="2024-05-02T00:00:00"/>
    <d v="2024-05-03T00:00:00"/>
    <d v="2025-09-30T00:00:00"/>
    <n v="0"/>
    <s v="WHYE, Gregory"/>
    <x v="3"/>
    <s v="WHYE, Gregory793,34"/>
    <s v="CGI LUXBL"/>
    <s v="Project Manager#R1"/>
    <n v="9"/>
    <n v="793.34"/>
    <n v="110"/>
    <n v="87267.400000000009"/>
    <n v="110"/>
    <n v="87267.400000000009"/>
    <n v="0"/>
    <n v="0"/>
    <n v="0"/>
    <n v="0"/>
    <s v="DIGIT.A.2CGI LUX"/>
    <m/>
    <m/>
    <m/>
    <m/>
    <m/>
    <m/>
    <m/>
    <m/>
    <m/>
    <m/>
    <m/>
    <m/>
    <m/>
    <m/>
    <m/>
    <m/>
    <m/>
    <m/>
    <m/>
    <m/>
    <m/>
    <m/>
    <m/>
    <m/>
    <m/>
    <m/>
    <n v="16.5"/>
    <n v="19"/>
    <n v="20"/>
    <n v="21"/>
    <n v="21"/>
    <m/>
    <n v="12.5"/>
    <m/>
    <m/>
    <m/>
    <m/>
    <m/>
    <m/>
    <m/>
    <m/>
    <m/>
    <m/>
    <m/>
    <m/>
    <m/>
    <m/>
    <m/>
    <m/>
  </r>
  <r>
    <n v="124"/>
    <x v="120"/>
    <s v="A-015548"/>
    <x v="1"/>
    <s v="NB"/>
    <n v="0"/>
    <s v="EC"/>
    <x v="1"/>
    <s v="Full-Stack Developer (FSD)"/>
    <d v="2024-05-13T00:00:00"/>
    <d v="2024-05-13T00:00:00"/>
    <d v="2025-09-30T00:00:00"/>
    <n v="0"/>
    <s v="COLLING, Fabiano"/>
    <x v="4"/>
    <s v="COLLING, Fabiano611,25"/>
    <s v="TALANNB"/>
    <s v="Full-stack developer#R1"/>
    <n v="8"/>
    <n v="611.25"/>
    <n v="90"/>
    <n v="55012.5"/>
    <n v="90"/>
    <n v="55012.5"/>
    <n v="0"/>
    <n v="0"/>
    <n v="0"/>
    <n v="0"/>
    <s v="DIGIT.A.4TALAN"/>
    <m/>
    <m/>
    <m/>
    <m/>
    <m/>
    <m/>
    <m/>
    <m/>
    <m/>
    <m/>
    <m/>
    <m/>
    <m/>
    <m/>
    <m/>
    <m/>
    <m/>
    <m/>
    <m/>
    <m/>
    <m/>
    <m/>
    <m/>
    <m/>
    <m/>
    <m/>
    <m/>
    <n v="8"/>
    <n v="23"/>
    <n v="16"/>
    <n v="21"/>
    <m/>
    <n v="22"/>
    <m/>
    <m/>
    <m/>
    <m/>
    <m/>
    <m/>
    <m/>
    <m/>
    <m/>
    <m/>
    <m/>
    <m/>
    <m/>
    <m/>
    <m/>
    <m/>
  </r>
  <r>
    <n v="125"/>
    <x v="121"/>
    <s v="A-015612"/>
    <x v="1"/>
    <s v="NB"/>
    <n v="0"/>
    <s v="EC"/>
    <x v="26"/>
    <s v="Full-Stack Developer (FSD)"/>
    <d v="2024-05-06T00:00:00"/>
    <d v="2024-05-07T00:00:00"/>
    <d v="2025-09-30T00:00:00"/>
    <n v="0"/>
    <s v="APETRI, Ioana"/>
    <x v="4"/>
    <s v="APETRI, Ioana466,31"/>
    <s v="TALANNB"/>
    <s v="Full-stack developer#R1-FAR"/>
    <n v="7"/>
    <n v="466.31"/>
    <n v="220"/>
    <n v="102588.2"/>
    <n v="113"/>
    <n v="52693.03"/>
    <n v="107"/>
    <n v="49895.17"/>
    <n v="107"/>
    <n v="49895.17"/>
    <s v="DIGIT.B.1TALAN"/>
    <m/>
    <m/>
    <m/>
    <m/>
    <m/>
    <m/>
    <m/>
    <m/>
    <m/>
    <m/>
    <m/>
    <m/>
    <m/>
    <m/>
    <m/>
    <m/>
    <m/>
    <m/>
    <m/>
    <m/>
    <m/>
    <m/>
    <m/>
    <m/>
    <m/>
    <m/>
    <m/>
    <n v="7"/>
    <n v="13"/>
    <n v="15"/>
    <n v="21"/>
    <m/>
    <n v="21"/>
    <n v="18"/>
    <n v="18"/>
    <m/>
    <n v="18"/>
    <n v="18"/>
    <n v="18"/>
    <n v="18"/>
    <n v="18"/>
    <n v="17"/>
    <m/>
    <m/>
    <m/>
    <m/>
    <m/>
    <m/>
    <m/>
  </r>
  <r>
    <n v="126"/>
    <x v="122"/>
    <s v="A-015656"/>
    <x v="2"/>
    <s v="NB"/>
    <n v="0"/>
    <s v="EC"/>
    <x v="34"/>
    <s v="Onboarding Manager (OM)"/>
    <d v="2024-05-07T00:00:00"/>
    <d v="2024-05-13T00:00:00"/>
    <d v="2025-09-30T00:00:00"/>
    <n v="0"/>
    <s v="DEVLEESCHOUWER, Sophie"/>
    <x v="3"/>
    <s v="DEVLEESCHOUWER, Sophie851,39"/>
    <s v="CGI LUXNB"/>
    <s v="Onboarding manager#R1"/>
    <n v="9"/>
    <n v="851.39"/>
    <n v="110"/>
    <n v="93652.9"/>
    <n v="110"/>
    <n v="93652.9"/>
    <n v="0"/>
    <n v="0"/>
    <n v="0"/>
    <n v="0"/>
    <s v="DIGIT.C.4CGI LUX"/>
    <m/>
    <m/>
    <m/>
    <m/>
    <m/>
    <m/>
    <m/>
    <m/>
    <m/>
    <m/>
    <m/>
    <m/>
    <m/>
    <m/>
    <m/>
    <m/>
    <m/>
    <m/>
    <m/>
    <m/>
    <m/>
    <m/>
    <m/>
    <m/>
    <m/>
    <m/>
    <n v="3"/>
    <n v="18.5"/>
    <n v="12"/>
    <n v="10"/>
    <n v="19.5"/>
    <m/>
    <n v="14"/>
    <n v="18"/>
    <n v="15"/>
    <m/>
    <m/>
    <m/>
    <m/>
    <m/>
    <m/>
    <m/>
    <m/>
    <m/>
    <m/>
    <m/>
    <m/>
    <m/>
    <m/>
  </r>
  <r>
    <n v="127"/>
    <x v="123"/>
    <s v="A-015661"/>
    <x v="0"/>
    <s v="NB"/>
    <n v="0"/>
    <s v="EC"/>
    <x v="34"/>
    <s v="Project Manager"/>
    <d v="2024-05-07T00:00:00"/>
    <d v="2024-05-13T00:00:00"/>
    <d v="2025-09-30T00:00:00"/>
    <n v="0"/>
    <s v="GAGO CABEZAS, Irma"/>
    <x v="3"/>
    <s v="GAGO CABEZAS, Irma848,87"/>
    <s v="CGI LUXNB"/>
    <s v="Project Manager#R1"/>
    <n v="10"/>
    <n v="848.87"/>
    <n v="110"/>
    <n v="93375.7"/>
    <n v="110"/>
    <n v="93375.7"/>
    <n v="0"/>
    <n v="0"/>
    <n v="0"/>
    <n v="0"/>
    <s v="DIGIT.C.4CGI LUX"/>
    <m/>
    <m/>
    <m/>
    <m/>
    <m/>
    <m/>
    <m/>
    <m/>
    <m/>
    <m/>
    <m/>
    <m/>
    <m/>
    <m/>
    <m/>
    <m/>
    <m/>
    <m/>
    <m/>
    <m/>
    <m/>
    <m/>
    <m/>
    <m/>
    <m/>
    <m/>
    <m/>
    <n v="19"/>
    <n v="16.5"/>
    <n v="8"/>
    <n v="20"/>
    <m/>
    <n v="14"/>
    <n v="18"/>
    <n v="14.5"/>
    <m/>
    <m/>
    <m/>
    <m/>
    <m/>
    <m/>
    <m/>
    <m/>
    <m/>
    <m/>
    <m/>
    <m/>
    <m/>
    <m/>
  </r>
  <r>
    <n v="128"/>
    <x v="124"/>
    <s v="A-015688"/>
    <x v="1"/>
    <s v="NB"/>
    <n v="0"/>
    <s v="REA"/>
    <x v="5"/>
    <s v="Full-Stack Developer (FSD)"/>
    <d v="2024-05-29T00:00:00"/>
    <d v="2024-05-15T00:00:00"/>
    <d v="2025-06-30T00:00:00"/>
    <n v="0"/>
    <s v="DIAZ MUNOZ, Jaime"/>
    <x v="1"/>
    <s v="DIAZ MUNOZ, Jaime654,04"/>
    <s v="EDDANB"/>
    <s v="Full-stack developer#R1"/>
    <n v="9"/>
    <n v="654.04"/>
    <n v="205"/>
    <n v="134078.19999999998"/>
    <n v="120"/>
    <n v="78484.799999999988"/>
    <n v="85"/>
    <n v="55593.399999999994"/>
    <n v="85"/>
    <n v="55593.399999999994"/>
    <s v="REAEDDA"/>
    <m/>
    <m/>
    <m/>
    <m/>
    <m/>
    <m/>
    <m/>
    <m/>
    <m/>
    <m/>
    <m/>
    <m/>
    <m/>
    <m/>
    <m/>
    <m/>
    <m/>
    <m/>
    <m/>
    <m/>
    <m/>
    <m/>
    <m/>
    <m/>
    <m/>
    <m/>
    <m/>
    <n v="20"/>
    <n v="8"/>
    <n v="17"/>
    <n v="21"/>
    <m/>
    <n v="18"/>
    <n v="18"/>
    <n v="18"/>
    <m/>
    <n v="18"/>
    <n v="18"/>
    <n v="18"/>
    <n v="18"/>
    <n v="13"/>
    <m/>
    <m/>
    <m/>
    <m/>
    <m/>
    <m/>
    <m/>
    <m/>
  </r>
  <r>
    <n v="129"/>
    <x v="125"/>
    <s v="A-012876"/>
    <x v="2"/>
    <s v="NB"/>
    <n v="0"/>
    <s v="EC"/>
    <x v="2"/>
    <s v="Enterprise Architect (EA)"/>
    <d v="2024-05-27T00:00:00"/>
    <d v="2024-05-27T00:00:00"/>
    <d v="2025-09-30T00:00:00"/>
    <n v="0"/>
    <s v="GOSMAN, Andrei"/>
    <x v="0"/>
    <s v="GOSMAN, Andrei528,24"/>
    <s v="TREMENDNB"/>
    <s v="Enterprise architect#R1-FAR"/>
    <n v="9"/>
    <n v="528.24"/>
    <n v="60"/>
    <n v="31694.400000000001"/>
    <n v="60"/>
    <n v="31694.400000000001"/>
    <n v="0"/>
    <n v="0"/>
    <n v="0"/>
    <n v="0"/>
    <s v="DIGIT.A.3TREMEND"/>
    <m/>
    <m/>
    <m/>
    <m/>
    <m/>
    <m/>
    <m/>
    <m/>
    <m/>
    <m/>
    <m/>
    <m/>
    <m/>
    <m/>
    <m/>
    <m/>
    <m/>
    <m/>
    <m/>
    <m/>
    <m/>
    <m/>
    <m/>
    <m/>
    <m/>
    <m/>
    <m/>
    <n v="14.5"/>
    <n v="16"/>
    <n v="20"/>
    <n v="9.5"/>
    <m/>
    <m/>
    <m/>
    <m/>
    <m/>
    <m/>
    <m/>
    <m/>
    <m/>
    <m/>
    <m/>
    <m/>
    <m/>
    <m/>
    <m/>
    <m/>
    <m/>
    <m/>
  </r>
  <r>
    <n v="130"/>
    <x v="126"/>
    <s v="A-016057"/>
    <x v="0"/>
    <s v="NB"/>
    <n v="0"/>
    <s v="EC"/>
    <x v="0"/>
    <s v="Project Manager"/>
    <d v="2024-05-27T00:00:00"/>
    <d v="2024-05-27T00:00:00"/>
    <d v="2025-09-30T00:00:00"/>
    <n v="0"/>
    <s v="SABĂU, Răzvan-Eugen"/>
    <x v="0"/>
    <s v="SABĂU, Răzvan-Eugen793,34"/>
    <s v="TREMENDNB"/>
    <s v="Project Manager#R1"/>
    <n v="9"/>
    <n v="793.34"/>
    <n v="220"/>
    <n v="174534.80000000002"/>
    <n v="90.5"/>
    <n v="71797.27"/>
    <n v="129.5"/>
    <n v="102737.53"/>
    <n v="129.5"/>
    <n v="102737.53"/>
    <s v="DIGIT.R.2TREMEND"/>
    <m/>
    <m/>
    <m/>
    <m/>
    <m/>
    <m/>
    <m/>
    <m/>
    <m/>
    <m/>
    <m/>
    <m/>
    <m/>
    <m/>
    <m/>
    <m/>
    <m/>
    <m/>
    <m/>
    <m/>
    <m/>
    <m/>
    <m/>
    <m/>
    <m/>
    <m/>
    <m/>
    <m/>
    <n v="4.5"/>
    <n v="17"/>
    <n v="11"/>
    <m/>
    <n v="22"/>
    <n v="18"/>
    <n v="18"/>
    <m/>
    <n v="18"/>
    <n v="18"/>
    <n v="18"/>
    <n v="18"/>
    <n v="18"/>
    <n v="18"/>
    <n v="18"/>
    <n v="3.5"/>
    <m/>
    <m/>
    <m/>
    <m/>
    <m/>
  </r>
  <r>
    <n v="131"/>
    <x v="127"/>
    <s v="A-016140"/>
    <x v="0"/>
    <s v="NB"/>
    <n v="0"/>
    <s v="EC"/>
    <x v="33"/>
    <s v="Project Manager"/>
    <d v="2024-05-30T00:00:00"/>
    <d v="2024-05-30T00:00:00"/>
    <d v="2025-09-30T00:00:00"/>
    <n v="0"/>
    <s v="LEFTER, Diana"/>
    <x v="1"/>
    <s v="LEFTER, Diana741,44"/>
    <s v="EDDANB"/>
    <s v="Project Manager#R1"/>
    <n v="8"/>
    <n v="741.44"/>
    <n v="90"/>
    <n v="66729.600000000006"/>
    <n v="90"/>
    <n v="66729.600000000006"/>
    <n v="0"/>
    <n v="0"/>
    <n v="0"/>
    <n v="0"/>
    <s v="DIGIT.A.2EDDA"/>
    <m/>
    <m/>
    <m/>
    <m/>
    <m/>
    <m/>
    <m/>
    <m/>
    <m/>
    <m/>
    <m/>
    <m/>
    <m/>
    <m/>
    <m/>
    <m/>
    <m/>
    <m/>
    <m/>
    <m/>
    <m/>
    <m/>
    <m/>
    <m/>
    <m/>
    <m/>
    <m/>
    <m/>
    <n v="6.5"/>
    <n v="17"/>
    <n v="16"/>
    <m/>
    <n v="23"/>
    <n v="18"/>
    <n v="9.5"/>
    <m/>
    <m/>
    <m/>
    <m/>
    <m/>
    <m/>
    <m/>
    <m/>
    <m/>
    <m/>
    <m/>
    <m/>
    <m/>
    <m/>
  </r>
  <r>
    <n v="132"/>
    <x v="128"/>
    <s v="A-016268"/>
    <x v="1"/>
    <s v="NB"/>
    <n v="0"/>
    <s v="EC"/>
    <x v="17"/>
    <s v="Full-Stack Developer (FSD)"/>
    <d v="2024-05-31T00:00:00"/>
    <d v="2024-05-31T00:00:00"/>
    <d v="2025-09-30T00:00:00"/>
    <n v="0"/>
    <s v="ESCRIBANO, Ruben"/>
    <x v="1"/>
    <s v="ESCRIBANO, Ruben498,96"/>
    <s v="EDDANB"/>
    <s v="Full-stack developer#R1"/>
    <n v="5"/>
    <n v="498.96"/>
    <n v="125"/>
    <n v="62370"/>
    <n v="117"/>
    <n v="58378.32"/>
    <n v="8"/>
    <n v="3991.68"/>
    <n v="8"/>
    <n v="3991.68"/>
    <s v="DIGIT.B.3EDDA"/>
    <m/>
    <m/>
    <m/>
    <m/>
    <m/>
    <m/>
    <m/>
    <m/>
    <m/>
    <m/>
    <m/>
    <m/>
    <m/>
    <m/>
    <m/>
    <m/>
    <m/>
    <m/>
    <m/>
    <m/>
    <m/>
    <m/>
    <m/>
    <m/>
    <m/>
    <m/>
    <m/>
    <n v="4.5"/>
    <n v="16.5"/>
    <n v="20"/>
    <n v="17"/>
    <m/>
    <n v="23"/>
    <n v="18"/>
    <n v="18"/>
    <m/>
    <n v="8"/>
    <m/>
    <m/>
    <m/>
    <m/>
    <m/>
    <m/>
    <m/>
    <m/>
    <m/>
    <m/>
    <m/>
    <m/>
  </r>
  <r>
    <n v="133"/>
    <x v="129"/>
    <s v="A-015625"/>
    <x v="1"/>
    <s v="NB"/>
    <n v="0"/>
    <s v="EC"/>
    <x v="8"/>
    <s v="Full-Stack Developer (FSD)"/>
    <d v="2024-06-05T00:00:00"/>
    <d v="2025-06-11T00:00:00"/>
    <d v="2025-09-30T00:00:00"/>
    <n v="0"/>
    <s v="FERNANDEZ GUERRERO, Ivan"/>
    <x v="1"/>
    <s v="FERNANDEZ GUERRERO, Ivan611,25"/>
    <s v="EDDANB"/>
    <s v="Full-stack developer#R1"/>
    <n v="8"/>
    <n v="611.25"/>
    <n v="180"/>
    <n v="110025"/>
    <n v="46.5"/>
    <n v="28423.125"/>
    <n v="133.5"/>
    <n v="81601.875"/>
    <n v="133.5"/>
    <n v="81601.875"/>
    <s v="EMPLEDDA"/>
    <m/>
    <m/>
    <m/>
    <m/>
    <m/>
    <m/>
    <m/>
    <m/>
    <m/>
    <m/>
    <m/>
    <m/>
    <m/>
    <m/>
    <m/>
    <m/>
    <m/>
    <m/>
    <m/>
    <m/>
    <m/>
    <m/>
    <m/>
    <m/>
    <m/>
    <m/>
    <m/>
    <m/>
    <m/>
    <m/>
    <m/>
    <m/>
    <n v="10.5"/>
    <n v="18"/>
    <n v="18"/>
    <m/>
    <n v="18"/>
    <n v="18"/>
    <n v="18"/>
    <n v="18"/>
    <n v="18"/>
    <n v="18"/>
    <n v="18"/>
    <n v="7.5"/>
    <m/>
    <m/>
    <m/>
    <m/>
    <m/>
  </r>
  <r>
    <n v="134"/>
    <x v="130"/>
    <s v="A-014680"/>
    <x v="1"/>
    <s v="NB"/>
    <n v="0"/>
    <s v="EC"/>
    <x v="27"/>
    <s v="Back-End Developer (BED)"/>
    <d v="2024-06-17T00:00:00"/>
    <d v="2024-06-18T00:00:00"/>
    <d v="2025-08-31T00:00:00"/>
    <n v="0"/>
    <s v="CHOUAIECH, Mohamed"/>
    <x v="1"/>
    <s v="CHOUAIECH, Mohamed648,23"/>
    <s v="EDDANB"/>
    <s v="Back-end developer#R1"/>
    <n v="9"/>
    <n v="648.23"/>
    <n v="220"/>
    <n v="142610.6"/>
    <n v="114"/>
    <n v="73898.22"/>
    <n v="106"/>
    <n v="68712.38"/>
    <n v="106"/>
    <n v="68712.38"/>
    <s v="SANTEEDDA"/>
    <m/>
    <m/>
    <m/>
    <m/>
    <m/>
    <m/>
    <m/>
    <m/>
    <m/>
    <m/>
    <m/>
    <m/>
    <m/>
    <m/>
    <m/>
    <m/>
    <m/>
    <m/>
    <m/>
    <m/>
    <m/>
    <m/>
    <m/>
    <m/>
    <m/>
    <m/>
    <m/>
    <m/>
    <n v="23"/>
    <n v="11"/>
    <n v="21"/>
    <m/>
    <n v="23"/>
    <n v="18"/>
    <n v="18"/>
    <m/>
    <n v="18"/>
    <n v="18"/>
    <n v="18"/>
    <n v="18"/>
    <n v="18"/>
    <n v="16"/>
    <m/>
    <m/>
    <m/>
    <m/>
    <m/>
    <m/>
    <m/>
  </r>
  <r>
    <n v="136"/>
    <x v="131"/>
    <s v="A-016730"/>
    <x v="1"/>
    <s v="NB"/>
    <n v="0"/>
    <s v="EC"/>
    <x v="25"/>
    <s v="Full-Stack Developer (FSD)"/>
    <d v="2024-06-18T00:00:00"/>
    <d v="2024-06-18T00:00:00"/>
    <d v="2025-11-30T00:00:00"/>
    <n v="0"/>
    <s v="AFONSO, Leonardo"/>
    <x v="4"/>
    <s v="AFONSO, Leonardo533,89"/>
    <s v="TALANNB"/>
    <s v="Full-stack developer#R1"/>
    <n v="6"/>
    <n v="533.89"/>
    <n v="150"/>
    <n v="80083.5"/>
    <n v="96.5"/>
    <n v="51520.385000000002"/>
    <n v="53.5"/>
    <n v="28563.114999999998"/>
    <n v="53.5"/>
    <n v="28563.114999999998"/>
    <s v="SGTALAN"/>
    <m/>
    <m/>
    <m/>
    <m/>
    <m/>
    <m/>
    <m/>
    <m/>
    <m/>
    <m/>
    <m/>
    <m/>
    <m/>
    <m/>
    <m/>
    <m/>
    <m/>
    <m/>
    <m/>
    <m/>
    <m/>
    <m/>
    <m/>
    <m/>
    <m/>
    <m/>
    <m/>
    <m/>
    <n v="4.5"/>
    <n v="19"/>
    <n v="18"/>
    <m/>
    <n v="19"/>
    <n v="18"/>
    <n v="18"/>
    <m/>
    <n v="18"/>
    <n v="18"/>
    <n v="17.5"/>
    <m/>
    <m/>
    <m/>
    <m/>
    <m/>
    <m/>
    <m/>
    <m/>
    <m/>
    <m/>
  </r>
  <r>
    <n v="137"/>
    <x v="132"/>
    <s v="A-016208"/>
    <x v="2"/>
    <s v="NB"/>
    <n v="0"/>
    <s v="EC"/>
    <x v="19"/>
    <s v="Enterprise Architect (EA)"/>
    <d v="2024-06-21T00:00:00"/>
    <d v="2024-06-24T00:00:00"/>
    <d v="2025-10-31T00:00:00"/>
    <n v="0"/>
    <s v="KIRIMLIDOU, Dimoula"/>
    <x v="1"/>
    <s v="KIRIMLIDOU, Dimoula528,24"/>
    <s v="EDDANB"/>
    <s v="Enterprise architect#R1-FAR"/>
    <n v="9"/>
    <n v="528.24"/>
    <n v="180"/>
    <n v="95083.199999999997"/>
    <n v="99.5"/>
    <n v="52559.88"/>
    <n v="80.5"/>
    <n v="42523.32"/>
    <n v="80.5"/>
    <n v="42523.32"/>
    <s v="RTDEDDA"/>
    <m/>
    <m/>
    <m/>
    <m/>
    <m/>
    <m/>
    <m/>
    <m/>
    <m/>
    <m/>
    <m/>
    <m/>
    <m/>
    <m/>
    <m/>
    <m/>
    <m/>
    <m/>
    <m/>
    <m/>
    <m/>
    <m/>
    <m/>
    <m/>
    <m/>
    <m/>
    <m/>
    <m/>
    <n v="14.5"/>
    <n v="8"/>
    <n v="20"/>
    <m/>
    <n v="21"/>
    <n v="18"/>
    <n v="18"/>
    <m/>
    <n v="18"/>
    <n v="18"/>
    <n v="18"/>
    <n v="18"/>
    <n v="8.5"/>
    <m/>
    <m/>
    <m/>
    <m/>
    <m/>
    <m/>
    <m/>
    <m/>
  </r>
  <r>
    <n v="138"/>
    <x v="133"/>
    <s v="A-015865"/>
    <x v="2"/>
    <s v="NB"/>
    <n v="0"/>
    <s v="EC"/>
    <x v="2"/>
    <s v="Onboarding Manager (OM)"/>
    <d v="2024-06-20T00:00:00"/>
    <d v="2024-06-21T00:00:00"/>
    <d v="2025-09-30T00:00:00"/>
    <n v="0"/>
    <s v="MEEUS, Alain"/>
    <x v="4"/>
    <s v="MEEUS, Alain851,39"/>
    <s v="TALANNB"/>
    <s v="Onboarding manager#R1"/>
    <n v="9"/>
    <n v="851.39"/>
    <n v="180"/>
    <n v="153250.20000000001"/>
    <n v="110.5"/>
    <n v="94078.595000000001"/>
    <n v="69.5"/>
    <n v="59171.604999999996"/>
    <n v="69.5"/>
    <n v="59171.604999999996"/>
    <s v="DIGIT.A.3TALAN"/>
    <m/>
    <m/>
    <m/>
    <m/>
    <m/>
    <m/>
    <m/>
    <m/>
    <m/>
    <m/>
    <m/>
    <m/>
    <m/>
    <m/>
    <m/>
    <m/>
    <m/>
    <m/>
    <m/>
    <m/>
    <m/>
    <m/>
    <m/>
    <m/>
    <m/>
    <m/>
    <m/>
    <n v="5"/>
    <n v="15"/>
    <n v="13"/>
    <n v="21"/>
    <m/>
    <n v="20.5"/>
    <n v="18"/>
    <n v="18"/>
    <m/>
    <n v="18"/>
    <n v="18"/>
    <n v="18"/>
    <n v="15.5"/>
    <m/>
    <m/>
    <m/>
    <m/>
    <m/>
    <m/>
    <m/>
    <m/>
    <m/>
  </r>
  <r>
    <n v="139"/>
    <x v="134"/>
    <s v="A-013551"/>
    <x v="2"/>
    <s v="NB"/>
    <n v="0"/>
    <s v="EC"/>
    <x v="8"/>
    <s v="Onboarding Manager (OM)"/>
    <d v="2024-03-22T00:00:00"/>
    <d v="2024-03-27T00:00:00"/>
    <d v="2025-08-31T00:00:00"/>
    <n v="0"/>
    <s v="NICULESCU, Calin"/>
    <x v="3"/>
    <s v="NICULESCU, Calin910,99"/>
    <s v="CGI LUXNB"/>
    <s v="Onboarding manager#R1"/>
    <n v="10"/>
    <n v="910.99"/>
    <n v="74.5"/>
    <n v="67868.755000000005"/>
    <n v="74.5"/>
    <n v="67868.755000000005"/>
    <n v="0"/>
    <n v="0"/>
    <n v="0"/>
    <n v="0"/>
    <s v="EMPLCGI LUX"/>
    <m/>
    <m/>
    <m/>
    <m/>
    <m/>
    <m/>
    <m/>
    <m/>
    <m/>
    <m/>
    <m/>
    <m/>
    <m/>
    <m/>
    <m/>
    <m/>
    <m/>
    <m/>
    <m/>
    <m/>
    <m/>
    <m/>
    <m/>
    <m/>
    <m/>
    <n v="9"/>
    <n v="13.5"/>
    <n v="19"/>
    <n v="23"/>
    <n v="10"/>
    <m/>
    <m/>
    <m/>
    <m/>
    <m/>
    <m/>
    <m/>
    <m/>
    <m/>
    <m/>
    <m/>
    <m/>
    <m/>
    <m/>
    <m/>
    <m/>
    <m/>
    <m/>
    <m/>
  </r>
  <r>
    <n v="140"/>
    <x v="135"/>
    <s v="A-014696"/>
    <x v="0"/>
    <s v="NB"/>
    <n v="0"/>
    <s v="EC"/>
    <x v="16"/>
    <s v="Project Manager"/>
    <d v="2024-07-09T00:00:00"/>
    <d v="2024-07-11T00:00:00"/>
    <d v="2025-06-30T00:00:00"/>
    <n v="0"/>
    <s v="VAN DE GUCHT, Pascal"/>
    <x v="3"/>
    <s v="VAN DE GUCHT, Pascal848,87"/>
    <s v="CGI LUXNB"/>
    <s v="Project Manager#R1"/>
    <n v="10"/>
    <n v="848.87"/>
    <n v="176"/>
    <n v="149401.12"/>
    <n v="101"/>
    <n v="85735.87"/>
    <n v="75"/>
    <n v="63665.25"/>
    <n v="75"/>
    <n v="63665.25"/>
    <s v="JUSTCGI LUX"/>
    <m/>
    <m/>
    <m/>
    <m/>
    <m/>
    <m/>
    <m/>
    <m/>
    <m/>
    <m/>
    <m/>
    <m/>
    <m/>
    <m/>
    <m/>
    <m/>
    <m/>
    <m/>
    <m/>
    <m/>
    <m/>
    <m/>
    <m/>
    <m/>
    <m/>
    <m/>
    <m/>
    <m/>
    <n v="0.5"/>
    <n v="20.5"/>
    <n v="21"/>
    <m/>
    <n v="23"/>
    <n v="18"/>
    <n v="18"/>
    <m/>
    <n v="18"/>
    <n v="18"/>
    <n v="18"/>
    <n v="18"/>
    <n v="3"/>
    <m/>
    <m/>
    <m/>
    <m/>
    <m/>
    <m/>
    <m/>
    <m/>
  </r>
  <r>
    <n v="141"/>
    <x v="136"/>
    <s v="A-010199"/>
    <x v="1"/>
    <s v="NB"/>
    <n v="0"/>
    <s v="EC"/>
    <x v="27"/>
    <s v="Back-End Developer (BED)"/>
    <d v="2024-07-22T00:00:00"/>
    <d v="1899-12-30T00:00:00"/>
    <d v="2025-10-31T00:00:00"/>
    <n v="0"/>
    <s v="PAISE, Radu"/>
    <x v="1"/>
    <s v="PAISE, Radu693,61"/>
    <s v="EDDANB"/>
    <s v="Back-end developer#R1"/>
    <n v="10"/>
    <n v="693.61"/>
    <n v="0"/>
    <n v="0"/>
    <n v="0"/>
    <n v="0"/>
    <n v="0"/>
    <n v="0"/>
    <n v="0"/>
    <n v="0"/>
    <s v="SANTEEDDA"/>
    <m/>
    <m/>
    <m/>
    <m/>
    <m/>
    <m/>
    <m/>
    <m/>
    <m/>
    <m/>
    <m/>
    <m/>
    <m/>
    <m/>
    <m/>
    <m/>
    <m/>
    <m/>
    <m/>
    <m/>
    <m/>
    <m/>
    <m/>
    <m/>
    <m/>
    <m/>
    <m/>
    <m/>
    <m/>
    <n v="0"/>
    <n v="0"/>
    <m/>
    <m/>
    <m/>
    <m/>
    <m/>
    <m/>
    <m/>
    <m/>
    <m/>
    <m/>
    <m/>
    <m/>
    <m/>
    <m/>
    <m/>
    <m/>
    <m/>
    <m/>
  </r>
  <r>
    <n v="142"/>
    <x v="137"/>
    <s v="A-014553"/>
    <x v="1"/>
    <s v="NB"/>
    <n v="0"/>
    <s v="EC"/>
    <x v="33"/>
    <s v="Back-End Developer (BED)"/>
    <d v="2024-07-18T00:00:00"/>
    <d v="2024-07-22T00:00:00"/>
    <d v="2025-09-30T00:00:00"/>
    <n v="0"/>
    <s v="IACOBESCU, Radu"/>
    <x v="1"/>
    <s v="IACOBESCU, Radu566,19"/>
    <s v="EDDANB"/>
    <s v="Back-end developer#R1"/>
    <n v="7"/>
    <n v="566.19000000000005"/>
    <n v="60"/>
    <n v="33971.4"/>
    <n v="60"/>
    <n v="33971.4"/>
    <n v="0"/>
    <n v="0"/>
    <n v="0"/>
    <n v="0"/>
    <s v="DIGIT.A.2EDDA"/>
    <m/>
    <m/>
    <m/>
    <m/>
    <m/>
    <m/>
    <m/>
    <m/>
    <m/>
    <m/>
    <m/>
    <m/>
    <m/>
    <m/>
    <m/>
    <m/>
    <m/>
    <m/>
    <m/>
    <m/>
    <m/>
    <m/>
    <m/>
    <m/>
    <m/>
    <m/>
    <m/>
    <m/>
    <m/>
    <n v="12.5"/>
    <n v="15.5"/>
    <m/>
    <n v="20"/>
    <n v="12"/>
    <m/>
    <m/>
    <m/>
    <m/>
    <m/>
    <m/>
    <m/>
    <m/>
    <m/>
    <m/>
    <m/>
    <m/>
    <m/>
    <m/>
    <m/>
  </r>
  <r>
    <n v="143"/>
    <x v="138"/>
    <s v="A-017038"/>
    <x v="2"/>
    <s v="NB"/>
    <n v="0"/>
    <s v="EC"/>
    <x v="17"/>
    <s v="Onboarding Manager (OM)"/>
    <d v="2024-07-15T00:00:00"/>
    <d v="2024-07-15T00:00:00"/>
    <d v="2025-09-30T00:00:00"/>
    <n v="0"/>
    <s v="BOUDIA, Amel"/>
    <x v="2"/>
    <s v="BOUDIA, Amel530,21"/>
    <s v="WavestoneNB"/>
    <s v="Onboarding manager#R1"/>
    <n v="2"/>
    <n v="530.21"/>
    <n v="130"/>
    <n v="68927.3"/>
    <n v="47"/>
    <n v="24919.870000000003"/>
    <n v="83"/>
    <n v="44007.43"/>
    <n v="83"/>
    <n v="44007.43"/>
    <s v="DIGIT.B.3Wavestone"/>
    <m/>
    <m/>
    <m/>
    <m/>
    <m/>
    <m/>
    <m/>
    <m/>
    <m/>
    <m/>
    <m/>
    <m/>
    <m/>
    <m/>
    <m/>
    <m/>
    <m/>
    <m/>
    <m/>
    <m/>
    <m/>
    <m/>
    <m/>
    <m/>
    <m/>
    <m/>
    <m/>
    <m/>
    <m/>
    <m/>
    <m/>
    <m/>
    <n v="11"/>
    <n v="18"/>
    <n v="18"/>
    <m/>
    <n v="18"/>
    <n v="18"/>
    <n v="18"/>
    <n v="18"/>
    <n v="11"/>
    <m/>
    <m/>
    <m/>
    <m/>
    <m/>
    <m/>
    <m/>
    <m/>
  </r>
  <r>
    <n v="144"/>
    <x v="139"/>
    <s v="A-017158"/>
    <x v="2"/>
    <s v="NB"/>
    <n v="0"/>
    <s v="EC"/>
    <x v="1"/>
    <s v="Enterprise Architect (EA)"/>
    <d v="2024-07-11T00:00:00"/>
    <d v="2024-07-11T00:00:00"/>
    <d v="2025-09-30T00:00:00"/>
    <n v="0"/>
    <s v="GOSMAN, Andrei"/>
    <x v="0"/>
    <s v="GOSMAN, Andrei528,24"/>
    <s v="TREMENDNB"/>
    <s v="Enterprise architect#R1-FAR"/>
    <n v="9"/>
    <n v="528.24"/>
    <n v="35"/>
    <n v="18488.400000000001"/>
    <n v="35"/>
    <n v="18488.400000000001"/>
    <n v="0"/>
    <n v="0"/>
    <n v="0"/>
    <n v="0"/>
    <s v="DIGIT.A.4TREMEND"/>
    <m/>
    <m/>
    <m/>
    <m/>
    <m/>
    <m/>
    <m/>
    <m/>
    <m/>
    <m/>
    <m/>
    <m/>
    <m/>
    <m/>
    <m/>
    <m/>
    <m/>
    <m/>
    <m/>
    <m/>
    <m/>
    <m/>
    <m/>
    <m/>
    <m/>
    <m/>
    <m/>
    <m/>
    <m/>
    <m/>
    <n v="6.5"/>
    <m/>
    <n v="22"/>
    <n v="6.5"/>
    <m/>
    <m/>
    <m/>
    <m/>
    <m/>
    <m/>
    <m/>
    <m/>
    <m/>
    <m/>
    <m/>
    <m/>
    <m/>
    <m/>
    <m/>
  </r>
  <r>
    <n v="145"/>
    <x v="140"/>
    <s v="A-017439"/>
    <x v="1"/>
    <s v="NB"/>
    <n v="0"/>
    <s v="EC"/>
    <x v="2"/>
    <s v="Back-End Developer (BED)"/>
    <d v="2024-07-19T00:00:00"/>
    <d v="2024-07-22T00:00:00"/>
    <d v="2025-09-30T00:00:00"/>
    <n v="0"/>
    <s v="POCHON, Régis"/>
    <x v="1"/>
    <s v="POCHON, Régis693,61"/>
    <s v="EDDANB"/>
    <s v="Back-end developer#R1"/>
    <n v="10"/>
    <n v="693.61"/>
    <n v="55"/>
    <n v="38148.550000000003"/>
    <n v="55"/>
    <n v="38148.550000000003"/>
    <n v="0"/>
    <n v="0"/>
    <n v="0"/>
    <n v="0"/>
    <s v="DIGIT.A.3EDDA"/>
    <m/>
    <m/>
    <m/>
    <m/>
    <m/>
    <m/>
    <m/>
    <m/>
    <m/>
    <m/>
    <m/>
    <m/>
    <m/>
    <m/>
    <m/>
    <m/>
    <m/>
    <m/>
    <m/>
    <m/>
    <m/>
    <m/>
    <m/>
    <m/>
    <m/>
    <m/>
    <m/>
    <m/>
    <m/>
    <n v="2.5"/>
    <n v="21"/>
    <m/>
    <n v="23"/>
    <n v="8.5"/>
    <m/>
    <m/>
    <m/>
    <m/>
    <m/>
    <m/>
    <m/>
    <m/>
    <m/>
    <m/>
    <m/>
    <m/>
    <m/>
    <m/>
    <m/>
  </r>
  <r>
    <n v="146"/>
    <x v="141"/>
    <s v="A-016317"/>
    <x v="1"/>
    <s v="NB"/>
    <n v="0"/>
    <s v="EC"/>
    <x v="35"/>
    <s v="Full-Stack Developer (FSD)"/>
    <d v="1899-12-30T00:00:00"/>
    <d v="2024-07-23T00:00:00"/>
    <d v="2025-03-31T00:00:00"/>
    <n v="0"/>
    <s v="SANDOVAL David"/>
    <x v="4"/>
    <s v="SANDOVAL David699,82"/>
    <s v="TALANNB"/>
    <s v="Full-stack developer#R1"/>
    <n v="10"/>
    <n v="699.82"/>
    <n v="110"/>
    <n v="76980.200000000012"/>
    <n v="77"/>
    <n v="53886.140000000007"/>
    <n v="33"/>
    <n v="23094.06"/>
    <n v="33"/>
    <n v="23094.06"/>
    <s v="ENERTALAN"/>
    <m/>
    <m/>
    <m/>
    <m/>
    <m/>
    <m/>
    <m/>
    <m/>
    <m/>
    <m/>
    <m/>
    <m/>
    <m/>
    <m/>
    <m/>
    <m/>
    <m/>
    <m/>
    <m/>
    <m/>
    <m/>
    <m/>
    <m/>
    <m/>
    <m/>
    <m/>
    <m/>
    <m/>
    <m/>
    <n v="2.5"/>
    <n v="20.5"/>
    <m/>
    <n v="18"/>
    <n v="18"/>
    <n v="18"/>
    <m/>
    <n v="18"/>
    <n v="15"/>
    <m/>
    <m/>
    <m/>
    <m/>
    <m/>
    <m/>
    <m/>
    <m/>
    <m/>
    <m/>
    <m/>
  </r>
  <r>
    <n v="147"/>
    <x v="142"/>
    <s v="A-017285"/>
    <x v="0"/>
    <s v="NB"/>
    <n v="0"/>
    <s v="EC"/>
    <x v="24"/>
    <s v="Data Scientist (DS)"/>
    <d v="2024-07-26T00:00:00"/>
    <d v="2024-07-29T00:00:00"/>
    <d v="2025-12-31T00:00:00"/>
    <n v="0"/>
    <s v="MARCELLINO, Costanza"/>
    <x v="3"/>
    <s v="MARCELLINO, Costanza466,03"/>
    <s v="CGI LUXNB"/>
    <s v="Data Scientist#R1"/>
    <n v="5"/>
    <n v="466.03"/>
    <n v="110"/>
    <n v="51263.299999999996"/>
    <n v="42"/>
    <n v="19573.259999999998"/>
    <n v="68"/>
    <n v="31690.039999999997"/>
    <n v="68"/>
    <n v="31690.039999999997"/>
    <s v="GROWCGI LUX"/>
    <m/>
    <m/>
    <m/>
    <m/>
    <m/>
    <m/>
    <m/>
    <m/>
    <m/>
    <m/>
    <m/>
    <m/>
    <m/>
    <m/>
    <m/>
    <m/>
    <m/>
    <m/>
    <m/>
    <m/>
    <m/>
    <m/>
    <m/>
    <m/>
    <m/>
    <m/>
    <m/>
    <m/>
    <m/>
    <m/>
    <m/>
    <m/>
    <n v="6"/>
    <n v="18"/>
    <n v="18"/>
    <m/>
    <n v="18"/>
    <n v="18"/>
    <n v="18"/>
    <n v="14"/>
    <m/>
    <m/>
    <m/>
    <m/>
    <m/>
    <m/>
    <m/>
    <m/>
    <m/>
  </r>
  <r>
    <n v="148"/>
    <x v="143"/>
    <s v="A-017563"/>
    <x v="0"/>
    <s v="NB"/>
    <n v="0"/>
    <s v="EC"/>
    <x v="24"/>
    <s v="Application/Cloud Architect (ACA)"/>
    <d v="2024-08-09T00:00:00"/>
    <d v="2024-08-09T00:00:00"/>
    <d v="2025-07-31T00:00:00"/>
    <n v="0"/>
    <s v="DECANINI, Barbara"/>
    <x v="1"/>
    <s v="DECANINI, Barbara653,63"/>
    <s v="EDDANB"/>
    <s v="Application/Cloud architect#R1"/>
    <n v="10"/>
    <n v="653.63"/>
    <n v="100"/>
    <n v="65363"/>
    <n v="18"/>
    <n v="11765.34"/>
    <n v="82"/>
    <n v="53597.659999999996"/>
    <n v="82"/>
    <n v="53597.659999999996"/>
    <s v="GROWEDDA"/>
    <m/>
    <m/>
    <m/>
    <m/>
    <m/>
    <m/>
    <m/>
    <m/>
    <m/>
    <m/>
    <m/>
    <m/>
    <m/>
    <m/>
    <m/>
    <m/>
    <m/>
    <m/>
    <m/>
    <m/>
    <m/>
    <m/>
    <m/>
    <m/>
    <m/>
    <m/>
    <m/>
    <m/>
    <m/>
    <m/>
    <m/>
    <m/>
    <m/>
    <m/>
    <n v="18"/>
    <m/>
    <n v="18"/>
    <n v="18"/>
    <n v="18"/>
    <n v="18"/>
    <n v="10"/>
    <m/>
    <m/>
    <m/>
    <m/>
    <m/>
    <m/>
    <m/>
    <m/>
  </r>
  <r>
    <n v="149"/>
    <x v="144"/>
    <s v="A-015011"/>
    <x v="1"/>
    <s v="NB"/>
    <n v="0"/>
    <s v="EC"/>
    <x v="36"/>
    <s v="Web Operation Manager (WOM)"/>
    <d v="2024-08-27T00:00:00"/>
    <d v="2024-08-27T00:00:00"/>
    <d v="2025-02-28T00:00:00"/>
    <n v="0"/>
    <s v="NOVOA, Guilherme"/>
    <x v="4"/>
    <s v="NOVOA, Guilherme365,06"/>
    <s v="TALANNB"/>
    <s v="Web Operations Manager#R1-FAR"/>
    <n v="7"/>
    <n v="365.06"/>
    <n v="60"/>
    <n v="21903.599999999999"/>
    <n v="60"/>
    <n v="21903.599999999999"/>
    <n v="0"/>
    <n v="0"/>
    <n v="0"/>
    <n v="0"/>
    <s v="DGTTALAN"/>
    <m/>
    <m/>
    <m/>
    <m/>
    <m/>
    <m/>
    <m/>
    <m/>
    <m/>
    <m/>
    <m/>
    <m/>
    <m/>
    <m/>
    <m/>
    <m/>
    <m/>
    <m/>
    <m/>
    <m/>
    <m/>
    <m/>
    <m/>
    <m/>
    <m/>
    <m/>
    <m/>
    <m/>
    <m/>
    <m/>
    <n v="18"/>
    <m/>
    <n v="18"/>
    <n v="18"/>
    <n v="6"/>
    <m/>
    <m/>
    <m/>
    <m/>
    <m/>
    <m/>
    <m/>
    <m/>
    <m/>
    <m/>
    <m/>
    <m/>
    <m/>
    <m/>
  </r>
  <r>
    <n v="150"/>
    <x v="145"/>
    <s v="A-017717"/>
    <x v="0"/>
    <s v="NB"/>
    <n v="0"/>
    <s v="EC"/>
    <x v="33"/>
    <s v="Project Manager"/>
    <d v="2024-08-20T00:00:00"/>
    <d v="2024-08-27T00:00:00"/>
    <d v="2025-09-30T00:00:00"/>
    <n v="0"/>
    <s v="LEFTER, Diana"/>
    <x v="1"/>
    <s v="LEFTER, Diana741,44"/>
    <s v="EDDANB"/>
    <s v="Project Manager#R1"/>
    <n v="8"/>
    <n v="741.44"/>
    <n v="67"/>
    <n v="49676.480000000003"/>
    <n v="6.5"/>
    <n v="4819.3600000000006"/>
    <n v="60.5"/>
    <n v="44857.120000000003"/>
    <m/>
    <n v="0"/>
    <s v="DIGIT.A.2EDDA"/>
    <m/>
    <m/>
    <m/>
    <m/>
    <m/>
    <m/>
    <m/>
    <m/>
    <m/>
    <m/>
    <m/>
    <m/>
    <m/>
    <m/>
    <m/>
    <m/>
    <m/>
    <m/>
    <m/>
    <m/>
    <m/>
    <m/>
    <m/>
    <m/>
    <m/>
    <m/>
    <m/>
    <m/>
    <m/>
    <m/>
    <m/>
    <m/>
    <m/>
    <m/>
    <n v="6.5"/>
    <m/>
    <n v="18"/>
    <n v="18"/>
    <n v="18"/>
    <n v="6.5"/>
    <m/>
    <m/>
    <m/>
    <m/>
    <m/>
    <m/>
    <m/>
    <m/>
    <m/>
  </r>
  <r>
    <n v="151"/>
    <x v="146"/>
    <s v="A-017719"/>
    <x v="0"/>
    <s v="NB"/>
    <n v="0"/>
    <s v="EC"/>
    <x v="33"/>
    <s v="Project Manager"/>
    <d v="2024-08-20T00:00:00"/>
    <d v="2024-08-27T00:00:00"/>
    <d v="2025-09-30T00:00:00"/>
    <n v="0"/>
    <s v="WHYE, Gregory"/>
    <x v="3"/>
    <s v="WHYE, Gregory793,34"/>
    <s v="CGI LUXNB"/>
    <s v="Project Manager#R1"/>
    <n v="9"/>
    <n v="793.34"/>
    <n v="100"/>
    <n v="79334"/>
    <n v="46"/>
    <n v="36493.64"/>
    <n v="54"/>
    <n v="42840.36"/>
    <m/>
    <n v="0"/>
    <s v="DIGIT.A.2CGI LUX"/>
    <m/>
    <m/>
    <m/>
    <m/>
    <m/>
    <m/>
    <m/>
    <m/>
    <m/>
    <m/>
    <m/>
    <m/>
    <m/>
    <m/>
    <m/>
    <m/>
    <m/>
    <m/>
    <m/>
    <m/>
    <m/>
    <m/>
    <m/>
    <m/>
    <m/>
    <m/>
    <m/>
    <m/>
    <m/>
    <m/>
    <m/>
    <m/>
    <n v="10.5"/>
    <n v="17.5"/>
    <n v="18"/>
    <m/>
    <n v="18"/>
    <n v="18"/>
    <n v="18"/>
    <m/>
    <m/>
    <m/>
    <m/>
    <m/>
    <m/>
    <m/>
    <m/>
    <m/>
    <m/>
  </r>
  <r>
    <n v="152"/>
    <x v="147"/>
    <s v="A-017918"/>
    <x v="0"/>
    <s v="NB"/>
    <n v="0"/>
    <s v="EC"/>
    <x v="33"/>
    <s v="Project Manager"/>
    <d v="2024-08-22T00:00:00"/>
    <d v="2024-08-27T00:00:00"/>
    <d v="2025-09-30T00:00:00"/>
    <n v="0"/>
    <s v="DE ANDRES DEL CASTILLO, David"/>
    <x v="3"/>
    <s v="DE ANDRES DEL CASTILLO, David793,34"/>
    <s v="CGI LUXNB"/>
    <s v="Project Manager#R1"/>
    <n v="9"/>
    <n v="793.34"/>
    <n v="100"/>
    <n v="79334"/>
    <n v="17.5"/>
    <n v="13883.45"/>
    <n v="82.5"/>
    <n v="65450.55"/>
    <m/>
    <n v="0"/>
    <s v="DIGIT.A.2CGI LUX"/>
    <m/>
    <m/>
    <m/>
    <m/>
    <m/>
    <m/>
    <m/>
    <m/>
    <m/>
    <m/>
    <m/>
    <m/>
    <m/>
    <m/>
    <m/>
    <m/>
    <m/>
    <m/>
    <m/>
    <m/>
    <m/>
    <m/>
    <m/>
    <m/>
    <m/>
    <m/>
    <m/>
    <m/>
    <m/>
    <m/>
    <m/>
    <m/>
    <m/>
    <m/>
    <n v="17.5"/>
    <m/>
    <n v="18"/>
    <n v="18"/>
    <n v="18"/>
    <n v="18"/>
    <n v="10.5"/>
    <m/>
    <m/>
    <m/>
    <m/>
    <m/>
    <m/>
    <m/>
    <m/>
  </r>
  <r>
    <n v="153"/>
    <x v="148"/>
    <s v="A-017243"/>
    <x v="1"/>
    <s v="NB"/>
    <n v="0"/>
    <s v="EC"/>
    <x v="2"/>
    <s v="Back-End Developer (BED)"/>
    <d v="2024-08-23T00:00:00"/>
    <d v="2024-08-27T00:00:00"/>
    <d v="2025-09-30T00:00:00"/>
    <n v="0"/>
    <s v="PRISECARU, Marian"/>
    <x v="4"/>
    <s v="PRISECARU, Marian486,54"/>
    <s v="TALANNB"/>
    <s v="Back-end developer#R1-FAR"/>
    <n v="10"/>
    <n v="486.54"/>
    <n v="140"/>
    <n v="68115.600000000006"/>
    <n v="80"/>
    <n v="38923.200000000004"/>
    <n v="60"/>
    <n v="29192.400000000001"/>
    <m/>
    <n v="0"/>
    <s v="DIGIT.A.3TALAN"/>
    <m/>
    <m/>
    <m/>
    <m/>
    <m/>
    <m/>
    <m/>
    <m/>
    <m/>
    <m/>
    <m/>
    <m/>
    <m/>
    <m/>
    <m/>
    <m/>
    <m/>
    <m/>
    <m/>
    <m/>
    <m/>
    <m/>
    <m/>
    <m/>
    <m/>
    <m/>
    <m/>
    <m/>
    <m/>
    <m/>
    <n v="21"/>
    <m/>
    <n v="23"/>
    <n v="18"/>
    <n v="18"/>
    <m/>
    <n v="18"/>
    <n v="18"/>
    <n v="18"/>
    <n v="6"/>
    <m/>
    <m/>
    <m/>
    <m/>
    <m/>
    <m/>
    <m/>
    <m/>
    <m/>
  </r>
  <r>
    <n v="154"/>
    <x v="149"/>
    <s v="A-017933"/>
    <x v="1"/>
    <s v="NB"/>
    <n v="0"/>
    <s v="EC"/>
    <x v="19"/>
    <s v="Front-end Developer (FED)"/>
    <d v="2024-08-29T00:00:00"/>
    <d v="2024-08-30T00:00:00"/>
    <d v="2025-01-31T00:00:00"/>
    <n v="0"/>
    <s v="TRANDAFIR, Tiberiu"/>
    <x v="0"/>
    <s v="TRANDAFIR, Tiberiu288,5"/>
    <s v="TREMENDNB"/>
    <s v="Front-end developer#R1-FAR"/>
    <n v="3"/>
    <n v="288.5"/>
    <n v="86"/>
    <n v="24811"/>
    <n v="70"/>
    <n v="20195"/>
    <n v="16"/>
    <n v="4616"/>
    <m/>
    <n v="0"/>
    <s v="RTDTREMEND"/>
    <m/>
    <m/>
    <m/>
    <m/>
    <m/>
    <m/>
    <m/>
    <m/>
    <m/>
    <m/>
    <m/>
    <m/>
    <m/>
    <m/>
    <m/>
    <m/>
    <m/>
    <m/>
    <m/>
    <m/>
    <m/>
    <m/>
    <m/>
    <m/>
    <m/>
    <m/>
    <m/>
    <m/>
    <m/>
    <m/>
    <n v="13"/>
    <m/>
    <n v="21"/>
    <n v="18"/>
    <n v="18"/>
    <m/>
    <n v="16"/>
    <m/>
    <m/>
    <m/>
    <m/>
    <m/>
    <m/>
    <m/>
    <m/>
    <m/>
    <m/>
    <m/>
    <m/>
  </r>
  <r>
    <n v="155"/>
    <x v="150"/>
    <s v="A-017817"/>
    <x v="1"/>
    <s v="NB"/>
    <n v="0"/>
    <s v="REA"/>
    <x v="5"/>
    <s v="Back-End Developer (BED)"/>
    <d v="2024-09-05T00:00:00"/>
    <d v="2024-09-11T00:00:00"/>
    <d v="2024-04-30T00:00:00"/>
    <n v="0"/>
    <s v="SAYTEE, Meatau Larry"/>
    <x v="1"/>
    <s v="SAYTEE, Meatau Larry605,82"/>
    <s v="EDDANB"/>
    <s v="Back-end developer#R1"/>
    <n v="8"/>
    <n v="605.82000000000005"/>
    <n v="110"/>
    <n v="66640.200000000012"/>
    <n v="48"/>
    <n v="29079.360000000001"/>
    <n v="62"/>
    <n v="37560.840000000004"/>
    <m/>
    <n v="0"/>
    <s v="REAEDDA"/>
    <m/>
    <m/>
    <m/>
    <m/>
    <m/>
    <m/>
    <m/>
    <m/>
    <m/>
    <m/>
    <m/>
    <m/>
    <m/>
    <m/>
    <m/>
    <m/>
    <m/>
    <m/>
    <m/>
    <m/>
    <m/>
    <m/>
    <m/>
    <m/>
    <m/>
    <m/>
    <m/>
    <m/>
    <m/>
    <m/>
    <m/>
    <m/>
    <n v="12"/>
    <n v="18"/>
    <n v="18"/>
    <m/>
    <n v="18"/>
    <n v="18"/>
    <n v="18"/>
    <n v="8"/>
    <m/>
    <m/>
    <m/>
    <m/>
    <m/>
    <m/>
    <m/>
    <m/>
    <m/>
  </r>
  <r>
    <n v="156"/>
    <x v="151"/>
    <s v="A-018153"/>
    <x v="1"/>
    <s v="NB"/>
    <n v="0"/>
    <s v="EC"/>
    <x v="27"/>
    <s v="Back-End Developer (BED)"/>
    <d v="2024-09-05T00:00:00"/>
    <d v="2024-09-06T00:00:00"/>
    <d v="2025-12-31T00:00:00"/>
    <n v="0"/>
    <s v="ROSALES, Airy"/>
    <x v="1"/>
    <s v="ROSALES, Airy693,61"/>
    <s v="EDDANB"/>
    <s v="Back-end developer#R1"/>
    <n v="10"/>
    <n v="693.61"/>
    <n v="220"/>
    <n v="152594.20000000001"/>
    <n v="50.5"/>
    <n v="35027.305"/>
    <n v="169.5"/>
    <n v="117566.895"/>
    <m/>
    <n v="0"/>
    <s v="SANTEEDDA"/>
    <m/>
    <m/>
    <m/>
    <m/>
    <m/>
    <m/>
    <m/>
    <m/>
    <m/>
    <m/>
    <m/>
    <m/>
    <m/>
    <m/>
    <m/>
    <m/>
    <m/>
    <m/>
    <m/>
    <m/>
    <m/>
    <m/>
    <m/>
    <m/>
    <m/>
    <m/>
    <m/>
    <m/>
    <m/>
    <m/>
    <m/>
    <m/>
    <n v="14.5"/>
    <n v="18"/>
    <n v="18"/>
    <m/>
    <n v="18"/>
    <n v="18"/>
    <n v="18"/>
    <n v="18"/>
    <n v="18"/>
    <n v="18"/>
    <n v="18"/>
    <n v="18"/>
    <n v="18"/>
    <n v="13.5"/>
    <m/>
    <m/>
    <m/>
  </r>
  <r>
    <n v="159"/>
    <x v="152"/>
    <s v="A-016501"/>
    <x v="2"/>
    <s v="NB"/>
    <n v="0"/>
    <s v="EC"/>
    <x v="19"/>
    <s v="Expert in AI/ NLP/ ML (AI/NLP/ML)"/>
    <d v="2024-09-25T00:00:00"/>
    <d v="2024-09-25T00:00:00"/>
    <d v="2025-10-31T00:00:00"/>
    <n v="0"/>
    <s v="QUINTANILHA RAMOS Cleber"/>
    <x v="4"/>
    <s v="QUINTANILHA RAMOS Cleber668,39"/>
    <s v="TALANNB"/>
    <s v="Expert in AI/ NLP/ ML#R1"/>
    <n v="8"/>
    <n v="668.39"/>
    <n v="180"/>
    <n v="120310.2"/>
    <n v="53.5"/>
    <n v="35758.864999999998"/>
    <n v="126.5"/>
    <n v="84551.334999999992"/>
    <m/>
    <n v="0"/>
    <s v="RTDTALAN"/>
    <m/>
    <m/>
    <m/>
    <m/>
    <m/>
    <m/>
    <m/>
    <m/>
    <m/>
    <m/>
    <m/>
    <m/>
    <m/>
    <m/>
    <m/>
    <m/>
    <m/>
    <m/>
    <m/>
    <m/>
    <m/>
    <m/>
    <m/>
    <m/>
    <m/>
    <m/>
    <m/>
    <m/>
    <m/>
    <m/>
    <m/>
    <m/>
    <n v="17.5"/>
    <n v="18"/>
    <n v="18"/>
    <m/>
    <n v="18"/>
    <n v="18"/>
    <n v="18"/>
    <n v="18"/>
    <n v="18"/>
    <n v="18"/>
    <n v="18"/>
    <n v="0.5"/>
    <m/>
    <m/>
    <m/>
    <m/>
    <m/>
  </r>
  <r>
    <n v="160"/>
    <x v="153"/>
    <s v="A-017718"/>
    <x v="2"/>
    <s v="NB"/>
    <n v="0"/>
    <s v="EC"/>
    <x v="8"/>
    <s v="Onboarding Manager (OM)"/>
    <d v="2024-09-26T00:00:00"/>
    <d v="2024-09-27T00:00:00"/>
    <d v="2025-08-31T00:00:00"/>
    <n v="0"/>
    <s v="MUNTEANU Gabriela Alina"/>
    <x v="3"/>
    <s v="MUNTEANU Gabriela Alina910,99"/>
    <s v="CGI LUXNB"/>
    <s v="Onboarding manager#R1"/>
    <n v="10"/>
    <n v="910.99"/>
    <n v="135.5"/>
    <n v="123439.145"/>
    <n v="54.5"/>
    <n v="49648.955000000002"/>
    <n v="81"/>
    <n v="73790.19"/>
    <m/>
    <n v="0"/>
    <s v="EMPLCGI LUX"/>
    <m/>
    <m/>
    <m/>
    <m/>
    <m/>
    <m/>
    <m/>
    <m/>
    <m/>
    <m/>
    <m/>
    <m/>
    <m/>
    <m/>
    <m/>
    <m/>
    <m/>
    <m/>
    <m/>
    <m/>
    <m/>
    <m/>
    <m/>
    <m/>
    <m/>
    <m/>
    <m/>
    <m/>
    <m/>
    <m/>
    <m/>
    <m/>
    <n v="18.5"/>
    <n v="18"/>
    <n v="18"/>
    <m/>
    <n v="18"/>
    <n v="18"/>
    <n v="18"/>
    <n v="18"/>
    <n v="9"/>
    <m/>
    <m/>
    <m/>
    <m/>
    <m/>
    <m/>
    <m/>
    <m/>
  </r>
  <r>
    <n v="161"/>
    <x v="154"/>
    <s v="A-018064"/>
    <x v="0"/>
    <s v="NB"/>
    <n v="0"/>
    <s v="EC"/>
    <x v="33"/>
    <s v="Project Manager"/>
    <d v="2024-09-30T00:00:00"/>
    <d v="2024-09-30T00:00:00"/>
    <d v="2025-09-30T00:00:00"/>
    <n v="0"/>
    <s v="OLLINGER, Yannick"/>
    <x v="3"/>
    <s v="OLLINGER, Yannick793,34"/>
    <s v="CGI LUXNB"/>
    <s v="Project Manager#R1"/>
    <n v="9"/>
    <n v="793.34"/>
    <n v="110"/>
    <n v="87267.400000000009"/>
    <n v="38.5"/>
    <n v="30543.59"/>
    <n v="71.5"/>
    <n v="56723.810000000005"/>
    <m/>
    <n v="0"/>
    <s v="DIGIT.A.2CGI LUX"/>
    <m/>
    <m/>
    <m/>
    <m/>
    <m/>
    <m/>
    <m/>
    <m/>
    <m/>
    <m/>
    <m/>
    <m/>
    <m/>
    <m/>
    <m/>
    <m/>
    <m/>
    <m/>
    <m/>
    <m/>
    <m/>
    <m/>
    <m/>
    <m/>
    <m/>
    <m/>
    <m/>
    <m/>
    <m/>
    <m/>
    <m/>
    <m/>
    <n v="5"/>
    <n v="15.5"/>
    <n v="18"/>
    <m/>
    <n v="18"/>
    <n v="18"/>
    <n v="18"/>
    <n v="18"/>
    <n v="4.5"/>
    <m/>
    <m/>
    <m/>
    <m/>
    <m/>
    <m/>
    <m/>
    <m/>
  </r>
  <r>
    <n v="162"/>
    <x v="155"/>
    <s v="A-018451"/>
    <x v="1"/>
    <s v="NB"/>
    <n v="0"/>
    <s v="EC"/>
    <x v="13"/>
    <s v="Full-Stack Developer (FSD)"/>
    <d v="2024-10-03T00:00:00"/>
    <d v="2024-10-03T00:00:00"/>
    <d v="2025-11-30T00:00:00"/>
    <n v="0"/>
    <s v="TRINDADE-SALGUEIRO, Nuno"/>
    <x v="3"/>
    <s v="TRINDADE-SALGUEIRO, Nuno559"/>
    <s v="CGI LUXNB"/>
    <s v="Full-stack developer#R1-FAR"/>
    <n v="10"/>
    <n v="559"/>
    <n v="190"/>
    <n v="106210"/>
    <n v="49"/>
    <n v="27391"/>
    <n v="141"/>
    <n v="78819"/>
    <m/>
    <n v="0"/>
    <s v="ENVCGI LUX"/>
    <m/>
    <m/>
    <m/>
    <m/>
    <m/>
    <m/>
    <m/>
    <m/>
    <m/>
    <m/>
    <m/>
    <m/>
    <m/>
    <m/>
    <m/>
    <m/>
    <m/>
    <m/>
    <m/>
    <m/>
    <m/>
    <m/>
    <m/>
    <m/>
    <m/>
    <m/>
    <m/>
    <m/>
    <m/>
    <m/>
    <m/>
    <m/>
    <n v="13"/>
    <n v="18"/>
    <n v="18"/>
    <m/>
    <n v="18"/>
    <n v="18"/>
    <n v="18"/>
    <n v="18"/>
    <n v="18"/>
    <n v="18"/>
    <n v="18"/>
    <n v="15"/>
    <m/>
    <m/>
    <m/>
    <m/>
    <m/>
  </r>
  <r>
    <n v="163"/>
    <x v="156"/>
    <s v="A-018932"/>
    <x v="2"/>
    <s v="NB"/>
    <n v="0"/>
    <s v="EC"/>
    <x v="1"/>
    <s v="Enterprise Architect (EA)"/>
    <d v="2024-10-14T00:00:00"/>
    <d v="2024-10-14T00:00:00"/>
    <d v="2025-09-30T00:00:00"/>
    <n v="0"/>
    <s v="GOSMAN, Andrei"/>
    <x v="0"/>
    <s v="GOSMAN, Andrei528,24"/>
    <s v="TREMENDNB"/>
    <s v="Enterprise architect#R1-FAR"/>
    <n v="9"/>
    <n v="528.24"/>
    <n v="110"/>
    <n v="58106.400000000001"/>
    <n v="25.5"/>
    <n v="13470.12"/>
    <n v="84.5"/>
    <n v="44636.28"/>
    <m/>
    <n v="0"/>
    <s v="DIGIT.A.4TREMEND"/>
    <m/>
    <m/>
    <m/>
    <m/>
    <m/>
    <m/>
    <m/>
    <m/>
    <m/>
    <m/>
    <m/>
    <m/>
    <m/>
    <m/>
    <m/>
    <m/>
    <m/>
    <m/>
    <m/>
    <m/>
    <m/>
    <m/>
    <m/>
    <m/>
    <m/>
    <m/>
    <m/>
    <m/>
    <m/>
    <m/>
    <m/>
    <m/>
    <m/>
    <n v="7.5"/>
    <n v="18"/>
    <m/>
    <n v="18"/>
    <n v="18"/>
    <n v="18"/>
    <n v="18"/>
    <n v="12.5"/>
    <m/>
    <m/>
    <m/>
    <m/>
    <m/>
    <m/>
    <m/>
    <m/>
  </r>
  <r>
    <n v="164"/>
    <x v="157"/>
    <s v="A-019242"/>
    <x v="1"/>
    <s v="NB"/>
    <n v="0"/>
    <s v="EC"/>
    <x v="2"/>
    <s v="Back-End Developer (BED)"/>
    <d v="2024-10-16T00:00:00"/>
    <d v="2024-10-17T00:00:00"/>
    <d v="2025-09-30T00:00:00"/>
    <n v="0"/>
    <s v="POCHON, Régis"/>
    <x v="1"/>
    <s v="POCHON, Régis693,61"/>
    <s v="EDDANB"/>
    <s v="Back-end developer#R1"/>
    <n v="10"/>
    <n v="693.61"/>
    <n v="98.5"/>
    <n v="68320.585000000006"/>
    <n v="24.5"/>
    <n v="16993.445"/>
    <n v="74"/>
    <n v="51327.14"/>
    <m/>
    <n v="0"/>
    <s v="DIGIT.A.3EDDA"/>
    <m/>
    <m/>
    <m/>
    <m/>
    <m/>
    <m/>
    <m/>
    <m/>
    <m/>
    <m/>
    <m/>
    <m/>
    <m/>
    <m/>
    <m/>
    <m/>
    <m/>
    <m/>
    <m/>
    <m/>
    <m/>
    <m/>
    <m/>
    <m/>
    <m/>
    <m/>
    <m/>
    <m/>
    <m/>
    <m/>
    <m/>
    <m/>
    <m/>
    <n v="6.5"/>
    <n v="18"/>
    <m/>
    <n v="18"/>
    <n v="18"/>
    <n v="18"/>
    <n v="18"/>
    <n v="2"/>
    <m/>
    <m/>
    <m/>
    <m/>
    <m/>
    <m/>
    <m/>
    <m/>
  </r>
  <r>
    <n v="165"/>
    <x v="158"/>
    <s v="A-019166"/>
    <x v="1"/>
    <s v="NB"/>
    <n v="0"/>
    <s v="EC"/>
    <x v="33"/>
    <s v="Back-End Developer (BED)"/>
    <d v="2024-10-31T00:00:00"/>
    <d v="2024-11-04T00:00:00"/>
    <d v="2025-09-30T00:00:00"/>
    <n v="0"/>
    <s v="IACOBESCU, Radu"/>
    <x v="1"/>
    <s v="IACOBESCU, Radu566,19"/>
    <s v="EDDANB"/>
    <s v="Back-end developer#R1"/>
    <n v="7"/>
    <n v="566.19000000000005"/>
    <n v="100"/>
    <n v="56619.000000000007"/>
    <n v="30"/>
    <n v="16985.7"/>
    <n v="70"/>
    <n v="39633.300000000003"/>
    <m/>
    <n v="0"/>
    <s v="DIGIT.A.2EDDA"/>
    <m/>
    <m/>
    <m/>
    <m/>
    <m/>
    <m/>
    <m/>
    <m/>
    <m/>
    <m/>
    <m/>
    <m/>
    <m/>
    <m/>
    <m/>
    <m/>
    <m/>
    <m/>
    <m/>
    <m/>
    <m/>
    <m/>
    <m/>
    <m/>
    <m/>
    <m/>
    <m/>
    <m/>
    <m/>
    <m/>
    <m/>
    <m/>
    <m/>
    <n v="12"/>
    <n v="18"/>
    <m/>
    <n v="18"/>
    <n v="18"/>
    <n v="18"/>
    <n v="16"/>
    <m/>
    <m/>
    <m/>
    <m/>
    <m/>
    <m/>
    <m/>
    <m/>
    <m/>
  </r>
  <r>
    <n v="166"/>
    <x v="159"/>
    <s v="A-019554"/>
    <x v="1"/>
    <s v="NB"/>
    <n v="0"/>
    <s v="EC"/>
    <x v="2"/>
    <s v="Full-Stack Developer (FSD)"/>
    <d v="2024-10-31T00:00:00"/>
    <d v="2024-11-04T00:00:00"/>
    <d v="2025-09-30T00:00:00"/>
    <n v="0"/>
    <s v="MEDAN, Andrei"/>
    <x v="1"/>
    <s v="MEDAN, Andrei522,43"/>
    <s v="EDDANB"/>
    <s v="Full-stack developer#R1-FAR"/>
    <n v="9"/>
    <n v="522.42999999999995"/>
    <n v="100"/>
    <n v="52242.999999999993"/>
    <n v="29"/>
    <n v="15150.47"/>
    <n v="71"/>
    <n v="37092.53"/>
    <m/>
    <n v="0"/>
    <s v="DIGIT.A.3EDDA"/>
    <m/>
    <m/>
    <m/>
    <m/>
    <m/>
    <m/>
    <m/>
    <m/>
    <m/>
    <m/>
    <m/>
    <m/>
    <m/>
    <m/>
    <m/>
    <m/>
    <m/>
    <m/>
    <m/>
    <m/>
    <m/>
    <m/>
    <m/>
    <m/>
    <m/>
    <m/>
    <m/>
    <m/>
    <m/>
    <m/>
    <m/>
    <m/>
    <m/>
    <n v="11"/>
    <n v="18"/>
    <m/>
    <n v="18"/>
    <n v="18"/>
    <n v="18"/>
    <n v="17"/>
    <m/>
    <m/>
    <m/>
    <m/>
    <m/>
    <m/>
    <m/>
    <m/>
    <m/>
  </r>
  <r>
    <n v="167"/>
    <x v="160"/>
    <s v="A-019611"/>
    <x v="1"/>
    <s v="NB"/>
    <n v="0"/>
    <s v="EC"/>
    <x v="1"/>
    <s v="Full-Stack Developer (FSD)"/>
    <d v="2024-10-29T00:00:00"/>
    <d v="2024-10-29T00:00:00"/>
    <d v="2025-09-30T00:00:00"/>
    <n v="0"/>
    <s v="COLLING, Fabiano"/>
    <x v="4"/>
    <s v="COLLING, Fabiano611,25"/>
    <s v="TALANNB"/>
    <s v="Full-stack developer#R1"/>
    <n v="8"/>
    <n v="611.25"/>
    <n v="91"/>
    <n v="55623.75"/>
    <n v="33"/>
    <n v="20171.25"/>
    <n v="58"/>
    <n v="35452.5"/>
    <m/>
    <n v="0"/>
    <s v="DIGIT.A.4TALAN"/>
    <m/>
    <m/>
    <m/>
    <m/>
    <m/>
    <m/>
    <m/>
    <m/>
    <m/>
    <m/>
    <m/>
    <m/>
    <m/>
    <m/>
    <m/>
    <m/>
    <m/>
    <m/>
    <m/>
    <m/>
    <m/>
    <m/>
    <m/>
    <m/>
    <m/>
    <m/>
    <m/>
    <m/>
    <m/>
    <m/>
    <m/>
    <m/>
    <n v="1"/>
    <n v="14"/>
    <n v="18"/>
    <m/>
    <n v="18"/>
    <n v="18"/>
    <n v="18"/>
    <n v="4"/>
    <m/>
    <m/>
    <m/>
    <m/>
    <m/>
    <m/>
    <m/>
    <m/>
    <m/>
  </r>
  <r>
    <n v="168"/>
    <x v="161"/>
    <s v="A-019273"/>
    <x v="1"/>
    <s v="NB"/>
    <n v="0"/>
    <s v="EC"/>
    <x v="29"/>
    <s v="Full-Stack Developer (FSD)"/>
    <d v="2024-11-05T00:00:00"/>
    <d v="2024-11-11T00:00:00"/>
    <d v="2025-05-31T00:00:00"/>
    <n v="0"/>
    <s v="VISICH, Valeryy"/>
    <x v="4"/>
    <s v="VISICH, Valeryy426,46"/>
    <s v="TALANNB"/>
    <s v="Full-stack developer#R1-FAR"/>
    <n v="6"/>
    <n v="426.46"/>
    <n v="70"/>
    <n v="29852.199999999997"/>
    <n v="0"/>
    <n v="0"/>
    <n v="70"/>
    <n v="29852.199999999997"/>
    <m/>
    <n v="0"/>
    <s v="ESTAT.A.5TALAN"/>
    <m/>
    <m/>
    <m/>
    <m/>
    <m/>
    <m/>
    <m/>
    <m/>
    <m/>
    <m/>
    <m/>
    <m/>
    <m/>
    <m/>
    <m/>
    <m/>
    <m/>
    <m/>
    <m/>
    <m/>
    <m/>
    <m/>
    <m/>
    <m/>
    <m/>
    <m/>
    <m/>
    <m/>
    <m/>
    <m/>
    <m/>
    <m/>
    <m/>
    <m/>
    <m/>
    <m/>
    <n v="17"/>
    <n v="18"/>
    <n v="18"/>
    <n v="17"/>
    <m/>
    <m/>
    <m/>
    <m/>
    <m/>
    <m/>
    <m/>
    <m/>
    <m/>
  </r>
  <r>
    <n v="169"/>
    <x v="162"/>
    <s v="A-019555"/>
    <x v="2"/>
    <s v="NB"/>
    <n v="0"/>
    <s v="EC"/>
    <x v="8"/>
    <s v="Onboarding Manager (OM)"/>
    <d v="2024-11-11T00:00:00"/>
    <d v="1899-12-30T00:00:00"/>
    <d v="2026-10-31T00:00:00"/>
    <n v="0"/>
    <s v="COOKE, Justin"/>
    <x v="3"/>
    <s v="COOKE, Justin934,37"/>
    <s v="CGI LUXNB"/>
    <s v="Onboarding manager#R2"/>
    <n v="10"/>
    <n v="934.37"/>
    <n v="150"/>
    <n v="140155.5"/>
    <n v="0"/>
    <n v="0"/>
    <n v="150"/>
    <n v="140155.5"/>
    <m/>
    <n v="0"/>
    <s v="EMPLCGI LUX"/>
    <m/>
    <m/>
    <m/>
    <m/>
    <m/>
    <m/>
    <m/>
    <m/>
    <m/>
    <m/>
    <m/>
    <m/>
    <m/>
    <m/>
    <m/>
    <m/>
    <m/>
    <m/>
    <m/>
    <m/>
    <m/>
    <m/>
    <m/>
    <m/>
    <m/>
    <m/>
    <m/>
    <m/>
    <m/>
    <m/>
    <m/>
    <m/>
    <m/>
    <m/>
    <m/>
    <m/>
    <m/>
    <m/>
    <m/>
    <n v="12.5"/>
    <n v="18"/>
    <n v="18"/>
    <n v="18"/>
    <n v="18"/>
    <n v="18"/>
    <n v="18"/>
    <n v="18"/>
    <n v="11.5"/>
    <m/>
  </r>
  <r>
    <n v="170"/>
    <x v="163"/>
    <s v="A-019657"/>
    <x v="2"/>
    <s v="NB"/>
    <n v="0"/>
    <s v="EC"/>
    <x v="8"/>
    <s v="Onboarding Manager (OM)"/>
    <d v="2024-11-11T00:00:00"/>
    <d v="1899-12-30T00:00:00"/>
    <d v="2026-10-31T00:00:00"/>
    <n v="0"/>
    <s v="MUNTEANU Gabriela Alina"/>
    <x v="3"/>
    <s v="MUNTEANU Gabriela Alina934,37"/>
    <s v="CGI LUXNB"/>
    <s v="Onboarding manager#R2"/>
    <n v="10"/>
    <n v="934.37"/>
    <n v="150"/>
    <n v="140155.5"/>
    <n v="0"/>
    <n v="0"/>
    <n v="150"/>
    <n v="140155.5"/>
    <m/>
    <n v="0"/>
    <s v="EMPLCGI LUX"/>
    <m/>
    <m/>
    <m/>
    <m/>
    <m/>
    <m/>
    <m/>
    <m/>
    <m/>
    <m/>
    <m/>
    <m/>
    <m/>
    <m/>
    <m/>
    <m/>
    <m/>
    <m/>
    <m/>
    <m/>
    <m/>
    <m/>
    <m/>
    <m/>
    <m/>
    <m/>
    <m/>
    <m/>
    <m/>
    <m/>
    <m/>
    <m/>
    <m/>
    <m/>
    <m/>
    <m/>
    <m/>
    <m/>
    <m/>
    <m/>
    <n v="9"/>
    <n v="18"/>
    <n v="18"/>
    <n v="18"/>
    <n v="18"/>
    <n v="18"/>
    <n v="18"/>
    <n v="18"/>
    <n v="15"/>
  </r>
  <r>
    <s v=""/>
    <x v="164"/>
    <m/>
    <x v="3"/>
    <m/>
    <s v=""/>
    <s v=""/>
    <x v="37"/>
    <s v=""/>
    <s v=""/>
    <s v=""/>
    <s v=""/>
    <s v=""/>
    <s v=""/>
    <x v="5"/>
    <s v="0"/>
    <s v=""/>
    <s v=""/>
    <s v=""/>
    <n v="0"/>
    <m/>
    <n v="0"/>
    <n v="0"/>
    <n v="0"/>
    <n v="0"/>
    <n v="0"/>
    <m/>
    <n v="0"/>
    <s v=""/>
    <m/>
    <m/>
    <m/>
    <m/>
    <m/>
    <m/>
    <m/>
    <m/>
    <m/>
    <m/>
    <m/>
    <m/>
    <m/>
    <m/>
    <m/>
    <m/>
    <m/>
    <m/>
    <m/>
    <m/>
    <m/>
    <m/>
    <m/>
    <m/>
    <m/>
    <m/>
    <m/>
    <m/>
    <m/>
    <m/>
    <m/>
    <m/>
    <m/>
    <m/>
    <m/>
    <m/>
    <m/>
    <m/>
    <m/>
    <m/>
    <m/>
    <m/>
    <m/>
    <m/>
    <m/>
    <m/>
    <m/>
    <m/>
    <m/>
  </r>
  <r>
    <s v=""/>
    <x v="164"/>
    <m/>
    <x v="3"/>
    <m/>
    <s v=""/>
    <s v=""/>
    <x v="37"/>
    <s v=""/>
    <s v=""/>
    <s v=""/>
    <s v=""/>
    <s v=""/>
    <s v=""/>
    <x v="5"/>
    <s v="0"/>
    <s v=""/>
    <s v=""/>
    <s v=""/>
    <n v="0"/>
    <m/>
    <n v="0"/>
    <n v="0"/>
    <n v="0"/>
    <n v="0"/>
    <n v="0"/>
    <m/>
    <n v="0"/>
    <s v=""/>
    <m/>
    <m/>
    <m/>
    <m/>
    <m/>
    <m/>
    <m/>
    <m/>
    <m/>
    <m/>
    <m/>
    <m/>
    <m/>
    <m/>
    <m/>
    <m/>
    <m/>
    <m/>
    <m/>
    <m/>
    <m/>
    <m/>
    <m/>
    <m/>
    <m/>
    <m/>
    <m/>
    <m/>
    <m/>
    <m/>
    <m/>
    <m/>
    <m/>
    <m/>
    <m/>
    <m/>
    <m/>
    <m/>
    <m/>
    <m/>
    <m/>
    <m/>
    <m/>
    <m/>
    <m/>
    <m/>
    <m/>
    <m/>
    <m/>
  </r>
  <r>
    <s v=""/>
    <x v="164"/>
    <m/>
    <x v="3"/>
    <m/>
    <s v=""/>
    <s v=""/>
    <x v="37"/>
    <s v=""/>
    <s v=""/>
    <s v=""/>
    <s v=""/>
    <s v=""/>
    <s v=""/>
    <x v="5"/>
    <s v="0"/>
    <s v=""/>
    <s v=""/>
    <s v=""/>
    <n v="0"/>
    <m/>
    <n v="0"/>
    <n v="0"/>
    <n v="0"/>
    <n v="0"/>
    <n v="0"/>
    <m/>
    <n v="0"/>
    <s v=""/>
    <m/>
    <m/>
    <m/>
    <m/>
    <m/>
    <m/>
    <m/>
    <m/>
    <m/>
    <m/>
    <m/>
    <m/>
    <m/>
    <m/>
    <m/>
    <m/>
    <m/>
    <m/>
    <m/>
    <m/>
    <m/>
    <m/>
    <m/>
    <m/>
    <m/>
    <m/>
    <m/>
    <m/>
    <m/>
    <m/>
    <m/>
    <m/>
    <m/>
    <m/>
    <m/>
    <m/>
    <m/>
    <m/>
    <m/>
    <m/>
    <m/>
    <m/>
    <m/>
    <m/>
    <m/>
    <m/>
    <m/>
    <m/>
    <m/>
  </r>
  <r>
    <s v=""/>
    <x v="164"/>
    <m/>
    <x v="3"/>
    <m/>
    <s v=""/>
    <s v=""/>
    <x v="37"/>
    <s v=""/>
    <d v="1899-12-30T00:00:00"/>
    <d v="1899-12-30T00:00:00"/>
    <d v="1899-12-30T00:00:00"/>
    <n v="0"/>
    <m/>
    <x v="6"/>
    <s v="0"/>
    <s v="0"/>
    <s v=""/>
    <s v=""/>
    <n v="0"/>
    <m/>
    <n v="0"/>
    <n v="0"/>
    <n v="0"/>
    <n v="0"/>
    <n v="0"/>
    <n v="0"/>
    <n v="0"/>
    <s v="0"/>
    <m/>
    <m/>
    <m/>
    <m/>
    <m/>
    <m/>
    <m/>
    <m/>
    <m/>
    <m/>
    <m/>
    <m/>
    <m/>
    <m/>
    <m/>
    <m/>
    <m/>
    <m/>
    <m/>
    <m/>
    <m/>
    <m/>
    <m/>
    <m/>
    <m/>
    <m/>
    <m/>
    <m/>
    <m/>
    <m/>
    <m/>
    <m/>
    <m/>
    <m/>
    <m/>
    <m/>
    <m/>
    <m/>
    <m/>
    <m/>
    <m/>
    <m/>
    <m/>
    <m/>
    <m/>
    <m/>
    <m/>
    <m/>
    <m/>
  </r>
  <r>
    <s v=""/>
    <x v="164"/>
    <m/>
    <x v="3"/>
    <m/>
    <s v=""/>
    <s v=""/>
    <x v="37"/>
    <s v=""/>
    <d v="1899-12-30T00:00:00"/>
    <d v="1899-12-30T00:00:00"/>
    <d v="1899-12-30T00:00:00"/>
    <n v="0"/>
    <m/>
    <x v="6"/>
    <s v="0"/>
    <s v="0"/>
    <s v=""/>
    <s v=""/>
    <n v="0"/>
    <m/>
    <n v="0"/>
    <n v="0"/>
    <n v="0"/>
    <n v="0"/>
    <n v="0"/>
    <n v="0"/>
    <n v="0"/>
    <s v="0"/>
    <m/>
    <m/>
    <m/>
    <m/>
    <m/>
    <m/>
    <m/>
    <m/>
    <m/>
    <m/>
    <m/>
    <m/>
    <m/>
    <m/>
    <m/>
    <m/>
    <m/>
    <m/>
    <m/>
    <m/>
    <m/>
    <m/>
    <m/>
    <m/>
    <m/>
    <m/>
    <m/>
    <m/>
    <m/>
    <m/>
    <m/>
    <m/>
    <m/>
    <m/>
    <m/>
    <m/>
    <m/>
    <m/>
    <m/>
    <m/>
    <m/>
    <m/>
    <m/>
    <m/>
    <m/>
    <m/>
    <m/>
    <m/>
    <m/>
  </r>
  <r>
    <s v=""/>
    <x v="164"/>
    <m/>
    <x v="3"/>
    <m/>
    <s v=""/>
    <s v=""/>
    <x v="37"/>
    <s v=""/>
    <d v="1899-12-30T00:00:00"/>
    <d v="1899-12-30T00:00:00"/>
    <d v="1899-12-30T00:00:00"/>
    <n v="0"/>
    <m/>
    <x v="6"/>
    <s v="0"/>
    <s v="0"/>
    <s v=""/>
    <s v=""/>
    <n v="0"/>
    <m/>
    <n v="0"/>
    <n v="0"/>
    <n v="0"/>
    <n v="0"/>
    <n v="0"/>
    <n v="0"/>
    <n v="0"/>
    <s v="0"/>
    <m/>
    <m/>
    <m/>
    <m/>
    <m/>
    <m/>
    <m/>
    <m/>
    <m/>
    <m/>
    <m/>
    <m/>
    <m/>
    <m/>
    <m/>
    <m/>
    <m/>
    <m/>
    <m/>
    <m/>
    <m/>
    <m/>
    <m/>
    <m/>
    <m/>
    <m/>
    <m/>
    <m/>
    <m/>
    <m/>
    <m/>
    <m/>
    <m/>
    <m/>
    <m/>
    <m/>
    <m/>
    <m/>
    <m/>
    <m/>
    <m/>
    <m/>
    <m/>
    <m/>
    <m/>
    <m/>
    <m/>
    <m/>
    <m/>
  </r>
  <r>
    <m/>
    <x v="164"/>
    <m/>
    <x v="3"/>
    <m/>
    <s v=""/>
    <s v=""/>
    <x v="37"/>
    <s v=""/>
    <d v="1899-12-30T00:00:00"/>
    <d v="1899-12-30T00:00:00"/>
    <d v="1899-12-30T00:00:00"/>
    <n v="0"/>
    <m/>
    <x v="6"/>
    <s v="0"/>
    <s v="0"/>
    <s v=""/>
    <s v=""/>
    <n v="0"/>
    <m/>
    <n v="0"/>
    <n v="0"/>
    <n v="0"/>
    <n v="0"/>
    <n v="0"/>
    <n v="0"/>
    <n v="0"/>
    <s v="0"/>
    <m/>
    <m/>
    <m/>
    <m/>
    <m/>
    <m/>
    <m/>
    <m/>
    <m/>
    <m/>
    <m/>
    <m/>
    <m/>
    <m/>
    <m/>
    <m/>
    <m/>
    <m/>
    <m/>
    <m/>
    <m/>
    <m/>
    <m/>
    <m/>
    <m/>
    <m/>
    <m/>
    <m/>
    <m/>
    <m/>
    <m/>
    <m/>
    <m/>
    <m/>
    <m/>
    <m/>
    <m/>
    <m/>
    <m/>
    <m/>
    <m/>
    <m/>
    <m/>
    <m/>
    <m/>
    <m/>
    <m/>
    <m/>
    <m/>
  </r>
  <r>
    <m/>
    <x v="164"/>
    <m/>
    <x v="4"/>
    <m/>
    <m/>
    <m/>
    <x v="32"/>
    <m/>
    <m/>
    <m/>
    <m/>
    <m/>
    <m/>
    <x v="7"/>
    <s v=""/>
    <s v=""/>
    <m/>
    <m/>
    <m/>
    <m/>
    <n v="0"/>
    <n v="0"/>
    <n v="0"/>
    <n v="0"/>
    <n v="0"/>
    <n v="0"/>
    <n v="0"/>
    <s v=""/>
    <m/>
    <m/>
    <m/>
    <m/>
    <m/>
    <m/>
    <m/>
    <m/>
    <m/>
    <m/>
    <m/>
    <m/>
    <m/>
    <m/>
    <m/>
    <m/>
    <m/>
    <m/>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C00-000000000000}" name="PivotTable1" cacheId="7"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rowHeaderCaption="Reference">
  <location ref="A5:B17" firstHeaderRow="1" firstDataRow="1" firstDataCol="1" rowPageCount="2" colPageCount="1"/>
  <pivotFields count="78">
    <pivotField multipleItemSelectionAllowed="1" showAll="0"/>
    <pivotField axis="axisRow" showAll="0" defaultSubtotal="0">
      <items count="166">
        <item x="164"/>
        <item x="3"/>
        <item x="15"/>
        <item x="17"/>
        <item x="28"/>
        <item x="30"/>
        <item x="4"/>
        <item x="5"/>
        <item x="6"/>
        <item x="7"/>
        <item x="8"/>
        <item x="9"/>
        <item x="10"/>
        <item x="11"/>
        <item x="12"/>
        <item x="13"/>
        <item x="16"/>
        <item x="19"/>
        <item x="20"/>
        <item x="21"/>
        <item x="22"/>
        <item x="24"/>
        <item x="25"/>
        <item x="26"/>
        <item x="27"/>
        <item x="29"/>
        <item x="33"/>
        <item x="34"/>
        <item x="18"/>
        <item x="36"/>
        <item x="14"/>
        <item x="23"/>
        <item x="35"/>
        <item x="37"/>
        <item x="32"/>
        <item x="38"/>
        <item x="39"/>
        <item x="40"/>
        <item x="41"/>
        <item x="42"/>
        <item x="43"/>
        <item x="46"/>
        <item x="58"/>
        <item x="57"/>
        <item x="59"/>
        <item x="44"/>
        <item x="50"/>
        <item x="51"/>
        <item x="52"/>
        <item x="53"/>
        <item x="54"/>
        <item x="55"/>
        <item x="62"/>
        <item x="56"/>
        <item x="60"/>
        <item x="0"/>
        <item x="31"/>
        <item x="45"/>
        <item x="66"/>
        <item x="67"/>
        <item x="64"/>
        <item x="65"/>
        <item x="47"/>
        <item x="63"/>
        <item x="73"/>
        <item x="48"/>
        <item x="69"/>
        <item x="1"/>
        <item x="49"/>
        <item x="61"/>
        <item x="70"/>
        <item x="68"/>
        <item x="75"/>
        <item x="79"/>
        <item x="81"/>
        <item x="74"/>
        <item x="77"/>
        <item x="82"/>
        <item x="78"/>
        <item x="83"/>
        <item x="85"/>
        <item x="86"/>
        <item x="84"/>
        <item x="88"/>
        <item x="76"/>
        <item x="89"/>
        <item x="90"/>
        <item x="91"/>
        <item x="93"/>
        <item m="1" x="165"/>
        <item x="72"/>
        <item x="80"/>
        <item x="92"/>
        <item x="94"/>
        <item x="87"/>
        <item x="71"/>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2"/>
        <item x="150"/>
        <item x="151"/>
        <item x="152"/>
        <item x="153"/>
        <item x="154"/>
        <item x="155"/>
        <item x="156"/>
        <item x="157"/>
        <item x="158"/>
        <item x="159"/>
        <item x="160"/>
        <item x="161"/>
        <item x="162"/>
        <item x="163"/>
      </items>
    </pivotField>
    <pivotField showAll="0"/>
    <pivotField axis="axisPage" showAll="0" defaultSubtotal="0">
      <items count="7">
        <item m="1" x="6"/>
        <item x="1"/>
        <item m="1" x="5"/>
        <item x="0"/>
        <item x="2"/>
        <item x="4"/>
        <item x="3"/>
      </items>
    </pivotField>
    <pivotField showAll="0"/>
    <pivotField showAll="0" defaultSubtotal="0"/>
    <pivotField showAll="0" defaultSubtotal="0"/>
    <pivotField axis="axisPage" showAll="0" defaultSubtotal="0">
      <items count="39">
        <item m="1" x="38"/>
        <item x="5"/>
        <item x="0"/>
        <item x="8"/>
        <item x="27"/>
        <item x="24"/>
        <item x="3"/>
        <item x="4"/>
        <item x="6"/>
        <item x="7"/>
        <item x="9"/>
        <item x="10"/>
        <item x="11"/>
        <item x="12"/>
        <item x="13"/>
        <item x="14"/>
        <item x="15"/>
        <item x="16"/>
        <item x="17"/>
        <item x="18"/>
        <item x="20"/>
        <item x="21"/>
        <item x="19"/>
        <item x="23"/>
        <item x="26"/>
        <item x="1"/>
        <item x="22"/>
        <item x="25"/>
        <item x="28"/>
        <item x="30"/>
        <item x="2"/>
        <item x="32"/>
        <item x="29"/>
        <item x="31"/>
        <item x="37"/>
        <item x="33"/>
        <item x="34"/>
        <item x="35"/>
        <item x="36"/>
      </items>
    </pivotField>
    <pivotField showAll="0"/>
    <pivotField showAll="0" defaultSubtotal="0"/>
    <pivotField showAll="0" defaultSubtotal="0"/>
    <pivotField showAll="0" defaultSubtotal="0"/>
    <pivotField showAll="0" defaultSubtotal="0"/>
    <pivotField showAll="0"/>
    <pivotField axis="axisRow" showAll="0" defaultSubtotal="0">
      <items count="8">
        <item sd="0" x="3"/>
        <item sd="0" x="1"/>
        <item sd="0" x="4"/>
        <item sd="0" x="0"/>
        <item sd="0" x="2"/>
        <item x="7"/>
        <item x="6"/>
        <item x="5"/>
      </items>
    </pivotField>
    <pivotField showAll="0"/>
    <pivotField showAll="0"/>
    <pivotField showAll="0" defaultSubtotal="0"/>
    <pivotField showAll="0" defaultSubtotal="0"/>
    <pivotField showAll="0" defaultSubtotal="0"/>
    <pivotField showAll="0" defaultSubtotal="0"/>
    <pivotField showAll="0" defaultSubtotal="0"/>
    <pivotField dataField="1" numFmtId="167" showAll="0" defaultSubtotal="0"/>
    <pivotField numFmtId="172" showAll="0" defaultSubtotal="0"/>
    <pivotField numFmtId="167" showAll="0" defaultSubtotal="0"/>
    <pivotField numFmtId="172" showAll="0" defaultSubtotal="0"/>
    <pivotField numFmtId="172" showAll="0" defaultSubtotal="0"/>
    <pivotField numFmtId="172" showAll="0" defaultSubtotal="0"/>
    <pivotField showAll="0" defaultSubtotal="0"/>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pivotField showAll="0" defaultSubtotal="0"/>
    <pivotField showAll="0" defaultSubtotal="0"/>
    <pivotField showAll="0" defaultSubtota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2">
    <field x="14"/>
    <field x="1"/>
  </rowFields>
  <rowItems count="12">
    <i>
      <x/>
    </i>
    <i>
      <x v="1"/>
    </i>
    <i>
      <x v="2"/>
    </i>
    <i>
      <x v="3"/>
    </i>
    <i>
      <x v="4"/>
    </i>
    <i>
      <x v="5"/>
    </i>
    <i r="1">
      <x/>
    </i>
    <i>
      <x v="6"/>
    </i>
    <i r="1">
      <x/>
    </i>
    <i>
      <x v="7"/>
    </i>
    <i r="1">
      <x/>
    </i>
    <i t="grand">
      <x/>
    </i>
  </rowItems>
  <colItems count="1">
    <i/>
  </colItems>
  <pageFields count="2">
    <pageField fld="3" hier="-1"/>
    <pageField fld="7" hier="-1"/>
  </pageFields>
  <dataFields count="1">
    <dataField name="Somme de Producted days" fld="22" baseField="0" baseItem="0"/>
  </dataField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F000000}" name="TAB_Offres" displayName="TAB_Offres" ref="A1:AN999" totalsRowShown="0" headerRowDxfId="409" dataDxfId="407" headerRowBorderDxfId="408" tableBorderDxfId="406">
  <autoFilter ref="A1:AN999" xr:uid="{00000000-0009-0000-0100-000001000000}"/>
  <tableColumns count="40">
    <tableColumn id="1" xr3:uid="{00000000-0010-0000-0F00-000001000000}" name="ID" dataDxfId="405">
      <calculatedColumnFormula>ROW(TAB_Offres[[#This Row],[Reference]])-ROW(TAB_Offres[[#Headers],[ID]])</calculatedColumnFormula>
    </tableColumn>
    <tableColumn id="43" xr3:uid="{00000000-0010-0000-0F00-00002B000000}" name="Lot" dataDxfId="404"/>
    <tableColumn id="21" xr3:uid="{00000000-0010-0000-0F00-000015000000}" name="Institution/agency" dataDxfId="403"/>
    <tableColumn id="45" xr3:uid="{00000000-0010-0000-0F00-00002D000000}" name="DG" dataDxfId="402"/>
    <tableColumn id="2" xr3:uid="{00000000-0010-0000-0F00-000002000000}" name="Reference" dataDxfId="401"/>
    <tableColumn id="17" xr3:uid="{00000000-0010-0000-0F00-000011000000}" name="Document type" dataDxfId="400"/>
    <tableColumn id="4" xr3:uid="{00000000-0010-0000-0F00-000004000000}" name="Offer description" dataDxfId="399"/>
    <tableColumn id="52" xr3:uid="{00000000-0010-0000-0F00-000034000000}" name="Company" dataDxfId="398"/>
    <tableColumn id="10" xr3:uid="{00000000-0010-0000-0F00-00000A000000}" name="Delivery mode" dataDxfId="397"/>
    <tableColumn id="37" xr3:uid="{00000000-0010-0000-0F00-000025000000}" name="Place of delivery" dataDxfId="396"/>
    <tableColumn id="36" xr3:uid="{00000000-0010-0000-0F00-000024000000}" name="Place of execution" dataDxfId="395"/>
    <tableColumn id="12" xr3:uid="{00000000-0010-0000-0F00-00000C000000}" name="Mode" dataDxfId="394"/>
    <tableColumn id="54" xr3:uid="{00000000-0010-0000-0F00-000036000000}" name="DIGIT Contact Name" dataDxfId="393"/>
    <tableColumn id="53" xr3:uid="{00000000-0010-0000-0F00-000035000000}" name="DIGIT Contact Email" dataDxfId="392"/>
    <tableColumn id="28" xr3:uid="{00000000-0010-0000-0F00-00001C000000}" name="Request State" dataDxfId="391"/>
    <tableColumn id="30" xr3:uid="{00000000-0010-0000-0F00-00001E000000}" name="Has Expenses?" dataDxfId="390"/>
    <tableColumn id="29" xr3:uid="{00000000-0010-0000-0F00-00001D000000}" name="Modification Request" dataDxfId="389"/>
    <tableColumn id="40" xr3:uid="{00000000-0010-0000-0F00-000028000000}" name="Modification Request signature date" dataDxfId="388"/>
    <tableColumn id="8" xr3:uid="{00000000-0010-0000-0F00-000008000000}" name="Request date " dataDxfId="387"/>
    <tableColumn id="24" xr3:uid="{00000000-0010-0000-0F00-000018000000}" name="Y/N deadline" dataDxfId="386"/>
    <tableColumn id="46" xr3:uid="{00000000-0010-0000-0F00-00002E000000}" name="Proposal deadline date" dataDxfId="385"/>
    <tableColumn id="27" xr3:uid="{00000000-0010-0000-0F00-00001B000000}" name="CS signature date" dataDxfId="384"/>
    <tableColumn id="16" xr3:uid="{00000000-0010-0000-0F00-000010000000}" name="CS DIGIT signature date" dataDxfId="383"/>
    <tableColumn id="7" xr3:uid="{00000000-0010-0000-0F00-000007000000}" name="CS start date" dataDxfId="382"/>
    <tableColumn id="31" xr3:uid="{00000000-0010-0000-0F00-00001F000000}" name="CS end date" dataDxfId="381"/>
    <tableColumn id="3" xr3:uid="{D3B8D639-92B3-4CB9-9038-25CED5C9C6C4}" name="Commited days" dataDxfId="380">
      <calculatedColumnFormula>SUMIF(TAB_CS[Reference],TAB_Offres[[#This Row],[Reference]],TAB_CS[Commited days])</calculatedColumnFormula>
    </tableColumn>
    <tableColumn id="11" xr3:uid="{00000000-0010-0000-0F00-00000B000000}" name="Commited amount" dataDxfId="379">
      <calculatedColumnFormula>SUMIF(TAB_CS[Reference],TAB_Offres[[#This Row],[Reference]],TAB_CS[Commited amount])</calculatedColumnFormula>
    </tableColumn>
    <tableColumn id="14" xr3:uid="{00000000-0010-0000-0F00-00000E000000}" name="CS State" dataDxfId="378"/>
    <tableColumn id="33" xr3:uid="{00000000-0010-0000-0F00-000021000000}" name="Ressource 1" dataDxfId="377"/>
    <tableColumn id="32" xr3:uid="{00000000-0010-0000-0F00-000020000000}" name="Profile" dataDxfId="376"/>
    <tableColumn id="20" xr3:uid="{00000000-0010-0000-0F00-000014000000}" name="Level" dataDxfId="375"/>
    <tableColumn id="42" xr3:uid="{00000000-0010-0000-0F00-00002A000000}" name="Effective start date - Ressource 1" dataDxfId="374"/>
    <tableColumn id="41" xr3:uid="{00000000-0010-0000-0F00-000029000000}" name="Effective end date - Ressource 1" dataDxfId="373"/>
    <tableColumn id="34" xr3:uid="{00000000-0010-0000-0F00-000022000000}" name="KPI-OffreDate" dataDxfId="372">
      <calculatedColumnFormula>CONCATENATE(YEAR(TAB_Offres[[#This Row],[Request date ]]),"-",MONTH(TAB_Offres[[#This Row],[Request date ]]))</calculatedColumnFormula>
    </tableColumn>
    <tableColumn id="35" xr3:uid="{00000000-0010-0000-0F00-000023000000}" name="KPI-OffreRep" dataDxfId="371">
      <calculatedColumnFormula>IF(#REF!,1,0)</calculatedColumnFormula>
    </tableColumn>
    <tableColumn id="18" xr3:uid="{00000000-0010-0000-0F00-000012000000}" name="Annex MOU EDDA (+CGI Lux)" dataDxfId="370"/>
    <tableColumn id="26" xr3:uid="{00000000-0010-0000-0F00-00001A000000}" name="Annex MOU TALAN" dataDxfId="369"/>
    <tableColumn id="38" xr3:uid="{C9635DF8-BCF3-4217-B08F-EC34F603200F}" name="Annex MOU TREMEND" dataDxfId="368"/>
    <tableColumn id="23" xr3:uid="{00000000-0010-0000-0F00-000017000000}" name="Annex MOU WaveStone" dataDxfId="367"/>
    <tableColumn id="22" xr3:uid="{00000000-0010-0000-0F00-000016000000}" name="Activity Code" dataDxfId="366"/>
  </tableColumns>
  <tableStyleInfo name="TableStyleLight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10000000}" name="TAB_CS" displayName="TAB_CS" ref="A2:BZ178" totalsRowCount="1" headerRowDxfId="365">
  <autoFilter ref="A2:BZ177" xr:uid="{00000000-000C-0000-FFFF-FFFF10000000}"/>
  <tableColumns count="78">
    <tableColumn id="1" xr3:uid="{00000000-0010-0000-1000-000001000000}" name="ID" dataDxfId="364" totalsRowDxfId="363">
      <calculatedColumnFormula>IF(ISBLANK(TAB_CS[[#This Row],[Reference]]),"",INDEX(TAB_Offres[ID],MATCH(TAB_CS[[#This Row],[Reference]],TAB_Offres[Reference],0)))</calculatedColumnFormula>
    </tableColumn>
    <tableColumn id="23" xr3:uid="{00000000-0010-0000-1000-000017000000}" name="Reference" dataDxfId="362" totalsRowDxfId="361"/>
    <tableColumn id="29" xr3:uid="{2B37724E-2BFF-4C64-B416-99F92E4FE2F9}" name="Activity code" dataDxfId="360" totalsRowDxfId="359"/>
    <tableColumn id="18" xr3:uid="{00000000-0010-0000-1000-000012000000}" name="Lot" dataDxfId="358" totalsRowDxfId="357">
      <calculatedColumnFormula>IF(ISBLANK(TAB_CS[[#This Row],[Reference]]),"",VLOOKUP(TAB_CS[[#This Row],[ID]],TAB_Offres[],2,FALSE))</calculatedColumnFormula>
    </tableColumn>
    <tableColumn id="77" xr3:uid="{47584738-8CF3-4B72-B9B3-E01C66529986}" name="Business perimeter" dataDxfId="356" totalsRowDxfId="355"/>
    <tableColumn id="38" xr3:uid="{00000000-0010-0000-1000-000026000000}" name="Modification request" dataDxfId="354" totalsRowDxfId="353">
      <calculatedColumnFormula>_xlfn.IFNA(IF(ISBLANK(TAB_CS[[#This Row],[Reference]]),"",VLOOKUP(TAB_CS[[#This Row],[Reference]],TAB_Offres[[Reference]:[Modification Request]],COLUMNS(TAB_Offres[[Reference]:[Modification Request]]),FALSE)),)</calculatedColumnFormula>
    </tableColumn>
    <tableColumn id="2" xr3:uid="{00000000-0010-0000-1000-000002000000}" name="Institution/agency" dataDxfId="352" totalsRowDxfId="351">
      <calculatedColumnFormula>IF(ISBLANK(TAB_CS[[#This Row],[Reference]]),"",INDEX(TAB_Offres[Institution/agency],MATCH(TAB_CS[[#This Row],[Reference]],TAB_Offres[Reference],0)))</calculatedColumnFormula>
    </tableColumn>
    <tableColumn id="3" xr3:uid="{00000000-0010-0000-1000-000003000000}" name="DG" dataDxfId="350" totalsRowDxfId="349">
      <calculatedColumnFormula>IF(ISBLANK(TAB_CS[[#This Row],[Reference]]),"",INDEX(TAB_Offres[DG],MATCH(TAB_CS[[#This Row],[Reference]],TAB_Offres[Reference],0)))</calculatedColumnFormula>
    </tableColumn>
    <tableColumn id="5" xr3:uid="{00000000-0010-0000-1000-000005000000}" name="Description" dataDxfId="348">
      <calculatedColumnFormula>IF(ISBLANK(TAB_CS[[#This Row],[Reference]]),"",INDEX(TAB_Offres[Offer description],MATCH(TAB_CS[[#This Row],[Reference]],TAB_Offres[Reference],0)))</calculatedColumnFormula>
    </tableColumn>
    <tableColumn id="4" xr3:uid="{00000000-0010-0000-1000-000004000000}" name="CS signature date" dataDxfId="347" totalsRowDxfId="346">
      <calculatedColumnFormula>_xlfn.IFNA(IF(ISBLANK(TAB_CS[[#This Row],[Ressource]]),,VLOOKUP(TAB_CS[[#This Row],[Reference]],TAB_Offres[[Reference]:[CS signature date]],COLUMNS(TAB_Offres[[Reference]:[CS signature date]]),FALSE)),"")</calculatedColumnFormula>
    </tableColumn>
    <tableColumn id="6" xr3:uid="{00000000-0010-0000-1000-000006000000}" name="CS Start date" dataDxfId="345" totalsRowDxfId="344">
      <calculatedColumnFormula>_xlfn.IFNA(IF(ISBLANK(TAB_CS[[#This Row],[Ressource]]),,VLOOKUP(TAB_CS[[#This Row],[Reference]],TAB_Offres[[Reference]:[CS start date]],COLUMNS(TAB_Offres[[Reference]:[CS start date]]),FALSE)),"")</calculatedColumnFormula>
    </tableColumn>
    <tableColumn id="30" xr3:uid="{00000000-0010-0000-1000-00001E000000}" name="CS end date" dataDxfId="343" totalsRowDxfId="342">
      <calculatedColumnFormula>_xlfn.IFNA(IF(ISBLANK(TAB_CS[[#This Row],[Ressource]]),,VLOOKUP(TAB_CS[[#This Row],[Reference]],TAB_Offres[[Reference]:[CS end date]],COLUMNS(TAB_Offres[[Reference]:[CS end date]]),FALSE)),"")</calculatedColumnFormula>
    </tableColumn>
    <tableColumn id="7" xr3:uid="{00000000-0010-0000-1000-000007000000}" name="State" dataDxfId="341" totalsRowDxfId="340">
      <calculatedColumnFormula>_xlfn.IFNA(IF(ISBLANK(TAB_CS[[#This Row],[Ressource]]),,VLOOKUP(TAB_CS[[#This Row],[Reference]],TAB_Offres[[Reference]:[CS State]],COLUMNS(TAB_Offres[[Reference]:[CS State]]),FALSE)),"")</calculatedColumnFormula>
    </tableColumn>
    <tableColumn id="8" xr3:uid="{00000000-0010-0000-1000-000008000000}" name="Ressource" dataDxfId="339" totalsRowDxfId="338">
      <calculatedColumnFormula>_xlfn.IFNA(
IF(
NOT(ISBLANK(TAB_CS[[#This Row],[Reference]])),
IF(VLOOKUP(TAB_CS[[#This Row],[Reference]],#REF!,COLUMNS(#REF!),FALSE)&lt;&gt;"","",VLOOKUP(TAB_CS[[#This Row],[Reference]],TAB_Offres[[Reference]:[Ressource 1]],COLUMNS(TAB_Offres[[Reference]:[Ressource 1]]),FALSE)),""),"")</calculatedColumnFormula>
    </tableColumn>
    <tableColumn id="9" xr3:uid="{00000000-0010-0000-1000-000009000000}" name="Company" dataDxfId="337" totalsRowDxfId="336">
      <calculatedColumnFormula>_xlfn.IFNA(IF(ISBLANK(TAB_CS[[#This Row],[Ressource]]),,VLOOKUP(TAB_CS[[#This Row],[Reference]],TAB_Offres[[Reference]:[Company]],COLUMNS(TAB_Offres[[Reference]:[Company]]),FALSE)),"")</calculatedColumnFormula>
    </tableColumn>
    <tableColumn id="55" xr3:uid="{3780C18A-E6DF-4DDC-850D-0A77F16261D9}" name="Tri-1" dataDxfId="335" totalsRowDxfId="334">
      <calculatedColumnFormula>_xlfn.CONCAT(TAB_CS[[#This Row],[Ressource]],TAB_CS[[#This Row],[Profile in €]])</calculatedColumnFormula>
    </tableColumn>
    <tableColumn id="78" xr3:uid="{82245B65-877D-4BEF-83C4-C89864161AB9}" name="Tri-2" dataDxfId="333" totalsRowDxfId="332">
      <calculatedColumnFormula>_xlfn.CONCAT(TAB_CS[[#This Row],[Company]],TAB_CS[[#This Row],[Business perimeter]])</calculatedColumnFormula>
    </tableColumn>
    <tableColumn id="10" xr3:uid="{00000000-0010-0000-1000-00000A000000}" name="Profile" dataDxfId="331" totalsRowDxfId="330">
      <calculatedColumnFormula>_xlfn.IFNA(IF(ISBLANK(TAB_CS[[#This Row],[Ressource]]),"",VLOOKUP(TAB_CS[[#This Row],[Reference]],TAB_Offres[[Reference]:[Profile]],COLUMNS(TAB_Offres[[Reference]:[Profile]]),FALSE)),"")</calculatedColumnFormula>
    </tableColumn>
    <tableColumn id="28" xr3:uid="{00000000-0010-0000-1000-00001C000000}" name="Level" dataDxfId="329" totalsRowDxfId="328">
      <calculatedColumnFormula>_xlfn.IFNA(IF(ISBLANK(TAB_CS[[#This Row],[Ressource]]),"",VLOOKUP(TAB_CS[[#This Row],[Reference]],TAB_Offres[[Reference]:[Level]],COLUMNS(TAB_Offres[[Reference]:[Level]]),FALSE)),"")</calculatedColumnFormula>
    </tableColumn>
    <tableColumn id="11" xr3:uid="{00000000-0010-0000-1000-00000B000000}" name="Profile in €" totalsRowLabel="Total" dataDxfId="327" totalsRowDxfId="326">
      <calculatedColumnFormula>_xlfn.IFNA(IF(OR(ISBLANK(TAB_CS[[#This Row],[Level]]),TAB_CS[[#This Row],[Level]]=""),,VLOOKUP(TAB_CS[[#This Row],[Profile]],TAB_prix[],2+TAB_CS[[#This Row],[Level]],FALSE)),)</calculatedColumnFormula>
    </tableColumn>
    <tableColumn id="12" xr3:uid="{00000000-0010-0000-1000-00000C000000}" name="Commited days" totalsRowFunction="sum" totalsRowDxfId="325"/>
    <tableColumn id="13" xr3:uid="{00000000-0010-0000-1000-00000D000000}" name="Commited amount" totalsRowFunction="sum" dataDxfId="324" totalsRowDxfId="323">
      <calculatedColumnFormula>IF(OR(ISBLANK(TAB_CS[[#This Row],[Commited days]]),TAB_CS[[#This Row],[Commited days]]=0),,TAB_CS[[#This Row],[Commited days]]*TAB_CS[[#This Row],[Profile in €]])</calculatedColumnFormula>
    </tableColumn>
    <tableColumn id="14" xr3:uid="{00000000-0010-0000-1000-00000E000000}" name="Producted days" totalsRowFunction="sum" dataDxfId="322" totalsRowDxfId="321">
      <calculatedColumnFormula>SUM(TAB_CS[[#This Row],[F]:[P+1]])-TAB_CS[[#This Row],[P+1]]</calculatedColumnFormula>
    </tableColumn>
    <tableColumn id="15" xr3:uid="{00000000-0010-0000-1000-00000F000000}" name="Producted amounts" totalsRowFunction="sum" dataDxfId="320" totalsRowDxfId="319">
      <calculatedColumnFormula>IF(OR(ISBLANK(TAB_CS[[#This Row],[Producted days]]),TAB_CS[[#This Row],[Producted days]]=0),,TAB_CS[[#This Row],[Producted days]]*TAB_CS[[#This Row],[Profile in €]])</calculatedColumnFormula>
    </tableColumn>
    <tableColumn id="16" xr3:uid="{00000000-0010-0000-1000-000010000000}" name="Remaining days" totalsRowFunction="sum" dataDxfId="318" totalsRowDxfId="317">
      <calculatedColumnFormula>TAB_CS[[#This Row],[Commited days]]-TAB_CS[[#This Row],[Producted days]]</calculatedColumnFormula>
    </tableColumn>
    <tableColumn id="17" xr3:uid="{00000000-0010-0000-1000-000011000000}" name="Remaining amount" totalsRowFunction="sum" dataDxfId="316" totalsRowDxfId="315">
      <calculatedColumnFormula>IF(OR(ISBLANK(TAB_CS[[#This Row],[Remaining days]]),TAB_CS[[#This Row],[Remaining days]]=0),,TAB_CS[[#This Row],[Remaining days]]*TAB_CS[[#This Row],[Profile in €]])</calculatedColumnFormula>
    </tableColumn>
    <tableColumn id="43" xr3:uid="{00000000-0010-0000-1000-00002B000000}" name="Expected days" totalsRowFunction="sum" dataDxfId="314" totalsRowDxfId="313"/>
    <tableColumn id="26" xr3:uid="{00000000-0010-0000-1000-00001A000000}" name="Expected amounts" totalsRowFunction="sum" dataDxfId="312" totalsRowDxfId="311">
      <calculatedColumnFormula>IF(OR(ISBLANK(TAB_CS[[#This Row],[Expected days]]),TAB_CS[[#This Row],[Expected days]]=0),,TAB_CS[[#This Row],[Expected days]]*TAB_CS[[#This Row],[Profile in €]])</calculatedColumnFormula>
    </tableColumn>
    <tableColumn id="25" xr3:uid="{00000000-0010-0000-1000-000019000000}" name="Budget" dataDxfId="310" totalsRowDxfId="309">
      <calculatedColumnFormula>CONCATENATE(TAB_CS[[#This Row],[DG]],TAB_CS[[#This Row],[Company]])</calculatedColumnFormula>
    </tableColumn>
    <tableColumn id="22" xr3:uid="{00000000-0010-0000-1000-000016000000}" name="F" dataDxfId="308" totalsRowDxfId="307"/>
    <tableColumn id="19" xr3:uid="{00000000-0010-0000-1000-000013000000}" name="Apr-2022" totalsRowFunction="sum" dataDxfId="306" totalsRowDxfId="305"/>
    <tableColumn id="20" xr3:uid="{00000000-0010-0000-1000-000014000000}" name="May-2022" totalsRowFunction="sum" dataDxfId="304" totalsRowDxfId="303"/>
    <tableColumn id="21" xr3:uid="{00000000-0010-0000-1000-000015000000}" name="Jun-2022" totalsRowFunction="sum" dataDxfId="302" totalsRowDxfId="301"/>
    <tableColumn id="37" xr3:uid="{00000000-0010-0000-1000-000025000000}" name="Jul-2022" totalsRowFunction="sum" dataDxfId="300" totalsRowDxfId="299"/>
    <tableColumn id="42" xr3:uid="{00000000-0010-0000-1000-00002A000000}" name="Aug-2022" totalsRowFunction="sum" dataDxfId="298" totalsRowDxfId="297"/>
    <tableColumn id="54" xr3:uid="{00000000-0010-0000-1000-000036000000}" name="Sep-2022" totalsRowFunction="sum" dataDxfId="296" totalsRowDxfId="295"/>
    <tableColumn id="53" xr3:uid="{00000000-0010-0000-1000-000035000000}" name="Oct-2022" totalsRowFunction="sum" dataDxfId="294" totalsRowDxfId="293"/>
    <tableColumn id="51" xr3:uid="{00000000-0010-0000-1000-000033000000}" name="Nov-2022" totalsRowFunction="sum" dataDxfId="292" totalsRowDxfId="291"/>
    <tableColumn id="69" xr3:uid="{00000000-0010-0000-1000-000045000000}" name="Dec-2022" totalsRowFunction="sum" dataDxfId="290" totalsRowDxfId="289"/>
    <tableColumn id="40" xr3:uid="{00000000-0010-0000-1000-000028000000}" name="Jan-2023" totalsRowFunction="sum" dataDxfId="288" totalsRowDxfId="287"/>
    <tableColumn id="27" xr3:uid="{00000000-0010-0000-1000-00001B000000}" name="Feb-2023" totalsRowFunction="sum" dataDxfId="286" totalsRowDxfId="285"/>
    <tableColumn id="41" xr3:uid="{00000000-0010-0000-1000-000029000000}" name="Mar-2023" totalsRowFunction="sum" dataDxfId="284" totalsRowDxfId="283"/>
    <tableColumn id="36" xr3:uid="{00000000-0010-0000-1000-000024000000}" name="Apr-2023" totalsRowFunction="sum" dataDxfId="282" totalsRowDxfId="281"/>
    <tableColumn id="35" xr3:uid="{00000000-0010-0000-1000-000023000000}" name="May-2023" totalsRowFunction="sum" dataDxfId="280" totalsRowDxfId="279"/>
    <tableColumn id="34" xr3:uid="{00000000-0010-0000-1000-000022000000}" name="Jun-2023" totalsRowFunction="sum" dataDxfId="278" totalsRowDxfId="277"/>
    <tableColumn id="33" xr3:uid="{00000000-0010-0000-1000-000021000000}" name="Jul-2023" totalsRowFunction="sum" dataDxfId="276" totalsRowDxfId="275"/>
    <tableColumn id="32" xr3:uid="{00000000-0010-0000-1000-000020000000}" name="Aug-2023" totalsRowFunction="sum" dataDxfId="274" totalsRowDxfId="273"/>
    <tableColumn id="46" xr3:uid="{00000000-0010-0000-1000-00002E000000}" name="Sep-2023" totalsRowFunction="sum" dataDxfId="272" totalsRowDxfId="271"/>
    <tableColumn id="45" xr3:uid="{00000000-0010-0000-1000-00002D000000}" name="Oct-2023" totalsRowFunction="sum" dataDxfId="270" totalsRowDxfId="269"/>
    <tableColumn id="47" xr3:uid="{00000000-0010-0000-1000-00002F000000}" name="Nov-2023" totalsRowFunction="sum" dataDxfId="268" totalsRowDxfId="267"/>
    <tableColumn id="48" xr3:uid="{00000000-0010-0000-1000-000030000000}" name="Dec-2023" totalsRowFunction="sum" dataDxfId="266" totalsRowDxfId="265"/>
    <tableColumn id="61" xr3:uid="{00000000-0010-0000-1000-00003D000000}" name="Jan-2024" totalsRowFunction="sum" dataDxfId="264" totalsRowDxfId="263"/>
    <tableColumn id="60" xr3:uid="{D6E4DA9C-8066-4A48-8259-3A7694128D10}" name="Feb-2024" totalsRowFunction="sum" dataDxfId="262" totalsRowDxfId="261"/>
    <tableColumn id="62" xr3:uid="{D08AA885-262E-4EB6-9785-7E8F940AD424}" name="Mar-2024" totalsRowFunction="sum" dataDxfId="260" totalsRowDxfId="259"/>
    <tableColumn id="63" xr3:uid="{9B5B6D35-8F13-4548-948A-04BC9562FC09}" name="Apr-2024" totalsRowFunction="sum" dataDxfId="258" totalsRowDxfId="257"/>
    <tableColumn id="64" xr3:uid="{65A25601-7FB7-4DF5-B78C-DF6096136395}" name="May-2024" totalsRowFunction="sum" dataDxfId="256" totalsRowDxfId="255"/>
    <tableColumn id="65" xr3:uid="{31028F91-BC84-48FD-9100-C3B69D331189}" name="Jun-2024" totalsRowFunction="sum" dataDxfId="254" totalsRowDxfId="253"/>
    <tableColumn id="66" xr3:uid="{C613A1BA-ED14-48B8-9E71-998217350A53}" name="Jul-2024" totalsRowFunction="sum" dataDxfId="252" totalsRowDxfId="251"/>
    <tableColumn id="67" xr3:uid="{12A9C899-671F-4BD0-B0AA-882273722062}" name="Aug-2024" totalsRowFunction="sum" dataDxfId="250" totalsRowDxfId="249"/>
    <tableColumn id="68" xr3:uid="{764043AE-46AA-42DE-B697-D8FD9CDE57A2}" name="Sep-2024" totalsRowFunction="sum" dataDxfId="248" totalsRowDxfId="247"/>
    <tableColumn id="39" xr3:uid="{D95A3A38-E836-4731-B855-8DC86D3B2389}" name="P" totalsRowFunction="sum" dataDxfId="246" totalsRowDxfId="245" dataCellStyle="Sortie"/>
    <tableColumn id="70" xr3:uid="{B8EC747E-C07F-4FAD-AEF3-82108C5D2702}" name="Oct-2024" totalsRowFunction="sum" dataDxfId="244" totalsRowDxfId="243"/>
    <tableColumn id="71" xr3:uid="{E2A0D5F8-D163-4715-8484-78209F09B05C}" name="Nov-2024" totalsRowFunction="sum" dataDxfId="242" totalsRowDxfId="241"/>
    <tableColumn id="72" xr3:uid="{58B1687E-8DA7-4EA6-9F9F-EF44CFCF716B}" name="Dec-2024" totalsRowFunction="sum" dataDxfId="240" totalsRowDxfId="239"/>
    <tableColumn id="24" xr3:uid="{00000000-0010-0000-1000-000018000000}" name="P+1" totalsRowFunction="sum" dataDxfId="238" totalsRowDxfId="237" dataCellStyle="Sortie"/>
    <tableColumn id="73" xr3:uid="{EDEA22D6-7655-4FB2-89E5-9CB600AF4D94}" name="Jan-2025" totalsRowFunction="sum" dataDxfId="236" totalsRowDxfId="235"/>
    <tableColumn id="52" xr3:uid="{5FFCCF79-B6B0-4A15-9DE5-7D9D00D1039B}" name="Feb-2025" totalsRowFunction="sum" dataDxfId="234" totalsRowDxfId="233"/>
    <tableColumn id="50" xr3:uid="{63E4CF8D-79B2-40B3-97E7-55BC365756EB}" name="Mar-2025" totalsRowFunction="sum" dataDxfId="232" totalsRowDxfId="231"/>
    <tableColumn id="49" xr3:uid="{AA9C1128-76DC-47A4-B83B-A4A6CF81FFFE}" name="Apr-2025" totalsRowFunction="sum" dataDxfId="230" totalsRowDxfId="229"/>
    <tableColumn id="76" xr3:uid="{4E3007CB-B4B9-42D6-8FA2-1A8AB28DDED7}" name="May-2025" totalsRowFunction="sum" dataDxfId="228" totalsRowDxfId="227"/>
    <tableColumn id="75" xr3:uid="{8B3B5708-6E6E-47E8-BC7E-4116FE254863}" name="Jun-2025" totalsRowFunction="sum" dataDxfId="226" totalsRowDxfId="225"/>
    <tableColumn id="74" xr3:uid="{BA2F57D9-109A-4D6A-A672-A710BBAF6CAD}" name="Jul-2025" totalsRowFunction="sum" dataDxfId="224" totalsRowDxfId="223"/>
    <tableColumn id="59" xr3:uid="{09783896-88E8-45F8-9156-FF330C935E6E}" name="Aug-2025" totalsRowFunction="sum" dataDxfId="222" totalsRowDxfId="221"/>
    <tableColumn id="58" xr3:uid="{D5177177-5597-4739-A413-42B414F032BE}" name="Sep-2025" totalsRowFunction="sum" dataDxfId="220" totalsRowDxfId="219"/>
    <tableColumn id="57" xr3:uid="{8BFDE5DF-9F32-4F92-B945-3E7512F517B3}" name="Oct-2025" totalsRowFunction="sum" dataDxfId="218" totalsRowDxfId="217"/>
    <tableColumn id="56" xr3:uid="{E077D07A-11A6-4F9C-837E-E4795ECAC4F5}" name="Nov-2025" totalsRowFunction="sum" dataDxfId="216" totalsRowDxfId="215"/>
    <tableColumn id="44" xr3:uid="{B5BD9377-1B23-4919-8124-36DD7B4BB3F7}" name="Dec-2025" totalsRowFunction="sum" dataDxfId="214" totalsRowDxfId="213"/>
    <tableColumn id="31" xr3:uid="{00000000-0010-0000-1000-00001F000000}" name="FP" dataDxfId="212" totalsRowDxfId="211"/>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1000000}" name="TAB_CSEXPENSES" displayName="TAB_CSEXPENSES" ref="A2:BL38" totalsRowCount="1" headerRowDxfId="210">
  <autoFilter ref="A2:BL37" xr:uid="{00000000-0009-0000-0100-000011000000}"/>
  <sortState xmlns:xlrd2="http://schemas.microsoft.com/office/spreadsheetml/2017/richdata2" ref="A3:BV47">
    <sortCondition ref="B2:B62"/>
  </sortState>
  <tableColumns count="64">
    <tableColumn id="1" xr3:uid="{00000000-0010-0000-1100-000001000000}" name="ID" totalsRowLabel="Total" dataDxfId="209" totalsRowDxfId="208">
      <calculatedColumnFormula>IF(ISBLANK(TAB_CSEXPENSES[[#This Row],[Reference]]),"",INDIRECT(CONCATENATE("'Offer management'!A",MATCH(TAB_CSEXPENSES[[#This Row],[Reference]],'Offer management'!E:E,0))))</calculatedColumnFormula>
    </tableColumn>
    <tableColumn id="23" xr3:uid="{00000000-0010-0000-1100-000017000000}" name="Reference" dataDxfId="207" totalsRowDxfId="206"/>
    <tableColumn id="43" xr3:uid="{C77E308F-CFA0-4D8E-B744-E3DB29AD26FF}" name="Activity Code" dataDxfId="205" totalsRowDxfId="204"/>
    <tableColumn id="18" xr3:uid="{00000000-0010-0000-1100-000012000000}" name="Lot" dataDxfId="203" totalsRowDxfId="202">
      <calculatedColumnFormula>IF(ISBLANK(TAB_CSEXPENSES[[#This Row],[Reference]]),"",VLOOKUP(TAB_CSEXPENSES[[#This Row],[ID]],TAB_Offres[],2,FALSE))</calculatedColumnFormula>
    </tableColumn>
    <tableColumn id="2" xr3:uid="{00000000-0010-0000-1100-000002000000}" name="Institution/agency" dataDxfId="201" totalsRowDxfId="200">
      <calculatedColumnFormula>IF(ISBLANK(TAB_CSEXPENSES[[#This Row],[Reference]]),"",INDEX(TAB_Offres[Institution/agency],MATCH(TAB_CSEXPENSES[[#This Row],[Reference]],TAB_Offres[Reference],0)))</calculatedColumnFormula>
    </tableColumn>
    <tableColumn id="3" xr3:uid="{00000000-0010-0000-1100-000003000000}" name="DG" dataDxfId="199" totalsRowDxfId="198">
      <calculatedColumnFormula>IF(ISBLANK(TAB_CSEXPENSES[[#This Row],[Reference]]),"",INDEX(TAB_Offres[DG],MATCH(TAB_CSEXPENSES[[#This Row],[Reference]],TAB_Offres[Reference],0)))</calculatedColumnFormula>
    </tableColumn>
    <tableColumn id="29" xr3:uid="{00000000-0010-0000-1100-00001D000000}" name="Service" dataDxfId="197" totalsRowDxfId="196">
      <calculatedColumnFormula>IF(ISBLANK(TAB_CSEXPENSES[[#This Row],[Reference]]),"",INDEX(#REF!,MATCH(TAB_CSEXPENSES[[#This Row],[Reference]],TAB_Offres[Reference],0)))</calculatedColumnFormula>
    </tableColumn>
    <tableColumn id="5" xr3:uid="{00000000-0010-0000-1100-000005000000}" name="Description" dataDxfId="195">
      <calculatedColumnFormula>IF(ISBLANK(TAB_CSEXPENSES[[#This Row],[Reference]]),"",INDEX(TAB_Offres[Offer description],MATCH(TAB_CSEXPENSES[[#This Row],[Reference]],TAB_Offres[Reference],0)))</calculatedColumnFormula>
    </tableColumn>
    <tableColumn id="4" xr3:uid="{00000000-0010-0000-1100-000004000000}" name="CS signature date" dataDxfId="194" totalsRowDxfId="193">
      <calculatedColumnFormula>_xlfn.IFNA(IF(ISBLANK(TAB_CSEXPENSES[[#This Row],[Ressource]]),"",VLOOKUP(TAB_CSEXPENSES[[#This Row],[Reference]],TAB_Offres[[Reference]:[CS signature date]],COLUMNS(TAB_Offres[[Reference]:[CS signature date]]),FALSE)),"")</calculatedColumnFormula>
    </tableColumn>
    <tableColumn id="6" xr3:uid="{00000000-0010-0000-1100-000006000000}" name="CS Start date" dataDxfId="192" totalsRowDxfId="191">
      <calculatedColumnFormula>_xlfn.IFNA(IF(ISBLANK(TAB_CSEXPENSES[[#This Row],[Ressource]]),"",VLOOKUP(TAB_CSEXPENSES[[#This Row],[Reference]],TAB_Offres[[Reference]:[CS start date]],COLUMNS(TAB_Offres[[Reference]:[CS start date]]),FALSE)),"")</calculatedColumnFormula>
    </tableColumn>
    <tableColumn id="30" xr3:uid="{00000000-0010-0000-1100-00001E000000}" name="CS end date" dataDxfId="190" totalsRowDxfId="189">
      <calculatedColumnFormula>_xlfn.IFNA(IF(ISBLANK(TAB_CSEXPENSES[[#This Row],[Ressource]]),"",VLOOKUP(TAB_CSEXPENSES[[#This Row],[Reference]],TAB_Offres[[Reference]:[CS end date]],COLUMNS(TAB_Offres[[Reference]:[CS end date]]),FALSE)),"")</calculatedColumnFormula>
    </tableColumn>
    <tableColumn id="7" xr3:uid="{00000000-0010-0000-1100-000007000000}" name="State" dataDxfId="188" totalsRowDxfId="187">
      <calculatedColumnFormula>_xlfn.IFNA(IF(ISBLANK(TAB_CSEXPENSES[[#This Row],[Ressource]]),"",VLOOKUP(TAB_CSEXPENSES[[#This Row],[Reference]],TAB_Offres[[Reference]:[CS State]],COLUMNS(TAB_Offres[[Reference]:[CS State]]),FALSE)),"")</calculatedColumnFormula>
    </tableColumn>
    <tableColumn id="8" xr3:uid="{00000000-0010-0000-1100-000008000000}" name="Ressource" dataDxfId="186" totalsRowDxfId="185"/>
    <tableColumn id="9" xr3:uid="{00000000-0010-0000-1100-000009000000}" name="Company" dataDxfId="184" totalsRowDxfId="183">
      <calculatedColumnFormula>_xlfn.IFNA(IF(ISBLANK(TAB_CSEXPENSES[[#This Row],[Ressource]]),"",VLOOKUP(TAB_CSEXPENSES[[#This Row],[Reference]],TAB_Offres[[Reference]:[Company]],COLUMNS(TAB_Offres[[Reference]:[Company]]),FALSE)),)</calculatedColumnFormula>
    </tableColumn>
    <tableColumn id="10" xr3:uid="{00000000-0010-0000-1100-00000A000000}" name="Profile" dataDxfId="182" totalsRowDxfId="181">
      <calculatedColumnFormula>IF(ISBLANK(TAB_CSEXPENSES[[#This Row],[Ressource]]),"",VLOOKUP(TAB_CSEXPENSES[[#This Row],[Ressource]],TAB_ressource[],2,FALSE))</calculatedColumnFormula>
    </tableColumn>
    <tableColumn id="11" xr3:uid="{00000000-0010-0000-1100-00000B000000}" name="Cost/day" dataDxfId="180" totalsRowDxfId="179">
      <calculatedColumnFormula>IF(ISBLANK(TAB_CSEXPENSES[[#This Row],[Ressource]]),,_xlfn.IFNA(VLOOKUP(TAB_CSEXPENSES[[#This Row],[Profile]],TAB_prix[],2,FALSE),"/"))</calculatedColumnFormula>
    </tableColumn>
    <tableColumn id="12" xr3:uid="{00000000-0010-0000-1100-00000C000000}" name="Expected days" dataDxfId="178" totalsRowDxfId="177"/>
    <tableColumn id="13" xr3:uid="{00000000-0010-0000-1100-00000D000000}" name="Commited amount" totalsRowFunction="sum" dataDxfId="176" totalsRowDxfId="175">
      <calculatedColumnFormula>IF(TAB_CSEXPENSES[[#This Row],[Cost/day]]&lt;&gt;"/",TAB_CSEXPENSES[[#This Row],[Cost/day]]*TAB_CSEXPENSES[[#This Row],[Expected days]],)</calculatedColumnFormula>
    </tableColumn>
    <tableColumn id="15" xr3:uid="{00000000-0010-0000-1100-00000F000000}" name="Producted amounts" totalsRowFunction="sum" dataDxfId="174" totalsRowDxfId="173">
      <calculatedColumnFormula>IF(TAB_CSEXPENSES[[#This Row],[P]]="",, SUM(TAB_CSEXPENSES[[#This Row],[F]:[P]])-TAB_CSEXPENSES[[#This Row],[P]])</calculatedColumnFormula>
    </tableColumn>
    <tableColumn id="17" xr3:uid="{00000000-0010-0000-1100-000011000000}" name="Remaining amount" totalsRowFunction="sum" dataDxfId="172" totalsRowDxfId="171">
      <calculatedColumnFormula>R:R-S:S</calculatedColumnFormula>
    </tableColumn>
    <tableColumn id="26" xr3:uid="{00000000-0010-0000-1100-00001A000000}" name="Expected amounts" totalsRowFunction="sum" dataDxfId="170" totalsRowDxfId="169">
      <calculatedColumnFormula>SUM(TAB_CSEXPENSES[[#This Row],[P]:[FP]])</calculatedColumnFormula>
    </tableColumn>
    <tableColumn id="22" xr3:uid="{00000000-0010-0000-1100-000016000000}" name="F" dataDxfId="168" totalsRowDxfId="167"/>
    <tableColumn id="54" xr3:uid="{00000000-0010-0000-1100-000036000000}" name="sept-2022" dataDxfId="166" totalsRowDxfId="165"/>
    <tableColumn id="53" xr3:uid="{00000000-0010-0000-1100-000035000000}" name="oct-2022" dataDxfId="164" totalsRowDxfId="163"/>
    <tableColumn id="51" xr3:uid="{00000000-0010-0000-1100-000033000000}" name="nov-2022" dataDxfId="162" totalsRowDxfId="161"/>
    <tableColumn id="69" xr3:uid="{00000000-0010-0000-1100-000045000000}" name="dec-2022" dataDxfId="160" totalsRowDxfId="159"/>
    <tableColumn id="40" xr3:uid="{00000000-0010-0000-1100-000028000000}" name="Jan-2023" dataDxfId="158" totalsRowDxfId="157"/>
    <tableColumn id="27" xr3:uid="{00000000-0010-0000-1100-00001B000000}" name="Feb-2023" dataDxfId="156" totalsRowDxfId="155"/>
    <tableColumn id="41" xr3:uid="{00000000-0010-0000-1100-000029000000}" name="Mar-2023" dataDxfId="154" totalsRowDxfId="153"/>
    <tableColumn id="36" xr3:uid="{00000000-0010-0000-1100-000024000000}" name="Apr-2023" dataDxfId="152" totalsRowDxfId="151"/>
    <tableColumn id="35" xr3:uid="{00000000-0010-0000-1100-000023000000}" name="May-2023" dataDxfId="150" totalsRowDxfId="149"/>
    <tableColumn id="34" xr3:uid="{00000000-0010-0000-1100-000022000000}" name="Jun-2023" dataDxfId="148" totalsRowDxfId="147"/>
    <tableColumn id="33" xr3:uid="{00000000-0010-0000-1100-000021000000}" name="Jul-2023" dataDxfId="146" totalsRowDxfId="145"/>
    <tableColumn id="32" xr3:uid="{00000000-0010-0000-1100-000020000000}" name="Aug-2023" dataDxfId="144" totalsRowDxfId="143"/>
    <tableColumn id="46" xr3:uid="{00000000-0010-0000-1100-00002E000000}" name="Sept-2023" dataDxfId="142" totalsRowDxfId="141"/>
    <tableColumn id="45" xr3:uid="{00000000-0010-0000-1100-00002D000000}" name="Oct-2023" dataDxfId="140" totalsRowDxfId="139"/>
    <tableColumn id="47" xr3:uid="{00000000-0010-0000-1100-00002F000000}" name="Nov-2023" dataDxfId="138" totalsRowDxfId="137"/>
    <tableColumn id="48" xr3:uid="{00000000-0010-0000-1100-000030000000}" name="Dec-2023" dataDxfId="136" totalsRowDxfId="135"/>
    <tableColumn id="61" xr3:uid="{00000000-0010-0000-1100-00003D000000}" name="Jan-2024" dataDxfId="134" totalsRowDxfId="133"/>
    <tableColumn id="42" xr3:uid="{70367A65-2E62-4762-916B-F24417718627}" name="Feb-2024" dataDxfId="132" totalsRowDxfId="131"/>
    <tableColumn id="39" xr3:uid="{287EA788-905C-4DB2-AB9C-175593C5E0F5}" name="Mar-2024" dataDxfId="130" totalsRowDxfId="129"/>
    <tableColumn id="38" xr3:uid="{AA340774-B238-4533-AC66-9CAEDC21D3DB}" name="Apr-2024" dataDxfId="128" totalsRowDxfId="127"/>
    <tableColumn id="37" xr3:uid="{92ECFDB7-DA86-4F4D-8EE6-38932711C187}" name="May-2024" dataDxfId="126" totalsRowDxfId="125"/>
    <tableColumn id="28" xr3:uid="{58C40D5D-FCD7-4FD4-90D7-CCEE63B602E4}" name="Jun-2024" dataDxfId="124" totalsRowDxfId="123"/>
    <tableColumn id="25" xr3:uid="{9B8434DC-A3CF-472E-A669-375575E91BBB}" name="Jul-2024" dataDxfId="122" totalsRowDxfId="121"/>
    <tableColumn id="21" xr3:uid="{8893C621-C847-474D-AAE4-111330BBA6CF}" name="Aug-2024" dataDxfId="120" totalsRowDxfId="119"/>
    <tableColumn id="20" xr3:uid="{DCA1592B-3574-42BD-8F9A-F3DE0B92941C}" name="Sept-2024" dataDxfId="118" totalsRowDxfId="117"/>
    <tableColumn id="24" xr3:uid="{00000000-0010-0000-1100-000018000000}" name="P" totalsRowFunction="sum" dataDxfId="116" totalsRowDxfId="115" dataCellStyle="Sortie">
      <calculatedColumnFormula>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calculatedColumnFormula>
    </tableColumn>
    <tableColumn id="19" xr3:uid="{8A8AF0D1-B230-4C7C-8B72-C48A70B112BA}" name="Oct-2024" dataDxfId="114" totalsRowDxfId="113"/>
    <tableColumn id="16" xr3:uid="{22F1C718-954D-4D99-8797-91408B4ADC8B}" name="Nov-2024" dataDxfId="112" totalsRowDxfId="111"/>
    <tableColumn id="14" xr3:uid="{716DD110-7F1B-4615-82F3-110AB40103E9}" name="Dec-2024" dataDxfId="110" totalsRowDxfId="109"/>
    <tableColumn id="31" xr3:uid="{00000000-0010-0000-1100-00001F000000}" name="FP" dataDxfId="108" totalsRowDxfId="107" dataCellStyle="Sortie"/>
    <tableColumn id="62" xr3:uid="{A7C3E1CE-A376-4265-A355-503FBD507058}" name="Jan-2025" dataDxfId="106" totalsRowDxfId="105"/>
    <tableColumn id="60" xr3:uid="{D187726B-9F29-411B-98B6-AF0FFDD730E3}" name="Feb-2025" dataDxfId="104" totalsRowDxfId="103"/>
    <tableColumn id="59" xr3:uid="{F1D836BE-1A73-44BD-BAAE-B157CFF52F8D}" name="Mar-2025" dataDxfId="102" totalsRowDxfId="101"/>
    <tableColumn id="58" xr3:uid="{25873B9F-1E6C-4F83-8210-FA0FD7AC537C}" name="Apr-2025" dataDxfId="100" totalsRowDxfId="99"/>
    <tableColumn id="57" xr3:uid="{A3D8F883-DAA7-4BF7-A0FE-FE2983D0D940}" name="May-2025" dataDxfId="98" totalsRowDxfId="97"/>
    <tableColumn id="56" xr3:uid="{97205DB9-8627-4007-8315-BA307DAAB39F}" name="Jun-2025" dataDxfId="96" totalsRowDxfId="95"/>
    <tableColumn id="55" xr3:uid="{BBC2F721-EC10-4DA5-941E-BF6E826AAE80}" name="Jul-2025" dataDxfId="94" totalsRowDxfId="93"/>
    <tableColumn id="52" xr3:uid="{3C8D0DCE-AC0F-40BF-B5BC-500D3DC6D97E}" name="Aug-2025" dataDxfId="92" totalsRowDxfId="91"/>
    <tableColumn id="50" xr3:uid="{D61EBC52-1168-4CB0-AB03-00B36CF10557}" name="Sept-2025" dataDxfId="90" totalsRowDxfId="89"/>
    <tableColumn id="49" xr3:uid="{B21507EF-E6F0-476F-B02C-471B600D7ABE}" name="Oct-2025" dataDxfId="88" totalsRowDxfId="87"/>
    <tableColumn id="44" xr3:uid="{63526F04-D921-41B3-9415-C43582EF67DF}" name="Nov-2025" dataDxfId="86" totalsRowDxfId="85"/>
    <tableColumn id="63" xr3:uid="{2E7D1E42-6A58-4996-A409-9D21304CBCED}" name="Dec-2025" dataDxfId="84" totalsRowDxfId="83"/>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_JoursFeriesLux" displayName="TAB_JoursFeriesLux" ref="B1:B20" totalsRowShown="0" headerRowDxfId="77" dataDxfId="75" headerRowBorderDxfId="76" tableBorderDxfId="74" totalsRowBorderDxfId="73">
  <autoFilter ref="B1:B20" xr:uid="{00000000-0009-0000-0100-000002000000}"/>
  <tableColumns count="1">
    <tableColumn id="1" xr3:uid="{00000000-0010-0000-0000-000001000000}" name="Jours Fériés Lux" dataDxfId="72"/>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TAB_ressource" displayName="TAB_ressource" ref="AI1:AK1003" totalsRowCount="1" headerRowDxfId="71">
  <autoFilter ref="AI1:AK1002" xr:uid="{00000000-0009-0000-0100-000005000000}"/>
  <sortState xmlns:xlrd2="http://schemas.microsoft.com/office/spreadsheetml/2017/richdata2" ref="AI2:AM43">
    <sortCondition ref="AI1:AI43"/>
  </sortState>
  <tableColumns count="3">
    <tableColumn id="1" xr3:uid="{00000000-0010-0000-0100-000001000000}" name="Import Ressource" totalsRowLabel="Total" dataDxfId="70" totalsRowDxfId="69">
      <calculatedColumnFormula>IFERROR(_xlfn.SINGLE(
IF(_xlfn.SINGLE(INDEX(TAB_Offres[Ressource 1],ROWS(Params!AI$2:$AI2)))=0,NA(),
INDEX(TAB_Offres[Ressource 1],ROWS(Params!AI$2:$AI2)))),
IFERROR(_xlfn.SINGLE(IF(_xlfn.SINGLE(INDEX(#REF!,ROWS(Params!AI$2:$AI2)-COUNTA(TAB_Offres[Ressource 1])))=0,NA(),
INDEX(#REF!,ROWS(Params!AI$2:$AI2)-COUNTA(TAB_Offres[Ressource 1])))),
IFERROR(_xlfn.SINGLE(IF(_xlfn.SINGLE(INDEX(#REF!,ROWS(Params!AI$2:$AI2)-COUNTA(#REF!)-COUNTA(TAB_Offres[Ressource 1])))=0,NA(),
INDEX(#REF!,ROWS(Params!AI$2:$AI2)-COUNTA(#REF!)-COUNTA(TAB_Offres[Ressource 1])))),""))
)</calculatedColumnFormula>
    </tableColumn>
    <tableColumn id="2" xr3:uid="{00000000-0010-0000-0100-000002000000}" name="ID Import ressources" dataDxfId="68" totalsRowDxfId="67">
      <calculatedColumnFormula>IF(TAB_ressource[[#This Row],[Import Ressource]]="","",MAX(AJ$1:AJ1)+1)</calculatedColumnFormula>
    </tableColumn>
    <tableColumn id="3" xr3:uid="{00000000-0010-0000-0100-000003000000}" name="Filtered Ressources List" dataDxfId="66" totalsRowDxfId="65">
      <calculatedColumnFormula>IFERROR(INDEX(TAB_ressource[Import Ressource],MATCH(ROW()-ROW($AK$1),TAB_ressource[ID Import ressources],0)),"")</calculatedColumnFormula>
    </tableColumn>
  </tableColumns>
  <tableStyleInfo name="TableStyleMedium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_prix" displayName="TAB_prix" ref="R1:AD314" totalsRowShown="0" tableBorderDxfId="64">
  <autoFilter ref="R1:AD314" xr:uid="{00000000-0009-0000-0100-000004000000}"/>
  <tableColumns count="13">
    <tableColumn id="1" xr3:uid="{00000000-0010-0000-0200-000001000000}" name="Profil" dataDxfId="63"/>
    <tableColumn id="3" xr3:uid="{00000000-0010-0000-0200-000003000000}" name="Prix-Level0" dataDxfId="62">
      <calculatedColumnFormula>#REF!*8</calculatedColumnFormula>
    </tableColumn>
    <tableColumn id="11" xr3:uid="{00000000-0010-0000-0200-00000B000000}" name="Prix-Level1" dataDxfId="61"/>
    <tableColumn id="10" xr3:uid="{00000000-0010-0000-0200-00000A000000}" name="Prix-Level2" dataDxfId="60"/>
    <tableColumn id="9" xr3:uid="{00000000-0010-0000-0200-000009000000}" name="Prix-Level3" dataDxfId="59"/>
    <tableColumn id="8" xr3:uid="{00000000-0010-0000-0200-000008000000}" name="Prix-Level4" dataDxfId="58"/>
    <tableColumn id="7" xr3:uid="{00000000-0010-0000-0200-000007000000}" name="Prix-Level5" dataDxfId="57"/>
    <tableColumn id="6" xr3:uid="{00000000-0010-0000-0200-000006000000}" name="Prix-Level6" dataDxfId="56"/>
    <tableColumn id="12" xr3:uid="{00000000-0010-0000-0200-00000C000000}" name="Prix-Level7" dataDxfId="55"/>
    <tableColumn id="14" xr3:uid="{00000000-0010-0000-0200-00000E000000}" name="Prix-Level8" dataDxfId="54"/>
    <tableColumn id="13" xr3:uid="{00000000-0010-0000-0200-00000D000000}" name="Prix-Level9" dataDxfId="53"/>
    <tableColumn id="5" xr3:uid="{00000000-0010-0000-0200-000005000000}" name="Prix-Level10" dataDxfId="52"/>
    <tableColumn id="4" xr3:uid="{00000000-0010-0000-0200-000004000000}" name="Lot" dataDxfId="51"/>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3000000}" name="TAB_EtatCS" displayName="TAB_EtatCS" ref="F1:G4" totalsRowShown="0" headerRowDxfId="50" dataDxfId="49">
  <autoFilter ref="F1:G4" xr:uid="{00000000-0009-0000-0100-000006000000}"/>
  <tableColumns count="2">
    <tableColumn id="1" xr3:uid="{00000000-0010-0000-0300-000001000000}" name="CS_State" dataDxfId="48"/>
    <tableColumn id="2" xr3:uid="{00000000-0010-0000-0300-000002000000}" name="Label" dataDxfId="47"/>
  </tableColumns>
  <tableStyleInfo name="TableStyleMedium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4000000}" name="TAB_Liste_profil" displayName="TAB_Liste_profil" ref="AQ1:AR104" totalsRowShown="0" headerRowDxfId="46" headerRowBorderDxfId="45" tableBorderDxfId="44" totalsRowBorderDxfId="43">
  <autoFilter ref="AQ1:AR104" xr:uid="{00000000-0009-0000-0100-000007000000}"/>
  <tableColumns count="2">
    <tableColumn id="1" xr3:uid="{00000000-0010-0000-0400-000001000000}" name="Profil" dataDxfId="42"/>
    <tableColumn id="2" xr3:uid="{00000000-0010-0000-0400-000002000000}" name="ETP" dataDxfId="41">
      <calculatedColumnFormula>COUNTIF(TAB_CS[Profile],AQ2)</calculatedColumnFormula>
    </tableColumn>
  </tableColumns>
  <tableStyleInfo name="TableStyleMedium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5000000}" name="TAB_ReponseCS" displayName="TAB_ReponseCS" ref="I1:J3" totalsRowShown="0" headerRowDxfId="40" dataDxfId="39">
  <autoFilter ref="I1:J3" xr:uid="{00000000-0009-0000-0100-000009000000}"/>
  <tableColumns count="2">
    <tableColumn id="1" xr3:uid="{00000000-0010-0000-0500-000001000000}" name="Reponse_CS" dataDxfId="38"/>
    <tableColumn id="2" xr3:uid="{00000000-0010-0000-0500-000002000000}" name="YN" dataDxfId="37"/>
  </tableColumns>
  <tableStyleInfo name="TableStyleMedium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6000000}" name="TAB_Lot" displayName="TAB_Lot" ref="AT1:AU4" totalsRowShown="0" headerRowDxfId="36" tableBorderDxfId="35">
  <autoFilter ref="AT1:AU4" xr:uid="{00000000-0009-0000-0100-00000F000000}"/>
  <tableColumns count="2">
    <tableColumn id="1" xr3:uid="{00000000-0010-0000-0600-000001000000}" name="Lot"/>
    <tableColumn id="2" xr3:uid="{00000000-0010-0000-0600-000002000000}" name="Label"/>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7000000}" name="TAB_Institution" displayName="TAB_Institution" ref="AW1:AX9" totalsRowShown="0" headerRowDxfId="34" headerRowBorderDxfId="33" tableBorderDxfId="32" totalsRowBorderDxfId="31">
  <autoFilter ref="AW1:AX9" xr:uid="{00000000-0009-0000-0100-000010000000}"/>
  <tableColumns count="2">
    <tableColumn id="1" xr3:uid="{00000000-0010-0000-0700-000001000000}" name="Institution" dataDxfId="30"/>
    <tableColumn id="2" xr3:uid="{00000000-0010-0000-0700-000002000000}" name="Libelle" dataDxfId="29"/>
  </tableColumns>
  <tableStyleInfo name="TableStyleMedium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8000000}" name="TAB_Consortium" displayName="TAB_Consortium" ref="AZ1:AZ7" totalsRowShown="0" headerRowDxfId="28" dataDxfId="27" tableBorderDxfId="26">
  <autoFilter ref="AZ1:AZ7" xr:uid="{00000000-0009-0000-0100-00000E000000}"/>
  <tableColumns count="1">
    <tableColumn id="1" xr3:uid="{00000000-0010-0000-0800-000001000000}" name="Company" dataDxfId="25"/>
  </tableColumns>
  <tableStyleInfo name="TableStyleMedium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9000000}" name="TAB_DELIVERY" displayName="TAB_DELIVERY" ref="K1:K4" totalsRowShown="0" headerRowDxfId="24" tableBorderDxfId="23">
  <autoFilter ref="K1:K4" xr:uid="{00000000-0009-0000-0100-00000D000000}"/>
  <tableColumns count="1">
    <tableColumn id="1" xr3:uid="{00000000-0010-0000-0900-000001000000}" name="Delivery_Mode"/>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A000000}" name="TAB_Level" displayName="TAB_Level" ref="AF1:AF15" totalsRowShown="0" headerRowDxfId="22" dataDxfId="21" tableBorderDxfId="20">
  <autoFilter ref="AF1:AF15" xr:uid="{00000000-0009-0000-0100-00000C000000}"/>
  <tableColumns count="1">
    <tableColumn id="1" xr3:uid="{00000000-0010-0000-0A00-000001000000}" name="Level" dataDxfId="19">
      <calculatedColumnFormula>AF1+1</calculatedColumnFormula>
    </tableColumn>
  </tableColumns>
  <tableStyleInfo name="TableStyleMedium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B000000}" name="TAB_Mode" displayName="TAB_Mode" ref="BB1:BB3" totalsRowShown="0" headerRowDxfId="18" dataDxfId="17" tableBorderDxfId="16">
  <autoFilter ref="BB1:BB3" xr:uid="{00000000-0009-0000-0100-000003000000}"/>
  <tableColumns count="1">
    <tableColumn id="1" xr3:uid="{00000000-0010-0000-0B00-000001000000}" name="Mode" dataDxfId="15"/>
  </tableColumns>
  <tableStyleInfo name="TableStyleMedium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C000000}" name="Tableau18" displayName="Tableau18" ref="D1:D9" totalsRowShown="0" headerRowDxfId="14" dataDxfId="12" headerRowBorderDxfId="13" tableBorderDxfId="11" totalsRowBorderDxfId="10">
  <autoFilter ref="D1:D9" xr:uid="{00000000-0009-0000-0100-000012000000}"/>
  <tableColumns count="1">
    <tableColumn id="1" xr3:uid="{00000000-0010-0000-0C00-000001000000}" name="REQUEST_STATE" dataDxfId="9"/>
  </tableColumns>
  <tableStyleInfo name="TableStyleMedium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D000000}" name="Tableau19" displayName="Tableau19" ref="M1:P1001" totalsRowShown="0" headerRowDxfId="8">
  <autoFilter ref="M1:P1001" xr:uid="{00000000-0009-0000-0100-000013000000}"/>
  <tableColumns count="4">
    <tableColumn id="1" xr3:uid="{00000000-0010-0000-0D00-000001000000}" name="ACCEPTED_REFERENCES" dataDxfId="7">
      <calculatedColumnFormula>_xlfn.IFNA(IF(VLOOKUP(TAB_Offres[[#This Row],[Reference]],TAB_Offres[[Reference]:[Request State]],COLUMNS(TAB_Offres[[Reference]:[Request State]]),FALSE)=D$6,TAB_Offres[[#This Row],[Reference]],""),"")</calculatedColumnFormula>
    </tableColumn>
    <tableColumn id="2" xr3:uid="{00000000-0010-0000-0D00-000002000000}" name="EXPENSES_REF" dataDxfId="6">
      <calculatedColumnFormula>_xlfn.IFNA(IF(VLOOKUP(TAB_Offres[[#This Row],[Reference]],TAB_Offres[[Reference]:[Has Expenses?]],COLUMNS(TAB_Offres[[Reference]:[Has Expenses?]]),FALSE)=J$2,TAB_Offres[[#This Row],[Reference]],""),"")</calculatedColumnFormula>
    </tableColumn>
    <tableColumn id="3" xr3:uid="{00000000-0010-0000-0D00-000003000000}" name="Expenses ID" dataDxfId="5">
      <calculatedColumnFormula>IF(Tableau19[[#This Row],[EXPENSES_REF]]="","",MAX(O$1:O1)+1)</calculatedColumnFormula>
    </tableColumn>
    <tableColumn id="4" xr3:uid="{00000000-0010-0000-0D00-000004000000}" name="Filtered_Expenses_Ref" dataDxfId="4">
      <calculatedColumnFormula>IFERROR(INDEX($N$2:$N$1001,MATCH(ROW()-ROW($P$1),$O$2:$O$1001,0)),"")</calculatedColumnFormula>
    </tableColumn>
  </tableColumns>
  <tableStyleInfo name="TableStyleMedium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4132DC46-88B2-4892-B546-2E1187F70524}" name="Tableau1922" displayName="Tableau1922" ref="BD1:BD763" totalsRowShown="0">
  <autoFilter ref="BD1:BD763" xr:uid="{4132DC46-88B2-4892-B546-2E1187F70524}"/>
  <tableColumns count="1">
    <tableColumn id="1" xr3:uid="{91135930-FE72-406D-A5D7-7C13A8A84300}" name="Ref To Exclude Lot 1"/>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DAC6E18F-AA86-4E15-A002-4B15AE76629F}" name="Tableau20" displayName="Tableau20" ref="BE1:BE2505" totalsRowShown="0">
  <autoFilter ref="BE1:BE2505" xr:uid="{DAC6E18F-AA86-4E15-A002-4B15AE76629F}"/>
  <tableColumns count="1">
    <tableColumn id="1" xr3:uid="{A390DE07-F4C3-4A2D-9813-4C08E97E532A}" name="Ref To Exclude Lot 2"/>
  </tableColumns>
  <tableStyleInfo name="TableStyleMedium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2A9D2F5C-40A0-4BA1-A8F6-3521E5388EE6}" name="Tableau21" displayName="Tableau21" ref="BF1:BG4747" totalsRowShown="0">
  <autoFilter ref="BF1:BG4747" xr:uid="{2A9D2F5C-40A0-4BA1-A8F6-3521E5388EE6}"/>
  <tableColumns count="2">
    <tableColumn id="1" xr3:uid="{58AF3685-5D70-444A-923D-6499C063B3DB}" name="Ref To Exclude Lot 3"/>
    <tableColumn id="2" xr3:uid="{2A71B44D-63A9-4F18-9A82-49C63473E004}" name="Total to Exclude"/>
  </tableColumns>
  <tableStyleInfo name="TableStyleMedium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06C4760-4692-463B-B097-C65983ECFCF9}" name="Tableau27" displayName="Tableau27" ref="AN1:AO377" totalsRowShown="0" headerRowDxfId="3" dataDxfId="2">
  <autoFilter ref="AN1:AO377" xr:uid="{306C4760-4692-463B-B097-C65983ECFCF9}"/>
  <tableColumns count="2">
    <tableColumn id="1" xr3:uid="{FD9CA1CE-5C34-4176-BC06-C439841CBF05}" name="Disctinct Ressources list" dataDxfId="1">
      <calculatedColumnFormula>AM2</calculatedColumnFormula>
    </tableColumn>
    <tableColumn id="2" xr3:uid="{432E5CCD-EA4E-4AA5-85B4-C51E0C8D9A22}" name="Security Clearance" dataDxfId="0"/>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4.xml.rels><?xml version="1.0" encoding="UTF-8" standalone="yes"?>
<Relationships xmlns="http://schemas.openxmlformats.org/package/2006/relationships"><Relationship Id="rId8" Type="http://schemas.openxmlformats.org/officeDocument/2006/relationships/table" Target="../tables/table10.xml"/><Relationship Id="rId13" Type="http://schemas.openxmlformats.org/officeDocument/2006/relationships/table" Target="../tables/table15.xml"/><Relationship Id="rId18" Type="http://schemas.openxmlformats.org/officeDocument/2006/relationships/table" Target="../tables/table20.xml"/><Relationship Id="rId3" Type="http://schemas.openxmlformats.org/officeDocument/2006/relationships/table" Target="../tables/table5.xml"/><Relationship Id="rId7" Type="http://schemas.openxmlformats.org/officeDocument/2006/relationships/table" Target="../tables/table9.xml"/><Relationship Id="rId12" Type="http://schemas.openxmlformats.org/officeDocument/2006/relationships/table" Target="../tables/table14.xml"/><Relationship Id="rId17" Type="http://schemas.openxmlformats.org/officeDocument/2006/relationships/table" Target="../tables/table19.xml"/><Relationship Id="rId2" Type="http://schemas.openxmlformats.org/officeDocument/2006/relationships/table" Target="../tables/table4.xml"/><Relationship Id="rId16" Type="http://schemas.openxmlformats.org/officeDocument/2006/relationships/table" Target="../tables/table18.xml"/><Relationship Id="rId1" Type="http://schemas.openxmlformats.org/officeDocument/2006/relationships/printerSettings" Target="../printerSettings/printerSettings8.bin"/><Relationship Id="rId6" Type="http://schemas.openxmlformats.org/officeDocument/2006/relationships/table" Target="../tables/table8.xml"/><Relationship Id="rId11" Type="http://schemas.openxmlformats.org/officeDocument/2006/relationships/table" Target="../tables/table13.xml"/><Relationship Id="rId5" Type="http://schemas.openxmlformats.org/officeDocument/2006/relationships/table" Target="../tables/table7.xml"/><Relationship Id="rId15" Type="http://schemas.openxmlformats.org/officeDocument/2006/relationships/table" Target="../tables/table17.xml"/><Relationship Id="rId10" Type="http://schemas.openxmlformats.org/officeDocument/2006/relationships/table" Target="../tables/table12.xml"/><Relationship Id="rId19" Type="http://schemas.openxmlformats.org/officeDocument/2006/relationships/table" Target="../tables/table21.xml"/><Relationship Id="rId4" Type="http://schemas.openxmlformats.org/officeDocument/2006/relationships/table" Target="../tables/table6.xml"/><Relationship Id="rId9" Type="http://schemas.openxmlformats.org/officeDocument/2006/relationships/table" Target="../tables/table11.xml"/><Relationship Id="rId14" Type="http://schemas.openxmlformats.org/officeDocument/2006/relationships/table" Target="../tables/table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11">
    <tabColor theme="9" tint="0.39997558519241921"/>
  </sheetPr>
  <dimension ref="A1:E14"/>
  <sheetViews>
    <sheetView topLeftCell="A6" zoomScale="80" zoomScaleNormal="80" workbookViewId="0">
      <selection sqref="A1:A3"/>
    </sheetView>
  </sheetViews>
  <sheetFormatPr baseColWidth="10" defaultColWidth="11.5546875" defaultRowHeight="13.2" x14ac:dyDescent="0.25"/>
  <cols>
    <col min="1" max="1" width="23.109375" style="93" customWidth="1"/>
    <col min="2" max="2" width="2.6640625" style="194" customWidth="1"/>
    <col min="3" max="3" width="73.6640625" style="93" customWidth="1"/>
    <col min="4" max="4" width="15.33203125" customWidth="1"/>
    <col min="5" max="5" width="53.88671875" style="93" customWidth="1"/>
  </cols>
  <sheetData>
    <row r="1" spans="1:5" ht="26.4" x14ac:dyDescent="0.25">
      <c r="A1" s="657" t="s">
        <v>371</v>
      </c>
      <c r="B1" s="195"/>
      <c r="C1" s="196" t="s">
        <v>506</v>
      </c>
      <c r="D1" s="203" t="s">
        <v>375</v>
      </c>
      <c r="E1" s="197"/>
    </row>
    <row r="2" spans="1:5" ht="39.6" x14ac:dyDescent="0.25">
      <c r="A2" s="658"/>
      <c r="B2" s="195"/>
      <c r="C2" s="198" t="s">
        <v>365</v>
      </c>
      <c r="D2" s="191" t="s">
        <v>333</v>
      </c>
      <c r="E2" s="198" t="s">
        <v>488</v>
      </c>
    </row>
    <row r="3" spans="1:5" ht="66.599999999999994" thickBot="1" x14ac:dyDescent="0.3">
      <c r="A3" s="659"/>
      <c r="B3" s="201"/>
      <c r="C3" s="202" t="s">
        <v>366</v>
      </c>
      <c r="D3" s="444" t="s">
        <v>367</v>
      </c>
      <c r="E3" s="202" t="s">
        <v>503</v>
      </c>
    </row>
    <row r="4" spans="1:5" ht="39.6" x14ac:dyDescent="0.25">
      <c r="A4" s="658" t="s">
        <v>372</v>
      </c>
      <c r="B4" s="199" t="s">
        <v>489</v>
      </c>
      <c r="C4" s="200" t="s">
        <v>493</v>
      </c>
    </row>
    <row r="5" spans="1:5" x14ac:dyDescent="0.25">
      <c r="A5" s="658"/>
      <c r="B5" s="195" t="s">
        <v>490</v>
      </c>
      <c r="C5" s="198" t="s">
        <v>494</v>
      </c>
    </row>
    <row r="6" spans="1:5" ht="39.6" x14ac:dyDescent="0.25">
      <c r="A6" s="658"/>
      <c r="B6" s="195" t="s">
        <v>491</v>
      </c>
      <c r="C6" s="198" t="s">
        <v>507</v>
      </c>
    </row>
    <row r="7" spans="1:5" x14ac:dyDescent="0.25">
      <c r="A7" s="658"/>
      <c r="B7" s="195" t="s">
        <v>492</v>
      </c>
      <c r="C7" s="198" t="s">
        <v>495</v>
      </c>
    </row>
    <row r="8" spans="1:5" ht="13.8" thickBot="1" x14ac:dyDescent="0.3">
      <c r="A8" s="659"/>
      <c r="B8" s="201"/>
      <c r="C8" s="202" t="s">
        <v>508</v>
      </c>
    </row>
    <row r="9" spans="1:5" ht="26.4" x14ac:dyDescent="0.25">
      <c r="A9" s="660" t="s">
        <v>370</v>
      </c>
      <c r="B9" s="199" t="s">
        <v>489</v>
      </c>
      <c r="C9" s="200" t="s">
        <v>498</v>
      </c>
    </row>
    <row r="10" spans="1:5" x14ac:dyDescent="0.25">
      <c r="A10" s="658"/>
      <c r="B10" s="195" t="s">
        <v>490</v>
      </c>
      <c r="C10" s="198" t="s">
        <v>499</v>
      </c>
    </row>
    <row r="11" spans="1:5" ht="26.4" x14ac:dyDescent="0.25">
      <c r="A11" s="658"/>
      <c r="B11" s="195" t="s">
        <v>491</v>
      </c>
      <c r="C11" s="198" t="s">
        <v>500</v>
      </c>
    </row>
    <row r="12" spans="1:5" ht="26.4" x14ac:dyDescent="0.25">
      <c r="A12" s="658"/>
      <c r="B12" s="195" t="s">
        <v>492</v>
      </c>
      <c r="C12" s="198" t="s">
        <v>501</v>
      </c>
    </row>
    <row r="13" spans="1:5" ht="26.4" x14ac:dyDescent="0.25">
      <c r="A13" s="658"/>
      <c r="B13" s="195" t="s">
        <v>496</v>
      </c>
      <c r="C13" s="198" t="s">
        <v>502</v>
      </c>
    </row>
    <row r="14" spans="1:5" ht="66.599999999999994" thickBot="1" x14ac:dyDescent="0.3">
      <c r="A14" s="659"/>
      <c r="B14" s="201" t="s">
        <v>497</v>
      </c>
      <c r="C14" s="202" t="s">
        <v>509</v>
      </c>
    </row>
  </sheetData>
  <mergeCells count="3">
    <mergeCell ref="A1:A3"/>
    <mergeCell ref="A4:A8"/>
    <mergeCell ref="A9:A14"/>
  </mergeCells>
  <pageMargins left="0.7" right="0.7" top="0.75" bottom="0.75" header="0.3" footer="0.3"/>
  <headerFooter>
    <oddFooter>&amp;C_x000D_&amp;1#&amp;"Arial"&amp;9&amp;K000000 Confidential</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theme="9" tint="-0.249977111117893"/>
    <pageSetUpPr fitToPage="1"/>
  </sheetPr>
  <dimension ref="A1:AQ999"/>
  <sheetViews>
    <sheetView zoomScaleNormal="100" workbookViewId="0">
      <pane xSplit="7" ySplit="1" topLeftCell="AA127" activePane="bottomRight" state="frozen"/>
      <selection pane="topRight" activeCell="H1" sqref="H1"/>
      <selection pane="bottomLeft" activeCell="A2" sqref="A2"/>
      <selection pane="bottomRight" activeCell="E155" sqref="E155"/>
    </sheetView>
  </sheetViews>
  <sheetFormatPr baseColWidth="10" defaultColWidth="9.109375" defaultRowHeight="13.2" outlineLevelCol="1" x14ac:dyDescent="0.25"/>
  <cols>
    <col min="1" max="1" width="7.109375" style="284" customWidth="1"/>
    <col min="2" max="2" width="6.6640625" style="284" customWidth="1"/>
    <col min="3" max="3" width="14.44140625" style="284" bestFit="1" customWidth="1"/>
    <col min="4" max="4" width="13.5546875" style="284" customWidth="1"/>
    <col min="5" max="5" width="58.6640625" style="210" customWidth="1"/>
    <col min="6" max="6" width="27.44140625" style="284" hidden="1" customWidth="1" outlineLevel="1"/>
    <col min="7" max="7" width="43" style="4" customWidth="1" collapsed="1"/>
    <col min="8" max="8" width="18.5546875" style="4" customWidth="1"/>
    <col min="9" max="12" width="16.5546875" style="4" customWidth="1"/>
    <col min="13" max="13" width="42.33203125" style="4" customWidth="1"/>
    <col min="14" max="14" width="42.109375" style="4" customWidth="1"/>
    <col min="15" max="17" width="16.5546875" style="4" customWidth="1"/>
    <col min="18" max="18" width="19.6640625" style="4" customWidth="1"/>
    <col min="19" max="19" width="23.6640625" style="4" customWidth="1"/>
    <col min="20" max="20" width="20.109375" style="4" customWidth="1"/>
    <col min="21" max="21" width="18" style="285" customWidth="1" outlineLevel="1"/>
    <col min="22" max="22" width="20.33203125" style="285" customWidth="1" outlineLevel="1"/>
    <col min="23" max="23" width="15.6640625" style="285" customWidth="1" outlineLevel="1"/>
    <col min="24" max="25" width="10.109375" style="285" bestFit="1" customWidth="1"/>
    <col min="26" max="26" width="11.33203125" style="473" customWidth="1"/>
    <col min="27" max="27" width="14.44140625" style="4" bestFit="1" customWidth="1"/>
    <col min="28" max="28" width="12" style="4" customWidth="1"/>
    <col min="29" max="29" width="31.109375" style="4" bestFit="1" customWidth="1"/>
    <col min="30" max="30" width="31.5546875" style="154" customWidth="1"/>
    <col min="31" max="31" width="10.33203125" style="154" bestFit="1" customWidth="1"/>
    <col min="32" max="32" width="11.88671875" style="154" bestFit="1" customWidth="1"/>
    <col min="33" max="33" width="21.109375" style="4" customWidth="1"/>
    <col min="34" max="34" width="16.109375" style="4" hidden="1" customWidth="1" outlineLevel="1"/>
    <col min="35" max="35" width="9.6640625" style="4" hidden="1" customWidth="1" outlineLevel="1"/>
    <col min="36" max="36" width="14.44140625" style="286" customWidth="1" collapsed="1"/>
    <col min="37" max="37" width="14.44140625" style="286" customWidth="1"/>
    <col min="38" max="38" width="14.5546875" style="286" bestFit="1" customWidth="1"/>
    <col min="39" max="39" width="15.5546875" style="4" bestFit="1" customWidth="1"/>
    <col min="40" max="42" width="15.5546875" style="4" customWidth="1"/>
    <col min="43" max="43" width="14.44140625" style="286" customWidth="1"/>
    <col min="44" max="16384" width="9.109375" style="4"/>
  </cols>
  <sheetData>
    <row r="1" spans="1:43" ht="78" customHeight="1" x14ac:dyDescent="0.25">
      <c r="A1" s="237" t="s">
        <v>3</v>
      </c>
      <c r="B1" s="238" t="s">
        <v>48</v>
      </c>
      <c r="C1" s="237" t="s">
        <v>187</v>
      </c>
      <c r="D1" s="239" t="s">
        <v>137</v>
      </c>
      <c r="E1" s="240" t="s">
        <v>159</v>
      </c>
      <c r="F1" s="241" t="s">
        <v>241</v>
      </c>
      <c r="G1" s="242" t="s">
        <v>160</v>
      </c>
      <c r="H1" s="243" t="s">
        <v>161</v>
      </c>
      <c r="I1" s="244" t="s">
        <v>168</v>
      </c>
      <c r="J1" s="244" t="s">
        <v>373</v>
      </c>
      <c r="K1" s="244" t="s">
        <v>374</v>
      </c>
      <c r="L1" s="245" t="s">
        <v>223</v>
      </c>
      <c r="M1" s="246" t="s">
        <v>377</v>
      </c>
      <c r="N1" s="246" t="s">
        <v>376</v>
      </c>
      <c r="O1" s="247" t="s">
        <v>333</v>
      </c>
      <c r="P1" s="247" t="s">
        <v>344</v>
      </c>
      <c r="Q1" s="248" t="s">
        <v>353</v>
      </c>
      <c r="R1" s="246" t="s">
        <v>355</v>
      </c>
      <c r="S1" s="249" t="s">
        <v>162</v>
      </c>
      <c r="T1" s="250" t="s">
        <v>163</v>
      </c>
      <c r="U1" s="250" t="s">
        <v>164</v>
      </c>
      <c r="V1" s="347" t="s">
        <v>180</v>
      </c>
      <c r="W1" s="347" t="s">
        <v>181</v>
      </c>
      <c r="X1" s="347" t="s">
        <v>175</v>
      </c>
      <c r="Y1" s="347" t="s">
        <v>176</v>
      </c>
      <c r="Z1" s="470" t="s">
        <v>190</v>
      </c>
      <c r="AA1" s="251" t="s">
        <v>182</v>
      </c>
      <c r="AB1" s="251" t="s">
        <v>177</v>
      </c>
      <c r="AC1" s="252" t="s">
        <v>356</v>
      </c>
      <c r="AD1" s="252" t="s">
        <v>183</v>
      </c>
      <c r="AE1" s="253" t="s">
        <v>49</v>
      </c>
      <c r="AF1" s="254" t="s">
        <v>357</v>
      </c>
      <c r="AG1" s="254" t="s">
        <v>358</v>
      </c>
      <c r="AH1" s="255" t="s">
        <v>17</v>
      </c>
      <c r="AI1" s="255" t="s">
        <v>16</v>
      </c>
      <c r="AJ1" s="256" t="s">
        <v>315</v>
      </c>
      <c r="AK1" s="256" t="s">
        <v>314</v>
      </c>
      <c r="AL1" s="256" t="s">
        <v>5454</v>
      </c>
      <c r="AM1" s="256" t="s">
        <v>316</v>
      </c>
      <c r="AN1" s="257" t="s">
        <v>310</v>
      </c>
      <c r="AQ1" s="4"/>
    </row>
    <row r="2" spans="1:43" x14ac:dyDescent="0.25">
      <c r="A2" s="258">
        <f>ROW(TAB_Offres[[#This Row],[Reference]])-ROW(TAB_Offres[[#Headers],[ID]])</f>
        <v>1</v>
      </c>
      <c r="B2" s="258" t="s">
        <v>139</v>
      </c>
      <c r="C2" s="259" t="s">
        <v>143</v>
      </c>
      <c r="D2" s="258" t="s">
        <v>591</v>
      </c>
      <c r="E2" s="261" t="s">
        <v>592</v>
      </c>
      <c r="F2" s="258" t="e">
        <f>IF(ISBLANK(TAB_Offres[[#This Row],[Reference]]),"",LOOKUP(TAB_Offres[[#This Row],[Reference]],#REF!,#REF!))</f>
        <v>#REF!</v>
      </c>
      <c r="G2" s="261" t="s">
        <v>593</v>
      </c>
      <c r="H2" s="262" t="s">
        <v>87</v>
      </c>
      <c r="I2" s="262" t="s">
        <v>222</v>
      </c>
      <c r="J2" s="262" t="s">
        <v>445</v>
      </c>
      <c r="K2" s="262" t="s">
        <v>484</v>
      </c>
      <c r="L2" s="262" t="s">
        <v>225</v>
      </c>
      <c r="M2" s="264"/>
      <c r="N2" s="262"/>
      <c r="O2" s="262" t="s">
        <v>338</v>
      </c>
      <c r="P2" s="262" t="s">
        <v>346</v>
      </c>
      <c r="Q2" s="263"/>
      <c r="R2" s="263"/>
      <c r="S2" s="292" t="s">
        <v>5364</v>
      </c>
      <c r="T2" s="261"/>
      <c r="U2" s="261"/>
      <c r="V2" s="265">
        <v>45093</v>
      </c>
      <c r="W2" s="265">
        <v>45093</v>
      </c>
      <c r="X2" s="268"/>
      <c r="Y2" s="265">
        <v>45096</v>
      </c>
      <c r="Z2" s="471">
        <f>SUMIF(TAB_CS[Reference],TAB_Offres[[#This Row],[Reference]],TAB_CS[Commited days])</f>
        <v>220</v>
      </c>
      <c r="AA2" s="269">
        <f>SUMIF(TAB_CS[Reference],TAB_Offres[[#This Row],[Reference]],TAB_CS[Commited amount])</f>
        <v>165829.4</v>
      </c>
      <c r="AB2" s="266" t="s">
        <v>173</v>
      </c>
      <c r="AC2" s="270" t="s">
        <v>594</v>
      </c>
      <c r="AD2" s="270" t="s">
        <v>54</v>
      </c>
      <c r="AE2" s="260">
        <v>9</v>
      </c>
      <c r="AF2" s="271">
        <v>45099</v>
      </c>
      <c r="AG2" s="272"/>
      <c r="AH2" s="273" t="str">
        <f>CONCATENATE(YEAR(TAB_Offres[[#This Row],[Request date ]]),"-",MONTH(TAB_Offres[[#This Row],[Request date ]]))</f>
        <v>2023-6</v>
      </c>
      <c r="AI2" s="274" t="e">
        <f>IF(#REF!,1,0)</f>
        <v>#REF!</v>
      </c>
      <c r="AJ2" s="4"/>
      <c r="AK2" s="4"/>
      <c r="AL2" s="4">
        <v>2</v>
      </c>
      <c r="AQ2" s="4"/>
    </row>
    <row r="3" spans="1:43" x14ac:dyDescent="0.25">
      <c r="A3" s="258">
        <f>ROW(TAB_Offres[[#This Row],[Reference]])-ROW(TAB_Offres[[#Headers],[ID]])</f>
        <v>2</v>
      </c>
      <c r="B3" s="258" t="s">
        <v>138</v>
      </c>
      <c r="C3" s="258" t="s">
        <v>143</v>
      </c>
      <c r="D3" s="258" t="s">
        <v>5463</v>
      </c>
      <c r="E3" s="263" t="s">
        <v>5470</v>
      </c>
      <c r="F3" s="258" t="e">
        <f>IF(ISBLANK(TAB_Offres[[#This Row],[Reference]]),"",LOOKUP(TAB_Offres[[#This Row],[Reference]],#REF!,#REF!))</f>
        <v>#REF!</v>
      </c>
      <c r="G3" s="261" t="s">
        <v>438</v>
      </c>
      <c r="H3" s="262" t="s">
        <v>86</v>
      </c>
      <c r="I3" s="262" t="s">
        <v>167</v>
      </c>
      <c r="J3" s="262" t="s">
        <v>445</v>
      </c>
      <c r="K3" s="262" t="s">
        <v>486</v>
      </c>
      <c r="L3" s="262" t="s">
        <v>225</v>
      </c>
      <c r="M3" s="264" t="s">
        <v>541</v>
      </c>
      <c r="N3" s="262" t="s">
        <v>542</v>
      </c>
      <c r="O3" s="262" t="s">
        <v>338</v>
      </c>
      <c r="P3" s="262" t="s">
        <v>346</v>
      </c>
      <c r="Q3" s="263"/>
      <c r="R3" s="263"/>
      <c r="S3" s="292" t="s">
        <v>5471</v>
      </c>
      <c r="T3" s="261"/>
      <c r="U3" s="261"/>
      <c r="V3" s="268">
        <v>45169</v>
      </c>
      <c r="W3" s="268">
        <v>45173</v>
      </c>
      <c r="X3" s="268"/>
      <c r="Y3" s="268">
        <v>45565</v>
      </c>
      <c r="Z3" s="471">
        <f>SUMIF(TAB_CS[Reference],TAB_Offres[[#This Row],[Reference]],TAB_CS[Commited days])</f>
        <v>0</v>
      </c>
      <c r="AA3" s="269">
        <f>SUMIF(TAB_CS[Reference],TAB_Offres[[#This Row],[Reference]],TAB_CS[Commited amount])</f>
        <v>0</v>
      </c>
      <c r="AB3" s="275" t="s">
        <v>173</v>
      </c>
      <c r="AC3" s="270" t="s">
        <v>302</v>
      </c>
      <c r="AD3" s="270" t="s">
        <v>92</v>
      </c>
      <c r="AE3" s="260">
        <v>8</v>
      </c>
      <c r="AF3" s="271"/>
      <c r="AG3" s="272"/>
      <c r="AH3" s="273" t="str">
        <f>CONCATENATE(YEAR(TAB_Offres[[#This Row],[Request date ]]),"-",MONTH(TAB_Offres[[#This Row],[Request date ]]))</f>
        <v>2023-7</v>
      </c>
      <c r="AI3" s="274" t="e">
        <f>IF(#REF!,1,0)</f>
        <v>#REF!</v>
      </c>
      <c r="AJ3" s="4">
        <v>16</v>
      </c>
      <c r="AK3" s="4"/>
      <c r="AL3" s="4"/>
      <c r="AQ3" s="4"/>
    </row>
    <row r="4" spans="1:43" x14ac:dyDescent="0.25">
      <c r="A4" s="258">
        <f>ROW(TAB_Offres[[#This Row],[Reference]])-ROW(TAB_Offres[[#Headers],[ID]])</f>
        <v>3</v>
      </c>
      <c r="B4" s="258" t="s">
        <v>138</v>
      </c>
      <c r="C4" s="258" t="s">
        <v>143</v>
      </c>
      <c r="D4" s="258" t="s">
        <v>5551</v>
      </c>
      <c r="E4" s="263" t="s">
        <v>6052</v>
      </c>
      <c r="F4" s="258" t="e">
        <f>IF(ISBLANK(TAB_Offres[[#This Row],[Reference]]),"",LOOKUP(TAB_Offres[[#This Row],[Reference]],#REF!,#REF!))</f>
        <v>#REF!</v>
      </c>
      <c r="G4" s="261" t="s">
        <v>5479</v>
      </c>
      <c r="H4" s="262" t="s">
        <v>86</v>
      </c>
      <c r="I4" s="262" t="s">
        <v>222</v>
      </c>
      <c r="J4" s="262" t="s">
        <v>446</v>
      </c>
      <c r="K4" s="262"/>
      <c r="L4" s="262" t="s">
        <v>225</v>
      </c>
      <c r="M4" s="264" t="s">
        <v>5559</v>
      </c>
      <c r="N4" s="316" t="s">
        <v>5560</v>
      </c>
      <c r="O4" s="262" t="s">
        <v>338</v>
      </c>
      <c r="P4" s="262" t="s">
        <v>346</v>
      </c>
      <c r="Q4" s="263"/>
      <c r="R4" s="263"/>
      <c r="S4" s="292" t="s">
        <v>5561</v>
      </c>
      <c r="T4" s="261"/>
      <c r="U4" s="261"/>
      <c r="V4" s="268"/>
      <c r="W4" s="268"/>
      <c r="X4" s="268"/>
      <c r="Y4" s="268"/>
      <c r="Z4" s="471">
        <f>SUMIF(TAB_CS[Reference],TAB_Offres[[#This Row],[Reference]],TAB_CS[Commited days])</f>
        <v>0</v>
      </c>
      <c r="AA4" s="269">
        <f>SUMIF(TAB_CS[Reference],TAB_Offres[[#This Row],[Reference]],TAB_CS[Commited amount])</f>
        <v>0</v>
      </c>
      <c r="AB4" s="275"/>
      <c r="AC4" s="270" t="s">
        <v>259</v>
      </c>
      <c r="AD4" s="270" t="s">
        <v>38</v>
      </c>
      <c r="AE4" s="266">
        <v>10</v>
      </c>
      <c r="AF4" s="271"/>
      <c r="AG4" s="272"/>
      <c r="AH4" s="273" t="str">
        <f>CONCATENATE(YEAR(TAB_Offres[[#This Row],[Request date ]]),"-",MONTH(TAB_Offres[[#This Row],[Request date ]]))</f>
        <v>2023-11</v>
      </c>
      <c r="AI4" s="274" t="e">
        <f>IF(#REF!,1,0)</f>
        <v>#REF!</v>
      </c>
      <c r="AJ4" s="4">
        <v>21</v>
      </c>
      <c r="AK4" s="4"/>
      <c r="AL4" s="4"/>
      <c r="AN4" s="150"/>
      <c r="AQ4" s="4"/>
    </row>
    <row r="5" spans="1:43" x14ac:dyDescent="0.25">
      <c r="A5" s="258">
        <f>ROW(TAB_Offres[[#This Row],[Reference]])-ROW(TAB_Offres[[#Headers],[ID]])</f>
        <v>4</v>
      </c>
      <c r="B5" s="258" t="s">
        <v>138</v>
      </c>
      <c r="C5" s="258" t="s">
        <v>152</v>
      </c>
      <c r="D5" s="258" t="s">
        <v>323</v>
      </c>
      <c r="E5" s="263" t="s">
        <v>242</v>
      </c>
      <c r="F5" s="258" t="e">
        <f>IF(ISBLANK(TAB_Offres[[#This Row],[Reference]]),"",LOOKUP(TAB_Offres[[#This Row],[Reference]],#REF!,#REF!))</f>
        <v>#REF!</v>
      </c>
      <c r="G5" s="261" t="s">
        <v>418</v>
      </c>
      <c r="H5" s="262" t="s">
        <v>86</v>
      </c>
      <c r="I5" s="262" t="s">
        <v>222</v>
      </c>
      <c r="J5" s="262" t="s">
        <v>445</v>
      </c>
      <c r="K5" s="262" t="s">
        <v>484</v>
      </c>
      <c r="L5" s="262" t="s">
        <v>225</v>
      </c>
      <c r="M5" s="270" t="s">
        <v>378</v>
      </c>
      <c r="N5" s="263" t="s">
        <v>398</v>
      </c>
      <c r="O5" s="262" t="s">
        <v>338</v>
      </c>
      <c r="P5" s="262" t="s">
        <v>346</v>
      </c>
      <c r="Q5" s="263"/>
      <c r="R5" s="263"/>
      <c r="S5" s="293">
        <v>44775.47761574074</v>
      </c>
      <c r="T5" s="261" t="s">
        <v>447</v>
      </c>
      <c r="U5" s="261" t="s">
        <v>469</v>
      </c>
      <c r="V5" s="268">
        <v>44810</v>
      </c>
      <c r="W5" s="268"/>
      <c r="X5" s="268">
        <v>44805</v>
      </c>
      <c r="Y5" s="268">
        <v>44985</v>
      </c>
      <c r="Z5" s="471">
        <f>SUMIF(TAB_CS[Reference],TAB_Offres[[#This Row],[Reference]],TAB_CS[Commited days])</f>
        <v>120</v>
      </c>
      <c r="AA5" s="269">
        <f>SUMIF(TAB_CS[Reference],TAB_Offres[[#This Row],[Reference]],TAB_CS[Commited amount])</f>
        <v>69072</v>
      </c>
      <c r="AB5" s="275" t="s">
        <v>179</v>
      </c>
      <c r="AC5" s="270" t="s">
        <v>548</v>
      </c>
      <c r="AD5" s="270" t="s">
        <v>38</v>
      </c>
      <c r="AE5" s="260">
        <v>8</v>
      </c>
      <c r="AF5" s="271">
        <v>44820</v>
      </c>
      <c r="AG5" s="272">
        <v>45006</v>
      </c>
      <c r="AH5" s="273" t="str">
        <f>CONCATENATE(YEAR(TAB_Offres[[#This Row],[Request date ]]),"-",MONTH(TAB_Offres[[#This Row],[Request date ]]))</f>
        <v>2022-8</v>
      </c>
      <c r="AI5" s="274" t="e">
        <f>IF(#REF!,1,0)</f>
        <v>#REF!</v>
      </c>
      <c r="AJ5" s="4">
        <v>1</v>
      </c>
      <c r="AK5" s="4"/>
      <c r="AL5" s="4"/>
      <c r="AQ5" s="4"/>
    </row>
    <row r="6" spans="1:43" x14ac:dyDescent="0.25">
      <c r="A6" s="258">
        <f>ROW(TAB_Offres[[#This Row],[Reference]])-ROW(TAB_Offres[[#Headers],[ID]])</f>
        <v>5</v>
      </c>
      <c r="B6" s="258" t="s">
        <v>140</v>
      </c>
      <c r="C6" s="258" t="s">
        <v>143</v>
      </c>
      <c r="D6" s="258" t="s">
        <v>265</v>
      </c>
      <c r="E6" s="270" t="s">
        <v>264</v>
      </c>
      <c r="F6" s="258" t="e">
        <f>IF(ISBLANK(TAB_Offres[[#This Row],[Reference]]),"",LOOKUP(TAB_Offres[[#This Row],[Reference]],#REF!,#REF!))</f>
        <v>#REF!</v>
      </c>
      <c r="G6" s="261" t="s">
        <v>419</v>
      </c>
      <c r="H6" s="262" t="s">
        <v>88</v>
      </c>
      <c r="I6" s="262" t="s">
        <v>222</v>
      </c>
      <c r="J6" s="262" t="s">
        <v>445</v>
      </c>
      <c r="K6" s="262" t="s">
        <v>484</v>
      </c>
      <c r="L6" s="262" t="s">
        <v>225</v>
      </c>
      <c r="M6" s="270" t="s">
        <v>379</v>
      </c>
      <c r="N6" s="263" t="s">
        <v>399</v>
      </c>
      <c r="O6" s="262" t="s">
        <v>338</v>
      </c>
      <c r="P6" s="262" t="s">
        <v>346</v>
      </c>
      <c r="Q6" s="263"/>
      <c r="R6" s="263"/>
      <c r="S6" s="292" t="s">
        <v>5378</v>
      </c>
      <c r="T6" s="261" t="s">
        <v>448</v>
      </c>
      <c r="U6" s="261" t="s">
        <v>470</v>
      </c>
      <c r="V6" s="268">
        <v>44813</v>
      </c>
      <c r="W6" s="268"/>
      <c r="X6" s="268">
        <v>44813</v>
      </c>
      <c r="Y6" s="268">
        <v>45199</v>
      </c>
      <c r="Z6" s="471">
        <f>SUMIF(TAB_CS[Reference],TAB_Offres[[#This Row],[Reference]],TAB_CS[Commited days])</f>
        <v>221</v>
      </c>
      <c r="AA6" s="269">
        <f>SUMIF(TAB_CS[Reference],TAB_Offres[[#This Row],[Reference]],TAB_CS[Commited amount])</f>
        <v>119123.42</v>
      </c>
      <c r="AB6" s="275" t="s">
        <v>179</v>
      </c>
      <c r="AC6" s="270" t="s">
        <v>266</v>
      </c>
      <c r="AD6" s="270" t="s">
        <v>79</v>
      </c>
      <c r="AE6" s="260">
        <v>3</v>
      </c>
      <c r="AF6" s="271">
        <v>44816</v>
      </c>
      <c r="AG6" s="272"/>
      <c r="AH6" s="273" t="str">
        <f>CONCATENATE(YEAR(TAB_Offres[[#This Row],[Request date ]]),"-",MONTH(TAB_Offres[[#This Row],[Request date ]]))</f>
        <v>2022-8</v>
      </c>
      <c r="AI6" s="274" t="e">
        <f>IF(#REF!,1,0)</f>
        <v>#REF!</v>
      </c>
      <c r="AJ6" s="4"/>
      <c r="AK6" s="4"/>
      <c r="AL6" s="4"/>
      <c r="AM6" s="4">
        <v>1</v>
      </c>
      <c r="AQ6" s="4"/>
    </row>
    <row r="7" spans="1:43" x14ac:dyDescent="0.25">
      <c r="A7" s="258">
        <f>ROW(TAB_Offres[[#This Row],[Reference]])-ROW(TAB_Offres[[#Headers],[ID]])</f>
        <v>6</v>
      </c>
      <c r="B7" s="258" t="s">
        <v>140</v>
      </c>
      <c r="C7" s="258" t="s">
        <v>152</v>
      </c>
      <c r="D7" s="258" t="s">
        <v>152</v>
      </c>
      <c r="E7" s="270" t="s">
        <v>267</v>
      </c>
      <c r="F7" s="258" t="e">
        <f>IF(ISBLANK(TAB_Offres[[#This Row],[Reference]]),"",LOOKUP(TAB_Offres[[#This Row],[Reference]],#REF!,#REF!))</f>
        <v>#REF!</v>
      </c>
      <c r="G7" s="261" t="s">
        <v>420</v>
      </c>
      <c r="H7" s="262" t="s">
        <v>86</v>
      </c>
      <c r="I7" s="262" t="s">
        <v>167</v>
      </c>
      <c r="J7" s="262" t="s">
        <v>445</v>
      </c>
      <c r="K7" s="262" t="s">
        <v>483</v>
      </c>
      <c r="L7" s="262" t="s">
        <v>225</v>
      </c>
      <c r="M7" s="270" t="s">
        <v>380</v>
      </c>
      <c r="N7" s="263" t="s">
        <v>400</v>
      </c>
      <c r="O7" s="262" t="s">
        <v>338</v>
      </c>
      <c r="P7" s="262" t="s">
        <v>346</v>
      </c>
      <c r="Q7" s="263"/>
      <c r="R7" s="263"/>
      <c r="S7" s="292" t="s">
        <v>5379</v>
      </c>
      <c r="T7" s="261" t="s">
        <v>449</v>
      </c>
      <c r="U7" s="261" t="s">
        <v>471</v>
      </c>
      <c r="V7" s="268">
        <v>44820</v>
      </c>
      <c r="W7" s="268"/>
      <c r="X7" s="268">
        <v>44805</v>
      </c>
      <c r="Y7" s="268">
        <v>45121</v>
      </c>
      <c r="Z7" s="471">
        <f>SUMIF(TAB_CS[Reference],TAB_Offres[[#This Row],[Reference]],TAB_CS[Commited days])</f>
        <v>160</v>
      </c>
      <c r="AA7" s="269">
        <f>SUMIF(TAB_CS[Reference],TAB_Offres[[#This Row],[Reference]],TAB_CS[Commited amount])</f>
        <v>82473.600000000006</v>
      </c>
      <c r="AB7" s="275" t="s">
        <v>179</v>
      </c>
      <c r="AC7" s="270" t="s">
        <v>268</v>
      </c>
      <c r="AD7" s="270" t="s">
        <v>132</v>
      </c>
      <c r="AE7" s="260">
        <v>8</v>
      </c>
      <c r="AF7" s="271">
        <v>44824</v>
      </c>
      <c r="AG7" s="272">
        <v>45083</v>
      </c>
      <c r="AH7" s="273" t="str">
        <f>CONCATENATE(YEAR(TAB_Offres[[#This Row],[Request date ]]),"-",MONTH(TAB_Offres[[#This Row],[Request date ]]))</f>
        <v>2022-9</v>
      </c>
      <c r="AI7" s="274" t="e">
        <f>IF(#REF!,1,0)</f>
        <v>#REF!</v>
      </c>
      <c r="AJ7" s="4">
        <v>2</v>
      </c>
      <c r="AK7" s="4"/>
      <c r="AL7" s="4"/>
      <c r="AQ7" s="4"/>
    </row>
    <row r="8" spans="1:43" x14ac:dyDescent="0.25">
      <c r="A8" s="258">
        <f>ROW(TAB_Offres[[#This Row],[Reference]])-ROW(TAB_Offres[[#Headers],[ID]])</f>
        <v>7</v>
      </c>
      <c r="B8" s="258" t="s">
        <v>138</v>
      </c>
      <c r="C8" s="258" t="s">
        <v>152</v>
      </c>
      <c r="D8" s="258" t="s">
        <v>152</v>
      </c>
      <c r="E8" s="270" t="s">
        <v>269</v>
      </c>
      <c r="F8" s="258" t="e">
        <f>IF(ISBLANK(TAB_Offres[[#This Row],[Reference]]),"",LOOKUP(TAB_Offres[[#This Row],[Reference]],#REF!,#REF!))</f>
        <v>#REF!</v>
      </c>
      <c r="G8" s="261" t="s">
        <v>421</v>
      </c>
      <c r="H8" s="262" t="s">
        <v>86</v>
      </c>
      <c r="I8" s="262" t="s">
        <v>222</v>
      </c>
      <c r="J8" s="262" t="s">
        <v>445</v>
      </c>
      <c r="K8" s="262" t="s">
        <v>484</v>
      </c>
      <c r="L8" s="262" t="s">
        <v>225</v>
      </c>
      <c r="M8" s="270" t="s">
        <v>378</v>
      </c>
      <c r="N8" s="263" t="s">
        <v>398</v>
      </c>
      <c r="O8" s="262" t="s">
        <v>338</v>
      </c>
      <c r="P8" s="262" t="s">
        <v>346</v>
      </c>
      <c r="Q8" s="263"/>
      <c r="R8" s="263"/>
      <c r="S8" s="292" t="s">
        <v>5380</v>
      </c>
      <c r="T8" s="261" t="s">
        <v>450</v>
      </c>
      <c r="U8" s="261" t="s">
        <v>472</v>
      </c>
      <c r="V8" s="268">
        <v>44840</v>
      </c>
      <c r="W8" s="268"/>
      <c r="X8" s="268">
        <v>44834</v>
      </c>
      <c r="Y8" s="268">
        <v>45077</v>
      </c>
      <c r="Z8" s="471">
        <f>SUMIF(TAB_CS[Reference],TAB_Offres[[#This Row],[Reference]],TAB_CS[Commited days])</f>
        <v>120</v>
      </c>
      <c r="AA8" s="269">
        <f>SUMIF(TAB_CS[Reference],TAB_Offres[[#This Row],[Reference]],TAB_CS[Commited amount])</f>
        <v>69688.800000000003</v>
      </c>
      <c r="AB8" s="275" t="s">
        <v>179</v>
      </c>
      <c r="AC8" s="270" t="s">
        <v>270</v>
      </c>
      <c r="AD8" s="270" t="s">
        <v>39</v>
      </c>
      <c r="AE8" s="260">
        <v>8</v>
      </c>
      <c r="AF8" s="271">
        <v>44847</v>
      </c>
      <c r="AG8" s="272">
        <v>45036</v>
      </c>
      <c r="AH8" s="273" t="str">
        <f>CONCATENATE(YEAR(TAB_Offres[[#This Row],[Request date ]]),"-",MONTH(TAB_Offres[[#This Row],[Request date ]]))</f>
        <v>2022-9</v>
      </c>
      <c r="AI8" s="274" t="e">
        <f>IF(#REF!,1,0)</f>
        <v>#REF!</v>
      </c>
      <c r="AJ8" s="4">
        <v>2</v>
      </c>
      <c r="AK8" s="4"/>
      <c r="AL8" s="4"/>
      <c r="AQ8" s="4"/>
    </row>
    <row r="9" spans="1:43" x14ac:dyDescent="0.25">
      <c r="A9" s="258">
        <f>ROW(TAB_Offres[[#This Row],[Reference]])-ROW(TAB_Offres[[#Headers],[ID]])</f>
        <v>8</v>
      </c>
      <c r="B9" s="258" t="s">
        <v>138</v>
      </c>
      <c r="C9" s="258" t="s">
        <v>152</v>
      </c>
      <c r="D9" s="258" t="s">
        <v>152</v>
      </c>
      <c r="E9" s="270" t="s">
        <v>271</v>
      </c>
      <c r="F9" s="258" t="e">
        <f>IF(ISBLANK(TAB_Offres[[#This Row],[Reference]]),"",LOOKUP(TAB_Offres[[#This Row],[Reference]],#REF!,#REF!))</f>
        <v>#REF!</v>
      </c>
      <c r="G9" s="261" t="s">
        <v>421</v>
      </c>
      <c r="H9" s="262" t="s">
        <v>86</v>
      </c>
      <c r="I9" s="262" t="s">
        <v>222</v>
      </c>
      <c r="J9" s="262" t="s">
        <v>445</v>
      </c>
      <c r="K9" s="262" t="s">
        <v>484</v>
      </c>
      <c r="L9" s="262" t="s">
        <v>225</v>
      </c>
      <c r="M9" s="270" t="s">
        <v>378</v>
      </c>
      <c r="N9" s="263" t="s">
        <v>398</v>
      </c>
      <c r="O9" s="262" t="s">
        <v>338</v>
      </c>
      <c r="P9" s="262" t="s">
        <v>346</v>
      </c>
      <c r="Q9" s="263"/>
      <c r="R9" s="263"/>
      <c r="S9" s="292" t="s">
        <v>5381</v>
      </c>
      <c r="T9" s="261" t="s">
        <v>450</v>
      </c>
      <c r="U9" s="261" t="s">
        <v>472</v>
      </c>
      <c r="V9" s="268">
        <v>44853</v>
      </c>
      <c r="W9" s="268"/>
      <c r="X9" s="268">
        <v>44834</v>
      </c>
      <c r="Y9" s="268">
        <v>45093</v>
      </c>
      <c r="Z9" s="471">
        <f>SUMIF(TAB_CS[Reference],TAB_Offres[[#This Row],[Reference]],TAB_CS[Commited days])</f>
        <v>110</v>
      </c>
      <c r="AA9" s="269">
        <f>SUMIF(TAB_CS[Reference],TAB_Offres[[#This Row],[Reference]],TAB_CS[Commited amount])</f>
        <v>63881.4</v>
      </c>
      <c r="AB9" s="275" t="s">
        <v>179</v>
      </c>
      <c r="AC9" s="270" t="s">
        <v>272</v>
      </c>
      <c r="AD9" s="270" t="s">
        <v>39</v>
      </c>
      <c r="AE9" s="260">
        <v>8</v>
      </c>
      <c r="AF9" s="271">
        <v>44910</v>
      </c>
      <c r="AG9" s="272">
        <v>45084</v>
      </c>
      <c r="AH9" s="273" t="str">
        <f>CONCATENATE(YEAR(TAB_Offres[[#This Row],[Request date ]]),"-",MONTH(TAB_Offres[[#This Row],[Request date ]]))</f>
        <v>2022-9</v>
      </c>
      <c r="AI9" s="274" t="e">
        <f>IF(#REF!,1,0)</f>
        <v>#REF!</v>
      </c>
      <c r="AJ9" s="4">
        <v>2</v>
      </c>
      <c r="AK9" s="4"/>
      <c r="AL9" s="4"/>
      <c r="AQ9" s="4"/>
    </row>
    <row r="10" spans="1:43" x14ac:dyDescent="0.25">
      <c r="A10" s="258">
        <f>ROW(TAB_Offres[[#This Row],[Reference]])-ROW(TAB_Offres[[#Headers],[ID]])</f>
        <v>9</v>
      </c>
      <c r="B10" s="258" t="s">
        <v>139</v>
      </c>
      <c r="C10" s="258" t="s">
        <v>143</v>
      </c>
      <c r="D10" s="258" t="s">
        <v>275</v>
      </c>
      <c r="E10" s="270" t="s">
        <v>274</v>
      </c>
      <c r="F10" s="258" t="e">
        <f>IF(ISBLANK(TAB_Offres[[#This Row],[Reference]]),"",LOOKUP(TAB_Offres[[#This Row],[Reference]],#REF!,#REF!))</f>
        <v>#REF!</v>
      </c>
      <c r="G10" s="261" t="s">
        <v>422</v>
      </c>
      <c r="H10" s="262" t="s">
        <v>86</v>
      </c>
      <c r="I10" s="262" t="s">
        <v>222</v>
      </c>
      <c r="J10" s="262" t="s">
        <v>445</v>
      </c>
      <c r="K10" s="262" t="s">
        <v>484</v>
      </c>
      <c r="L10" s="262" t="s">
        <v>225</v>
      </c>
      <c r="M10" s="270" t="s">
        <v>381</v>
      </c>
      <c r="N10" s="263" t="s">
        <v>401</v>
      </c>
      <c r="O10" s="262" t="s">
        <v>338</v>
      </c>
      <c r="P10" s="262" t="s">
        <v>346</v>
      </c>
      <c r="Q10" s="263"/>
      <c r="R10" s="263"/>
      <c r="S10" s="292" t="s">
        <v>5382</v>
      </c>
      <c r="T10" s="261" t="s">
        <v>451</v>
      </c>
      <c r="U10" s="261" t="s">
        <v>473</v>
      </c>
      <c r="V10" s="268">
        <v>44880</v>
      </c>
      <c r="W10" s="268"/>
      <c r="X10" s="268">
        <v>44896</v>
      </c>
      <c r="Y10" s="268">
        <v>45351</v>
      </c>
      <c r="Z10" s="471">
        <f>SUMIF(TAB_CS[Reference],TAB_Offres[[#This Row],[Reference]],TAB_CS[Commited days])</f>
        <v>220</v>
      </c>
      <c r="AA10" s="269">
        <f>SUMIF(TAB_CS[Reference],TAB_Offres[[#This Row],[Reference]],TAB_CS[Commited amount])</f>
        <v>111531.2</v>
      </c>
      <c r="AB10" s="275" t="s">
        <v>173</v>
      </c>
      <c r="AC10" s="270" t="s">
        <v>273</v>
      </c>
      <c r="AD10" s="270" t="s">
        <v>53</v>
      </c>
      <c r="AE10" s="260">
        <v>7</v>
      </c>
      <c r="AF10" s="271">
        <v>44929</v>
      </c>
      <c r="AG10" s="272"/>
      <c r="AH10" s="273" t="str">
        <f>CONCATENATE(YEAR(TAB_Offres[[#This Row],[Request date ]]),"-",MONTH(TAB_Offres[[#This Row],[Request date ]]))</f>
        <v>2022-10</v>
      </c>
      <c r="AI10" s="274" t="e">
        <f>IF(#REF!,1,0)</f>
        <v>#REF!</v>
      </c>
      <c r="AJ10" s="4">
        <v>3</v>
      </c>
      <c r="AK10" s="4"/>
      <c r="AL10" s="4"/>
      <c r="AQ10" s="4"/>
    </row>
    <row r="11" spans="1:43" x14ac:dyDescent="0.25">
      <c r="A11" s="258">
        <f>ROW(TAB_Offres[[#This Row],[Reference]])-ROW(TAB_Offres[[#Headers],[ID]])</f>
        <v>10</v>
      </c>
      <c r="B11" s="258" t="s">
        <v>139</v>
      </c>
      <c r="C11" s="258" t="s">
        <v>143</v>
      </c>
      <c r="D11" s="258" t="s">
        <v>5457</v>
      </c>
      <c r="E11" s="270" t="s">
        <v>276</v>
      </c>
      <c r="F11" s="258" t="e">
        <f>IF(ISBLANK(TAB_Offres[[#This Row],[Reference]]),"",LOOKUP(TAB_Offres[[#This Row],[Reference]],#REF!,#REF!))</f>
        <v>#REF!</v>
      </c>
      <c r="G11" s="261" t="s">
        <v>423</v>
      </c>
      <c r="H11" s="262" t="s">
        <v>203</v>
      </c>
      <c r="I11" s="262" t="s">
        <v>166</v>
      </c>
      <c r="J11" s="262" t="s">
        <v>445</v>
      </c>
      <c r="K11" s="262" t="s">
        <v>484</v>
      </c>
      <c r="L11" s="262" t="s">
        <v>225</v>
      </c>
      <c r="M11" s="270" t="s">
        <v>382</v>
      </c>
      <c r="N11" s="263" t="s">
        <v>402</v>
      </c>
      <c r="O11" s="262" t="s">
        <v>338</v>
      </c>
      <c r="P11" s="262" t="s">
        <v>346</v>
      </c>
      <c r="Q11" s="263"/>
      <c r="R11" s="263"/>
      <c r="S11" s="292" t="s">
        <v>5383</v>
      </c>
      <c r="T11" s="261" t="s">
        <v>452</v>
      </c>
      <c r="U11" s="261" t="s">
        <v>474</v>
      </c>
      <c r="V11" s="268">
        <v>44851</v>
      </c>
      <c r="W11" s="268"/>
      <c r="X11" s="268">
        <v>44851</v>
      </c>
      <c r="Y11" s="268">
        <v>45322</v>
      </c>
      <c r="Z11" s="471">
        <f>SUMIF(TAB_CS[Reference],TAB_Offres[[#This Row],[Reference]],TAB_CS[Commited days])</f>
        <v>220</v>
      </c>
      <c r="AA11" s="269">
        <f>SUMIF(TAB_CS[Reference],TAB_Offres[[#This Row],[Reference]],TAB_CS[Commited amount])</f>
        <v>177436.6</v>
      </c>
      <c r="AB11" s="275" t="s">
        <v>179</v>
      </c>
      <c r="AC11" s="270" t="s">
        <v>277</v>
      </c>
      <c r="AD11" s="270" t="s">
        <v>54</v>
      </c>
      <c r="AE11" s="260">
        <v>10</v>
      </c>
      <c r="AF11" s="271">
        <v>44852</v>
      </c>
      <c r="AG11" s="272"/>
      <c r="AH11" s="273" t="str">
        <f>CONCATENATE(YEAR(TAB_Offres[[#This Row],[Request date ]]),"-",MONTH(TAB_Offres[[#This Row],[Request date ]]))</f>
        <v>2022-9</v>
      </c>
      <c r="AI11" s="274" t="e">
        <f>IF(#REF!,1,0)</f>
        <v>#REF!</v>
      </c>
      <c r="AJ11" s="4">
        <v>3</v>
      </c>
      <c r="AK11" s="4"/>
      <c r="AL11" s="4"/>
      <c r="AQ11" s="4"/>
    </row>
    <row r="12" spans="1:43" x14ac:dyDescent="0.25">
      <c r="A12" s="258">
        <f>ROW(TAB_Offres[[#This Row],[Reference]])-ROW(TAB_Offres[[#Headers],[ID]])</f>
        <v>11</v>
      </c>
      <c r="B12" s="258" t="s">
        <v>140</v>
      </c>
      <c r="C12" s="258" t="s">
        <v>143</v>
      </c>
      <c r="D12" s="258" t="s">
        <v>251</v>
      </c>
      <c r="E12" s="270" t="s">
        <v>278</v>
      </c>
      <c r="F12" s="258" t="e">
        <f>IF(ISBLANK(TAB_Offres[[#This Row],[Reference]]),"",LOOKUP(TAB_Offres[[#This Row],[Reference]],#REF!,#REF!))</f>
        <v>#REF!</v>
      </c>
      <c r="G12" s="261" t="s">
        <v>424</v>
      </c>
      <c r="H12" s="262" t="s">
        <v>203</v>
      </c>
      <c r="I12" s="262" t="s">
        <v>166</v>
      </c>
      <c r="J12" s="262" t="s">
        <v>445</v>
      </c>
      <c r="K12" s="262" t="s">
        <v>484</v>
      </c>
      <c r="L12" s="262" t="s">
        <v>225</v>
      </c>
      <c r="M12" s="270" t="s">
        <v>383</v>
      </c>
      <c r="N12" s="263" t="s">
        <v>403</v>
      </c>
      <c r="O12" s="262" t="s">
        <v>338</v>
      </c>
      <c r="P12" s="262" t="s">
        <v>346</v>
      </c>
      <c r="Q12" s="263"/>
      <c r="R12" s="263"/>
      <c r="S12" s="292" t="s">
        <v>5384</v>
      </c>
      <c r="T12" s="261" t="s">
        <v>453</v>
      </c>
      <c r="U12" s="261" t="s">
        <v>455</v>
      </c>
      <c r="V12" s="268">
        <v>44868</v>
      </c>
      <c r="W12" s="268"/>
      <c r="X12" s="268">
        <v>44868</v>
      </c>
      <c r="Y12" s="268">
        <v>45107</v>
      </c>
      <c r="Z12" s="471">
        <f>SUMIF(TAB_CS[Reference],TAB_Offres[[#This Row],[Reference]],TAB_CS[Commited days])</f>
        <v>60</v>
      </c>
      <c r="AA12" s="269">
        <f>SUMIF(TAB_CS[Reference],TAB_Offres[[#This Row],[Reference]],TAB_CS[Commited amount])</f>
        <v>51932.399999999994</v>
      </c>
      <c r="AB12" s="275" t="s">
        <v>179</v>
      </c>
      <c r="AC12" s="270" t="s">
        <v>279</v>
      </c>
      <c r="AD12" s="270" t="s">
        <v>79</v>
      </c>
      <c r="AE12" s="260">
        <v>10</v>
      </c>
      <c r="AF12" s="271">
        <v>44911</v>
      </c>
      <c r="AG12" s="272">
        <v>45019</v>
      </c>
      <c r="AH12" s="273" t="str">
        <f>CONCATENATE(YEAR(TAB_Offres[[#This Row],[Request date ]]),"-",MONTH(TAB_Offres[[#This Row],[Request date ]]))</f>
        <v>2022-10</v>
      </c>
      <c r="AI12" s="274" t="e">
        <f>IF(#REF!,1,0)</f>
        <v>#REF!</v>
      </c>
      <c r="AJ12" s="4">
        <v>4</v>
      </c>
      <c r="AK12" s="4"/>
      <c r="AL12" s="4"/>
      <c r="AQ12" s="4"/>
    </row>
    <row r="13" spans="1:43" x14ac:dyDescent="0.25">
      <c r="A13" s="258">
        <f>ROW(TAB_Offres[[#This Row],[Reference]])-ROW(TAB_Offres[[#Headers],[ID]])</f>
        <v>12</v>
      </c>
      <c r="B13" s="258" t="s">
        <v>138</v>
      </c>
      <c r="C13" s="258" t="s">
        <v>143</v>
      </c>
      <c r="D13" s="258" t="s">
        <v>280</v>
      </c>
      <c r="E13" s="270" t="s">
        <v>281</v>
      </c>
      <c r="F13" s="258" t="e">
        <f>IF(ISBLANK(TAB_Offres[[#This Row],[Reference]]),"",LOOKUP(TAB_Offres[[#This Row],[Reference]],#REF!,#REF!))</f>
        <v>#REF!</v>
      </c>
      <c r="G13" s="261" t="s">
        <v>425</v>
      </c>
      <c r="H13" s="262" t="s">
        <v>85</v>
      </c>
      <c r="I13" s="262" t="s">
        <v>167</v>
      </c>
      <c r="J13" s="262" t="s">
        <v>445</v>
      </c>
      <c r="K13" s="262" t="s">
        <v>484</v>
      </c>
      <c r="L13" s="262" t="s">
        <v>225</v>
      </c>
      <c r="M13" s="270" t="s">
        <v>384</v>
      </c>
      <c r="N13" s="263" t="s">
        <v>404</v>
      </c>
      <c r="O13" s="262" t="s">
        <v>338</v>
      </c>
      <c r="P13" s="262" t="s">
        <v>345</v>
      </c>
      <c r="Q13" s="263" t="s">
        <v>343</v>
      </c>
      <c r="R13" s="268">
        <v>44938</v>
      </c>
      <c r="S13" s="292" t="s">
        <v>5385</v>
      </c>
      <c r="T13" s="261" t="s">
        <v>454</v>
      </c>
      <c r="U13" s="261" t="s">
        <v>452</v>
      </c>
      <c r="V13" s="268">
        <v>44855</v>
      </c>
      <c r="W13" s="268"/>
      <c r="X13" s="268">
        <v>44855</v>
      </c>
      <c r="Y13" s="268">
        <v>45199</v>
      </c>
      <c r="Z13" s="471">
        <f>SUMIF(TAB_CS[Reference],TAB_Offres[[#This Row],[Reference]],TAB_CS[Commited days])</f>
        <v>202.5</v>
      </c>
      <c r="AA13" s="269">
        <f>SUMIF(TAB_CS[Reference],TAB_Offres[[#This Row],[Reference]],TAB_CS[Commited amount])</f>
        <v>89218.875</v>
      </c>
      <c r="AB13" s="275" t="s">
        <v>173</v>
      </c>
      <c r="AC13" s="270" t="s">
        <v>577</v>
      </c>
      <c r="AD13" s="270" t="s">
        <v>92</v>
      </c>
      <c r="AE13" s="260">
        <v>7</v>
      </c>
      <c r="AF13" s="271">
        <v>44855</v>
      </c>
      <c r="AG13" s="272">
        <v>44972</v>
      </c>
      <c r="AH13" s="273" t="str">
        <f>CONCATENATE(YEAR(TAB_Offres[[#This Row],[Request date ]]),"-",MONTH(TAB_Offres[[#This Row],[Request date ]]))</f>
        <v>2022-9</v>
      </c>
      <c r="AI13" s="274" t="e">
        <f>IF(#REF!,1,0)</f>
        <v>#REF!</v>
      </c>
      <c r="AJ13" s="4"/>
      <c r="AK13" s="4">
        <v>1</v>
      </c>
      <c r="AL13" s="4"/>
      <c r="AQ13" s="4"/>
    </row>
    <row r="14" spans="1:43" x14ac:dyDescent="0.25">
      <c r="A14" s="258">
        <f>ROW(TAB_Offres[[#This Row],[Reference]])-ROW(TAB_Offres[[#Headers],[ID]])</f>
        <v>13</v>
      </c>
      <c r="B14" s="258" t="s">
        <v>139</v>
      </c>
      <c r="C14" s="258" t="s">
        <v>143</v>
      </c>
      <c r="D14" s="258" t="s">
        <v>244</v>
      </c>
      <c r="E14" s="270" t="s">
        <v>283</v>
      </c>
      <c r="F14" s="258" t="e">
        <f>IF(ISBLANK(TAB_Offres[[#This Row],[Reference]]),"",LOOKUP(TAB_Offres[[#This Row],[Reference]],#REF!,#REF!))</f>
        <v>#REF!</v>
      </c>
      <c r="G14" s="261" t="s">
        <v>426</v>
      </c>
      <c r="H14" s="262" t="s">
        <v>203</v>
      </c>
      <c r="I14" s="262" t="s">
        <v>222</v>
      </c>
      <c r="J14" s="262" t="s">
        <v>445</v>
      </c>
      <c r="K14" s="262" t="s">
        <v>484</v>
      </c>
      <c r="L14" s="262" t="s">
        <v>225</v>
      </c>
      <c r="M14" s="270" t="s">
        <v>385</v>
      </c>
      <c r="N14" s="263" t="s">
        <v>405</v>
      </c>
      <c r="O14" s="262" t="s">
        <v>338</v>
      </c>
      <c r="P14" s="262" t="s">
        <v>346</v>
      </c>
      <c r="Q14" s="263"/>
      <c r="R14" s="263"/>
      <c r="S14" s="292" t="s">
        <v>5386</v>
      </c>
      <c r="T14" s="261" t="s">
        <v>451</v>
      </c>
      <c r="U14" s="261" t="s">
        <v>473</v>
      </c>
      <c r="V14" s="268">
        <v>44854</v>
      </c>
      <c r="W14" s="268"/>
      <c r="X14" s="268">
        <v>44854</v>
      </c>
      <c r="Y14" s="268">
        <v>45199</v>
      </c>
      <c r="Z14" s="471">
        <f>SUMIF(TAB_CS[Reference],TAB_Offres[[#This Row],[Reference]],TAB_CS[Commited days])</f>
        <v>110</v>
      </c>
      <c r="AA14" s="269">
        <f>SUMIF(TAB_CS[Reference],TAB_Offres[[#This Row],[Reference]],TAB_CS[Commited amount])</f>
        <v>82914.7</v>
      </c>
      <c r="AB14" s="275" t="s">
        <v>179</v>
      </c>
      <c r="AC14" s="270" t="s">
        <v>284</v>
      </c>
      <c r="AD14" s="270" t="s">
        <v>54</v>
      </c>
      <c r="AE14" s="260">
        <v>9</v>
      </c>
      <c r="AF14" s="271">
        <v>44890</v>
      </c>
      <c r="AG14" s="272">
        <v>45072</v>
      </c>
      <c r="AH14" s="273" t="str">
        <f>CONCATENATE(YEAR(TAB_Offres[[#This Row],[Request date ]]),"-",MONTH(TAB_Offres[[#This Row],[Request date ]]))</f>
        <v>2022-10</v>
      </c>
      <c r="AI14" s="274" t="e">
        <f>IF(#REF!,1,0)</f>
        <v>#REF!</v>
      </c>
      <c r="AJ14" s="4">
        <v>4</v>
      </c>
      <c r="AK14" s="4"/>
      <c r="AL14" s="4"/>
      <c r="AQ14" s="4"/>
    </row>
    <row r="15" spans="1:43" x14ac:dyDescent="0.25">
      <c r="A15" s="258">
        <f>ROW(TAB_Offres[[#This Row],[Reference]])-ROW(TAB_Offres[[#Headers],[ID]])</f>
        <v>14</v>
      </c>
      <c r="B15" s="258" t="s">
        <v>140</v>
      </c>
      <c r="C15" s="258" t="s">
        <v>143</v>
      </c>
      <c r="D15" s="258" t="s">
        <v>251</v>
      </c>
      <c r="E15" s="270" t="s">
        <v>285</v>
      </c>
      <c r="F15" s="258" t="e">
        <f>IF(ISBLANK(TAB_Offres[[#This Row],[Reference]]),"",LOOKUP(TAB_Offres[[#This Row],[Reference]],#REF!,#REF!))</f>
        <v>#REF!</v>
      </c>
      <c r="G15" s="261" t="s">
        <v>427</v>
      </c>
      <c r="H15" s="262" t="s">
        <v>203</v>
      </c>
      <c r="I15" s="262" t="s">
        <v>166</v>
      </c>
      <c r="J15" s="262" t="s">
        <v>445</v>
      </c>
      <c r="K15" s="262" t="s">
        <v>484</v>
      </c>
      <c r="L15" s="262" t="s">
        <v>225</v>
      </c>
      <c r="M15" s="270" t="s">
        <v>386</v>
      </c>
      <c r="N15" s="263" t="s">
        <v>406</v>
      </c>
      <c r="O15" s="262" t="s">
        <v>338</v>
      </c>
      <c r="P15" s="262" t="s">
        <v>346</v>
      </c>
      <c r="Q15" s="263"/>
      <c r="R15" s="263"/>
      <c r="S15" s="292" t="s">
        <v>5387</v>
      </c>
      <c r="T15" s="261" t="s">
        <v>453</v>
      </c>
      <c r="U15" s="261" t="s">
        <v>455</v>
      </c>
      <c r="V15" s="268">
        <v>44872</v>
      </c>
      <c r="W15" s="268"/>
      <c r="X15" s="268">
        <v>44872</v>
      </c>
      <c r="Y15" s="268">
        <v>45291</v>
      </c>
      <c r="Z15" s="471">
        <f>SUMIF(TAB_CS[Reference],TAB_Offres[[#This Row],[Reference]],TAB_CS[Commited days])</f>
        <v>40</v>
      </c>
      <c r="AA15" s="269">
        <f>SUMIF(TAB_CS[Reference],TAB_Offres[[#This Row],[Reference]],TAB_CS[Commited amount])</f>
        <v>34621.599999999999</v>
      </c>
      <c r="AB15" s="275" t="s">
        <v>179</v>
      </c>
      <c r="AC15" s="270" t="s">
        <v>286</v>
      </c>
      <c r="AD15" s="270" t="s">
        <v>79</v>
      </c>
      <c r="AE15" s="260">
        <v>10</v>
      </c>
      <c r="AF15" s="271">
        <v>44963</v>
      </c>
      <c r="AG15" s="272">
        <v>45019</v>
      </c>
      <c r="AH15" s="273" t="str">
        <f>CONCATENATE(YEAR(TAB_Offres[[#This Row],[Request date ]]),"-",MONTH(TAB_Offres[[#This Row],[Request date ]]))</f>
        <v>2022-10</v>
      </c>
      <c r="AI15" s="274" t="e">
        <f>IF(#REF!,1,0)</f>
        <v>#REF!</v>
      </c>
      <c r="AJ15" s="4">
        <v>4</v>
      </c>
      <c r="AK15" s="4"/>
      <c r="AL15" s="4"/>
      <c r="AQ15" s="4"/>
    </row>
    <row r="16" spans="1:43" x14ac:dyDescent="0.25">
      <c r="A16" s="258">
        <f>ROW(TAB_Offres[[#This Row],[Reference]])-ROW(TAB_Offres[[#Headers],[ID]])</f>
        <v>15</v>
      </c>
      <c r="B16" s="258" t="s">
        <v>139</v>
      </c>
      <c r="C16" s="258" t="s">
        <v>143</v>
      </c>
      <c r="D16" s="258" t="s">
        <v>5458</v>
      </c>
      <c r="E16" s="270" t="s">
        <v>324</v>
      </c>
      <c r="F16" s="258" t="e">
        <f>IF(ISBLANK(TAB_Offres[[#This Row],[Reference]]),"",LOOKUP(TAB_Offres[[#This Row],[Reference]],#REF!,#REF!))</f>
        <v>#REF!</v>
      </c>
      <c r="G16" s="261" t="s">
        <v>428</v>
      </c>
      <c r="H16" s="262" t="s">
        <v>203</v>
      </c>
      <c r="I16" s="262" t="s">
        <v>166</v>
      </c>
      <c r="J16" s="262" t="s">
        <v>446</v>
      </c>
      <c r="K16" s="262" t="s">
        <v>446</v>
      </c>
      <c r="L16" s="262" t="s">
        <v>225</v>
      </c>
      <c r="M16" s="270" t="s">
        <v>387</v>
      </c>
      <c r="N16" s="263" t="s">
        <v>407</v>
      </c>
      <c r="O16" s="262" t="s">
        <v>338</v>
      </c>
      <c r="P16" s="262" t="s">
        <v>346</v>
      </c>
      <c r="Q16" s="263"/>
      <c r="R16" s="263"/>
      <c r="S16" s="292" t="s">
        <v>5388</v>
      </c>
      <c r="T16" s="261" t="s">
        <v>455</v>
      </c>
      <c r="U16" s="261" t="s">
        <v>458</v>
      </c>
      <c r="V16" s="268">
        <v>44914</v>
      </c>
      <c r="W16" s="268"/>
      <c r="X16" s="268"/>
      <c r="Y16" s="268"/>
      <c r="Z16" s="471">
        <f>SUMIF(TAB_CS[Reference],TAB_Offres[[#This Row],[Reference]],TAB_CS[Commited days])</f>
        <v>220</v>
      </c>
      <c r="AA16" s="269">
        <f>SUMIF(TAB_CS[Reference],TAB_Offres[[#This Row],[Reference]],TAB_CS[Commited amount])</f>
        <v>154981.20000000001</v>
      </c>
      <c r="AB16" s="275" t="s">
        <v>179</v>
      </c>
      <c r="AC16" s="270" t="s">
        <v>325</v>
      </c>
      <c r="AD16" s="270" t="s">
        <v>54</v>
      </c>
      <c r="AE16" s="260">
        <v>8</v>
      </c>
      <c r="AF16" s="271">
        <v>44929</v>
      </c>
      <c r="AG16" s="272"/>
      <c r="AH16" s="273" t="str">
        <f>CONCATENATE(YEAR(TAB_Offres[[#This Row],[Request date ]]),"-",MONTH(TAB_Offres[[#This Row],[Request date ]]))</f>
        <v>2022-10</v>
      </c>
      <c r="AI16" s="274" t="e">
        <f>IF(#REF!,1,0)</f>
        <v>#REF!</v>
      </c>
      <c r="AJ16" s="4">
        <v>8</v>
      </c>
      <c r="AK16" s="4"/>
      <c r="AL16" s="4"/>
      <c r="AQ16" s="4"/>
    </row>
    <row r="17" spans="1:43" x14ac:dyDescent="0.25">
      <c r="A17" s="258">
        <f>ROW(TAB_Offres[[#This Row],[Reference]])-ROW(TAB_Offres[[#Headers],[ID]])</f>
        <v>16</v>
      </c>
      <c r="B17" s="258" t="s">
        <v>139</v>
      </c>
      <c r="C17" s="258" t="s">
        <v>143</v>
      </c>
      <c r="D17" s="258" t="s">
        <v>5459</v>
      </c>
      <c r="E17" s="270" t="s">
        <v>256</v>
      </c>
      <c r="F17" s="258" t="e">
        <f>IF(ISBLANK(TAB_Offres[[#This Row],[Reference]]),"",LOOKUP(TAB_Offres[[#This Row],[Reference]],#REF!,#REF!))</f>
        <v>#REF!</v>
      </c>
      <c r="G17" s="261" t="s">
        <v>423</v>
      </c>
      <c r="H17" s="262" t="s">
        <v>203</v>
      </c>
      <c r="I17" s="262" t="s">
        <v>166</v>
      </c>
      <c r="J17" s="262" t="s">
        <v>445</v>
      </c>
      <c r="K17" s="262" t="s">
        <v>484</v>
      </c>
      <c r="L17" s="262" t="s">
        <v>225</v>
      </c>
      <c r="M17" s="270" t="s">
        <v>382</v>
      </c>
      <c r="N17" s="263" t="s">
        <v>402</v>
      </c>
      <c r="O17" s="262" t="s">
        <v>338</v>
      </c>
      <c r="P17" s="262" t="s">
        <v>346</v>
      </c>
      <c r="Q17" s="263"/>
      <c r="R17" s="263"/>
      <c r="S17" s="292" t="s">
        <v>5389</v>
      </c>
      <c r="T17" s="261" t="s">
        <v>456</v>
      </c>
      <c r="U17" s="261" t="s">
        <v>475</v>
      </c>
      <c r="V17" s="268">
        <v>44869</v>
      </c>
      <c r="W17" s="268"/>
      <c r="X17" s="268">
        <v>44869</v>
      </c>
      <c r="Y17" s="268">
        <v>45322</v>
      </c>
      <c r="Z17" s="471">
        <f>SUMIF(TAB_CS[Reference],TAB_Offres[[#This Row],[Reference]],TAB_CS[Commited days])</f>
        <v>220</v>
      </c>
      <c r="AA17" s="269">
        <f>SUMIF(TAB_CS[Reference],TAB_Offres[[#This Row],[Reference]],TAB_CS[Commited amount])</f>
        <v>177436.6</v>
      </c>
      <c r="AB17" s="275" t="s">
        <v>179</v>
      </c>
      <c r="AC17" s="270" t="s">
        <v>257</v>
      </c>
      <c r="AD17" s="270" t="s">
        <v>54</v>
      </c>
      <c r="AE17" s="260">
        <v>10</v>
      </c>
      <c r="AF17" s="271">
        <v>44902</v>
      </c>
      <c r="AG17" s="272"/>
      <c r="AH17" s="273" t="str">
        <f>CONCATENATE(YEAR(TAB_Offres[[#This Row],[Request date ]]),"-",MONTH(TAB_Offres[[#This Row],[Request date ]]))</f>
        <v>2022-10</v>
      </c>
      <c r="AI17" s="274" t="e">
        <f>IF(#REF!,1,0)</f>
        <v>#REF!</v>
      </c>
      <c r="AJ17" s="4">
        <v>1</v>
      </c>
      <c r="AK17" s="4"/>
      <c r="AL17" s="4"/>
      <c r="AQ17" s="4"/>
    </row>
    <row r="18" spans="1:43" x14ac:dyDescent="0.25">
      <c r="A18" s="258">
        <f>ROW(TAB_Offres[[#This Row],[Reference]])-ROW(TAB_Offres[[#Headers],[ID]])</f>
        <v>17</v>
      </c>
      <c r="B18" s="258" t="s">
        <v>138</v>
      </c>
      <c r="C18" s="258" t="s">
        <v>143</v>
      </c>
      <c r="D18" s="258" t="s">
        <v>280</v>
      </c>
      <c r="E18" s="270" t="s">
        <v>287</v>
      </c>
      <c r="F18" s="258" t="e">
        <f>IF(ISBLANK(TAB_Offres[[#This Row],[Reference]]),"",LOOKUP(TAB_Offres[[#This Row],[Reference]],#REF!,#REF!))</f>
        <v>#REF!</v>
      </c>
      <c r="G18" s="261" t="s">
        <v>429</v>
      </c>
      <c r="H18" s="262" t="s">
        <v>86</v>
      </c>
      <c r="I18" s="262" t="s">
        <v>166</v>
      </c>
      <c r="J18" s="262" t="s">
        <v>446</v>
      </c>
      <c r="K18" s="262" t="s">
        <v>446</v>
      </c>
      <c r="L18" s="262" t="s">
        <v>225</v>
      </c>
      <c r="M18" s="270" t="s">
        <v>384</v>
      </c>
      <c r="N18" s="263" t="s">
        <v>404</v>
      </c>
      <c r="O18" s="262" t="s">
        <v>338</v>
      </c>
      <c r="P18" s="262" t="s">
        <v>346</v>
      </c>
      <c r="Q18" s="263"/>
      <c r="R18" s="263"/>
      <c r="S18" s="292" t="s">
        <v>5390</v>
      </c>
      <c r="T18" s="261" t="s">
        <v>457</v>
      </c>
      <c r="U18" s="261" t="s">
        <v>459</v>
      </c>
      <c r="V18" s="268">
        <v>44859</v>
      </c>
      <c r="W18" s="268"/>
      <c r="X18" s="268">
        <v>44859</v>
      </c>
      <c r="Y18" s="268">
        <v>45199</v>
      </c>
      <c r="Z18" s="471">
        <f>SUMIF(TAB_CS[Reference],TAB_Offres[[#This Row],[Reference]],TAB_CS[Commited days])</f>
        <v>90</v>
      </c>
      <c r="AA18" s="269">
        <f>SUMIF(TAB_CS[Reference],TAB_Offres[[#This Row],[Reference]],TAB_CS[Commited amount])</f>
        <v>52266.6</v>
      </c>
      <c r="AB18" s="275" t="s">
        <v>179</v>
      </c>
      <c r="AC18" s="270" t="s">
        <v>288</v>
      </c>
      <c r="AD18" s="270" t="s">
        <v>39</v>
      </c>
      <c r="AE18" s="260">
        <v>8</v>
      </c>
      <c r="AF18" s="271">
        <v>44882</v>
      </c>
      <c r="AG18" s="272">
        <v>45071</v>
      </c>
      <c r="AH18" s="273" t="str">
        <f>CONCATENATE(YEAR(TAB_Offres[[#This Row],[Request date ]]),"-",MONTH(TAB_Offres[[#This Row],[Request date ]]))</f>
        <v>2022-10</v>
      </c>
      <c r="AI18" s="274" t="e">
        <f>IF(#REF!,1,0)</f>
        <v>#REF!</v>
      </c>
      <c r="AJ18" s="4">
        <v>4</v>
      </c>
      <c r="AK18" s="4"/>
      <c r="AL18" s="4"/>
      <c r="AQ18" s="4"/>
    </row>
    <row r="19" spans="1:43" x14ac:dyDescent="0.25">
      <c r="A19" s="258">
        <f>ROW(TAB_Offres[[#This Row],[Reference]])-ROW(TAB_Offres[[#Headers],[ID]])</f>
        <v>18</v>
      </c>
      <c r="B19" s="258" t="s">
        <v>138</v>
      </c>
      <c r="C19" s="258" t="s">
        <v>143</v>
      </c>
      <c r="D19" s="258" t="s">
        <v>244</v>
      </c>
      <c r="E19" s="270" t="s">
        <v>258</v>
      </c>
      <c r="F19" s="258" t="e">
        <f>IF(ISBLANK(TAB_Offres[[#This Row],[Reference]]),"",LOOKUP(TAB_Offres[[#This Row],[Reference]],#REF!,#REF!))</f>
        <v>#REF!</v>
      </c>
      <c r="G19" s="261" t="s">
        <v>430</v>
      </c>
      <c r="H19" s="262" t="s">
        <v>86</v>
      </c>
      <c r="I19" s="262" t="s">
        <v>222</v>
      </c>
      <c r="J19" s="262" t="s">
        <v>446</v>
      </c>
      <c r="K19" s="262" t="s">
        <v>446</v>
      </c>
      <c r="L19" s="262" t="s">
        <v>225</v>
      </c>
      <c r="M19" s="270" t="s">
        <v>388</v>
      </c>
      <c r="N19" s="263" t="s">
        <v>408</v>
      </c>
      <c r="O19" s="262" t="s">
        <v>338</v>
      </c>
      <c r="P19" s="262" t="s">
        <v>346</v>
      </c>
      <c r="Q19" s="263"/>
      <c r="R19" s="263"/>
      <c r="S19" s="292" t="s">
        <v>5391</v>
      </c>
      <c r="T19" s="261" t="s">
        <v>458</v>
      </c>
      <c r="U19" s="261" t="s">
        <v>463</v>
      </c>
      <c r="V19" s="268">
        <v>44881</v>
      </c>
      <c r="W19" s="268"/>
      <c r="X19" s="268">
        <v>44881</v>
      </c>
      <c r="Y19" s="268">
        <v>45199</v>
      </c>
      <c r="Z19" s="471">
        <f>SUMIF(TAB_CS[Reference],TAB_Offres[[#This Row],[Reference]],TAB_CS[Commited days])</f>
        <v>120</v>
      </c>
      <c r="AA19" s="269">
        <f>SUMIF(TAB_CS[Reference],TAB_Offres[[#This Row],[Reference]],TAB_CS[Commited amount])</f>
        <v>79080</v>
      </c>
      <c r="AB19" s="275" t="s">
        <v>179</v>
      </c>
      <c r="AC19" s="270" t="s">
        <v>259</v>
      </c>
      <c r="AD19" s="270" t="s">
        <v>38</v>
      </c>
      <c r="AE19" s="260">
        <v>10</v>
      </c>
      <c r="AF19" s="271">
        <v>44886</v>
      </c>
      <c r="AG19" s="272">
        <v>45078</v>
      </c>
      <c r="AH19" s="273" t="str">
        <f>CONCATENATE(YEAR(TAB_Offres[[#This Row],[Request date ]]),"-",MONTH(TAB_Offres[[#This Row],[Request date ]]))</f>
        <v>2022-10</v>
      </c>
      <c r="AI19" s="274" t="e">
        <f>IF(#REF!,1,0)</f>
        <v>#REF!</v>
      </c>
      <c r="AJ19" s="4">
        <v>1</v>
      </c>
      <c r="AK19" s="4"/>
      <c r="AL19" s="4"/>
      <c r="AQ19" s="4"/>
    </row>
    <row r="20" spans="1:43" x14ac:dyDescent="0.25">
      <c r="A20" s="258">
        <f>ROW(TAB_Offres[[#This Row],[Reference]])-ROW(TAB_Offres[[#Headers],[ID]])</f>
        <v>19</v>
      </c>
      <c r="B20" s="258" t="s">
        <v>138</v>
      </c>
      <c r="C20" s="258" t="s">
        <v>143</v>
      </c>
      <c r="D20" s="258" t="s">
        <v>5460</v>
      </c>
      <c r="E20" s="270" t="s">
        <v>319</v>
      </c>
      <c r="F20" s="258" t="e">
        <f>IF(ISBLANK(TAB_Offres[[#This Row],[Reference]]),"",LOOKUP(TAB_Offres[[#This Row],[Reference]],#REF!,#REF!))</f>
        <v>#REF!</v>
      </c>
      <c r="G20" s="261" t="s">
        <v>431</v>
      </c>
      <c r="H20" s="262" t="s">
        <v>203</v>
      </c>
      <c r="I20" s="262" t="s">
        <v>167</v>
      </c>
      <c r="J20" s="262" t="s">
        <v>445</v>
      </c>
      <c r="K20" s="262" t="s">
        <v>485</v>
      </c>
      <c r="L20" s="262" t="s">
        <v>225</v>
      </c>
      <c r="M20" s="270" t="s">
        <v>389</v>
      </c>
      <c r="N20" s="263" t="s">
        <v>409</v>
      </c>
      <c r="O20" s="262" t="s">
        <v>338</v>
      </c>
      <c r="P20" s="262" t="s">
        <v>346</v>
      </c>
      <c r="Q20" s="263"/>
      <c r="R20" s="263"/>
      <c r="S20" s="292" t="s">
        <v>5392</v>
      </c>
      <c r="T20" s="261" t="s">
        <v>459</v>
      </c>
      <c r="U20" s="261" t="s">
        <v>476</v>
      </c>
      <c r="V20" s="268">
        <v>44895</v>
      </c>
      <c r="W20" s="268"/>
      <c r="X20" s="268">
        <v>44895</v>
      </c>
      <c r="Y20" s="268">
        <v>45260</v>
      </c>
      <c r="Z20" s="471">
        <f>SUMIF(TAB_CS[Reference],TAB_Offres[[#This Row],[Reference]],TAB_CS[Commited days])</f>
        <v>181</v>
      </c>
      <c r="AA20" s="269">
        <f>SUMIF(TAB_CS[Reference],TAB_Offres[[#This Row],[Reference]],TAB_CS[Commited amount])</f>
        <v>96132.72</v>
      </c>
      <c r="AB20" s="275" t="s">
        <v>179</v>
      </c>
      <c r="AC20" s="270" t="s">
        <v>320</v>
      </c>
      <c r="AD20" s="270" t="s">
        <v>92</v>
      </c>
      <c r="AE20" s="260">
        <v>10</v>
      </c>
      <c r="AF20" s="271">
        <v>44914</v>
      </c>
      <c r="AG20" s="272">
        <v>45049</v>
      </c>
      <c r="AH20" s="273" t="str">
        <f>CONCATENATE(YEAR(TAB_Offres[[#This Row],[Request date ]]),"-",MONTH(TAB_Offres[[#This Row],[Request date ]]))</f>
        <v>2022-10</v>
      </c>
      <c r="AI20" s="274" t="e">
        <f>IF(#REF!,1,0)</f>
        <v>#REF!</v>
      </c>
      <c r="AJ20" s="4">
        <v>8</v>
      </c>
      <c r="AK20" s="4"/>
      <c r="AL20" s="4"/>
      <c r="AQ20" s="4"/>
    </row>
    <row r="21" spans="1:43" x14ac:dyDescent="0.25">
      <c r="A21" s="258">
        <f>ROW(TAB_Offres[[#This Row],[Reference]])-ROW(TAB_Offres[[#Headers],[ID]])</f>
        <v>20</v>
      </c>
      <c r="B21" s="258" t="s">
        <v>139</v>
      </c>
      <c r="C21" s="258" t="s">
        <v>143</v>
      </c>
      <c r="D21" s="258" t="s">
        <v>244</v>
      </c>
      <c r="E21" s="270" t="s">
        <v>289</v>
      </c>
      <c r="F21" s="258" t="e">
        <f>IF(ISBLANK(TAB_Offres[[#This Row],[Reference]]),"",LOOKUP(TAB_Offres[[#This Row],[Reference]],#REF!,#REF!))</f>
        <v>#REF!</v>
      </c>
      <c r="G21" s="261" t="s">
        <v>432</v>
      </c>
      <c r="H21" s="262" t="s">
        <v>203</v>
      </c>
      <c r="I21" s="262" t="s">
        <v>222</v>
      </c>
      <c r="J21" s="262" t="s">
        <v>445</v>
      </c>
      <c r="K21" s="262" t="s">
        <v>484</v>
      </c>
      <c r="L21" s="262" t="s">
        <v>225</v>
      </c>
      <c r="M21" s="270" t="s">
        <v>385</v>
      </c>
      <c r="N21" s="263" t="s">
        <v>405</v>
      </c>
      <c r="O21" s="262" t="s">
        <v>338</v>
      </c>
      <c r="P21" s="262" t="s">
        <v>346</v>
      </c>
      <c r="Q21" s="263"/>
      <c r="R21" s="263"/>
      <c r="S21" s="292" t="s">
        <v>5393</v>
      </c>
      <c r="T21" s="261" t="s">
        <v>460</v>
      </c>
      <c r="U21" s="261" t="s">
        <v>461</v>
      </c>
      <c r="V21" s="268">
        <v>44895</v>
      </c>
      <c r="W21" s="268"/>
      <c r="X21" s="268">
        <v>44895</v>
      </c>
      <c r="Y21" s="268">
        <v>45199</v>
      </c>
      <c r="Z21" s="471">
        <f>SUMIF(TAB_CS[Reference],TAB_Offres[[#This Row],[Reference]],TAB_CS[Commited days])</f>
        <v>110</v>
      </c>
      <c r="AA21" s="269">
        <f>SUMIF(TAB_CS[Reference],TAB_Offres[[#This Row],[Reference]],TAB_CS[Commited amount])</f>
        <v>51635.100000000006</v>
      </c>
      <c r="AB21" s="275" t="s">
        <v>179</v>
      </c>
      <c r="AC21" s="270" t="s">
        <v>290</v>
      </c>
      <c r="AD21" s="270" t="s">
        <v>54</v>
      </c>
      <c r="AE21" s="260">
        <v>2</v>
      </c>
      <c r="AF21" s="271">
        <v>44888</v>
      </c>
      <c r="AG21" s="272"/>
      <c r="AH21" s="273" t="str">
        <f>CONCATENATE(YEAR(TAB_Offres[[#This Row],[Request date ]]),"-",MONTH(TAB_Offres[[#This Row],[Request date ]]))</f>
        <v>2022-10</v>
      </c>
      <c r="AI21" s="274" t="e">
        <f>IF(#REF!,1,0)</f>
        <v>#REF!</v>
      </c>
      <c r="AJ21" s="4">
        <v>4</v>
      </c>
      <c r="AK21" s="4"/>
      <c r="AL21" s="4"/>
      <c r="AQ21" s="4"/>
    </row>
    <row r="22" spans="1:43" x14ac:dyDescent="0.25">
      <c r="A22" s="258">
        <f>ROW(TAB_Offres[[#This Row],[Reference]])-ROW(TAB_Offres[[#Headers],[ID]])</f>
        <v>21</v>
      </c>
      <c r="B22" s="258" t="s">
        <v>139</v>
      </c>
      <c r="C22" s="258" t="s">
        <v>143</v>
      </c>
      <c r="D22" s="258" t="s">
        <v>280</v>
      </c>
      <c r="E22" s="270" t="s">
        <v>291</v>
      </c>
      <c r="F22" s="258" t="e">
        <f>IF(ISBLANK(TAB_Offres[[#This Row],[Reference]]),"",LOOKUP(TAB_Offres[[#This Row],[Reference]],#REF!,#REF!))</f>
        <v>#REF!</v>
      </c>
      <c r="G22" s="261" t="s">
        <v>433</v>
      </c>
      <c r="H22" s="262" t="s">
        <v>86</v>
      </c>
      <c r="I22" s="262" t="s">
        <v>222</v>
      </c>
      <c r="J22" s="262" t="s">
        <v>446</v>
      </c>
      <c r="K22" s="262" t="s">
        <v>446</v>
      </c>
      <c r="L22" s="262" t="s">
        <v>225</v>
      </c>
      <c r="M22" s="270" t="s">
        <v>384</v>
      </c>
      <c r="N22" s="263" t="s">
        <v>404</v>
      </c>
      <c r="O22" s="262" t="s">
        <v>338</v>
      </c>
      <c r="P22" s="262" t="s">
        <v>345</v>
      </c>
      <c r="Q22" s="263"/>
      <c r="R22" s="263"/>
      <c r="S22" s="292" t="s">
        <v>5394</v>
      </c>
      <c r="T22" s="261" t="s">
        <v>461</v>
      </c>
      <c r="U22" s="261" t="s">
        <v>477</v>
      </c>
      <c r="V22" s="268">
        <v>44879</v>
      </c>
      <c r="W22" s="268"/>
      <c r="X22" s="268">
        <v>44879</v>
      </c>
      <c r="Y22" s="268">
        <v>45199</v>
      </c>
      <c r="Z22" s="471">
        <f>SUMIF(TAB_CS[Reference],TAB_Offres[[#This Row],[Reference]],TAB_CS[Commited days])</f>
        <v>100</v>
      </c>
      <c r="AA22" s="269">
        <f>SUMIF(TAB_CS[Reference],TAB_Offres[[#This Row],[Reference]],TAB_CS[Commited amount])</f>
        <v>53696</v>
      </c>
      <c r="AB22" s="275" t="s">
        <v>179</v>
      </c>
      <c r="AC22" s="270" t="s">
        <v>292</v>
      </c>
      <c r="AD22" s="270" t="s">
        <v>67</v>
      </c>
      <c r="AE22" s="260">
        <v>7</v>
      </c>
      <c r="AF22" s="271">
        <v>44893</v>
      </c>
      <c r="AG22" s="272"/>
      <c r="AH22" s="273" t="str">
        <f>CONCATENATE(YEAR(TAB_Offres[[#This Row],[Request date ]]),"-",MONTH(TAB_Offres[[#This Row],[Request date ]]))</f>
        <v>2022-11</v>
      </c>
      <c r="AI22" s="274" t="e">
        <f>IF(#REF!,1,0)</f>
        <v>#REF!</v>
      </c>
      <c r="AJ22" s="4">
        <v>4</v>
      </c>
      <c r="AK22" s="4"/>
      <c r="AL22" s="4"/>
      <c r="AQ22" s="4"/>
    </row>
    <row r="23" spans="1:43" x14ac:dyDescent="0.25">
      <c r="A23" s="258">
        <f>ROW(TAB_Offres[[#This Row],[Reference]])-ROW(TAB_Offres[[#Headers],[ID]])</f>
        <v>22</v>
      </c>
      <c r="B23" s="258" t="s">
        <v>140</v>
      </c>
      <c r="C23" s="258" t="s">
        <v>143</v>
      </c>
      <c r="D23" s="258" t="s">
        <v>5461</v>
      </c>
      <c r="E23" s="270" t="s">
        <v>293</v>
      </c>
      <c r="F23" s="258" t="e">
        <f>IF(ISBLANK(TAB_Offres[[#This Row],[Reference]]),"",LOOKUP(TAB_Offres[[#This Row],[Reference]],#REF!,#REF!))</f>
        <v>#REF!</v>
      </c>
      <c r="G23" s="261" t="s">
        <v>434</v>
      </c>
      <c r="H23" s="262" t="s">
        <v>86</v>
      </c>
      <c r="I23" s="262" t="s">
        <v>222</v>
      </c>
      <c r="J23" s="262" t="s">
        <v>445</v>
      </c>
      <c r="K23" s="262" t="s">
        <v>484</v>
      </c>
      <c r="L23" s="262" t="s">
        <v>225</v>
      </c>
      <c r="M23" s="270" t="s">
        <v>390</v>
      </c>
      <c r="N23" s="263" t="s">
        <v>410</v>
      </c>
      <c r="O23" s="262" t="s">
        <v>338</v>
      </c>
      <c r="P23" s="262" t="s">
        <v>346</v>
      </c>
      <c r="Q23" s="263"/>
      <c r="R23" s="263"/>
      <c r="S23" s="292" t="s">
        <v>5395</v>
      </c>
      <c r="T23" s="261" t="s">
        <v>462</v>
      </c>
      <c r="U23" s="261" t="s">
        <v>478</v>
      </c>
      <c r="V23" s="268">
        <v>44889</v>
      </c>
      <c r="W23" s="268"/>
      <c r="X23" s="268">
        <v>44896</v>
      </c>
      <c r="Y23" s="268">
        <v>45291</v>
      </c>
      <c r="Z23" s="471">
        <f>SUMIF(TAB_CS[Reference],TAB_Offres[[#This Row],[Reference]],TAB_CS[Commited days])</f>
        <v>100</v>
      </c>
      <c r="AA23" s="269">
        <f>SUMIF(TAB_CS[Reference],TAB_Offres[[#This Row],[Reference]],TAB_CS[Commited amount])</f>
        <v>73538</v>
      </c>
      <c r="AB23" s="275" t="s">
        <v>173</v>
      </c>
      <c r="AC23" s="270" t="s">
        <v>294</v>
      </c>
      <c r="AD23" s="270" t="s">
        <v>81</v>
      </c>
      <c r="AE23" s="260">
        <v>9</v>
      </c>
      <c r="AF23" s="271">
        <v>44896</v>
      </c>
      <c r="AG23" s="272"/>
      <c r="AH23" s="273" t="str">
        <f>CONCATENATE(YEAR(TAB_Offres[[#This Row],[Request date ]]),"-",MONTH(TAB_Offres[[#This Row],[Request date ]]))</f>
        <v>2022-11</v>
      </c>
      <c r="AI23" s="274" t="e">
        <f>IF(#REF!,1,0)</f>
        <v>#REF!</v>
      </c>
      <c r="AJ23" s="4">
        <v>5</v>
      </c>
      <c r="AK23" s="4"/>
      <c r="AL23" s="4"/>
      <c r="AQ23" s="4"/>
    </row>
    <row r="24" spans="1:43" x14ac:dyDescent="0.25">
      <c r="A24" s="258">
        <f>ROW(TAB_Offres[[#This Row],[Reference]])-ROW(TAB_Offres[[#Headers],[ID]])</f>
        <v>23</v>
      </c>
      <c r="B24" s="258" t="s">
        <v>140</v>
      </c>
      <c r="C24" s="258" t="s">
        <v>143</v>
      </c>
      <c r="D24" s="258" t="s">
        <v>300</v>
      </c>
      <c r="E24" s="270" t="s">
        <v>295</v>
      </c>
      <c r="F24" s="258" t="e">
        <f>IF(ISBLANK(TAB_Offres[[#This Row],[Reference]]),"",LOOKUP(TAB_Offres[[#This Row],[Reference]],#REF!,#REF!))</f>
        <v>#REF!</v>
      </c>
      <c r="G24" s="261" t="s">
        <v>435</v>
      </c>
      <c r="H24" s="262" t="s">
        <v>86</v>
      </c>
      <c r="I24" s="262" t="s">
        <v>167</v>
      </c>
      <c r="J24" s="262" t="s">
        <v>445</v>
      </c>
      <c r="K24" s="262" t="s">
        <v>483</v>
      </c>
      <c r="L24" s="262" t="s">
        <v>225</v>
      </c>
      <c r="M24" s="270" t="s">
        <v>391</v>
      </c>
      <c r="N24" s="263" t="s">
        <v>411</v>
      </c>
      <c r="O24" s="262" t="s">
        <v>338</v>
      </c>
      <c r="P24" s="262" t="s">
        <v>346</v>
      </c>
      <c r="Q24" s="263"/>
      <c r="R24" s="263"/>
      <c r="S24" s="292" t="s">
        <v>5396</v>
      </c>
      <c r="T24" s="261" t="s">
        <v>463</v>
      </c>
      <c r="U24" s="261" t="s">
        <v>465</v>
      </c>
      <c r="V24" s="268">
        <v>44886</v>
      </c>
      <c r="W24" s="268"/>
      <c r="X24" s="268">
        <v>44886</v>
      </c>
      <c r="Y24" s="268">
        <v>45230</v>
      </c>
      <c r="Z24" s="471">
        <f>SUMIF(TAB_CS[Reference],TAB_Offres[[#This Row],[Reference]],TAB_CS[Commited days])</f>
        <v>160</v>
      </c>
      <c r="AA24" s="269">
        <f>SUMIF(TAB_CS[Reference],TAB_Offres[[#This Row],[Reference]],TAB_CS[Commited amount])</f>
        <v>75051.199999999997</v>
      </c>
      <c r="AB24" s="275" t="s">
        <v>179</v>
      </c>
      <c r="AC24" s="270" t="s">
        <v>296</v>
      </c>
      <c r="AD24" s="270" t="s">
        <v>124</v>
      </c>
      <c r="AE24" s="260">
        <v>8</v>
      </c>
      <c r="AF24" s="271">
        <v>44914</v>
      </c>
      <c r="AG24" s="272"/>
      <c r="AH24" s="273" t="str">
        <f>CONCATENATE(YEAR(TAB_Offres[[#This Row],[Request date ]]),"-",MONTH(TAB_Offres[[#This Row],[Request date ]]))</f>
        <v>2022-10</v>
      </c>
      <c r="AI24" s="274" t="e">
        <f>IF(#REF!,1,0)</f>
        <v>#REF!</v>
      </c>
      <c r="AJ24" s="4">
        <v>5</v>
      </c>
      <c r="AK24" s="4"/>
      <c r="AL24" s="4"/>
      <c r="AQ24" s="4"/>
    </row>
    <row r="25" spans="1:43" x14ac:dyDescent="0.25">
      <c r="A25" s="258">
        <f>ROW(TAB_Offres[[#This Row],[Reference]])-ROW(TAB_Offres[[#Headers],[ID]])</f>
        <v>24</v>
      </c>
      <c r="B25" s="258" t="s">
        <v>139</v>
      </c>
      <c r="C25" s="258" t="s">
        <v>143</v>
      </c>
      <c r="D25" s="258" t="s">
        <v>247</v>
      </c>
      <c r="E25" s="270" t="s">
        <v>326</v>
      </c>
      <c r="F25" s="258" t="e">
        <f>IF(ISBLANK(TAB_Offres[[#This Row],[Reference]]),"",LOOKUP(TAB_Offres[[#This Row],[Reference]],#REF!,#REF!))</f>
        <v>#REF!</v>
      </c>
      <c r="G25" s="261" t="s">
        <v>436</v>
      </c>
      <c r="H25" s="262" t="s">
        <v>87</v>
      </c>
      <c r="I25" s="262" t="s">
        <v>166</v>
      </c>
      <c r="J25" s="262" t="s">
        <v>445</v>
      </c>
      <c r="K25" s="262" t="s">
        <v>484</v>
      </c>
      <c r="L25" s="262" t="s">
        <v>225</v>
      </c>
      <c r="M25" s="270" t="s">
        <v>392</v>
      </c>
      <c r="N25" s="263" t="s">
        <v>412</v>
      </c>
      <c r="O25" s="262" t="s">
        <v>338</v>
      </c>
      <c r="P25" s="262" t="s">
        <v>346</v>
      </c>
      <c r="Q25" s="263"/>
      <c r="R25" s="263"/>
      <c r="S25" s="292" t="s">
        <v>5397</v>
      </c>
      <c r="T25" s="261" t="s">
        <v>459</v>
      </c>
      <c r="U25" s="261" t="s">
        <v>476</v>
      </c>
      <c r="V25" s="268">
        <v>44916</v>
      </c>
      <c r="W25" s="268"/>
      <c r="X25" s="268"/>
      <c r="Y25" s="268"/>
      <c r="Z25" s="471">
        <f>SUMIF(TAB_CS[Reference],TAB_Offres[[#This Row],[Reference]],TAB_CS[Commited days])</f>
        <v>220</v>
      </c>
      <c r="AA25" s="269">
        <f>SUMIF(TAB_CS[Reference],TAB_Offres[[#This Row],[Reference]],TAB_CS[Commited amount])</f>
        <v>154981.20000000001</v>
      </c>
      <c r="AB25" s="275" t="s">
        <v>174</v>
      </c>
      <c r="AC25" s="270" t="s">
        <v>327</v>
      </c>
      <c r="AD25" s="270" t="s">
        <v>54</v>
      </c>
      <c r="AE25" s="260">
        <v>8</v>
      </c>
      <c r="AF25" s="271">
        <v>44935</v>
      </c>
      <c r="AG25" s="272"/>
      <c r="AH25" s="273" t="str">
        <f>CONCATENATE(YEAR(TAB_Offres[[#This Row],[Request date ]]),"-",MONTH(TAB_Offres[[#This Row],[Request date ]]))</f>
        <v>2022-10</v>
      </c>
      <c r="AI25" s="274" t="e">
        <f>IF(#REF!,1,0)</f>
        <v>#REF!</v>
      </c>
      <c r="AJ25" s="4"/>
      <c r="AK25" s="4"/>
      <c r="AL25" s="4">
        <v>1</v>
      </c>
      <c r="AQ25" s="4"/>
    </row>
    <row r="26" spans="1:43" x14ac:dyDescent="0.25">
      <c r="A26" s="258">
        <f>ROW(TAB_Offres[[#This Row],[Reference]])-ROW(TAB_Offres[[#Headers],[ID]])</f>
        <v>25</v>
      </c>
      <c r="B26" s="258" t="s">
        <v>138</v>
      </c>
      <c r="C26" s="258" t="s">
        <v>143</v>
      </c>
      <c r="D26" s="258" t="s">
        <v>265</v>
      </c>
      <c r="E26" s="270" t="s">
        <v>297</v>
      </c>
      <c r="F26" s="258" t="e">
        <f>IF(ISBLANK(TAB_Offres[[#This Row],[Reference]]),"",LOOKUP(TAB_Offres[[#This Row],[Reference]],#REF!,#REF!))</f>
        <v>#REF!</v>
      </c>
      <c r="G26" s="261" t="s">
        <v>437</v>
      </c>
      <c r="H26" s="262" t="s">
        <v>86</v>
      </c>
      <c r="I26" s="262" t="s">
        <v>166</v>
      </c>
      <c r="J26" s="262" t="s">
        <v>445</v>
      </c>
      <c r="K26" s="262" t="s">
        <v>484</v>
      </c>
      <c r="L26" s="262" t="s">
        <v>225</v>
      </c>
      <c r="M26" s="270" t="s">
        <v>393</v>
      </c>
      <c r="N26" s="263" t="s">
        <v>413</v>
      </c>
      <c r="O26" s="262" t="s">
        <v>338</v>
      </c>
      <c r="P26" s="262" t="s">
        <v>346</v>
      </c>
      <c r="Q26" s="263"/>
      <c r="R26" s="263"/>
      <c r="S26" s="292" t="s">
        <v>5398</v>
      </c>
      <c r="T26" s="261" t="s">
        <v>462</v>
      </c>
      <c r="U26" s="261" t="s">
        <v>478</v>
      </c>
      <c r="V26" s="268">
        <v>44886</v>
      </c>
      <c r="W26" s="268"/>
      <c r="X26" s="268">
        <v>44886</v>
      </c>
      <c r="Y26" s="268">
        <v>45199</v>
      </c>
      <c r="Z26" s="471">
        <f>SUMIF(TAB_CS[Reference],TAB_Offres[[#This Row],[Reference]],TAB_CS[Commited days])</f>
        <v>180</v>
      </c>
      <c r="AA26" s="269">
        <f>SUMIF(TAB_CS[Reference],TAB_Offres[[#This Row],[Reference]],TAB_CS[Commited amount])</f>
        <v>79749</v>
      </c>
      <c r="AB26" s="275" t="s">
        <v>179</v>
      </c>
      <c r="AC26" s="270" t="s">
        <v>298</v>
      </c>
      <c r="AD26" s="270" t="s">
        <v>39</v>
      </c>
      <c r="AE26" s="260">
        <v>4</v>
      </c>
      <c r="AF26" s="271">
        <v>44887</v>
      </c>
      <c r="AG26" s="272"/>
      <c r="AH26" s="273" t="str">
        <f>CONCATENATE(YEAR(TAB_Offres[[#This Row],[Request date ]]),"-",MONTH(TAB_Offres[[#This Row],[Request date ]]))</f>
        <v>2022-11</v>
      </c>
      <c r="AI26" s="274" t="e">
        <f>IF(#REF!,1,0)</f>
        <v>#REF!</v>
      </c>
      <c r="AJ26" s="4">
        <v>5</v>
      </c>
      <c r="AK26" s="4"/>
      <c r="AL26" s="4"/>
      <c r="AQ26" s="4"/>
    </row>
    <row r="27" spans="1:43" x14ac:dyDescent="0.25">
      <c r="A27" s="258">
        <f>ROW(TAB_Offres[[#This Row],[Reference]])-ROW(TAB_Offres[[#Headers],[ID]])</f>
        <v>26</v>
      </c>
      <c r="B27" s="258" t="s">
        <v>138</v>
      </c>
      <c r="C27" s="258" t="s">
        <v>143</v>
      </c>
      <c r="D27" s="258" t="s">
        <v>299</v>
      </c>
      <c r="E27" s="270" t="s">
        <v>301</v>
      </c>
      <c r="F27" s="258" t="e">
        <f>IF(ISBLANK(TAB_Offres[[#This Row],[Reference]]),"",LOOKUP(TAB_Offres[[#This Row],[Reference]],#REF!,#REF!))</f>
        <v>#REF!</v>
      </c>
      <c r="G27" s="261" t="s">
        <v>438</v>
      </c>
      <c r="H27" s="262" t="s">
        <v>86</v>
      </c>
      <c r="I27" s="262" t="s">
        <v>167</v>
      </c>
      <c r="J27" s="262" t="s">
        <v>446</v>
      </c>
      <c r="K27" s="262" t="s">
        <v>486</v>
      </c>
      <c r="L27" s="262" t="s">
        <v>225</v>
      </c>
      <c r="M27" s="270" t="s">
        <v>394</v>
      </c>
      <c r="N27" s="263" t="s">
        <v>414</v>
      </c>
      <c r="O27" s="262" t="s">
        <v>338</v>
      </c>
      <c r="P27" s="262" t="s">
        <v>346</v>
      </c>
      <c r="Q27" s="263"/>
      <c r="R27" s="263"/>
      <c r="S27" s="292" t="s">
        <v>5399</v>
      </c>
      <c r="T27" s="261" t="s">
        <v>464</v>
      </c>
      <c r="U27" s="261" t="s">
        <v>479</v>
      </c>
      <c r="V27" s="268">
        <v>44880</v>
      </c>
      <c r="W27" s="268"/>
      <c r="X27" s="268">
        <v>44880</v>
      </c>
      <c r="Y27" s="268">
        <v>45199</v>
      </c>
      <c r="Z27" s="471">
        <f>SUMIF(TAB_CS[Reference],TAB_Offres[[#This Row],[Reference]],TAB_CS[Commited days])</f>
        <v>90</v>
      </c>
      <c r="AA27" s="269">
        <f>SUMIF(TAB_CS[Reference],TAB_Offres[[#This Row],[Reference]],TAB_CS[Commited amount])</f>
        <v>41751</v>
      </c>
      <c r="AB27" s="275" t="s">
        <v>179</v>
      </c>
      <c r="AC27" s="270" t="s">
        <v>302</v>
      </c>
      <c r="AD27" s="270" t="s">
        <v>92</v>
      </c>
      <c r="AE27" s="260">
        <v>8</v>
      </c>
      <c r="AF27" s="271">
        <v>44872</v>
      </c>
      <c r="AG27" s="272">
        <v>45012</v>
      </c>
      <c r="AH27" s="273" t="str">
        <f>CONCATENATE(YEAR(TAB_Offres[[#This Row],[Request date ]]),"-",MONTH(TAB_Offres[[#This Row],[Request date ]]))</f>
        <v>2022-10</v>
      </c>
      <c r="AI27" s="274" t="e">
        <f>IF(#REF!,1,0)</f>
        <v>#REF!</v>
      </c>
      <c r="AJ27" s="4">
        <v>5</v>
      </c>
      <c r="AK27" s="4"/>
      <c r="AL27" s="4"/>
      <c r="AQ27" s="4"/>
    </row>
    <row r="28" spans="1:43" x14ac:dyDescent="0.25">
      <c r="A28" s="258">
        <f>ROW(TAB_Offres[[#This Row],[Reference]])-ROW(TAB_Offres[[#Headers],[ID]])</f>
        <v>27</v>
      </c>
      <c r="B28" s="258" t="s">
        <v>140</v>
      </c>
      <c r="C28" s="258" t="s">
        <v>143</v>
      </c>
      <c r="D28" s="258" t="s">
        <v>300</v>
      </c>
      <c r="E28" s="270" t="s">
        <v>303</v>
      </c>
      <c r="F28" s="258" t="e">
        <f>IF(ISBLANK(TAB_Offres[[#This Row],[Reference]]),"",LOOKUP(TAB_Offres[[#This Row],[Reference]],#REF!,#REF!))</f>
        <v>#REF!</v>
      </c>
      <c r="G28" s="261" t="s">
        <v>439</v>
      </c>
      <c r="H28" s="262" t="s">
        <v>86</v>
      </c>
      <c r="I28" s="262" t="s">
        <v>166</v>
      </c>
      <c r="J28" s="262" t="s">
        <v>445</v>
      </c>
      <c r="K28" s="262" t="s">
        <v>484</v>
      </c>
      <c r="L28" s="262" t="s">
        <v>225</v>
      </c>
      <c r="M28" s="270" t="s">
        <v>395</v>
      </c>
      <c r="N28" s="263" t="s">
        <v>415</v>
      </c>
      <c r="O28" s="262" t="s">
        <v>338</v>
      </c>
      <c r="P28" s="262" t="s">
        <v>346</v>
      </c>
      <c r="Q28" s="263"/>
      <c r="R28" s="263"/>
      <c r="S28" s="292" t="s">
        <v>5400</v>
      </c>
      <c r="T28" s="261" t="s">
        <v>465</v>
      </c>
      <c r="U28" s="261" t="s">
        <v>480</v>
      </c>
      <c r="V28" s="268">
        <v>44875</v>
      </c>
      <c r="W28" s="268"/>
      <c r="X28" s="268">
        <v>44875</v>
      </c>
      <c r="Y28" s="268">
        <v>45230</v>
      </c>
      <c r="Z28" s="471">
        <f>SUMIF(TAB_CS[Reference],TAB_Offres[[#This Row],[Reference]],TAB_CS[Commited days])</f>
        <v>160</v>
      </c>
      <c r="AA28" s="269">
        <f>SUMIF(TAB_CS[Reference],TAB_Offres[[#This Row],[Reference]],TAB_CS[Commited amount])</f>
        <v>83891.200000000012</v>
      </c>
      <c r="AB28" s="275" t="s">
        <v>179</v>
      </c>
      <c r="AC28" s="270" t="s">
        <v>304</v>
      </c>
      <c r="AD28" s="270" t="s">
        <v>81</v>
      </c>
      <c r="AE28" s="260">
        <v>4</v>
      </c>
      <c r="AF28" s="271">
        <v>44879</v>
      </c>
      <c r="AG28" s="272"/>
      <c r="AH28" s="273" t="str">
        <f>CONCATENATE(YEAR(TAB_Offres[[#This Row],[Request date ]]),"-",MONTH(TAB_Offres[[#This Row],[Request date ]]))</f>
        <v>2022-10</v>
      </c>
      <c r="AI28" s="274" t="e">
        <f>IF(#REF!,1,0)</f>
        <v>#REF!</v>
      </c>
      <c r="AJ28" s="4">
        <v>6</v>
      </c>
      <c r="AK28" s="4"/>
      <c r="AL28" s="4"/>
      <c r="AQ28" s="4"/>
    </row>
    <row r="29" spans="1:43" x14ac:dyDescent="0.25">
      <c r="A29" s="258">
        <f>ROW(TAB_Offres[[#This Row],[Reference]])-ROW(TAB_Offres[[#Headers],[ID]])</f>
        <v>28</v>
      </c>
      <c r="B29" s="258" t="s">
        <v>138</v>
      </c>
      <c r="C29" s="258" t="s">
        <v>143</v>
      </c>
      <c r="D29" s="258" t="s">
        <v>300</v>
      </c>
      <c r="E29" s="270" t="s">
        <v>305</v>
      </c>
      <c r="F29" s="258" t="e">
        <f>IF(ISBLANK(TAB_Offres[[#This Row],[Reference]]),"",LOOKUP(TAB_Offres[[#This Row],[Reference]],#REF!,#REF!))</f>
        <v>#REF!</v>
      </c>
      <c r="G29" s="261" t="s">
        <v>440</v>
      </c>
      <c r="H29" s="262" t="s">
        <v>86</v>
      </c>
      <c r="I29" s="262" t="s">
        <v>166</v>
      </c>
      <c r="J29" s="262" t="s">
        <v>445</v>
      </c>
      <c r="K29" s="262" t="s">
        <v>484</v>
      </c>
      <c r="L29" s="262" t="s">
        <v>225</v>
      </c>
      <c r="M29" s="270" t="s">
        <v>396</v>
      </c>
      <c r="N29" s="263" t="s">
        <v>416</v>
      </c>
      <c r="O29" s="262" t="s">
        <v>338</v>
      </c>
      <c r="P29" s="262" t="s">
        <v>346</v>
      </c>
      <c r="Q29" s="263"/>
      <c r="R29" s="263"/>
      <c r="S29" s="292" t="s">
        <v>5401</v>
      </c>
      <c r="T29" s="261" t="s">
        <v>464</v>
      </c>
      <c r="U29" s="261" t="s">
        <v>479</v>
      </c>
      <c r="V29" s="268">
        <v>44879</v>
      </c>
      <c r="W29" s="268"/>
      <c r="X29" s="268">
        <v>44879</v>
      </c>
      <c r="Y29" s="268">
        <v>45230</v>
      </c>
      <c r="Z29" s="471">
        <f>SUMIF(TAB_CS[Reference],TAB_Offres[[#This Row],[Reference]],TAB_CS[Commited days])</f>
        <v>160</v>
      </c>
      <c r="AA29" s="269">
        <f>SUMIF(TAB_CS[Reference],TAB_Offres[[#This Row],[Reference]],TAB_CS[Commited amount])</f>
        <v>99422.399999999994</v>
      </c>
      <c r="AB29" s="275" t="s">
        <v>179</v>
      </c>
      <c r="AC29" s="270" t="s">
        <v>306</v>
      </c>
      <c r="AD29" s="270" t="s">
        <v>39</v>
      </c>
      <c r="AE29" s="260">
        <v>9</v>
      </c>
      <c r="AF29" s="271">
        <v>44880</v>
      </c>
      <c r="AG29" s="272">
        <v>44981</v>
      </c>
      <c r="AH29" s="273" t="str">
        <f>CONCATENATE(YEAR(TAB_Offres[[#This Row],[Request date ]]),"-",MONTH(TAB_Offres[[#This Row],[Request date ]]))</f>
        <v>2023-2</v>
      </c>
      <c r="AI29" s="274" t="e">
        <f>IF(#REF!,1,0)</f>
        <v>#REF!</v>
      </c>
      <c r="AJ29" s="4">
        <v>6</v>
      </c>
      <c r="AK29" s="4"/>
      <c r="AL29" s="4"/>
      <c r="AQ29" s="4"/>
    </row>
    <row r="30" spans="1:43" x14ac:dyDescent="0.25">
      <c r="A30" s="258">
        <f>ROW(TAB_Offres[[#This Row],[Reference]])-ROW(TAB_Offres[[#Headers],[ID]])</f>
        <v>29</v>
      </c>
      <c r="B30" s="258" t="s">
        <v>139</v>
      </c>
      <c r="C30" s="258" t="s">
        <v>143</v>
      </c>
      <c r="D30" s="258" t="s">
        <v>249</v>
      </c>
      <c r="E30" s="270" t="s">
        <v>260</v>
      </c>
      <c r="F30" s="258" t="e">
        <f>IF(ISBLANK(TAB_Offres[[#This Row],[Reference]]),"",LOOKUP(TAB_Offres[[#This Row],[Reference]],#REF!,#REF!))</f>
        <v>#REF!</v>
      </c>
      <c r="G30" s="261" t="s">
        <v>441</v>
      </c>
      <c r="H30" s="262" t="s">
        <v>85</v>
      </c>
      <c r="I30" s="262" t="s">
        <v>167</v>
      </c>
      <c r="J30" s="262" t="s">
        <v>445</v>
      </c>
      <c r="K30" s="262" t="s">
        <v>487</v>
      </c>
      <c r="L30" s="262" t="s">
        <v>225</v>
      </c>
      <c r="M30" s="270" t="s">
        <v>397</v>
      </c>
      <c r="N30" s="263" t="s">
        <v>417</v>
      </c>
      <c r="O30" s="262" t="s">
        <v>338</v>
      </c>
      <c r="P30" s="262" t="s">
        <v>346</v>
      </c>
      <c r="Q30" s="263"/>
      <c r="R30" s="263"/>
      <c r="S30" s="292" t="s">
        <v>5402</v>
      </c>
      <c r="T30" s="261" t="s">
        <v>460</v>
      </c>
      <c r="U30" s="261" t="s">
        <v>461</v>
      </c>
      <c r="V30" s="268">
        <v>44888</v>
      </c>
      <c r="W30" s="268"/>
      <c r="X30" s="268">
        <v>44888</v>
      </c>
      <c r="Y30" s="268">
        <v>45107</v>
      </c>
      <c r="Z30" s="471">
        <f>SUMIF(TAB_CS[Reference],TAB_Offres[[#This Row],[Reference]],TAB_CS[Commited days])</f>
        <v>107</v>
      </c>
      <c r="AA30" s="269">
        <f>SUMIF(TAB_CS[Reference],TAB_Offres[[#This Row],[Reference]],TAB_CS[Commited amount])</f>
        <v>50190.49</v>
      </c>
      <c r="AB30" s="275" t="s">
        <v>179</v>
      </c>
      <c r="AC30" s="270" t="s">
        <v>6016</v>
      </c>
      <c r="AD30" s="270" t="s">
        <v>117</v>
      </c>
      <c r="AE30" s="260">
        <v>8</v>
      </c>
      <c r="AF30" s="271">
        <v>44896</v>
      </c>
      <c r="AG30" s="272">
        <v>45065</v>
      </c>
      <c r="AH30" s="273" t="str">
        <f>CONCATENATE(YEAR(TAB_Offres[[#This Row],[Request date ]]),"-",MONTH(TAB_Offres[[#This Row],[Request date ]]))</f>
        <v>2022-10</v>
      </c>
      <c r="AI30" s="274" t="e">
        <f>IF(#REF!,1,0)</f>
        <v>#REF!</v>
      </c>
      <c r="AJ30" s="4"/>
      <c r="AK30" s="4">
        <v>1</v>
      </c>
      <c r="AL30" s="4"/>
      <c r="AQ30" s="4"/>
    </row>
    <row r="31" spans="1:43" x14ac:dyDescent="0.25">
      <c r="A31" s="258">
        <f>ROW(TAB_Offres[[#This Row],[Reference]])-ROW(TAB_Offres[[#Headers],[ID]])</f>
        <v>30</v>
      </c>
      <c r="B31" s="258" t="s">
        <v>139</v>
      </c>
      <c r="C31" s="258" t="s">
        <v>143</v>
      </c>
      <c r="D31" s="258" t="s">
        <v>244</v>
      </c>
      <c r="E31" s="270" t="s">
        <v>307</v>
      </c>
      <c r="F31" s="258" t="e">
        <f>IF(ISBLANK(TAB_Offres[[#This Row],[Reference]]),"",LOOKUP(TAB_Offres[[#This Row],[Reference]],#REF!,#REF!))</f>
        <v>#REF!</v>
      </c>
      <c r="G31" s="261" t="s">
        <v>426</v>
      </c>
      <c r="H31" s="262" t="s">
        <v>203</v>
      </c>
      <c r="I31" s="262" t="s">
        <v>222</v>
      </c>
      <c r="J31" s="262" t="s">
        <v>445</v>
      </c>
      <c r="K31" s="262" t="s">
        <v>484</v>
      </c>
      <c r="L31" s="262" t="s">
        <v>225</v>
      </c>
      <c r="M31" s="270" t="s">
        <v>385</v>
      </c>
      <c r="N31" s="263" t="s">
        <v>405</v>
      </c>
      <c r="O31" s="262" t="s">
        <v>338</v>
      </c>
      <c r="P31" s="262" t="s">
        <v>346</v>
      </c>
      <c r="Q31" s="263"/>
      <c r="R31" s="263"/>
      <c r="S31" s="292" t="s">
        <v>5403</v>
      </c>
      <c r="T31" s="261" t="s">
        <v>461</v>
      </c>
      <c r="U31" s="261" t="s">
        <v>477</v>
      </c>
      <c r="V31" s="268">
        <v>44883</v>
      </c>
      <c r="W31" s="268"/>
      <c r="X31" s="268">
        <v>44883</v>
      </c>
      <c r="Y31" s="268">
        <v>45199</v>
      </c>
      <c r="Z31" s="471">
        <f>SUMIF(TAB_CS[Reference],TAB_Offres[[#This Row],[Reference]],TAB_CS[Commited days])</f>
        <v>97</v>
      </c>
      <c r="AA31" s="269">
        <f>SUMIF(TAB_CS[Reference],TAB_Offres[[#This Row],[Reference]],TAB_CS[Commited amount])</f>
        <v>73115.69</v>
      </c>
      <c r="AB31" s="275" t="s">
        <v>179</v>
      </c>
      <c r="AC31" s="270" t="s">
        <v>308</v>
      </c>
      <c r="AD31" s="270" t="s">
        <v>54</v>
      </c>
      <c r="AE31" s="260">
        <v>9</v>
      </c>
      <c r="AF31" s="271">
        <v>44893</v>
      </c>
      <c r="AG31" s="272">
        <v>45033</v>
      </c>
      <c r="AH31" s="273" t="str">
        <f>CONCATENATE(YEAR(TAB_Offres[[#This Row],[Request date ]]),"-",MONTH(TAB_Offres[[#This Row],[Request date ]]))</f>
        <v>2022-11</v>
      </c>
      <c r="AI31" s="274" t="e">
        <f>IF(#REF!,1,0)</f>
        <v>#REF!</v>
      </c>
      <c r="AJ31" s="4">
        <v>6</v>
      </c>
      <c r="AK31" s="4"/>
      <c r="AL31" s="4"/>
      <c r="AQ31" s="4"/>
    </row>
    <row r="32" spans="1:43" x14ac:dyDescent="0.25">
      <c r="A32" s="258">
        <f>ROW(TAB_Offres[[#This Row],[Reference]])-ROW(TAB_Offres[[#Headers],[ID]])</f>
        <v>31</v>
      </c>
      <c r="B32" s="258" t="s">
        <v>139</v>
      </c>
      <c r="C32" s="258" t="s">
        <v>143</v>
      </c>
      <c r="D32" s="258" t="s">
        <v>244</v>
      </c>
      <c r="E32" s="270" t="s">
        <v>262</v>
      </c>
      <c r="F32" s="258" t="e">
        <f>IF(ISBLANK(TAB_Offres[[#This Row],[Reference]]),"",LOOKUP(TAB_Offres[[#This Row],[Reference]],#REF!,#REF!))</f>
        <v>#REF!</v>
      </c>
      <c r="G32" s="261" t="s">
        <v>426</v>
      </c>
      <c r="H32" s="262" t="s">
        <v>203</v>
      </c>
      <c r="I32" s="262" t="s">
        <v>222</v>
      </c>
      <c r="J32" s="262" t="s">
        <v>445</v>
      </c>
      <c r="K32" s="262" t="s">
        <v>484</v>
      </c>
      <c r="L32" s="262" t="s">
        <v>225</v>
      </c>
      <c r="M32" s="270" t="s">
        <v>385</v>
      </c>
      <c r="N32" s="263" t="s">
        <v>405</v>
      </c>
      <c r="O32" s="262" t="s">
        <v>338</v>
      </c>
      <c r="P32" s="262" t="s">
        <v>346</v>
      </c>
      <c r="Q32" s="263"/>
      <c r="R32" s="263"/>
      <c r="S32" s="292" t="s">
        <v>5404</v>
      </c>
      <c r="T32" s="261" t="s">
        <v>466</v>
      </c>
      <c r="U32" s="261" t="s">
        <v>481</v>
      </c>
      <c r="V32" s="268">
        <v>44881</v>
      </c>
      <c r="W32" s="268"/>
      <c r="X32" s="268">
        <v>44881</v>
      </c>
      <c r="Y32" s="268">
        <v>45199</v>
      </c>
      <c r="Z32" s="471">
        <f>SUMIF(TAB_CS[Reference],TAB_Offres[[#This Row],[Reference]],TAB_CS[Commited days])</f>
        <v>107</v>
      </c>
      <c r="AA32" s="269">
        <f>SUMIF(TAB_CS[Reference],TAB_Offres[[#This Row],[Reference]],TAB_CS[Commited amount])</f>
        <v>80653.39</v>
      </c>
      <c r="AB32" s="275" t="s">
        <v>179</v>
      </c>
      <c r="AC32" s="270" t="s">
        <v>263</v>
      </c>
      <c r="AD32" s="270" t="s">
        <v>54</v>
      </c>
      <c r="AE32" s="260">
        <v>9</v>
      </c>
      <c r="AF32" s="271">
        <v>44888</v>
      </c>
      <c r="AG32" s="272">
        <v>45054</v>
      </c>
      <c r="AH32" s="273" t="str">
        <f>CONCATENATE(YEAR(TAB_Offres[[#This Row],[Request date ]]),"-",MONTH(TAB_Offres[[#This Row],[Request date ]]))</f>
        <v>2022-11</v>
      </c>
      <c r="AI32" s="274" t="e">
        <f>IF(#REF!,1,0)</f>
        <v>#REF!</v>
      </c>
      <c r="AJ32" s="4">
        <v>2</v>
      </c>
      <c r="AK32" s="4"/>
      <c r="AL32" s="4"/>
      <c r="AQ32" s="4"/>
    </row>
    <row r="33" spans="1:43" ht="26.4" x14ac:dyDescent="0.25">
      <c r="A33" s="258">
        <f>ROW(TAB_Offres[[#This Row],[Reference]])-ROW(TAB_Offres[[#Headers],[ID]])</f>
        <v>32</v>
      </c>
      <c r="B33" s="258" t="s">
        <v>140</v>
      </c>
      <c r="C33" s="258" t="s">
        <v>143</v>
      </c>
      <c r="D33" s="258" t="s">
        <v>299</v>
      </c>
      <c r="E33" s="263" t="s">
        <v>595</v>
      </c>
      <c r="F33" s="258" t="e">
        <f>IF(ISBLANK(TAB_Offres[[#This Row],[Reference]]),"",LOOKUP(TAB_Offres[[#This Row],[Reference]],#REF!,#REF!))</f>
        <v>#REF!</v>
      </c>
      <c r="G33" s="261" t="s">
        <v>596</v>
      </c>
      <c r="H33" s="262" t="s">
        <v>85</v>
      </c>
      <c r="I33" s="262" t="s">
        <v>166</v>
      </c>
      <c r="J33" s="262" t="s">
        <v>597</v>
      </c>
      <c r="K33" s="262" t="s">
        <v>243</v>
      </c>
      <c r="L33" s="262" t="s">
        <v>225</v>
      </c>
      <c r="M33" s="264" t="s">
        <v>393</v>
      </c>
      <c r="N33" s="262" t="s">
        <v>413</v>
      </c>
      <c r="O33" s="262" t="s">
        <v>338</v>
      </c>
      <c r="P33" s="262" t="s">
        <v>346</v>
      </c>
      <c r="Q33" s="263"/>
      <c r="R33" s="263"/>
      <c r="S33" s="292" t="s">
        <v>598</v>
      </c>
      <c r="T33" s="261" t="s">
        <v>599</v>
      </c>
      <c r="U33" s="261" t="s">
        <v>600</v>
      </c>
      <c r="V33" s="268">
        <v>45093</v>
      </c>
      <c r="W33" s="268">
        <v>45099</v>
      </c>
      <c r="X33" s="268">
        <v>45108</v>
      </c>
      <c r="Y33" s="268">
        <v>45565</v>
      </c>
      <c r="Z33" s="471">
        <f>SUMIF(TAB_CS[Reference],TAB_Offres[[#This Row],[Reference]],TAB_CS[Commited days])</f>
        <v>100</v>
      </c>
      <c r="AA33" s="269">
        <f>SUMIF(TAB_CS[Reference],TAB_Offres[[#This Row],[Reference]],TAB_CS[Commited amount])</f>
        <v>70654</v>
      </c>
      <c r="AB33" s="275" t="s">
        <v>173</v>
      </c>
      <c r="AC33" s="270" t="s">
        <v>601</v>
      </c>
      <c r="AD33" s="270" t="s">
        <v>79</v>
      </c>
      <c r="AE33" s="260">
        <v>7</v>
      </c>
      <c r="AF33" s="271"/>
      <c r="AG33" s="272"/>
      <c r="AH33" s="273" t="str">
        <f>CONCATENATE(YEAR(TAB_Offres[[#This Row],[Request date ]]),"-",MONTH(TAB_Offres[[#This Row],[Request date ]]))</f>
        <v>2023-3</v>
      </c>
      <c r="AI33" s="274" t="e">
        <f>IF(#REF!,1,0)</f>
        <v>#REF!</v>
      </c>
      <c r="AJ33" s="4"/>
      <c r="AK33" s="4">
        <v>2</v>
      </c>
      <c r="AL33" s="4"/>
      <c r="AQ33" s="4"/>
    </row>
    <row r="34" spans="1:43" x14ac:dyDescent="0.25">
      <c r="A34" s="258">
        <f>ROW(TAB_Offres[[#This Row],[Reference]])-ROW(TAB_Offres[[#Headers],[ID]])</f>
        <v>33</v>
      </c>
      <c r="B34" s="258" t="s">
        <v>138</v>
      </c>
      <c r="C34" s="258" t="s">
        <v>143</v>
      </c>
      <c r="D34" s="258" t="s">
        <v>250</v>
      </c>
      <c r="E34" s="270" t="s">
        <v>525</v>
      </c>
      <c r="F34" s="258" t="e">
        <f>IF(ISBLANK(TAB_Offres[[#This Row],[Reference]]),"",LOOKUP(TAB_Offres[[#This Row],[Reference]],#REF!,#REF!))</f>
        <v>#REF!</v>
      </c>
      <c r="G34" s="261" t="s">
        <v>526</v>
      </c>
      <c r="H34" s="262" t="s">
        <v>87</v>
      </c>
      <c r="I34" s="262" t="s">
        <v>167</v>
      </c>
      <c r="J34" s="262" t="s">
        <v>445</v>
      </c>
      <c r="K34" s="262" t="s">
        <v>486</v>
      </c>
      <c r="L34" s="262" t="s">
        <v>225</v>
      </c>
      <c r="M34" s="277" t="s">
        <v>527</v>
      </c>
      <c r="N34" s="276" t="s">
        <v>528</v>
      </c>
      <c r="O34" s="262" t="s">
        <v>338</v>
      </c>
      <c r="P34" s="262" t="s">
        <v>345</v>
      </c>
      <c r="Q34" s="263"/>
      <c r="R34" s="263"/>
      <c r="S34" s="292" t="s">
        <v>529</v>
      </c>
      <c r="T34" s="261" t="s">
        <v>530</v>
      </c>
      <c r="U34" s="261" t="s">
        <v>531</v>
      </c>
      <c r="V34" s="268">
        <v>44992</v>
      </c>
      <c r="W34" s="268"/>
      <c r="X34" s="268">
        <v>44992</v>
      </c>
      <c r="Y34" s="268">
        <v>45443</v>
      </c>
      <c r="Z34" s="471">
        <f>SUMIF(TAB_CS[Reference],TAB_Offres[[#This Row],[Reference]],TAB_CS[Commited days])</f>
        <v>220</v>
      </c>
      <c r="AA34" s="269">
        <f>SUMIF(TAB_CS[Reference],TAB_Offres[[#This Row],[Reference]],TAB_CS[Commited amount])</f>
        <v>104258</v>
      </c>
      <c r="AB34" s="275" t="s">
        <v>173</v>
      </c>
      <c r="AC34" s="270" t="s">
        <v>532</v>
      </c>
      <c r="AD34" s="270" t="s">
        <v>92</v>
      </c>
      <c r="AE34" s="260">
        <v>8</v>
      </c>
      <c r="AF34" s="271">
        <v>45000</v>
      </c>
      <c r="AG34" s="272"/>
      <c r="AH34" s="273" t="str">
        <f>CONCATENATE(YEAR(TAB_Offres[[#This Row],[Request date ]]),"-",MONTH(TAB_Offres[[#This Row],[Request date ]]))</f>
        <v>2023-1</v>
      </c>
      <c r="AI34" s="274" t="e">
        <f>IF(#REF!,1,0)</f>
        <v>#REF!</v>
      </c>
      <c r="AJ34" s="4"/>
      <c r="AK34" s="4"/>
      <c r="AL34" s="4">
        <v>2</v>
      </c>
      <c r="AQ34" s="4"/>
    </row>
    <row r="35" spans="1:43" x14ac:dyDescent="0.25">
      <c r="A35" s="258">
        <f>ROW(TAB_Offres[[#This Row],[Reference]])-ROW(TAB_Offres[[#Headers],[ID]])</f>
        <v>34</v>
      </c>
      <c r="B35" s="258" t="s">
        <v>139</v>
      </c>
      <c r="C35" s="258" t="s">
        <v>143</v>
      </c>
      <c r="D35" s="258" t="s">
        <v>265</v>
      </c>
      <c r="E35" s="270" t="s">
        <v>309</v>
      </c>
      <c r="F35" s="258" t="e">
        <f>IF(ISBLANK(TAB_Offres[[#This Row],[Reference]]),"",LOOKUP(TAB_Offres[[#This Row],[Reference]],#REF!,#REF!))</f>
        <v>#REF!</v>
      </c>
      <c r="G35" s="261" t="s">
        <v>442</v>
      </c>
      <c r="H35" s="262" t="s">
        <v>203</v>
      </c>
      <c r="I35" s="262" t="s">
        <v>222</v>
      </c>
      <c r="J35" s="262" t="s">
        <v>445</v>
      </c>
      <c r="K35" s="262" t="s">
        <v>484</v>
      </c>
      <c r="L35" s="262" t="s">
        <v>225</v>
      </c>
      <c r="M35" s="270" t="s">
        <v>393</v>
      </c>
      <c r="N35" s="263" t="s">
        <v>413</v>
      </c>
      <c r="O35" s="262" t="s">
        <v>338</v>
      </c>
      <c r="P35" s="262" t="s">
        <v>346</v>
      </c>
      <c r="Q35" s="263"/>
      <c r="R35" s="263"/>
      <c r="S35" s="292" t="s">
        <v>5405</v>
      </c>
      <c r="T35" s="261" t="s">
        <v>467</v>
      </c>
      <c r="U35" s="261" t="s">
        <v>482</v>
      </c>
      <c r="V35" s="268">
        <v>44893</v>
      </c>
      <c r="W35" s="268"/>
      <c r="X35" s="268">
        <v>44893</v>
      </c>
      <c r="Y35" s="268">
        <v>45199</v>
      </c>
      <c r="Z35" s="471">
        <f>SUMIF(TAB_CS[Reference],TAB_Offres[[#This Row],[Reference]],TAB_CS[Commited days])</f>
        <v>185</v>
      </c>
      <c r="AA35" s="269">
        <f>SUMIF(TAB_CS[Reference],TAB_Offres[[#This Row],[Reference]],TAB_CS[Commited amount])</f>
        <v>149208.04999999999</v>
      </c>
      <c r="AB35" s="275" t="s">
        <v>179</v>
      </c>
      <c r="AC35" s="270" t="s">
        <v>311</v>
      </c>
      <c r="AD35" s="270" t="s">
        <v>54</v>
      </c>
      <c r="AE35" s="260">
        <v>10</v>
      </c>
      <c r="AF35" s="271">
        <v>44901</v>
      </c>
      <c r="AG35" s="272"/>
      <c r="AH35" s="273" t="str">
        <f>CONCATENATE(YEAR(TAB_Offres[[#This Row],[Request date ]]),"-",MONTH(TAB_Offres[[#This Row],[Request date ]]))</f>
        <v>2022-11</v>
      </c>
      <c r="AI35" s="274" t="e">
        <f>IF(#REF!,1,0)</f>
        <v>#REF!</v>
      </c>
      <c r="AJ35" s="4">
        <v>7</v>
      </c>
      <c r="AK35" s="4"/>
      <c r="AL35" s="4"/>
      <c r="AQ35" s="4"/>
    </row>
    <row r="36" spans="1:43" x14ac:dyDescent="0.25">
      <c r="A36" s="258">
        <f>ROW(TAB_Offres[[#This Row],[Reference]])-ROW(TAB_Offres[[#Headers],[ID]])</f>
        <v>35</v>
      </c>
      <c r="B36" s="258" t="s">
        <v>140</v>
      </c>
      <c r="C36" s="258" t="s">
        <v>143</v>
      </c>
      <c r="D36" s="258" t="s">
        <v>265</v>
      </c>
      <c r="E36" s="270" t="s">
        <v>312</v>
      </c>
      <c r="F36" s="258" t="e">
        <f>IF(ISBLANK(TAB_Offres[[#This Row],[Reference]]),"",LOOKUP(TAB_Offres[[#This Row],[Reference]],#REF!,#REF!))</f>
        <v>#REF!</v>
      </c>
      <c r="G36" s="261" t="s">
        <v>443</v>
      </c>
      <c r="H36" s="262" t="s">
        <v>203</v>
      </c>
      <c r="I36" s="262" t="s">
        <v>222</v>
      </c>
      <c r="J36" s="262" t="s">
        <v>445</v>
      </c>
      <c r="K36" s="262" t="s">
        <v>484</v>
      </c>
      <c r="L36" s="262" t="s">
        <v>225</v>
      </c>
      <c r="M36" s="270" t="s">
        <v>393</v>
      </c>
      <c r="N36" s="263" t="s">
        <v>413</v>
      </c>
      <c r="O36" s="262" t="s">
        <v>338</v>
      </c>
      <c r="P36" s="262" t="s">
        <v>346</v>
      </c>
      <c r="Q36" s="263"/>
      <c r="R36" s="263"/>
      <c r="S36" s="292" t="s">
        <v>5406</v>
      </c>
      <c r="T36" s="261" t="s">
        <v>468</v>
      </c>
      <c r="U36" s="261" t="s">
        <v>467</v>
      </c>
      <c r="V36" s="268">
        <v>44889</v>
      </c>
      <c r="W36" s="268"/>
      <c r="X36" s="268">
        <v>44889</v>
      </c>
      <c r="Y36" s="268">
        <v>45199</v>
      </c>
      <c r="Z36" s="471">
        <f>SUMIF(TAB_CS[Reference],TAB_Offres[[#This Row],[Reference]],TAB_CS[Commited days])</f>
        <v>185</v>
      </c>
      <c r="AA36" s="269">
        <f>SUMIF(TAB_CS[Reference],TAB_Offres[[#This Row],[Reference]],TAB_CS[Commited amount])</f>
        <v>149650.19999999998</v>
      </c>
      <c r="AB36" s="275" t="s">
        <v>179</v>
      </c>
      <c r="AC36" s="270" t="s">
        <v>313</v>
      </c>
      <c r="AD36" s="270" t="s">
        <v>79</v>
      </c>
      <c r="AE36" s="260">
        <v>9</v>
      </c>
      <c r="AF36" s="271">
        <v>44903</v>
      </c>
      <c r="AG36" s="278"/>
      <c r="AH36" s="277" t="str">
        <f>CONCATENATE(YEAR(TAB_Offres[[#This Row],[Request date ]]),"-",MONTH(TAB_Offres[[#This Row],[Request date ]]))</f>
        <v>2022-11</v>
      </c>
      <c r="AI36" s="274" t="e">
        <f>IF(#REF!,1,0)</f>
        <v>#REF!</v>
      </c>
      <c r="AJ36" s="4">
        <v>7</v>
      </c>
      <c r="AK36" s="4"/>
      <c r="AL36" s="4"/>
      <c r="AQ36" s="4"/>
    </row>
    <row r="37" spans="1:43" x14ac:dyDescent="0.25">
      <c r="A37" s="258">
        <f>ROW(TAB_Offres[[#This Row],[Reference]])-ROW(TAB_Offres[[#Headers],[ID]])</f>
        <v>36</v>
      </c>
      <c r="B37" s="258" t="s">
        <v>139</v>
      </c>
      <c r="C37" s="258" t="s">
        <v>143</v>
      </c>
      <c r="D37" s="258" t="s">
        <v>5465</v>
      </c>
      <c r="E37" s="270" t="s">
        <v>329</v>
      </c>
      <c r="F37" s="258" t="e">
        <f>IF(ISBLANK(TAB_Offres[[#This Row],[Reference]]),"",LOOKUP(TAB_Offres[[#This Row],[Reference]],#REF!,#REF!))</f>
        <v>#REF!</v>
      </c>
      <c r="G37" s="261" t="s">
        <v>423</v>
      </c>
      <c r="H37" s="262" t="s">
        <v>87</v>
      </c>
      <c r="I37" s="262" t="s">
        <v>166</v>
      </c>
      <c r="J37" s="262" t="s">
        <v>445</v>
      </c>
      <c r="K37" s="262" t="s">
        <v>484</v>
      </c>
      <c r="L37" s="262" t="s">
        <v>225</v>
      </c>
      <c r="M37" s="270" t="s">
        <v>382</v>
      </c>
      <c r="N37" s="263" t="s">
        <v>402</v>
      </c>
      <c r="O37" s="262" t="s">
        <v>338</v>
      </c>
      <c r="P37" s="262" t="s">
        <v>345</v>
      </c>
      <c r="Q37" s="263"/>
      <c r="R37" s="263"/>
      <c r="S37" s="292" t="s">
        <v>5408</v>
      </c>
      <c r="T37" s="261" t="s">
        <v>467</v>
      </c>
      <c r="U37" s="261" t="s">
        <v>482</v>
      </c>
      <c r="V37" s="268">
        <v>44911</v>
      </c>
      <c r="W37" s="268"/>
      <c r="X37" s="268">
        <v>44929</v>
      </c>
      <c r="Y37" s="268">
        <v>45351</v>
      </c>
      <c r="Z37" s="471">
        <f>SUMIF(TAB_CS[Reference],TAB_Offres[[#This Row],[Reference]],TAB_CS[Commited days])</f>
        <v>220</v>
      </c>
      <c r="AA37" s="269">
        <f>SUMIF(TAB_CS[Reference],TAB_Offres[[#This Row],[Reference]],TAB_CS[Commited amount])</f>
        <v>165829.4</v>
      </c>
      <c r="AB37" s="275" t="s">
        <v>173</v>
      </c>
      <c r="AC37" s="270" t="s">
        <v>330</v>
      </c>
      <c r="AD37" s="270" t="s">
        <v>54</v>
      </c>
      <c r="AE37" s="260">
        <v>9</v>
      </c>
      <c r="AF37" s="271">
        <v>44929</v>
      </c>
      <c r="AG37" s="278"/>
      <c r="AH37" s="277" t="str">
        <f>CONCATENATE(YEAR(TAB_Offres[[#This Row],[Request date ]]),"-",MONTH(TAB_Offres[[#This Row],[Request date ]]))</f>
        <v>2022-11</v>
      </c>
      <c r="AI37" s="274" t="e">
        <f>IF(#REF!,1,0)</f>
        <v>#REF!</v>
      </c>
      <c r="AJ37" s="4"/>
      <c r="AK37" s="4"/>
      <c r="AL37" s="4">
        <v>1</v>
      </c>
      <c r="AQ37" s="4"/>
    </row>
    <row r="38" spans="1:43" x14ac:dyDescent="0.25">
      <c r="A38" s="258">
        <f>ROW(TAB_Offres[[#This Row],[Reference]])-ROW(TAB_Offres[[#Headers],[ID]])</f>
        <v>37</v>
      </c>
      <c r="B38" s="258" t="s">
        <v>139</v>
      </c>
      <c r="C38" s="258" t="s">
        <v>143</v>
      </c>
      <c r="D38" s="258" t="s">
        <v>244</v>
      </c>
      <c r="E38" s="270" t="s">
        <v>321</v>
      </c>
      <c r="F38" s="258" t="e">
        <f>IF(ISBLANK(TAB_Offres[[#This Row],[Reference]]),"",LOOKUP(TAB_Offres[[#This Row],[Reference]],#REF!,#REF!))</f>
        <v>#REF!</v>
      </c>
      <c r="G38" s="261" t="s">
        <v>444</v>
      </c>
      <c r="H38" s="262" t="s">
        <v>203</v>
      </c>
      <c r="I38" s="262" t="s">
        <v>222</v>
      </c>
      <c r="J38" s="262" t="s">
        <v>445</v>
      </c>
      <c r="K38" s="262" t="s">
        <v>484</v>
      </c>
      <c r="L38" s="262" t="s">
        <v>225</v>
      </c>
      <c r="M38" s="270" t="s">
        <v>385</v>
      </c>
      <c r="N38" s="263" t="s">
        <v>405</v>
      </c>
      <c r="O38" s="262" t="s">
        <v>338</v>
      </c>
      <c r="P38" s="262" t="s">
        <v>346</v>
      </c>
      <c r="Q38" s="263"/>
      <c r="R38" s="263"/>
      <c r="S38" s="292" t="s">
        <v>5407</v>
      </c>
      <c r="T38" s="261" t="s">
        <v>467</v>
      </c>
      <c r="U38" s="261" t="s">
        <v>482</v>
      </c>
      <c r="V38" s="268">
        <v>44896</v>
      </c>
      <c r="W38" s="268"/>
      <c r="X38" s="268">
        <v>44896</v>
      </c>
      <c r="Y38" s="268">
        <v>45199</v>
      </c>
      <c r="Z38" s="471">
        <f>SUMIF(TAB_CS[Reference],TAB_Offres[[#This Row],[Reference]],TAB_CS[Commited days])</f>
        <v>55</v>
      </c>
      <c r="AA38" s="269">
        <f>SUMIF(TAB_CS[Reference],TAB_Offres[[#This Row],[Reference]],TAB_CS[Commited amount])</f>
        <v>38745.300000000003</v>
      </c>
      <c r="AB38" s="275" t="s">
        <v>179</v>
      </c>
      <c r="AC38" s="270" t="s">
        <v>322</v>
      </c>
      <c r="AD38" s="270" t="s">
        <v>54</v>
      </c>
      <c r="AE38" s="260">
        <v>8</v>
      </c>
      <c r="AF38" s="271">
        <v>44897</v>
      </c>
      <c r="AG38" s="278">
        <v>44985</v>
      </c>
      <c r="AH38" s="277" t="str">
        <f>CONCATENATE(YEAR(TAB_Offres[[#This Row],[Request date ]]),"-",MONTH(TAB_Offres[[#This Row],[Request date ]]))</f>
        <v>2022-11</v>
      </c>
      <c r="AI38" s="274" t="e">
        <f>IF(#REF!,1,0)</f>
        <v>#REF!</v>
      </c>
      <c r="AJ38" s="4">
        <v>8</v>
      </c>
      <c r="AK38" s="4"/>
      <c r="AL38" s="4"/>
      <c r="AQ38" s="4"/>
    </row>
    <row r="39" spans="1:43" x14ac:dyDescent="0.25">
      <c r="A39" s="258">
        <f>ROW(TAB_Offres[[#This Row],[Reference]])-ROW(TAB_Offres[[#Headers],[ID]])</f>
        <v>38</v>
      </c>
      <c r="B39" s="258" t="s">
        <v>140</v>
      </c>
      <c r="C39" s="258" t="s">
        <v>143</v>
      </c>
      <c r="D39" s="258" t="s">
        <v>300</v>
      </c>
      <c r="E39" s="270" t="s">
        <v>510</v>
      </c>
      <c r="F39" s="258" t="e">
        <f>IF(ISBLANK(TAB_Offres[[#This Row],[Reference]]),"",LOOKUP(TAB_Offres[[#This Row],[Reference]],#REF!,#REF!))</f>
        <v>#REF!</v>
      </c>
      <c r="G39" s="261" t="s">
        <v>511</v>
      </c>
      <c r="H39" s="262" t="s">
        <v>86</v>
      </c>
      <c r="I39" s="262" t="s">
        <v>167</v>
      </c>
      <c r="J39" s="262" t="s">
        <v>445</v>
      </c>
      <c r="K39" s="262" t="s">
        <v>483</v>
      </c>
      <c r="L39" s="262" t="s">
        <v>225</v>
      </c>
      <c r="M39" s="264"/>
      <c r="N39" s="262"/>
      <c r="O39" s="262" t="s">
        <v>338</v>
      </c>
      <c r="P39" s="262" t="s">
        <v>345</v>
      </c>
      <c r="Q39" s="263" t="s">
        <v>295</v>
      </c>
      <c r="R39" s="263"/>
      <c r="S39" s="292" t="s">
        <v>5409</v>
      </c>
      <c r="T39" s="261"/>
      <c r="U39" s="261"/>
      <c r="V39" s="268">
        <v>44910</v>
      </c>
      <c r="W39" s="268"/>
      <c r="X39" s="268"/>
      <c r="Y39" s="268"/>
      <c r="Z39" s="471">
        <f>SUMIF(TAB_CS[Reference],TAB_Offres[[#This Row],[Reference]],TAB_CS[Commited days])</f>
        <v>0</v>
      </c>
      <c r="AA39" s="269">
        <f>SUMIF(TAB_CS[Reference],TAB_Offres[[#This Row],[Reference]],TAB_CS[Commited amount])</f>
        <v>0</v>
      </c>
      <c r="AB39" s="275" t="s">
        <v>173</v>
      </c>
      <c r="AC39" s="270" t="s">
        <v>296</v>
      </c>
      <c r="AD39" s="270"/>
      <c r="AE39" s="260"/>
      <c r="AF39" s="271"/>
      <c r="AG39" s="278"/>
      <c r="AH39" s="277" t="str">
        <f>CONCATENATE(YEAR(TAB_Offres[[#This Row],[Request date ]]),"-",MONTH(TAB_Offres[[#This Row],[Request date ]]))</f>
        <v>2022-12</v>
      </c>
      <c r="AI39" s="274" t="e">
        <f>IF(#REF!,1,0)</f>
        <v>#REF!</v>
      </c>
      <c r="AJ39" s="4">
        <v>14</v>
      </c>
      <c r="AK39" s="4"/>
      <c r="AL39" s="4"/>
      <c r="AQ39" s="4"/>
    </row>
    <row r="40" spans="1:43" x14ac:dyDescent="0.25">
      <c r="A40" s="258">
        <f>ROW(TAB_Offres[[#This Row],[Reference]])-ROW(TAB_Offres[[#Headers],[ID]])</f>
        <v>39</v>
      </c>
      <c r="B40" s="258" t="s">
        <v>140</v>
      </c>
      <c r="C40" s="258" t="s">
        <v>143</v>
      </c>
      <c r="D40" s="258" t="s">
        <v>254</v>
      </c>
      <c r="E40" s="270" t="s">
        <v>516</v>
      </c>
      <c r="F40" s="258" t="e">
        <f>IF(ISBLANK(TAB_Offres[[#This Row],[Reference]]),"",LOOKUP(TAB_Offres[[#This Row],[Reference]],#REF!,#REF!))</f>
        <v>#REF!</v>
      </c>
      <c r="G40" s="261" t="s">
        <v>517</v>
      </c>
      <c r="H40" s="262" t="s">
        <v>88</v>
      </c>
      <c r="I40" s="262" t="s">
        <v>167</v>
      </c>
      <c r="J40" s="262" t="s">
        <v>445</v>
      </c>
      <c r="K40" s="262" t="s">
        <v>446</v>
      </c>
      <c r="L40" s="262" t="s">
        <v>224</v>
      </c>
      <c r="M40" s="264" t="s">
        <v>519</v>
      </c>
      <c r="N40" s="262" t="s">
        <v>520</v>
      </c>
      <c r="O40" s="262" t="s">
        <v>338</v>
      </c>
      <c r="P40" s="262" t="s">
        <v>345</v>
      </c>
      <c r="Q40" s="263"/>
      <c r="R40" s="263"/>
      <c r="S40" s="292" t="s">
        <v>522</v>
      </c>
      <c r="T40" s="261"/>
      <c r="U40" s="261" t="s">
        <v>523</v>
      </c>
      <c r="V40" s="268">
        <v>44988</v>
      </c>
      <c r="W40" s="268"/>
      <c r="X40" s="268">
        <v>44988</v>
      </c>
      <c r="Y40" s="268"/>
      <c r="Z40" s="471">
        <f>SUMIF(TAB_CS[Reference],TAB_Offres[[#This Row],[Reference]],TAB_CS[Commited days])</f>
        <v>90</v>
      </c>
      <c r="AA40" s="269">
        <f>SUMIF(TAB_CS[Reference],TAB_Offres[[#This Row],[Reference]],TAB_CS[Commited amount])</f>
        <v>90000</v>
      </c>
      <c r="AB40" s="275" t="s">
        <v>173</v>
      </c>
      <c r="AC40" s="270" t="s">
        <v>518</v>
      </c>
      <c r="AD40" s="270" t="s">
        <v>201</v>
      </c>
      <c r="AE40" s="260">
        <v>0</v>
      </c>
      <c r="AF40" s="271">
        <v>44988</v>
      </c>
      <c r="AG40" s="278"/>
      <c r="AH40" s="277" t="str">
        <f>CONCATENATE(YEAR(TAB_Offres[[#This Row],[Request date ]]),"-",MONTH(TAB_Offres[[#This Row],[Request date ]]))</f>
        <v>2023-1</v>
      </c>
      <c r="AI40" s="274" t="e">
        <f>IF(#REF!,1,0)</f>
        <v>#REF!</v>
      </c>
      <c r="AJ40" s="4"/>
      <c r="AK40" s="4"/>
      <c r="AL40" s="4"/>
      <c r="AM40" s="4">
        <v>1</v>
      </c>
      <c r="AQ40" s="4"/>
    </row>
    <row r="41" spans="1:43" x14ac:dyDescent="0.25">
      <c r="A41" s="258">
        <f>ROW(TAB_Offres[[#This Row],[Reference]])-ROW(TAB_Offres[[#Headers],[ID]])</f>
        <v>40</v>
      </c>
      <c r="B41" s="529" t="s">
        <v>139</v>
      </c>
      <c r="C41" s="258" t="s">
        <v>143</v>
      </c>
      <c r="D41" s="258" t="s">
        <v>244</v>
      </c>
      <c r="E41" s="270" t="s">
        <v>513</v>
      </c>
      <c r="F41" s="258" t="e">
        <f>IF(ISBLANK(TAB_Offres[[#This Row],[Reference]]),"",LOOKUP(TAB_Offres[[#This Row],[Reference]],#REF!,#REF!))</f>
        <v>#REF!</v>
      </c>
      <c r="G41" s="261" t="s">
        <v>514</v>
      </c>
      <c r="H41" s="262" t="s">
        <v>203</v>
      </c>
      <c r="I41" s="262" t="s">
        <v>222</v>
      </c>
      <c r="J41" s="262" t="s">
        <v>445</v>
      </c>
      <c r="K41" s="262" t="s">
        <v>484</v>
      </c>
      <c r="L41" s="262" t="s">
        <v>225</v>
      </c>
      <c r="M41" s="270" t="s">
        <v>385</v>
      </c>
      <c r="N41" s="263" t="s">
        <v>405</v>
      </c>
      <c r="O41" s="262" t="s">
        <v>338</v>
      </c>
      <c r="P41" s="262" t="s">
        <v>345</v>
      </c>
      <c r="Q41" s="258" t="s">
        <v>262</v>
      </c>
      <c r="R41" s="263"/>
      <c r="S41" s="292" t="s">
        <v>5410</v>
      </c>
      <c r="T41" s="261"/>
      <c r="U41" s="261"/>
      <c r="V41" s="268">
        <v>44971</v>
      </c>
      <c r="W41" s="268"/>
      <c r="X41" s="268"/>
      <c r="Y41" s="268"/>
      <c r="Z41" s="471">
        <f>SUMIF(TAB_CS[Reference],TAB_Offres[[#This Row],[Reference]],TAB_CS[Commited days])</f>
        <v>0</v>
      </c>
      <c r="AA41" s="269">
        <f>SUMIF(TAB_CS[Reference],TAB_Offres[[#This Row],[Reference]],TAB_CS[Commited amount])</f>
        <v>0</v>
      </c>
      <c r="AB41" s="275" t="s">
        <v>173</v>
      </c>
      <c r="AC41" s="270" t="s">
        <v>263</v>
      </c>
      <c r="AD41" s="270" t="s">
        <v>54</v>
      </c>
      <c r="AE41" s="260">
        <v>9</v>
      </c>
      <c r="AF41" s="271"/>
      <c r="AG41" s="278"/>
      <c r="AH41" s="277" t="str">
        <f>CONCATENATE(YEAR(TAB_Offres[[#This Row],[Request date ]]),"-",MONTH(TAB_Offres[[#This Row],[Request date ]]))</f>
        <v>2023-1</v>
      </c>
      <c r="AI41" s="274" t="e">
        <f>IF(#REF!,1,0)</f>
        <v>#REF!</v>
      </c>
      <c r="AJ41" s="4">
        <v>14</v>
      </c>
      <c r="AK41" s="4"/>
      <c r="AL41" s="4"/>
      <c r="AQ41" s="4"/>
    </row>
    <row r="42" spans="1:43" x14ac:dyDescent="0.25">
      <c r="A42" s="258">
        <f>ROW(TAB_Offres[[#This Row],[Reference]])-ROW(TAB_Offres[[#Headers],[ID]])</f>
        <v>41</v>
      </c>
      <c r="B42" s="258" t="s">
        <v>139</v>
      </c>
      <c r="C42" s="258" t="s">
        <v>143</v>
      </c>
      <c r="D42" s="258" t="s">
        <v>5458</v>
      </c>
      <c r="E42" s="270" t="s">
        <v>533</v>
      </c>
      <c r="F42" s="258" t="e">
        <f>IF(ISBLANK(TAB_Offres[[#This Row],[Reference]]),"",LOOKUP(TAB_Offres[[#This Row],[Reference]],#REF!,#REF!))</f>
        <v>#REF!</v>
      </c>
      <c r="G42" s="261" t="s">
        <v>69</v>
      </c>
      <c r="H42" s="262" t="s">
        <v>86</v>
      </c>
      <c r="I42" s="262" t="s">
        <v>166</v>
      </c>
      <c r="J42" s="262" t="s">
        <v>446</v>
      </c>
      <c r="K42" s="262" t="s">
        <v>446</v>
      </c>
      <c r="L42" s="262" t="s">
        <v>225</v>
      </c>
      <c r="M42" s="264" t="s">
        <v>387</v>
      </c>
      <c r="N42" s="262" t="s">
        <v>407</v>
      </c>
      <c r="O42" s="262" t="s">
        <v>338</v>
      </c>
      <c r="P42" s="262" t="s">
        <v>346</v>
      </c>
      <c r="Q42" s="263"/>
      <c r="R42" s="263"/>
      <c r="S42" s="292" t="s">
        <v>534</v>
      </c>
      <c r="T42" s="261" t="s">
        <v>535</v>
      </c>
      <c r="U42" s="261" t="s">
        <v>536</v>
      </c>
      <c r="V42" s="268">
        <v>44993</v>
      </c>
      <c r="W42" s="268"/>
      <c r="X42" s="268">
        <v>44993</v>
      </c>
      <c r="Y42" s="268">
        <v>45595</v>
      </c>
      <c r="Z42" s="471">
        <f>SUMIF(TAB_CS[Reference],TAB_Offres[[#This Row],[Reference]],TAB_CS[Commited days])</f>
        <v>220</v>
      </c>
      <c r="AA42" s="269">
        <f>SUMIF(TAB_CS[Reference],TAB_Offres[[#This Row],[Reference]],TAB_CS[Commited amount])</f>
        <v>97413.8</v>
      </c>
      <c r="AB42" s="275" t="s">
        <v>173</v>
      </c>
      <c r="AC42" s="270" t="s">
        <v>537</v>
      </c>
      <c r="AD42" s="270" t="s">
        <v>69</v>
      </c>
      <c r="AE42" s="260">
        <v>5</v>
      </c>
      <c r="AF42" s="271">
        <v>44994</v>
      </c>
      <c r="AG42" s="278"/>
      <c r="AH42" s="277" t="str">
        <f>CONCATENATE(YEAR(TAB_Offres[[#This Row],[Request date ]]),"-",MONTH(TAB_Offres[[#This Row],[Request date ]]))</f>
        <v>2023-3</v>
      </c>
      <c r="AI42" s="274" t="e">
        <f>IF(#REF!,1,0)</f>
        <v>#REF!</v>
      </c>
      <c r="AJ42" s="4">
        <v>9</v>
      </c>
      <c r="AK42" s="4"/>
      <c r="AL42" s="4"/>
      <c r="AQ42" s="4"/>
    </row>
    <row r="43" spans="1:43" x14ac:dyDescent="0.25">
      <c r="A43" s="258">
        <f>ROW(TAB_Offres[[#This Row],[Reference]])-ROW(TAB_Offres[[#Headers],[ID]])</f>
        <v>42</v>
      </c>
      <c r="B43" s="258" t="s">
        <v>140</v>
      </c>
      <c r="C43" s="258" t="s">
        <v>143</v>
      </c>
      <c r="D43" s="258" t="s">
        <v>251</v>
      </c>
      <c r="E43" s="270" t="s">
        <v>538</v>
      </c>
      <c r="F43" s="258" t="e">
        <f>IF(ISBLANK(TAB_Offres[[#This Row],[Reference]]),"",LOOKUP(TAB_Offres[[#This Row],[Reference]],#REF!,#REF!))</f>
        <v>#REF!</v>
      </c>
      <c r="G43" s="261" t="s">
        <v>424</v>
      </c>
      <c r="H43" s="262" t="s">
        <v>203</v>
      </c>
      <c r="I43" s="262" t="s">
        <v>166</v>
      </c>
      <c r="J43" s="262" t="s">
        <v>445</v>
      </c>
      <c r="K43" s="262" t="s">
        <v>484</v>
      </c>
      <c r="L43" s="262" t="s">
        <v>225</v>
      </c>
      <c r="M43" s="264" t="s">
        <v>386</v>
      </c>
      <c r="N43" s="262" t="s">
        <v>406</v>
      </c>
      <c r="O43" s="262" t="s">
        <v>338</v>
      </c>
      <c r="P43" s="262" t="s">
        <v>346</v>
      </c>
      <c r="Q43" s="263"/>
      <c r="R43" s="263"/>
      <c r="S43" s="292" t="s">
        <v>539</v>
      </c>
      <c r="T43" s="261"/>
      <c r="U43" s="261"/>
      <c r="V43" s="268">
        <v>44985</v>
      </c>
      <c r="W43" s="268"/>
      <c r="X43" s="268">
        <v>44985</v>
      </c>
      <c r="Y43" s="268">
        <v>45473</v>
      </c>
      <c r="Z43" s="471">
        <f>SUMIF(TAB_CS[Reference],TAB_Offres[[#This Row],[Reference]],TAB_CS[Commited days])</f>
        <v>220</v>
      </c>
      <c r="AA43" s="269">
        <f>SUMIF(TAB_CS[Reference],TAB_Offres[[#This Row],[Reference]],TAB_CS[Commited amount])</f>
        <v>190418.8</v>
      </c>
      <c r="AB43" s="275" t="s">
        <v>174</v>
      </c>
      <c r="AC43" s="270" t="s">
        <v>279</v>
      </c>
      <c r="AD43" s="270" t="s">
        <v>79</v>
      </c>
      <c r="AE43" s="260">
        <v>10</v>
      </c>
      <c r="AF43" s="271">
        <v>45020</v>
      </c>
      <c r="AG43" s="278"/>
      <c r="AH43" s="277" t="str">
        <f>CONCATENATE(YEAR(TAB_Offres[[#This Row],[Request date ]]),"-",MONTH(TAB_Offres[[#This Row],[Request date ]]))</f>
        <v>2023-1</v>
      </c>
      <c r="AI43" s="274" t="e">
        <f>IF(#REF!,1,0)</f>
        <v>#REF!</v>
      </c>
      <c r="AJ43" s="4">
        <v>9</v>
      </c>
      <c r="AK43" s="4"/>
      <c r="AL43" s="4"/>
      <c r="AQ43" s="4"/>
    </row>
    <row r="44" spans="1:43" x14ac:dyDescent="0.25">
      <c r="A44" s="258">
        <f>ROW(TAB_Offres[[#This Row],[Reference]])-ROW(TAB_Offres[[#Headers],[ID]])</f>
        <v>43</v>
      </c>
      <c r="B44" s="258" t="s">
        <v>138</v>
      </c>
      <c r="C44" s="258" t="s">
        <v>143</v>
      </c>
      <c r="D44" s="258" t="s">
        <v>299</v>
      </c>
      <c r="E44" s="270" t="s">
        <v>540</v>
      </c>
      <c r="F44" s="258" t="e">
        <f>IF(ISBLANK(TAB_Offres[[#This Row],[Reference]]),"",LOOKUP(TAB_Offres[[#This Row],[Reference]],#REF!,#REF!))</f>
        <v>#REF!</v>
      </c>
      <c r="G44" s="261" t="s">
        <v>438</v>
      </c>
      <c r="H44" s="262" t="s">
        <v>86</v>
      </c>
      <c r="I44" s="262" t="s">
        <v>167</v>
      </c>
      <c r="J44" s="262" t="s">
        <v>446</v>
      </c>
      <c r="K44" s="262" t="s">
        <v>486</v>
      </c>
      <c r="L44" s="262" t="s">
        <v>225</v>
      </c>
      <c r="M44" s="264" t="s">
        <v>541</v>
      </c>
      <c r="N44" s="262" t="s">
        <v>542</v>
      </c>
      <c r="O44" s="262" t="s">
        <v>338</v>
      </c>
      <c r="P44" s="262" t="s">
        <v>346</v>
      </c>
      <c r="Q44" s="263"/>
      <c r="R44" s="263"/>
      <c r="S44" s="292" t="s">
        <v>543</v>
      </c>
      <c r="T44" s="261"/>
      <c r="U44" s="261"/>
      <c r="V44" s="268">
        <v>44993</v>
      </c>
      <c r="W44" s="268"/>
      <c r="X44" s="268"/>
      <c r="Y44" s="268">
        <v>45565</v>
      </c>
      <c r="Z44" s="471">
        <f>SUMIF(TAB_CS[Reference],TAB_Offres[[#This Row],[Reference]],TAB_CS[Commited days])</f>
        <v>120</v>
      </c>
      <c r="AA44" s="269">
        <f>SUMIF(TAB_CS[Reference],TAB_Offres[[#This Row],[Reference]],TAB_CS[Commited amount])</f>
        <v>55668</v>
      </c>
      <c r="AB44" s="275" t="s">
        <v>179</v>
      </c>
      <c r="AC44" s="270" t="s">
        <v>302</v>
      </c>
      <c r="AD44" s="270" t="s">
        <v>92</v>
      </c>
      <c r="AE44" s="260">
        <v>8</v>
      </c>
      <c r="AF44" s="271">
        <v>45013</v>
      </c>
      <c r="AG44" s="272"/>
      <c r="AH44" s="273" t="str">
        <f>CONCATENATE(YEAR(TAB_Offres[[#This Row],[Request date ]]),"-",MONTH(TAB_Offres[[#This Row],[Request date ]]))</f>
        <v>2023-2</v>
      </c>
      <c r="AI44" s="274" t="e">
        <f>IF(#REF!,1,0)</f>
        <v>#REF!</v>
      </c>
      <c r="AJ44" s="4">
        <v>9</v>
      </c>
      <c r="AK44" s="4"/>
      <c r="AL44" s="4"/>
      <c r="AQ44" s="4"/>
    </row>
    <row r="45" spans="1:43" x14ac:dyDescent="0.25">
      <c r="A45" s="258">
        <f>ROW(TAB_Offres[[#This Row],[Reference]])-ROW(TAB_Offres[[#Headers],[ID]])</f>
        <v>44</v>
      </c>
      <c r="B45" s="258" t="s">
        <v>140</v>
      </c>
      <c r="C45" s="258" t="s">
        <v>143</v>
      </c>
      <c r="D45" s="258" t="s">
        <v>251</v>
      </c>
      <c r="E45" s="270" t="s">
        <v>544</v>
      </c>
      <c r="F45" s="258" t="e">
        <f>IF(ISBLANK(TAB_Offres[[#This Row],[Reference]]),"",LOOKUP(TAB_Offres[[#This Row],[Reference]],#REF!,#REF!))</f>
        <v>#REF!</v>
      </c>
      <c r="G45" s="261" t="s">
        <v>427</v>
      </c>
      <c r="H45" s="262" t="s">
        <v>203</v>
      </c>
      <c r="I45" s="262" t="s">
        <v>166</v>
      </c>
      <c r="J45" s="262" t="s">
        <v>445</v>
      </c>
      <c r="K45" s="262" t="s">
        <v>484</v>
      </c>
      <c r="L45" s="262" t="s">
        <v>225</v>
      </c>
      <c r="M45" s="264" t="s">
        <v>386</v>
      </c>
      <c r="N45" s="262" t="s">
        <v>406</v>
      </c>
      <c r="O45" s="262" t="s">
        <v>338</v>
      </c>
      <c r="P45" s="262" t="s">
        <v>346</v>
      </c>
      <c r="Q45" s="263"/>
      <c r="R45" s="263"/>
      <c r="S45" s="292" t="s">
        <v>545</v>
      </c>
      <c r="T45" s="261"/>
      <c r="U45" s="261"/>
      <c r="V45" s="268">
        <v>45007</v>
      </c>
      <c r="W45" s="268"/>
      <c r="X45" s="268">
        <v>45007</v>
      </c>
      <c r="Y45" s="268">
        <v>45473</v>
      </c>
      <c r="Z45" s="471">
        <f>SUMIF(TAB_CS[Reference],TAB_Offres[[#This Row],[Reference]],TAB_CS[Commited days])</f>
        <v>220</v>
      </c>
      <c r="AA45" s="269">
        <f>SUMIF(TAB_CS[Reference],TAB_Offres[[#This Row],[Reference]],TAB_CS[Commited amount])</f>
        <v>190418.8</v>
      </c>
      <c r="AB45" s="275" t="s">
        <v>174</v>
      </c>
      <c r="AC45" s="270" t="s">
        <v>286</v>
      </c>
      <c r="AD45" s="270" t="s">
        <v>79</v>
      </c>
      <c r="AE45" s="260">
        <v>10</v>
      </c>
      <c r="AF45" s="271">
        <v>45020</v>
      </c>
      <c r="AG45" s="278"/>
      <c r="AH45" s="277" t="str">
        <f>CONCATENATE(YEAR(TAB_Offres[[#This Row],[Request date ]]),"-",MONTH(TAB_Offres[[#This Row],[Request date ]]))</f>
        <v>2023-2</v>
      </c>
      <c r="AI45" s="274" t="e">
        <f>IF(#REF!,1,0)</f>
        <v>#REF!</v>
      </c>
      <c r="AJ45" s="4">
        <v>10</v>
      </c>
      <c r="AK45" s="4"/>
      <c r="AL45" s="4"/>
      <c r="AQ45" s="4"/>
    </row>
    <row r="46" spans="1:43" x14ac:dyDescent="0.25">
      <c r="A46" s="258">
        <f>ROW(TAB_Offres[[#This Row],[Reference]])-ROW(TAB_Offres[[#Headers],[ID]])</f>
        <v>45</v>
      </c>
      <c r="B46" s="258" t="s">
        <v>138</v>
      </c>
      <c r="C46" s="258" t="s">
        <v>152</v>
      </c>
      <c r="D46" s="258" t="s">
        <v>152</v>
      </c>
      <c r="E46" s="270" t="s">
        <v>546</v>
      </c>
      <c r="F46" s="258" t="e">
        <f>IF(ISBLANK(TAB_Offres[[#This Row],[Reference]]),"",LOOKUP(TAB_Offres[[#This Row],[Reference]],#REF!,#REF!))</f>
        <v>#REF!</v>
      </c>
      <c r="G46" s="263" t="s">
        <v>418</v>
      </c>
      <c r="H46" s="262" t="s">
        <v>86</v>
      </c>
      <c r="I46" s="262" t="s">
        <v>166</v>
      </c>
      <c r="J46" s="262" t="s">
        <v>445</v>
      </c>
      <c r="K46" s="262" t="s">
        <v>484</v>
      </c>
      <c r="L46" s="262" t="s">
        <v>225</v>
      </c>
      <c r="M46" s="264" t="s">
        <v>378</v>
      </c>
      <c r="N46" s="262" t="s">
        <v>398</v>
      </c>
      <c r="O46" s="262" t="s">
        <v>338</v>
      </c>
      <c r="P46" s="262" t="s">
        <v>346</v>
      </c>
      <c r="Q46" s="263"/>
      <c r="R46" s="263"/>
      <c r="S46" s="292" t="s">
        <v>547</v>
      </c>
      <c r="T46" s="261"/>
      <c r="U46" s="261"/>
      <c r="V46" s="268">
        <v>45019</v>
      </c>
      <c r="W46" s="268"/>
      <c r="X46" s="268"/>
      <c r="Y46" s="268">
        <v>45427</v>
      </c>
      <c r="Z46" s="471">
        <f>SUMIF(TAB_CS[Reference],TAB_Offres[[#This Row],[Reference]],TAB_CS[Commited days])</f>
        <v>220</v>
      </c>
      <c r="AA46" s="269">
        <f>SUMIF(TAB_CS[Reference],TAB_Offres[[#This Row],[Reference]],TAB_CS[Commited amount])</f>
        <v>126632</v>
      </c>
      <c r="AB46" s="275" t="s">
        <v>174</v>
      </c>
      <c r="AC46" s="270" t="s">
        <v>548</v>
      </c>
      <c r="AD46" s="270" t="s">
        <v>38</v>
      </c>
      <c r="AE46" s="260">
        <v>8</v>
      </c>
      <c r="AF46" s="271">
        <v>45035</v>
      </c>
      <c r="AG46" s="278"/>
      <c r="AH46" s="277" t="str">
        <f>CONCATENATE(YEAR(TAB_Offres[[#This Row],[Request date ]]),"-",MONTH(TAB_Offres[[#This Row],[Request date ]]))</f>
        <v>2023-2</v>
      </c>
      <c r="AI46" s="274" t="e">
        <f>IF(#REF!,1,0)</f>
        <v>#REF!</v>
      </c>
      <c r="AJ46" s="4">
        <v>10</v>
      </c>
      <c r="AK46" s="4"/>
      <c r="AL46" s="4"/>
      <c r="AQ46" s="4"/>
    </row>
    <row r="47" spans="1:43" x14ac:dyDescent="0.25">
      <c r="A47" s="258">
        <f>ROW(TAB_Offres[[#This Row],[Reference]])-ROW(TAB_Offres[[#Headers],[ID]])</f>
        <v>46</v>
      </c>
      <c r="B47" s="258" t="s">
        <v>138</v>
      </c>
      <c r="C47" s="258" t="s">
        <v>152</v>
      </c>
      <c r="D47" s="258" t="s">
        <v>152</v>
      </c>
      <c r="E47" s="270" t="s">
        <v>551</v>
      </c>
      <c r="F47" s="258" t="e">
        <f>IF(ISBLANK(TAB_Offres[[#This Row],[Reference]]),"",LOOKUP(TAB_Offres[[#This Row],[Reference]],#REF!,#REF!))</f>
        <v>#REF!</v>
      </c>
      <c r="G47" s="263" t="s">
        <v>421</v>
      </c>
      <c r="H47" s="262" t="s">
        <v>86</v>
      </c>
      <c r="I47" s="262" t="s">
        <v>222</v>
      </c>
      <c r="J47" s="262" t="s">
        <v>445</v>
      </c>
      <c r="K47" s="262" t="s">
        <v>484</v>
      </c>
      <c r="L47" s="262" t="s">
        <v>225</v>
      </c>
      <c r="M47" s="264" t="s">
        <v>378</v>
      </c>
      <c r="N47" s="262" t="s">
        <v>398</v>
      </c>
      <c r="O47" s="262" t="s">
        <v>338</v>
      </c>
      <c r="P47" s="262" t="s">
        <v>346</v>
      </c>
      <c r="Q47" s="263"/>
      <c r="R47" s="263"/>
      <c r="S47" s="292" t="s">
        <v>552</v>
      </c>
      <c r="T47" s="261"/>
      <c r="U47" s="261"/>
      <c r="V47" s="268">
        <v>45021</v>
      </c>
      <c r="W47" s="268"/>
      <c r="X47" s="268"/>
      <c r="Y47" s="268">
        <v>45473</v>
      </c>
      <c r="Z47" s="471">
        <f>SUMIF(TAB_CS[Reference],TAB_Offres[[#This Row],[Reference]],TAB_CS[Commited days])</f>
        <v>220</v>
      </c>
      <c r="AA47" s="269">
        <f>SUMIF(TAB_CS[Reference],TAB_Offres[[#This Row],[Reference]],TAB_CS[Commited amount])</f>
        <v>127762.8</v>
      </c>
      <c r="AB47" s="275" t="s">
        <v>174</v>
      </c>
      <c r="AC47" s="270" t="s">
        <v>270</v>
      </c>
      <c r="AD47" s="270" t="s">
        <v>39</v>
      </c>
      <c r="AE47" s="259">
        <v>8</v>
      </c>
      <c r="AF47" s="271">
        <v>45037</v>
      </c>
      <c r="AG47" s="278"/>
      <c r="AH47" s="277" t="str">
        <f>CONCATENATE(YEAR(TAB_Offres[[#This Row],[Request date ]]),"-",MONTH(TAB_Offres[[#This Row],[Request date ]]))</f>
        <v>2023-2</v>
      </c>
      <c r="AI47" s="274" t="e">
        <f>IF(#REF!,1,0)</f>
        <v>#REF!</v>
      </c>
      <c r="AJ47" s="4">
        <v>11</v>
      </c>
      <c r="AK47" s="4"/>
      <c r="AL47" s="4"/>
      <c r="AQ47" s="4"/>
    </row>
    <row r="48" spans="1:43" x14ac:dyDescent="0.25">
      <c r="A48" s="258">
        <f>ROW(TAB_Offres[[#This Row],[Reference]])-ROW(TAB_Offres[[#Headers],[ID]])</f>
        <v>47</v>
      </c>
      <c r="B48" s="258" t="s">
        <v>140</v>
      </c>
      <c r="C48" s="258" t="s">
        <v>143</v>
      </c>
      <c r="D48" s="258" t="s">
        <v>250</v>
      </c>
      <c r="E48" s="270" t="s">
        <v>549</v>
      </c>
      <c r="F48" s="258" t="e">
        <f>IF(ISBLANK(TAB_Offres[[#This Row],[Reference]]),"",LOOKUP(TAB_Offres[[#This Row],[Reference]],#REF!,#REF!))</f>
        <v>#REF!</v>
      </c>
      <c r="G48" s="263" t="s">
        <v>439</v>
      </c>
      <c r="H48" s="262" t="s">
        <v>86</v>
      </c>
      <c r="I48" s="262" t="s">
        <v>166</v>
      </c>
      <c r="J48" s="262" t="s">
        <v>445</v>
      </c>
      <c r="K48" s="262" t="s">
        <v>484</v>
      </c>
      <c r="L48" s="262" t="s">
        <v>225</v>
      </c>
      <c r="M48" s="264" t="s">
        <v>395</v>
      </c>
      <c r="N48" s="262" t="s">
        <v>415</v>
      </c>
      <c r="O48" s="262" t="s">
        <v>338</v>
      </c>
      <c r="P48" s="262" t="s">
        <v>346</v>
      </c>
      <c r="Q48" s="263"/>
      <c r="R48" s="263"/>
      <c r="S48" s="292" t="s">
        <v>550</v>
      </c>
      <c r="T48" s="261"/>
      <c r="U48" s="261"/>
      <c r="V48" s="268">
        <v>45016</v>
      </c>
      <c r="W48" s="268"/>
      <c r="X48" s="268">
        <v>45231</v>
      </c>
      <c r="Y48" s="268">
        <v>45596</v>
      </c>
      <c r="Z48" s="471">
        <f>SUMIF(TAB_CS[Reference],TAB_Offres[[#This Row],[Reference]],TAB_CS[Commited days])</f>
        <v>60</v>
      </c>
      <c r="AA48" s="269">
        <f>SUMIF(TAB_CS[Reference],TAB_Offres[[#This Row],[Reference]],TAB_CS[Commited amount])</f>
        <v>31459.200000000004</v>
      </c>
      <c r="AB48" s="275" t="s">
        <v>179</v>
      </c>
      <c r="AC48" s="270" t="s">
        <v>304</v>
      </c>
      <c r="AD48" s="270" t="s">
        <v>81</v>
      </c>
      <c r="AE48" s="260">
        <v>4</v>
      </c>
      <c r="AF48" s="271"/>
      <c r="AG48" s="278"/>
      <c r="AH48" s="277" t="str">
        <f>CONCATENATE(YEAR(TAB_Offres[[#This Row],[Request date ]]),"-",MONTH(TAB_Offres[[#This Row],[Request date ]]))</f>
        <v>2023-3</v>
      </c>
      <c r="AI48" s="274" t="e">
        <f>IF(#REF!,1,0)</f>
        <v>#REF!</v>
      </c>
      <c r="AJ48" s="4">
        <v>10</v>
      </c>
      <c r="AK48" s="4"/>
      <c r="AL48" s="4"/>
      <c r="AQ48" s="4"/>
    </row>
    <row r="49" spans="1:43" x14ac:dyDescent="0.25">
      <c r="A49" s="258">
        <f>ROW(TAB_Offres[[#This Row],[Reference]])-ROW(TAB_Offres[[#Headers],[ID]])</f>
        <v>48</v>
      </c>
      <c r="B49" s="258" t="s">
        <v>138</v>
      </c>
      <c r="C49" s="258" t="s">
        <v>143</v>
      </c>
      <c r="D49" s="258" t="s">
        <v>5464</v>
      </c>
      <c r="E49" s="263" t="s">
        <v>602</v>
      </c>
      <c r="F49" s="258" t="e">
        <f>IF(ISBLANK(TAB_Offres[[#This Row],[Reference]]),"",LOOKUP(TAB_Offres[[#This Row],[Reference]],#REF!,#REF!))</f>
        <v>#REF!</v>
      </c>
      <c r="G49" s="263" t="s">
        <v>603</v>
      </c>
      <c r="H49" s="262" t="s">
        <v>85</v>
      </c>
      <c r="I49" s="262" t="s">
        <v>167</v>
      </c>
      <c r="J49" s="262" t="s">
        <v>446</v>
      </c>
      <c r="K49" s="262" t="s">
        <v>604</v>
      </c>
      <c r="L49" s="262" t="s">
        <v>225</v>
      </c>
      <c r="M49" s="264" t="s">
        <v>605</v>
      </c>
      <c r="N49" s="262" t="s">
        <v>606</v>
      </c>
      <c r="O49" s="262" t="s">
        <v>338</v>
      </c>
      <c r="P49" s="262" t="s">
        <v>345</v>
      </c>
      <c r="Q49" s="263"/>
      <c r="R49" s="263"/>
      <c r="S49" s="292" t="s">
        <v>607</v>
      </c>
      <c r="T49" s="261" t="s">
        <v>608</v>
      </c>
      <c r="U49" s="261" t="s">
        <v>609</v>
      </c>
      <c r="V49" s="268">
        <v>45104</v>
      </c>
      <c r="W49" s="268">
        <v>45105</v>
      </c>
      <c r="X49" s="268">
        <v>45108</v>
      </c>
      <c r="Y49" s="268">
        <v>45291</v>
      </c>
      <c r="Z49" s="471">
        <f>SUMIF(TAB_CS[Reference],TAB_Offres[[#This Row],[Reference]],TAB_CS[Commited days])</f>
        <v>80</v>
      </c>
      <c r="AA49" s="269">
        <f>SUMIF(TAB_CS[Reference],TAB_Offres[[#This Row],[Reference]],TAB_CS[Commited amount])</f>
        <v>32415.200000000001</v>
      </c>
      <c r="AB49" s="275" t="s">
        <v>179</v>
      </c>
      <c r="AC49" s="270" t="s">
        <v>610</v>
      </c>
      <c r="AD49" s="270" t="s">
        <v>92</v>
      </c>
      <c r="AE49" s="260">
        <v>6</v>
      </c>
      <c r="AF49" s="271"/>
      <c r="AG49" s="278"/>
      <c r="AH49" s="277" t="str">
        <f>CONCATENATE(YEAR(TAB_Offres[[#This Row],[Request date ]]),"-",MONTH(TAB_Offres[[#This Row],[Request date ]]))</f>
        <v>2023-4</v>
      </c>
      <c r="AI49" s="274" t="e">
        <f>IF(#REF!,1,0)</f>
        <v>#REF!</v>
      </c>
      <c r="AJ49" s="4"/>
      <c r="AK49" s="4">
        <v>2</v>
      </c>
      <c r="AL49" s="4"/>
      <c r="AQ49" s="4"/>
    </row>
    <row r="50" spans="1:43" x14ac:dyDescent="0.25">
      <c r="A50" s="258">
        <f>ROW(TAB_Offres[[#This Row],[Reference]])-ROW(TAB_Offres[[#Headers],[ID]])</f>
        <v>49</v>
      </c>
      <c r="B50" s="258" t="s">
        <v>139</v>
      </c>
      <c r="C50" s="258" t="s">
        <v>143</v>
      </c>
      <c r="D50" s="258" t="s">
        <v>5462</v>
      </c>
      <c r="E50" s="270" t="s">
        <v>553</v>
      </c>
      <c r="F50" s="258" t="e">
        <f>IF(ISBLANK(TAB_Offres[[#This Row],[Reference]]),"",LOOKUP(TAB_Offres[[#This Row],[Reference]],#REF!,#REF!))</f>
        <v>#REF!</v>
      </c>
      <c r="G50" s="263" t="s">
        <v>554</v>
      </c>
      <c r="H50" s="262" t="s">
        <v>203</v>
      </c>
      <c r="I50" s="262" t="s">
        <v>222</v>
      </c>
      <c r="J50" s="262" t="s">
        <v>445</v>
      </c>
      <c r="K50" s="262" t="s">
        <v>484</v>
      </c>
      <c r="L50" s="262" t="s">
        <v>225</v>
      </c>
      <c r="M50" s="264" t="s">
        <v>385</v>
      </c>
      <c r="N50" s="262" t="s">
        <v>405</v>
      </c>
      <c r="O50" s="262" t="s">
        <v>338</v>
      </c>
      <c r="P50" s="262" t="s">
        <v>346</v>
      </c>
      <c r="Q50" s="263"/>
      <c r="R50" s="263"/>
      <c r="S50" s="292" t="s">
        <v>555</v>
      </c>
      <c r="T50" s="261"/>
      <c r="U50" s="261"/>
      <c r="V50" s="268">
        <v>45009</v>
      </c>
      <c r="W50" s="268"/>
      <c r="X50" s="268"/>
      <c r="Y50" s="268">
        <v>45565</v>
      </c>
      <c r="Z50" s="471">
        <f>SUMIF(TAB_CS[Reference],TAB_Offres[[#This Row],[Reference]],TAB_CS[Commited days])</f>
        <v>110</v>
      </c>
      <c r="AA50" s="269">
        <f>SUMIF(TAB_CS[Reference],TAB_Offres[[#This Row],[Reference]],TAB_CS[Commited amount])</f>
        <v>82914.7</v>
      </c>
      <c r="AB50" s="275" t="s">
        <v>173</v>
      </c>
      <c r="AC50" s="270" t="s">
        <v>308</v>
      </c>
      <c r="AD50" s="270" t="s">
        <v>54</v>
      </c>
      <c r="AE50" s="259">
        <v>9</v>
      </c>
      <c r="AF50" s="271">
        <v>45033</v>
      </c>
      <c r="AG50" s="278"/>
      <c r="AH50" s="277" t="str">
        <f>CONCATENATE(YEAR(TAB_Offres[[#This Row],[Request date ]]),"-",MONTH(TAB_Offres[[#This Row],[Request date ]]))</f>
        <v>2023-3</v>
      </c>
      <c r="AI50" s="274" t="e">
        <f>IF(#REF!,1,0)</f>
        <v>#REF!</v>
      </c>
      <c r="AJ50" s="4">
        <v>11</v>
      </c>
      <c r="AK50" s="4"/>
      <c r="AL50" s="4"/>
      <c r="AQ50" s="4"/>
    </row>
    <row r="51" spans="1:43" x14ac:dyDescent="0.25">
      <c r="A51" s="258">
        <f>ROW(TAB_Offres[[#This Row],[Reference]])-ROW(TAB_Offres[[#Headers],[ID]])</f>
        <v>50</v>
      </c>
      <c r="B51" s="258" t="s">
        <v>138</v>
      </c>
      <c r="C51" s="258" t="s">
        <v>143</v>
      </c>
      <c r="D51" s="258" t="s">
        <v>251</v>
      </c>
      <c r="E51" s="263" t="s">
        <v>5433</v>
      </c>
      <c r="F51" s="258" t="e">
        <f>IF(ISBLANK(TAB_Offres[[#This Row],[Reference]]),"",LOOKUP(TAB_Offres[[#This Row],[Reference]],#REF!,#REF!))</f>
        <v>#REF!</v>
      </c>
      <c r="G51" s="263" t="s">
        <v>5434</v>
      </c>
      <c r="H51" s="262" t="s">
        <v>86</v>
      </c>
      <c r="I51" s="262" t="s">
        <v>222</v>
      </c>
      <c r="J51" s="262" t="s">
        <v>445</v>
      </c>
      <c r="K51" s="262" t="s">
        <v>484</v>
      </c>
      <c r="L51" s="262" t="s">
        <v>225</v>
      </c>
      <c r="M51" s="264" t="s">
        <v>386</v>
      </c>
      <c r="N51" s="262" t="s">
        <v>406</v>
      </c>
      <c r="O51" s="262" t="s">
        <v>338</v>
      </c>
      <c r="P51" s="262"/>
      <c r="Q51" s="263"/>
      <c r="R51" s="263"/>
      <c r="S51" s="292" t="s">
        <v>5440</v>
      </c>
      <c r="T51" s="261"/>
      <c r="U51" s="261"/>
      <c r="V51" s="268">
        <v>45140</v>
      </c>
      <c r="W51" s="268">
        <v>45140</v>
      </c>
      <c r="X51" s="268">
        <v>45140</v>
      </c>
      <c r="Y51" s="268">
        <v>45443</v>
      </c>
      <c r="Z51" s="471">
        <f>SUMIF(TAB_CS[Reference],TAB_Offres[[#This Row],[Reference]],TAB_CS[Commited days])</f>
        <v>80</v>
      </c>
      <c r="AA51" s="269">
        <f>SUMIF(TAB_CS[Reference],TAB_Offres[[#This Row],[Reference]],TAB_CS[Commited amount])</f>
        <v>46459.199999999997</v>
      </c>
      <c r="AB51" s="275" t="s">
        <v>173</v>
      </c>
      <c r="AC51" s="270" t="s">
        <v>5438</v>
      </c>
      <c r="AD51" s="270" t="s">
        <v>39</v>
      </c>
      <c r="AE51" s="260">
        <v>8</v>
      </c>
      <c r="AF51" s="271"/>
      <c r="AG51" s="278"/>
      <c r="AH51" s="277" t="str">
        <f>CONCATENATE(YEAR(TAB_Offres[[#This Row],[Request date ]]),"-",MONTH(TAB_Offres[[#This Row],[Request date ]]))</f>
        <v>2023-6</v>
      </c>
      <c r="AI51" s="274" t="e">
        <f>IF(#REF!,1,0)</f>
        <v>#REF!</v>
      </c>
      <c r="AJ51" s="4">
        <v>15</v>
      </c>
      <c r="AK51" s="4"/>
      <c r="AL51" s="4"/>
      <c r="AQ51" s="4"/>
    </row>
    <row r="52" spans="1:43" x14ac:dyDescent="0.25">
      <c r="A52" s="258">
        <f>ROW(TAB_Offres[[#This Row],[Reference]])-ROW(TAB_Offres[[#Headers],[ID]])</f>
        <v>51</v>
      </c>
      <c r="B52" s="258" t="s">
        <v>139</v>
      </c>
      <c r="C52" s="258" t="s">
        <v>143</v>
      </c>
      <c r="D52" s="258" t="s">
        <v>5447</v>
      </c>
      <c r="E52" s="263" t="s">
        <v>5448</v>
      </c>
      <c r="F52" s="258" t="e">
        <f>IF(ISBLANK(TAB_Offres[[#This Row],[Reference]]),"",LOOKUP(TAB_Offres[[#This Row],[Reference]],#REF!,#REF!))</f>
        <v>#REF!</v>
      </c>
      <c r="G52" s="263" t="s">
        <v>5449</v>
      </c>
      <c r="H52" s="262" t="s">
        <v>203</v>
      </c>
      <c r="I52" s="262" t="s">
        <v>222</v>
      </c>
      <c r="J52" s="262" t="s">
        <v>445</v>
      </c>
      <c r="K52" s="262" t="s">
        <v>484</v>
      </c>
      <c r="L52" s="262" t="s">
        <v>225</v>
      </c>
      <c r="M52" s="264" t="s">
        <v>5450</v>
      </c>
      <c r="N52" s="262" t="s">
        <v>5451</v>
      </c>
      <c r="O52" s="262" t="s">
        <v>338</v>
      </c>
      <c r="P52" s="262"/>
      <c r="Q52" s="263"/>
      <c r="R52" s="263"/>
      <c r="S52" s="292" t="s">
        <v>5452</v>
      </c>
      <c r="T52" s="261"/>
      <c r="U52" s="261"/>
      <c r="V52" s="268">
        <v>45166</v>
      </c>
      <c r="W52" s="268">
        <v>45166</v>
      </c>
      <c r="X52" s="268">
        <v>45166</v>
      </c>
      <c r="Y52" s="268">
        <v>45596</v>
      </c>
      <c r="Z52" s="471">
        <f>SUMIF(TAB_CS[Reference],TAB_Offres[[#This Row],[Reference]],TAB_CS[Commited days])</f>
        <v>220</v>
      </c>
      <c r="AA52" s="269">
        <f>SUMIF(TAB_CS[Reference],TAB_Offres[[#This Row],[Reference]],TAB_CS[Commited amount])</f>
        <v>91040.4</v>
      </c>
      <c r="AB52" s="275" t="s">
        <v>173</v>
      </c>
      <c r="AC52" s="270" t="s">
        <v>5453</v>
      </c>
      <c r="AD52" s="270" t="s">
        <v>67</v>
      </c>
      <c r="AE52" s="260">
        <v>4</v>
      </c>
      <c r="AF52" s="271"/>
      <c r="AG52" s="278"/>
      <c r="AH52" s="277" t="str">
        <f>CONCATENATE(YEAR(TAB_Offres[[#This Row],[Request date ]]),"-",MONTH(TAB_Offres[[#This Row],[Request date ]]))</f>
        <v>2023-6</v>
      </c>
      <c r="AI52" s="274" t="e">
        <f>IF(#REF!,1,0)</f>
        <v>#REF!</v>
      </c>
      <c r="AJ52" s="4">
        <v>16</v>
      </c>
      <c r="AK52" s="4"/>
      <c r="AL52" s="4"/>
      <c r="AQ52" s="4"/>
    </row>
    <row r="53" spans="1:43" x14ac:dyDescent="0.25">
      <c r="A53" s="258">
        <f>ROW(TAB_Offres[[#This Row],[Reference]])-ROW(TAB_Offres[[#Headers],[ID]])</f>
        <v>52</v>
      </c>
      <c r="B53" s="258" t="s">
        <v>138</v>
      </c>
      <c r="C53" s="258" t="s">
        <v>143</v>
      </c>
      <c r="D53" s="258" t="s">
        <v>248</v>
      </c>
      <c r="E53" s="263" t="s">
        <v>5474</v>
      </c>
      <c r="F53" s="258" t="e">
        <f>IF(ISBLANK(TAB_Offres[[#This Row],[Reference]]),"",LOOKUP(TAB_Offres[[#This Row],[Reference]],#REF!,#REF!))</f>
        <v>#REF!</v>
      </c>
      <c r="G53" s="263" t="s">
        <v>5481</v>
      </c>
      <c r="H53" s="262" t="s">
        <v>85</v>
      </c>
      <c r="I53" s="262" t="s">
        <v>222</v>
      </c>
      <c r="J53" s="262" t="s">
        <v>445</v>
      </c>
      <c r="K53" s="262" t="s">
        <v>484</v>
      </c>
      <c r="L53" s="262" t="s">
        <v>225</v>
      </c>
      <c r="M53" s="264" t="s">
        <v>5495</v>
      </c>
      <c r="N53" s="262" t="s">
        <v>5496</v>
      </c>
      <c r="O53" s="262" t="s">
        <v>338</v>
      </c>
      <c r="P53" s="262" t="s">
        <v>346</v>
      </c>
      <c r="Q53" s="263"/>
      <c r="R53" s="263"/>
      <c r="S53" s="292" t="s">
        <v>5497</v>
      </c>
      <c r="T53" s="261"/>
      <c r="U53" s="261"/>
      <c r="V53" s="268">
        <v>45183</v>
      </c>
      <c r="W53" s="268">
        <v>45184</v>
      </c>
      <c r="X53" s="268">
        <v>45184</v>
      </c>
      <c r="Y53" s="268">
        <v>45626</v>
      </c>
      <c r="Z53" s="471">
        <f>SUMIF(TAB_CS[Reference],TAB_Offres[[#This Row],[Reference]],TAB_CS[Commited days])</f>
        <v>40</v>
      </c>
      <c r="AA53" s="269">
        <f>SUMIF(TAB_CS[Reference],TAB_Offres[[#This Row],[Reference]],TAB_CS[Commited amount])</f>
        <v>20289.599999999999</v>
      </c>
      <c r="AB53" s="275" t="s">
        <v>179</v>
      </c>
      <c r="AC53" s="270" t="s">
        <v>5498</v>
      </c>
      <c r="AD53" s="270" t="s">
        <v>39</v>
      </c>
      <c r="AE53" s="260">
        <v>9</v>
      </c>
      <c r="AF53" s="271"/>
      <c r="AG53" s="278"/>
      <c r="AH53" s="277" t="str">
        <f>CONCATENATE(YEAR(TAB_Offres[[#This Row],[Request date ]]),"-",MONTH(TAB_Offres[[#This Row],[Request date ]]))</f>
        <v>2023-7</v>
      </c>
      <c r="AI53" s="274" t="e">
        <f>IF(#REF!,1,0)</f>
        <v>#REF!</v>
      </c>
      <c r="AJ53" s="4"/>
      <c r="AK53" s="4">
        <v>3</v>
      </c>
      <c r="AL53" s="4"/>
      <c r="AQ53" s="4"/>
    </row>
    <row r="54" spans="1:43" x14ac:dyDescent="0.25">
      <c r="A54" s="258">
        <f>ROW(TAB_Offres[[#This Row],[Reference]])-ROW(TAB_Offres[[#Headers],[ID]])</f>
        <v>53</v>
      </c>
      <c r="B54" s="258" t="s">
        <v>139</v>
      </c>
      <c r="C54" s="258" t="s">
        <v>143</v>
      </c>
      <c r="D54" s="258" t="s">
        <v>249</v>
      </c>
      <c r="E54" s="270" t="s">
        <v>556</v>
      </c>
      <c r="F54" s="258" t="e">
        <f>IF(ISBLANK(TAB_Offres[[#This Row],[Reference]]),"",LOOKUP(TAB_Offres[[#This Row],[Reference]],#REF!,#REF!))</f>
        <v>#REF!</v>
      </c>
      <c r="G54" s="263" t="s">
        <v>441</v>
      </c>
      <c r="H54" s="262" t="s">
        <v>85</v>
      </c>
      <c r="I54" s="262" t="s">
        <v>167</v>
      </c>
      <c r="J54" s="262" t="s">
        <v>445</v>
      </c>
      <c r="K54" s="262" t="s">
        <v>487</v>
      </c>
      <c r="L54" s="262" t="s">
        <v>225</v>
      </c>
      <c r="M54" s="264" t="s">
        <v>557</v>
      </c>
      <c r="N54" s="262" t="s">
        <v>558</v>
      </c>
      <c r="O54" s="262" t="s">
        <v>338</v>
      </c>
      <c r="P54" s="262" t="s">
        <v>345</v>
      </c>
      <c r="Q54" s="263"/>
      <c r="R54" s="263"/>
      <c r="S54" s="292" t="s">
        <v>559</v>
      </c>
      <c r="T54" s="261"/>
      <c r="U54" s="261"/>
      <c r="V54" s="268">
        <v>45044</v>
      </c>
      <c r="W54" s="268"/>
      <c r="X54" s="268"/>
      <c r="Y54" s="268">
        <v>45596</v>
      </c>
      <c r="Z54" s="471">
        <f>SUMIF(TAB_CS[Reference],TAB_Offres[[#This Row],[Reference]],TAB_CS[Commited days])</f>
        <v>216</v>
      </c>
      <c r="AA54" s="269">
        <f>SUMIF(TAB_CS[Reference],TAB_Offres[[#This Row],[Reference]],TAB_CS[Commited amount])</f>
        <v>101319.12</v>
      </c>
      <c r="AB54" s="275" t="s">
        <v>174</v>
      </c>
      <c r="AC54" s="270" t="s">
        <v>6016</v>
      </c>
      <c r="AD54" s="270" t="s">
        <v>117</v>
      </c>
      <c r="AE54" s="259">
        <v>8</v>
      </c>
      <c r="AF54" s="271">
        <v>45068</v>
      </c>
      <c r="AG54" s="278"/>
      <c r="AH54" s="277" t="str">
        <f>CONCATENATE(YEAR(TAB_Offres[[#This Row],[Request date ]]),"-",MONTH(TAB_Offres[[#This Row],[Request date ]]))</f>
        <v>2023-3</v>
      </c>
      <c r="AI54" s="274" t="e">
        <f>IF(#REF!,1,0)</f>
        <v>#REF!</v>
      </c>
      <c r="AJ54" s="4"/>
      <c r="AK54" s="4">
        <v>2</v>
      </c>
      <c r="AL54" s="4"/>
      <c r="AQ54" s="4"/>
    </row>
    <row r="55" spans="1:43" x14ac:dyDescent="0.25">
      <c r="A55" s="258">
        <f>ROW(TAB_Offres[[#This Row],[Reference]])-ROW(TAB_Offres[[#Headers],[ID]])</f>
        <v>54</v>
      </c>
      <c r="B55" s="258" t="s">
        <v>138</v>
      </c>
      <c r="C55" s="258" t="s">
        <v>143</v>
      </c>
      <c r="D55" s="258" t="s">
        <v>246</v>
      </c>
      <c r="E55" s="270" t="s">
        <v>560</v>
      </c>
      <c r="F55" s="258" t="e">
        <f>IF(ISBLANK(TAB_Offres[[#This Row],[Reference]]),"",LOOKUP(TAB_Offres[[#This Row],[Reference]],#REF!,#REF!))</f>
        <v>#REF!</v>
      </c>
      <c r="G55" s="263" t="s">
        <v>561</v>
      </c>
      <c r="H55" s="262" t="s">
        <v>86</v>
      </c>
      <c r="I55" s="262" t="s">
        <v>166</v>
      </c>
      <c r="J55" s="262" t="s">
        <v>446</v>
      </c>
      <c r="K55" s="262" t="s">
        <v>446</v>
      </c>
      <c r="L55" s="262" t="s">
        <v>225</v>
      </c>
      <c r="M55" s="264" t="s">
        <v>384</v>
      </c>
      <c r="N55" s="262" t="s">
        <v>404</v>
      </c>
      <c r="O55" s="262" t="s">
        <v>338</v>
      </c>
      <c r="P55" s="262" t="s">
        <v>346</v>
      </c>
      <c r="Q55" s="263"/>
      <c r="R55" s="263"/>
      <c r="S55" s="292" t="s">
        <v>562</v>
      </c>
      <c r="T55" s="261"/>
      <c r="U55" s="261"/>
      <c r="V55" s="268">
        <v>45030</v>
      </c>
      <c r="W55" s="268"/>
      <c r="X55" s="268"/>
      <c r="Y55" s="268">
        <v>45565</v>
      </c>
      <c r="Z55" s="471">
        <f>SUMIF(TAB_CS[Reference],TAB_Offres[[#This Row],[Reference]],TAB_CS[Commited days])</f>
        <v>145</v>
      </c>
      <c r="AA55" s="269">
        <f>SUMIF(TAB_CS[Reference],TAB_Offres[[#This Row],[Reference]],TAB_CS[Commited amount])</f>
        <v>84207.3</v>
      </c>
      <c r="AB55" s="275" t="s">
        <v>174</v>
      </c>
      <c r="AC55" s="270" t="s">
        <v>288</v>
      </c>
      <c r="AD55" s="270" t="s">
        <v>39</v>
      </c>
      <c r="AE55" s="259">
        <v>8</v>
      </c>
      <c r="AF55" s="327">
        <v>45072</v>
      </c>
      <c r="AG55" s="328"/>
      <c r="AH55" s="329" t="str">
        <f>CONCATENATE(YEAR(TAB_Offres[[#This Row],[Request date ]]),"-",MONTH(TAB_Offres[[#This Row],[Request date ]]))</f>
        <v>2023-3</v>
      </c>
      <c r="AI55" s="330" t="e">
        <f>IF(#REF!,1,0)</f>
        <v>#REF!</v>
      </c>
      <c r="AJ55" s="331">
        <v>11</v>
      </c>
      <c r="AK55" s="331"/>
      <c r="AL55" s="331"/>
      <c r="AM55" s="331"/>
      <c r="AN55" s="331"/>
      <c r="AQ55" s="4"/>
    </row>
    <row r="56" spans="1:43" x14ac:dyDescent="0.25">
      <c r="A56" s="258">
        <f>ROW(TAB_Offres[[#This Row],[Reference]])-ROW(TAB_Offres[[#Headers],[ID]])</f>
        <v>55</v>
      </c>
      <c r="B56" s="258" t="s">
        <v>138</v>
      </c>
      <c r="C56" s="258" t="s">
        <v>143</v>
      </c>
      <c r="D56" s="258" t="s">
        <v>246</v>
      </c>
      <c r="E56" s="270" t="s">
        <v>563</v>
      </c>
      <c r="F56" s="258" t="e">
        <f>IF(ISBLANK(TAB_Offres[[#This Row],[Reference]]),"",LOOKUP(TAB_Offres[[#This Row],[Reference]],#REF!,#REF!))</f>
        <v>#REF!</v>
      </c>
      <c r="G56" s="263" t="s">
        <v>564</v>
      </c>
      <c r="H56" s="262" t="s">
        <v>85</v>
      </c>
      <c r="I56" s="262" t="s">
        <v>167</v>
      </c>
      <c r="J56" s="262" t="s">
        <v>445</v>
      </c>
      <c r="K56" s="262"/>
      <c r="L56" s="262" t="s">
        <v>225</v>
      </c>
      <c r="M56" s="264" t="s">
        <v>384</v>
      </c>
      <c r="N56" s="262" t="s">
        <v>404</v>
      </c>
      <c r="O56" s="262" t="s">
        <v>338</v>
      </c>
      <c r="P56" s="262" t="s">
        <v>345</v>
      </c>
      <c r="Q56" s="263" t="s">
        <v>587</v>
      </c>
      <c r="R56" s="263"/>
      <c r="S56" s="292" t="s">
        <v>565</v>
      </c>
      <c r="T56" s="261"/>
      <c r="U56" s="261"/>
      <c r="V56" s="268">
        <v>45037</v>
      </c>
      <c r="W56" s="268"/>
      <c r="X56" s="268"/>
      <c r="Y56" s="268">
        <v>45565</v>
      </c>
      <c r="Z56" s="471">
        <f>SUMIF(TAB_CS[Reference],TAB_Offres[[#This Row],[Reference]],TAB_CS[Commited days])</f>
        <v>220</v>
      </c>
      <c r="AA56" s="269">
        <f>SUMIF(TAB_CS[Reference],TAB_Offres[[#This Row],[Reference]],TAB_CS[Commited amount])</f>
        <v>97381</v>
      </c>
      <c r="AB56" s="275" t="s">
        <v>179</v>
      </c>
      <c r="AC56" s="270" t="s">
        <v>577</v>
      </c>
      <c r="AD56" s="270" t="s">
        <v>92</v>
      </c>
      <c r="AE56" s="259">
        <v>7</v>
      </c>
      <c r="AF56" s="325">
        <v>45064</v>
      </c>
      <c r="AG56" s="278"/>
      <c r="AH56" s="277" t="str">
        <f>CONCATENATE(YEAR(TAB_Offres[[#This Row],[Request date ]]),"-",MONTH(TAB_Offres[[#This Row],[Request date ]]))</f>
        <v>2023-3</v>
      </c>
      <c r="AI56" s="326" t="e">
        <f>IF(#REF!,1,0)</f>
        <v>#REF!</v>
      </c>
      <c r="AJ56" s="4"/>
      <c r="AK56" s="4">
        <v>2</v>
      </c>
      <c r="AL56" s="4"/>
      <c r="AQ56" s="4"/>
    </row>
    <row r="57" spans="1:43" x14ac:dyDescent="0.25">
      <c r="A57" s="258">
        <f>ROW(TAB_Offres[[#This Row],[Reference]])-ROW(TAB_Offres[[#Headers],[ID]])</f>
        <v>56</v>
      </c>
      <c r="B57" s="258" t="s">
        <v>139</v>
      </c>
      <c r="C57" s="258" t="s">
        <v>143</v>
      </c>
      <c r="D57" s="258" t="s">
        <v>246</v>
      </c>
      <c r="E57" s="270" t="s">
        <v>566</v>
      </c>
      <c r="F57" s="258" t="e">
        <f>IF(ISBLANK(TAB_Offres[[#This Row],[Reference]]),"",LOOKUP(TAB_Offres[[#This Row],[Reference]],#REF!,#REF!))</f>
        <v>#REF!</v>
      </c>
      <c r="G57" s="263" t="s">
        <v>567</v>
      </c>
      <c r="H57" s="262" t="s">
        <v>86</v>
      </c>
      <c r="I57" s="262" t="s">
        <v>222</v>
      </c>
      <c r="J57" s="262" t="s">
        <v>446</v>
      </c>
      <c r="K57" s="262" t="s">
        <v>446</v>
      </c>
      <c r="L57" s="262" t="s">
        <v>225</v>
      </c>
      <c r="M57" s="264" t="s">
        <v>384</v>
      </c>
      <c r="N57" s="262" t="s">
        <v>404</v>
      </c>
      <c r="O57" s="262" t="s">
        <v>338</v>
      </c>
      <c r="P57" s="262" t="s">
        <v>345</v>
      </c>
      <c r="Q57" s="263"/>
      <c r="R57" s="263"/>
      <c r="S57" s="292" t="s">
        <v>568</v>
      </c>
      <c r="T57" s="261"/>
      <c r="U57" s="261"/>
      <c r="V57" s="268">
        <v>45031</v>
      </c>
      <c r="W57" s="268"/>
      <c r="X57" s="268"/>
      <c r="Y57" s="268">
        <v>45565</v>
      </c>
      <c r="Z57" s="471">
        <f>SUMIF(TAB_CS[Reference],TAB_Offres[[#This Row],[Reference]],TAB_CS[Commited days])</f>
        <v>121</v>
      </c>
      <c r="AA57" s="269">
        <f>SUMIF(TAB_CS[Reference],TAB_Offres[[#This Row],[Reference]],TAB_CS[Commited amount])</f>
        <v>64972.160000000003</v>
      </c>
      <c r="AB57" s="275" t="s">
        <v>179</v>
      </c>
      <c r="AC57" s="270" t="s">
        <v>292</v>
      </c>
      <c r="AD57" s="270" t="s">
        <v>67</v>
      </c>
      <c r="AE57" s="259">
        <v>7</v>
      </c>
      <c r="AF57" s="271">
        <v>45062</v>
      </c>
      <c r="AG57" s="278"/>
      <c r="AH57" s="277" t="str">
        <f>CONCATENATE(YEAR(TAB_Offres[[#This Row],[Request date ]]),"-",MONTH(TAB_Offres[[#This Row],[Request date ]]))</f>
        <v>2023-3</v>
      </c>
      <c r="AI57" s="274" t="e">
        <f>IF(#REF!,1,0)</f>
        <v>#REF!</v>
      </c>
      <c r="AJ57" s="4">
        <v>12</v>
      </c>
      <c r="AK57" s="4"/>
      <c r="AL57" s="4"/>
      <c r="AQ57" s="4"/>
    </row>
    <row r="58" spans="1:43" x14ac:dyDescent="0.25">
      <c r="A58" s="258">
        <f>ROW(TAB_Offres[[#This Row],[Reference]])-ROW(TAB_Offres[[#Headers],[ID]])</f>
        <v>57</v>
      </c>
      <c r="B58" s="258" t="s">
        <v>139</v>
      </c>
      <c r="C58" s="258" t="s">
        <v>143</v>
      </c>
      <c r="D58" s="258" t="s">
        <v>5462</v>
      </c>
      <c r="E58" s="270" t="s">
        <v>569</v>
      </c>
      <c r="F58" s="258" t="e">
        <f>IF(ISBLANK(TAB_Offres[[#This Row],[Reference]]),"",LOOKUP(TAB_Offres[[#This Row],[Reference]],#REF!,#REF!))</f>
        <v>#REF!</v>
      </c>
      <c r="G58" s="263" t="s">
        <v>570</v>
      </c>
      <c r="H58" s="262" t="s">
        <v>203</v>
      </c>
      <c r="I58" s="262" t="s">
        <v>222</v>
      </c>
      <c r="J58" s="262" t="s">
        <v>445</v>
      </c>
      <c r="K58" s="262" t="s">
        <v>484</v>
      </c>
      <c r="L58" s="262" t="s">
        <v>225</v>
      </c>
      <c r="M58" s="264" t="s">
        <v>385</v>
      </c>
      <c r="N58" s="262" t="s">
        <v>405</v>
      </c>
      <c r="O58" s="262" t="s">
        <v>338</v>
      </c>
      <c r="P58" s="262" t="s">
        <v>346</v>
      </c>
      <c r="Q58" s="263"/>
      <c r="R58" s="263"/>
      <c r="S58" s="292" t="s">
        <v>571</v>
      </c>
      <c r="T58" s="261"/>
      <c r="U58" s="261"/>
      <c r="V58" s="268">
        <v>45028</v>
      </c>
      <c r="W58" s="268"/>
      <c r="X58" s="268"/>
      <c r="Y58" s="268">
        <v>45565</v>
      </c>
      <c r="Z58" s="471">
        <f>SUMIF(TAB_CS[Reference],TAB_Offres[[#This Row],[Reference]],TAB_CS[Commited days])</f>
        <v>120</v>
      </c>
      <c r="AA58" s="269">
        <f>SUMIF(TAB_CS[Reference],TAB_Offres[[#This Row],[Reference]],TAB_CS[Commited amount])</f>
        <v>90452.4</v>
      </c>
      <c r="AB58" s="275" t="s">
        <v>179</v>
      </c>
      <c r="AC58" s="270" t="s">
        <v>263</v>
      </c>
      <c r="AD58" s="270" t="s">
        <v>54</v>
      </c>
      <c r="AE58" s="259">
        <v>9</v>
      </c>
      <c r="AF58" s="271">
        <v>45054</v>
      </c>
      <c r="AG58" s="278"/>
      <c r="AH58" s="277" t="str">
        <f>CONCATENATE(YEAR(TAB_Offres[[#This Row],[Request date ]]),"-",MONTH(TAB_Offres[[#This Row],[Request date ]]))</f>
        <v>2023-4</v>
      </c>
      <c r="AI58" s="274" t="e">
        <f>IF(#REF!,1,0)</f>
        <v>#REF!</v>
      </c>
      <c r="AJ58" s="4">
        <v>12</v>
      </c>
      <c r="AK58" s="4"/>
      <c r="AL58" s="4"/>
      <c r="AQ58" s="4"/>
    </row>
    <row r="59" spans="1:43" x14ac:dyDescent="0.25">
      <c r="A59" s="258">
        <f>ROW(TAB_Offres[[#This Row],[Reference]])-ROW(TAB_Offres[[#Headers],[ID]])</f>
        <v>58</v>
      </c>
      <c r="B59" s="258" t="s">
        <v>140</v>
      </c>
      <c r="C59" s="258" t="s">
        <v>152</v>
      </c>
      <c r="D59" s="258" t="s">
        <v>152</v>
      </c>
      <c r="E59" s="270" t="s">
        <v>572</v>
      </c>
      <c r="F59" s="258" t="e">
        <f>IF(ISBLANK(TAB_Offres[[#This Row],[Reference]]),"",LOOKUP(TAB_Offres[[#This Row],[Reference]],#REF!,#REF!))</f>
        <v>#REF!</v>
      </c>
      <c r="G59" s="263" t="s">
        <v>420</v>
      </c>
      <c r="H59" s="262" t="s">
        <v>86</v>
      </c>
      <c r="I59" s="262" t="s">
        <v>167</v>
      </c>
      <c r="J59" s="262" t="s">
        <v>445</v>
      </c>
      <c r="K59" s="262" t="s">
        <v>483</v>
      </c>
      <c r="L59" s="262" t="s">
        <v>225</v>
      </c>
      <c r="M59" s="264" t="s">
        <v>380</v>
      </c>
      <c r="N59" s="262" t="s">
        <v>400</v>
      </c>
      <c r="O59" s="262" t="s">
        <v>338</v>
      </c>
      <c r="P59" s="262" t="s">
        <v>345</v>
      </c>
      <c r="Q59" s="263"/>
      <c r="R59" s="263"/>
      <c r="S59" s="292" t="s">
        <v>573</v>
      </c>
      <c r="T59" s="261"/>
      <c r="U59" s="261"/>
      <c r="V59" s="268">
        <v>45051</v>
      </c>
      <c r="W59" s="268"/>
      <c r="X59" s="268"/>
      <c r="Y59" s="268">
        <v>45504</v>
      </c>
      <c r="Z59" s="471">
        <f>SUMIF(TAB_CS[Reference],TAB_Offres[[#This Row],[Reference]],TAB_CS[Commited days])</f>
        <v>220</v>
      </c>
      <c r="AA59" s="269">
        <f>SUMIF(TAB_CS[Reference],TAB_Offres[[#This Row],[Reference]],TAB_CS[Commited amount])</f>
        <v>113401.20000000001</v>
      </c>
      <c r="AB59" s="275" t="s">
        <v>174</v>
      </c>
      <c r="AC59" s="270" t="s">
        <v>574</v>
      </c>
      <c r="AD59" s="270" t="s">
        <v>132</v>
      </c>
      <c r="AE59" s="259">
        <v>8</v>
      </c>
      <c r="AF59" s="271">
        <v>45084</v>
      </c>
      <c r="AG59" s="278"/>
      <c r="AH59" s="277" t="str">
        <f>CONCATENATE(YEAR(TAB_Offres[[#This Row],[Request date ]]),"-",MONTH(TAB_Offres[[#This Row],[Request date ]]))</f>
        <v>2023-4</v>
      </c>
      <c r="AI59" s="274" t="e">
        <f>IF(#REF!,1,0)</f>
        <v>#REF!</v>
      </c>
      <c r="AJ59" s="4">
        <v>12</v>
      </c>
      <c r="AK59" s="4"/>
      <c r="AL59" s="4"/>
      <c r="AQ59" s="4"/>
    </row>
    <row r="60" spans="1:43" x14ac:dyDescent="0.25">
      <c r="A60" s="258">
        <f>ROW(TAB_Offres[[#This Row],[Reference]])-ROW(TAB_Offres[[#Headers],[ID]])</f>
        <v>59</v>
      </c>
      <c r="B60" s="258" t="s">
        <v>138</v>
      </c>
      <c r="C60" s="258" t="s">
        <v>152</v>
      </c>
      <c r="D60" s="258" t="s">
        <v>152</v>
      </c>
      <c r="E60" s="263" t="s">
        <v>575</v>
      </c>
      <c r="F60" s="258" t="e">
        <f>IF(ISBLANK(TAB_Offres[[#This Row],[Reference]]),"",LOOKUP(TAB_Offres[[#This Row],[Reference]],#REF!,#REF!))</f>
        <v>#REF!</v>
      </c>
      <c r="G60" s="263" t="s">
        <v>421</v>
      </c>
      <c r="H60" s="262" t="s">
        <v>86</v>
      </c>
      <c r="I60" s="262" t="s">
        <v>222</v>
      </c>
      <c r="J60" s="262" t="s">
        <v>445</v>
      </c>
      <c r="K60" s="262" t="s">
        <v>484</v>
      </c>
      <c r="L60" s="262" t="s">
        <v>225</v>
      </c>
      <c r="M60" s="264" t="s">
        <v>378</v>
      </c>
      <c r="N60" s="262" t="s">
        <v>398</v>
      </c>
      <c r="O60" s="262" t="s">
        <v>338</v>
      </c>
      <c r="P60" s="262" t="s">
        <v>346</v>
      </c>
      <c r="Q60" s="263"/>
      <c r="R60" s="263"/>
      <c r="S60" s="292" t="s">
        <v>576</v>
      </c>
      <c r="T60" s="261"/>
      <c r="U60" s="261"/>
      <c r="V60" s="268">
        <v>45083</v>
      </c>
      <c r="W60" s="268"/>
      <c r="X60" s="268"/>
      <c r="Y60" s="268">
        <v>45473</v>
      </c>
      <c r="Z60" s="471">
        <f>SUMIF(TAB_CS[Reference],TAB_Offres[[#This Row],[Reference]],TAB_CS[Commited days])</f>
        <v>220</v>
      </c>
      <c r="AA60" s="269">
        <f>SUMIF(TAB_CS[Reference],TAB_Offres[[#This Row],[Reference]],TAB_CS[Commited amount])</f>
        <v>127762.8</v>
      </c>
      <c r="AB60" s="275" t="s">
        <v>174</v>
      </c>
      <c r="AC60" s="270" t="s">
        <v>272</v>
      </c>
      <c r="AD60" s="270" t="s">
        <v>39</v>
      </c>
      <c r="AE60" s="259">
        <v>8</v>
      </c>
      <c r="AF60" s="271">
        <v>45085</v>
      </c>
      <c r="AG60" s="278"/>
      <c r="AH60" s="277" t="str">
        <f>CONCATENATE(YEAR(TAB_Offres[[#This Row],[Request date ]]),"-",MONTH(TAB_Offres[[#This Row],[Request date ]]))</f>
        <v>2023-4</v>
      </c>
      <c r="AI60" s="274" t="e">
        <f>IF(#REF!,1,0)</f>
        <v>#REF!</v>
      </c>
      <c r="AJ60" s="4">
        <v>13</v>
      </c>
      <c r="AK60" s="4"/>
      <c r="AL60" s="4"/>
      <c r="AQ60" s="4"/>
    </row>
    <row r="61" spans="1:43" x14ac:dyDescent="0.25">
      <c r="A61" s="258">
        <f>ROW(TAB_Offres[[#This Row],[Reference]])-ROW(TAB_Offres[[#Headers],[ID]])</f>
        <v>60</v>
      </c>
      <c r="B61" s="258" t="s">
        <v>139</v>
      </c>
      <c r="C61" s="258" t="s">
        <v>143</v>
      </c>
      <c r="D61" s="258" t="s">
        <v>5462</v>
      </c>
      <c r="E61" s="263" t="s">
        <v>581</v>
      </c>
      <c r="F61" s="258" t="e">
        <f>IF(ISBLANK(TAB_Offres[[#This Row],[Reference]]),"",LOOKUP(TAB_Offres[[#This Row],[Reference]],#REF!,#REF!))</f>
        <v>#REF!</v>
      </c>
      <c r="G61" s="263" t="s">
        <v>582</v>
      </c>
      <c r="H61" s="262" t="s">
        <v>203</v>
      </c>
      <c r="I61" s="262" t="s">
        <v>222</v>
      </c>
      <c r="J61" s="262" t="s">
        <v>445</v>
      </c>
      <c r="K61" s="262" t="s">
        <v>484</v>
      </c>
      <c r="L61" s="262" t="s">
        <v>225</v>
      </c>
      <c r="M61" s="264"/>
      <c r="N61" s="262"/>
      <c r="O61" s="262" t="s">
        <v>338</v>
      </c>
      <c r="P61" s="262" t="s">
        <v>346</v>
      </c>
      <c r="Q61" s="263"/>
      <c r="R61" s="263"/>
      <c r="S61" s="292" t="s">
        <v>5411</v>
      </c>
      <c r="T61" s="261"/>
      <c r="U61" s="261"/>
      <c r="V61" s="268">
        <v>45050</v>
      </c>
      <c r="W61" s="268"/>
      <c r="X61" s="268"/>
      <c r="Y61" s="268">
        <v>45565</v>
      </c>
      <c r="Z61" s="471">
        <f>SUMIF(TAB_CS[Reference],TAB_Offres[[#This Row],[Reference]],TAB_CS[Commited days])</f>
        <v>110</v>
      </c>
      <c r="AA61" s="269">
        <f>SUMIF(TAB_CS[Reference],TAB_Offres[[#This Row],[Reference]],TAB_CS[Commited amount])</f>
        <v>51635.100000000006</v>
      </c>
      <c r="AB61" s="275" t="s">
        <v>179</v>
      </c>
      <c r="AC61" s="270" t="s">
        <v>290</v>
      </c>
      <c r="AD61" s="270" t="s">
        <v>54</v>
      </c>
      <c r="AE61" s="260">
        <v>2</v>
      </c>
      <c r="AF61" s="271">
        <v>45071</v>
      </c>
      <c r="AG61" s="278"/>
      <c r="AH61" s="277" t="str">
        <f>CONCATENATE(YEAR(TAB_Offres[[#This Row],[Request date ]]),"-",MONTH(TAB_Offres[[#This Row],[Request date ]]))</f>
        <v>2023-4</v>
      </c>
      <c r="AI61" s="274" t="e">
        <f>IF(#REF!,1,0)</f>
        <v>#REF!</v>
      </c>
      <c r="AJ61" s="4">
        <v>13</v>
      </c>
      <c r="AK61" s="4"/>
      <c r="AL61" s="4"/>
      <c r="AQ61" s="4"/>
    </row>
    <row r="62" spans="1:43" x14ac:dyDescent="0.25">
      <c r="A62" s="258">
        <f>ROW(TAB_Offres[[#This Row],[Reference]])-ROW(TAB_Offres[[#Headers],[ID]])</f>
        <v>61</v>
      </c>
      <c r="B62" s="258" t="s">
        <v>139</v>
      </c>
      <c r="C62" s="258" t="s">
        <v>143</v>
      </c>
      <c r="D62" s="258" t="s">
        <v>5463</v>
      </c>
      <c r="E62" s="263" t="s">
        <v>579</v>
      </c>
      <c r="F62" s="258" t="e">
        <f>IF(ISBLANK(TAB_Offres[[#This Row],[Reference]]),"",LOOKUP(TAB_Offres[[#This Row],[Reference]],#REF!,#REF!))</f>
        <v>#REF!</v>
      </c>
      <c r="G62" s="263" t="s">
        <v>580</v>
      </c>
      <c r="H62" s="262" t="s">
        <v>203</v>
      </c>
      <c r="I62" s="262" t="s">
        <v>222</v>
      </c>
      <c r="J62" s="262" t="s">
        <v>445</v>
      </c>
      <c r="K62" s="262" t="s">
        <v>484</v>
      </c>
      <c r="L62" s="262" t="s">
        <v>225</v>
      </c>
      <c r="M62" s="264"/>
      <c r="N62" s="262"/>
      <c r="O62" s="262" t="s">
        <v>338</v>
      </c>
      <c r="P62" s="262" t="s">
        <v>346</v>
      </c>
      <c r="Q62" s="263"/>
      <c r="R62" s="263"/>
      <c r="S62" s="292" t="s">
        <v>5412</v>
      </c>
      <c r="T62" s="261"/>
      <c r="U62" s="261"/>
      <c r="V62" s="268">
        <v>45056</v>
      </c>
      <c r="W62" s="268"/>
      <c r="X62" s="268"/>
      <c r="Y62" s="268">
        <v>45565</v>
      </c>
      <c r="Z62" s="471">
        <f>SUMIF(TAB_CS[Reference],TAB_Offres[[#This Row],[Reference]],TAB_CS[Commited days])</f>
        <v>90</v>
      </c>
      <c r="AA62" s="269">
        <f>SUMIF(TAB_CS[Reference],TAB_Offres[[#This Row],[Reference]],TAB_CS[Commited amount])</f>
        <v>67839.3</v>
      </c>
      <c r="AB62" s="275" t="s">
        <v>179</v>
      </c>
      <c r="AC62" s="270" t="s">
        <v>284</v>
      </c>
      <c r="AD62" s="270" t="s">
        <v>54</v>
      </c>
      <c r="AE62" s="260">
        <v>9</v>
      </c>
      <c r="AF62" s="271">
        <v>45076</v>
      </c>
      <c r="AG62" s="278"/>
      <c r="AH62" s="277" t="str">
        <f>CONCATENATE(YEAR(TAB_Offres[[#This Row],[Request date ]]),"-",MONTH(TAB_Offres[[#This Row],[Request date ]]))</f>
        <v>2023-4</v>
      </c>
      <c r="AI62" s="274" t="e">
        <f>IF(#REF!,1,0)</f>
        <v>#REF!</v>
      </c>
      <c r="AJ62" s="4">
        <v>12</v>
      </c>
      <c r="AK62" s="4"/>
      <c r="AL62" s="4"/>
      <c r="AQ62" s="4"/>
    </row>
    <row r="63" spans="1:43" x14ac:dyDescent="0.25">
      <c r="A63" s="258">
        <f>ROW(TAB_Offres[[#This Row],[Reference]])-ROW(TAB_Offres[[#Headers],[ID]])</f>
        <v>62</v>
      </c>
      <c r="B63" s="258" t="s">
        <v>138</v>
      </c>
      <c r="C63" s="258" t="s">
        <v>143</v>
      </c>
      <c r="D63" s="258" t="s">
        <v>5462</v>
      </c>
      <c r="E63" s="263" t="s">
        <v>583</v>
      </c>
      <c r="F63" s="258" t="e">
        <f>IF(ISBLANK(TAB_Offres[[#This Row],[Reference]]),"",LOOKUP(TAB_Offres[[#This Row],[Reference]],#REF!,#REF!))</f>
        <v>#REF!</v>
      </c>
      <c r="G63" s="263" t="s">
        <v>584</v>
      </c>
      <c r="H63" s="262" t="s">
        <v>86</v>
      </c>
      <c r="I63" s="262" t="s">
        <v>222</v>
      </c>
      <c r="J63" s="262" t="s">
        <v>446</v>
      </c>
      <c r="K63" s="262" t="s">
        <v>446</v>
      </c>
      <c r="L63" s="262" t="s">
        <v>225</v>
      </c>
      <c r="M63" s="264"/>
      <c r="N63" s="262"/>
      <c r="O63" s="262" t="s">
        <v>338</v>
      </c>
      <c r="P63" s="262" t="s">
        <v>346</v>
      </c>
      <c r="Q63" s="263"/>
      <c r="R63" s="263"/>
      <c r="S63" s="292" t="s">
        <v>5413</v>
      </c>
      <c r="T63" s="261"/>
      <c r="U63" s="261"/>
      <c r="V63" s="268">
        <v>45048</v>
      </c>
      <c r="W63" s="268"/>
      <c r="X63" s="268"/>
      <c r="Y63" s="268">
        <v>45565</v>
      </c>
      <c r="Z63" s="471">
        <f>SUMIF(TAB_CS[Reference],TAB_Offres[[#This Row],[Reference]],TAB_CS[Commited days])</f>
        <v>90</v>
      </c>
      <c r="AA63" s="269">
        <f>SUMIF(TAB_CS[Reference],TAB_Offres[[#This Row],[Reference]],TAB_CS[Commited amount])</f>
        <v>59310</v>
      </c>
      <c r="AB63" s="275" t="s">
        <v>179</v>
      </c>
      <c r="AC63" s="270" t="s">
        <v>259</v>
      </c>
      <c r="AD63" s="270" t="s">
        <v>38</v>
      </c>
      <c r="AE63" s="260">
        <v>10</v>
      </c>
      <c r="AF63" s="271">
        <v>45078</v>
      </c>
      <c r="AG63" s="278"/>
      <c r="AH63" s="277" t="str">
        <f>CONCATENATE(YEAR(TAB_Offres[[#This Row],[Request date ]]),"-",MONTH(TAB_Offres[[#This Row],[Request date ]]))</f>
        <v>2023-4</v>
      </c>
      <c r="AI63" s="274" t="e">
        <f>IF(#REF!,1,0)</f>
        <v>#REF!</v>
      </c>
      <c r="AJ63" s="4">
        <v>13</v>
      </c>
      <c r="AK63" s="4"/>
      <c r="AL63" s="4"/>
      <c r="AQ63" s="4"/>
    </row>
    <row r="64" spans="1:43" x14ac:dyDescent="0.25">
      <c r="A64" s="258">
        <f>ROW(TAB_Offres[[#This Row],[Reference]])-ROW(TAB_Offres[[#Headers],[ID]])</f>
        <v>63</v>
      </c>
      <c r="B64" s="258" t="s">
        <v>139</v>
      </c>
      <c r="C64" s="258" t="s">
        <v>143</v>
      </c>
      <c r="D64" s="258" t="s">
        <v>255</v>
      </c>
      <c r="E64" s="263" t="s">
        <v>590</v>
      </c>
      <c r="F64" s="258" t="e">
        <f>IF(ISBLANK(TAB_Offres[[#This Row],[Reference]]),"",LOOKUP(TAB_Offres[[#This Row],[Reference]],#REF!,#REF!))</f>
        <v>#REF!</v>
      </c>
      <c r="G64" s="263"/>
      <c r="H64" s="262" t="s">
        <v>86</v>
      </c>
      <c r="I64" s="262" t="s">
        <v>222</v>
      </c>
      <c r="J64" s="262" t="s">
        <v>445</v>
      </c>
      <c r="K64" s="262" t="s">
        <v>484</v>
      </c>
      <c r="L64" s="262"/>
      <c r="M64" s="264"/>
      <c r="N64" s="262"/>
      <c r="O64" s="262" t="s">
        <v>338</v>
      </c>
      <c r="P64" s="262" t="s">
        <v>346</v>
      </c>
      <c r="Q64" s="263"/>
      <c r="R64" s="263"/>
      <c r="S64" s="292" t="s">
        <v>5414</v>
      </c>
      <c r="T64" s="261"/>
      <c r="U64" s="261"/>
      <c r="V64" s="268">
        <v>45086</v>
      </c>
      <c r="W64" s="268"/>
      <c r="X64" s="268"/>
      <c r="Y64" s="268">
        <v>45412</v>
      </c>
      <c r="Z64" s="471">
        <f>SUMIF(TAB_CS[Reference],TAB_Offres[[#This Row],[Reference]],TAB_CS[Commited days])</f>
        <v>50</v>
      </c>
      <c r="AA64" s="269">
        <f>SUMIF(TAB_CS[Reference],TAB_Offres[[#This Row],[Reference]],TAB_CS[Commited amount])</f>
        <v>26677.999999999996</v>
      </c>
      <c r="AB64" s="275" t="s">
        <v>174</v>
      </c>
      <c r="AC64" s="270" t="s">
        <v>273</v>
      </c>
      <c r="AD64" s="270" t="s">
        <v>5699</v>
      </c>
      <c r="AE64" s="260">
        <v>7</v>
      </c>
      <c r="AF64" s="271"/>
      <c r="AG64" s="278"/>
      <c r="AH64" s="277" t="str">
        <f>CONCATENATE(YEAR(TAB_Offres[[#This Row],[Request date ]]),"-",MONTH(TAB_Offres[[#This Row],[Request date ]]))</f>
        <v>2023-4</v>
      </c>
      <c r="AI64" s="274" t="e">
        <f>IF(#REF!,1,0)</f>
        <v>#REF!</v>
      </c>
      <c r="AJ64" s="4">
        <v>13</v>
      </c>
      <c r="AK64" s="4"/>
      <c r="AL64" s="4"/>
      <c r="AQ64" s="4"/>
    </row>
    <row r="65" spans="1:43" x14ac:dyDescent="0.25">
      <c r="A65" s="258">
        <f>ROW(TAB_Offres[[#This Row],[Reference]])-ROW(TAB_Offres[[#Headers],[ID]])</f>
        <v>64</v>
      </c>
      <c r="B65" s="258" t="s">
        <v>138</v>
      </c>
      <c r="C65" s="258" t="s">
        <v>143</v>
      </c>
      <c r="D65" s="258" t="s">
        <v>255</v>
      </c>
      <c r="E65" s="263" t="s">
        <v>5472</v>
      </c>
      <c r="F65" s="258" t="e">
        <f>IF(ISBLANK(TAB_Offres[[#This Row],[Reference]]),"",LOOKUP(TAB_Offres[[#This Row],[Reference]],#REF!,#REF!))</f>
        <v>#REF!</v>
      </c>
      <c r="G65" s="263" t="s">
        <v>5479</v>
      </c>
      <c r="H65" s="262" t="s">
        <v>86</v>
      </c>
      <c r="I65" s="262" t="s">
        <v>222</v>
      </c>
      <c r="J65" s="262" t="s">
        <v>445</v>
      </c>
      <c r="K65" s="262" t="s">
        <v>484</v>
      </c>
      <c r="L65" s="262" t="s">
        <v>225</v>
      </c>
      <c r="M65" s="264" t="s">
        <v>5501</v>
      </c>
      <c r="N65" s="262" t="s">
        <v>5441</v>
      </c>
      <c r="O65" s="262" t="s">
        <v>338</v>
      </c>
      <c r="P65" s="262" t="s">
        <v>346</v>
      </c>
      <c r="Q65" s="263"/>
      <c r="R65" s="263"/>
      <c r="S65" s="292" t="s">
        <v>5502</v>
      </c>
      <c r="T65" s="261"/>
      <c r="U65" s="261"/>
      <c r="V65" s="268">
        <v>45190</v>
      </c>
      <c r="W65" s="268">
        <v>45193</v>
      </c>
      <c r="X65" s="268"/>
      <c r="Y65" s="268">
        <v>45657</v>
      </c>
      <c r="Z65" s="471">
        <f>SUMIF(TAB_CS[Reference],TAB_Offres[[#This Row],[Reference]],TAB_CS[Commited days])</f>
        <v>220</v>
      </c>
      <c r="AA65" s="269">
        <f>SUMIF(TAB_CS[Reference],TAB_Offres[[#This Row],[Reference]],TAB_CS[Commited amount])</f>
        <v>144980</v>
      </c>
      <c r="AB65" s="275"/>
      <c r="AC65" s="270" t="s">
        <v>5503</v>
      </c>
      <c r="AD65" s="270" t="s">
        <v>38</v>
      </c>
      <c r="AE65" s="260">
        <v>10</v>
      </c>
      <c r="AF65" s="271"/>
      <c r="AG65" s="278"/>
      <c r="AH65" s="277" t="str">
        <f>CONCATENATE(YEAR(TAB_Offres[[#This Row],[Request date ]]),"-",MONTH(TAB_Offres[[#This Row],[Request date ]]))</f>
        <v>2023-6</v>
      </c>
      <c r="AI65" s="274" t="e">
        <f>IF(#REF!,1,0)</f>
        <v>#REF!</v>
      </c>
      <c r="AJ65" s="4">
        <v>17</v>
      </c>
      <c r="AK65" s="4"/>
      <c r="AL65" s="4"/>
      <c r="AQ65" s="4"/>
    </row>
    <row r="66" spans="1:43" x14ac:dyDescent="0.25">
      <c r="A66" s="258">
        <f>ROW(TAB_Offres[[#This Row],[Reference]])-ROW(TAB_Offres[[#Headers],[ID]])</f>
        <v>65</v>
      </c>
      <c r="B66" s="258" t="s">
        <v>139</v>
      </c>
      <c r="C66" s="258" t="s">
        <v>143</v>
      </c>
      <c r="D66" s="258" t="s">
        <v>5462</v>
      </c>
      <c r="E66" s="263" t="s">
        <v>588</v>
      </c>
      <c r="F66" s="258" t="e">
        <f>IF(ISBLANK(TAB_Offres[[#This Row],[Reference]]),"",LOOKUP(TAB_Offres[[#This Row],[Reference]],#REF!,#REF!))</f>
        <v>#REF!</v>
      </c>
      <c r="G66" s="263" t="s">
        <v>589</v>
      </c>
      <c r="H66" s="262" t="s">
        <v>86</v>
      </c>
      <c r="I66" s="262" t="s">
        <v>222</v>
      </c>
      <c r="J66" s="262" t="s">
        <v>445</v>
      </c>
      <c r="K66" s="262" t="s">
        <v>484</v>
      </c>
      <c r="L66" s="262" t="s">
        <v>225</v>
      </c>
      <c r="M66" s="264" t="s">
        <v>385</v>
      </c>
      <c r="N66" s="262" t="s">
        <v>405</v>
      </c>
      <c r="O66" s="262" t="s">
        <v>338</v>
      </c>
      <c r="P66" s="262" t="s">
        <v>346</v>
      </c>
      <c r="Q66" s="263" t="s">
        <v>321</v>
      </c>
      <c r="R66" s="263"/>
      <c r="S66" s="292"/>
      <c r="T66" s="261"/>
      <c r="U66" s="261"/>
      <c r="V66" s="268">
        <v>45076</v>
      </c>
      <c r="W66" s="268">
        <v>45076</v>
      </c>
      <c r="X66" s="268">
        <v>45078</v>
      </c>
      <c r="Y66" s="268">
        <v>45199</v>
      </c>
      <c r="Z66" s="471">
        <f>SUMIF(TAB_CS[Reference],TAB_Offres[[#This Row],[Reference]],TAB_CS[Commited days])</f>
        <v>130</v>
      </c>
      <c r="AA66" s="269">
        <f>SUMIF(TAB_CS[Reference],TAB_Offres[[#This Row],[Reference]],TAB_CS[Commited amount])</f>
        <v>91579.8</v>
      </c>
      <c r="AB66" s="275" t="s">
        <v>173</v>
      </c>
      <c r="AC66" s="270" t="s">
        <v>586</v>
      </c>
      <c r="AD66" s="270" t="s">
        <v>54</v>
      </c>
      <c r="AE66" s="260">
        <v>8</v>
      </c>
      <c r="AF66" s="271">
        <v>45078</v>
      </c>
      <c r="AG66" s="278"/>
      <c r="AH66" s="277" t="str">
        <f>CONCATENATE(YEAR(TAB_Offres[[#This Row],[Request date ]]),"-",MONTH(TAB_Offres[[#This Row],[Request date ]]))</f>
        <v>1900-1</v>
      </c>
      <c r="AI66" s="274" t="e">
        <f>IF(#REF!,1,0)</f>
        <v>#REF!</v>
      </c>
      <c r="AJ66" s="4">
        <v>13</v>
      </c>
      <c r="AK66" s="4"/>
      <c r="AL66" s="4"/>
      <c r="AQ66" s="4"/>
    </row>
    <row r="67" spans="1:43" x14ac:dyDescent="0.25">
      <c r="A67" s="258">
        <f>ROW(TAB_Offres[[#This Row],[Reference]])-ROW(TAB_Offres[[#Headers],[ID]])</f>
        <v>66</v>
      </c>
      <c r="B67" s="258" t="s">
        <v>138</v>
      </c>
      <c r="C67" s="258" t="s">
        <v>143</v>
      </c>
      <c r="D67" s="258" t="s">
        <v>255</v>
      </c>
      <c r="E67" s="263" t="s">
        <v>5435</v>
      </c>
      <c r="F67" s="258" t="e">
        <f>IF(ISBLANK(TAB_Offres[[#This Row],[Reference]]),"",LOOKUP(TAB_Offres[[#This Row],[Reference]],#REF!,#REF!))</f>
        <v>#REF!</v>
      </c>
      <c r="G67" s="263" t="s">
        <v>5436</v>
      </c>
      <c r="H67" s="262" t="s">
        <v>86</v>
      </c>
      <c r="I67" s="262" t="s">
        <v>222</v>
      </c>
      <c r="J67" s="262" t="s">
        <v>445</v>
      </c>
      <c r="K67" s="262" t="s">
        <v>484</v>
      </c>
      <c r="L67" s="262" t="s">
        <v>225</v>
      </c>
      <c r="M67" s="264" t="s">
        <v>5442</v>
      </c>
      <c r="N67" s="262" t="s">
        <v>5441</v>
      </c>
      <c r="O67" s="262" t="s">
        <v>338</v>
      </c>
      <c r="P67" s="262"/>
      <c r="Q67" s="263"/>
      <c r="R67" s="263"/>
      <c r="S67" s="292" t="s">
        <v>5443</v>
      </c>
      <c r="T67" s="261"/>
      <c r="U67" s="261"/>
      <c r="V67" s="268">
        <v>45140</v>
      </c>
      <c r="W67" s="268">
        <v>45140</v>
      </c>
      <c r="X67" s="268">
        <v>45141</v>
      </c>
      <c r="Y67" s="268">
        <v>45565</v>
      </c>
      <c r="Z67" s="471">
        <f>SUMIF(TAB_CS[Reference],TAB_Offres[[#This Row],[Reference]],TAB_CS[Commited days])</f>
        <v>220</v>
      </c>
      <c r="AA67" s="269">
        <f>SUMIF(TAB_CS[Reference],TAB_Offres[[#This Row],[Reference]],TAB_CS[Commited amount])</f>
        <v>135495.79999999999</v>
      </c>
      <c r="AB67" s="275" t="s">
        <v>173</v>
      </c>
      <c r="AC67" s="270" t="s">
        <v>5439</v>
      </c>
      <c r="AD67" s="270" t="s">
        <v>38</v>
      </c>
      <c r="AE67" s="260">
        <v>9</v>
      </c>
      <c r="AF67" s="271"/>
      <c r="AG67" s="278"/>
      <c r="AH67" s="277" t="str">
        <f>CONCATENATE(YEAR(TAB_Offres[[#This Row],[Request date ]]),"-",MONTH(TAB_Offres[[#This Row],[Request date ]]))</f>
        <v>2023-7</v>
      </c>
      <c r="AI67" s="274" t="e">
        <f>IF(#REF!,1,0)</f>
        <v>#REF!</v>
      </c>
      <c r="AJ67" s="4">
        <v>15</v>
      </c>
      <c r="AK67" s="4"/>
      <c r="AL67" s="4"/>
      <c r="AQ67" s="4"/>
    </row>
    <row r="68" spans="1:43" ht="26.4" x14ac:dyDescent="0.25">
      <c r="A68" s="258">
        <f>ROW(TAB_Offres[[#This Row],[Reference]])-ROW(TAB_Offres[[#Headers],[ID]])</f>
        <v>67</v>
      </c>
      <c r="B68" s="258" t="s">
        <v>140</v>
      </c>
      <c r="C68" s="258" t="s">
        <v>143</v>
      </c>
      <c r="D68" s="258" t="s">
        <v>250</v>
      </c>
      <c r="E68" s="263" t="s">
        <v>5366</v>
      </c>
      <c r="F68" s="258" t="e">
        <f>IF(ISBLANK(TAB_Offres[[#This Row],[Reference]]),"",LOOKUP(TAB_Offres[[#This Row],[Reference]],#REF!,#REF!))</f>
        <v>#REF!</v>
      </c>
      <c r="G68" s="263" t="s">
        <v>435</v>
      </c>
      <c r="H68" s="262" t="s">
        <v>86</v>
      </c>
      <c r="I68" s="262" t="s">
        <v>167</v>
      </c>
      <c r="J68" s="262" t="s">
        <v>445</v>
      </c>
      <c r="K68" s="262" t="s">
        <v>483</v>
      </c>
      <c r="L68" s="262" t="s">
        <v>225</v>
      </c>
      <c r="M68" s="264" t="s">
        <v>391</v>
      </c>
      <c r="N68" s="262" t="s">
        <v>411</v>
      </c>
      <c r="O68" s="262" t="s">
        <v>338</v>
      </c>
      <c r="P68" s="262"/>
      <c r="Q68" s="263"/>
      <c r="R68" s="263"/>
      <c r="S68" s="292" t="s">
        <v>5367</v>
      </c>
      <c r="T68" s="261"/>
      <c r="U68" s="261"/>
      <c r="V68" s="268">
        <v>45092</v>
      </c>
      <c r="W68" s="268">
        <v>45097</v>
      </c>
      <c r="X68" s="268">
        <v>45194</v>
      </c>
      <c r="Y68" s="268">
        <v>45596</v>
      </c>
      <c r="Z68" s="471">
        <f>SUMIF(TAB_CS[Reference],TAB_Offres[[#This Row],[Reference]],TAB_CS[Commited days])</f>
        <v>180</v>
      </c>
      <c r="AA68" s="269">
        <f>SUMIF(TAB_CS[Reference],TAB_Offres[[#This Row],[Reference]],TAB_CS[Commited amount])</f>
        <v>84432.6</v>
      </c>
      <c r="AB68" s="275" t="s">
        <v>174</v>
      </c>
      <c r="AC68" s="270" t="s">
        <v>296</v>
      </c>
      <c r="AD68" s="270" t="s">
        <v>124</v>
      </c>
      <c r="AE68" s="260">
        <v>8</v>
      </c>
      <c r="AF68" s="271"/>
      <c r="AG68" s="278"/>
      <c r="AH68" s="277" t="str">
        <f>CONCATENATE(YEAR(TAB_Offres[[#This Row],[Request date ]]),"-",MONTH(TAB_Offres[[#This Row],[Request date ]]))</f>
        <v>2023-5</v>
      </c>
      <c r="AI68" s="274" t="e">
        <f>IF(#REF!,1,0)</f>
        <v>#REF!</v>
      </c>
      <c r="AJ68" s="4">
        <v>14</v>
      </c>
      <c r="AK68" s="4"/>
      <c r="AL68" s="4"/>
      <c r="AQ68" s="4"/>
    </row>
    <row r="69" spans="1:43" x14ac:dyDescent="0.25">
      <c r="A69" s="258">
        <f>ROW(TAB_Offres[[#This Row],[Reference]])-ROW(TAB_Offres[[#Headers],[ID]])</f>
        <v>68</v>
      </c>
      <c r="B69" s="258" t="s">
        <v>138</v>
      </c>
      <c r="C69" s="258" t="s">
        <v>143</v>
      </c>
      <c r="D69" s="258" t="s">
        <v>250</v>
      </c>
      <c r="E69" s="263" t="s">
        <v>5368</v>
      </c>
      <c r="F69" s="258" t="e">
        <f>IF(ISBLANK(TAB_Offres[[#This Row],[Reference]]),"",LOOKUP(TAB_Offres[[#This Row],[Reference]],#REF!,#REF!))</f>
        <v>#REF!</v>
      </c>
      <c r="G69" s="263" t="s">
        <v>440</v>
      </c>
      <c r="H69" s="262" t="s">
        <v>86</v>
      </c>
      <c r="I69" s="262" t="s">
        <v>166</v>
      </c>
      <c r="J69" s="262" t="s">
        <v>445</v>
      </c>
      <c r="K69" s="262" t="s">
        <v>484</v>
      </c>
      <c r="L69" s="262" t="s">
        <v>225</v>
      </c>
      <c r="M69" s="264" t="s">
        <v>396</v>
      </c>
      <c r="N69" s="262" t="s">
        <v>416</v>
      </c>
      <c r="O69" s="262" t="s">
        <v>338</v>
      </c>
      <c r="P69" s="262"/>
      <c r="Q69" s="263"/>
      <c r="R69" s="263"/>
      <c r="S69" s="292" t="s">
        <v>5369</v>
      </c>
      <c r="T69" s="261"/>
      <c r="U69" s="261"/>
      <c r="V69" s="268"/>
      <c r="W69" s="268"/>
      <c r="X69" s="268"/>
      <c r="Y69" s="268"/>
      <c r="Z69" s="471">
        <f>SUMIF(TAB_CS[Reference],TAB_Offres[[#This Row],[Reference]],TAB_CS[Commited days])</f>
        <v>150</v>
      </c>
      <c r="AA69" s="269">
        <f>SUMIF(TAB_CS[Reference],TAB_Offres[[#This Row],[Reference]],TAB_CS[Commited amount])</f>
        <v>93208.5</v>
      </c>
      <c r="AB69" s="275" t="s">
        <v>173</v>
      </c>
      <c r="AC69" s="270" t="s">
        <v>515</v>
      </c>
      <c r="AD69" s="270" t="s">
        <v>39</v>
      </c>
      <c r="AE69" s="260" t="s">
        <v>5365</v>
      </c>
      <c r="AF69" s="271"/>
      <c r="AG69" s="278"/>
      <c r="AH69" s="277" t="str">
        <f>CONCATENATE(YEAR(TAB_Offres[[#This Row],[Request date ]]),"-",MONTH(TAB_Offres[[#This Row],[Request date ]]))</f>
        <v>2023-5</v>
      </c>
      <c r="AI69" s="274" t="e">
        <f>IF(#REF!,1,0)</f>
        <v>#REF!</v>
      </c>
      <c r="AJ69" s="4">
        <v>15</v>
      </c>
      <c r="AK69" s="4"/>
      <c r="AL69" s="4"/>
      <c r="AQ69" s="4"/>
    </row>
    <row r="70" spans="1:43" x14ac:dyDescent="0.25">
      <c r="A70" s="258">
        <f>ROW(TAB_Offres[[#This Row],[Reference]])-ROW(TAB_Offres[[#Headers],[ID]])</f>
        <v>69</v>
      </c>
      <c r="B70" s="258" t="s">
        <v>140</v>
      </c>
      <c r="C70" s="258" t="s">
        <v>143</v>
      </c>
      <c r="D70" s="258" t="s">
        <v>250</v>
      </c>
      <c r="E70" s="263" t="s">
        <v>5370</v>
      </c>
      <c r="F70" s="258" t="e">
        <f>IF(ISBLANK(TAB_Offres[[#This Row],[Reference]]),"",LOOKUP(TAB_Offres[[#This Row],[Reference]],#REF!,#REF!))</f>
        <v>#REF!</v>
      </c>
      <c r="G70" s="263" t="s">
        <v>439</v>
      </c>
      <c r="H70" s="262" t="s">
        <v>86</v>
      </c>
      <c r="I70" s="262" t="s">
        <v>166</v>
      </c>
      <c r="J70" s="262" t="s">
        <v>445</v>
      </c>
      <c r="K70" s="262" t="s">
        <v>445</v>
      </c>
      <c r="L70" s="262" t="s">
        <v>225</v>
      </c>
      <c r="M70" s="264" t="s">
        <v>395</v>
      </c>
      <c r="N70" s="262" t="s">
        <v>415</v>
      </c>
      <c r="O70" s="262" t="s">
        <v>338</v>
      </c>
      <c r="P70" s="262"/>
      <c r="Q70" s="263"/>
      <c r="R70" s="263"/>
      <c r="S70" s="292" t="s">
        <v>5371</v>
      </c>
      <c r="T70" s="261"/>
      <c r="U70" s="261"/>
      <c r="V70" s="268">
        <v>45111</v>
      </c>
      <c r="W70" s="268">
        <v>45112</v>
      </c>
      <c r="X70" s="268">
        <v>45231</v>
      </c>
      <c r="Y70" s="268">
        <v>45596</v>
      </c>
      <c r="Z70" s="471">
        <f>SUMIF(TAB_CS[Reference],TAB_Offres[[#This Row],[Reference]],TAB_CS[Commited days])</f>
        <v>120</v>
      </c>
      <c r="AA70" s="269">
        <f>SUMIF(TAB_CS[Reference],TAB_Offres[[#This Row],[Reference]],TAB_CS[Commited amount])</f>
        <v>67322.399999999994</v>
      </c>
      <c r="AB70" s="275" t="s">
        <v>174</v>
      </c>
      <c r="AC70" s="270" t="s">
        <v>304</v>
      </c>
      <c r="AD70" s="270" t="s">
        <v>81</v>
      </c>
      <c r="AE70" s="260" t="s">
        <v>5372</v>
      </c>
      <c r="AF70" s="271"/>
      <c r="AG70" s="278"/>
      <c r="AH70" s="277" t="str">
        <f>CONCATENATE(YEAR(TAB_Offres[[#This Row],[Request date ]]),"-",MONTH(TAB_Offres[[#This Row],[Request date ]]))</f>
        <v>2023-6</v>
      </c>
      <c r="AI70" s="274" t="e">
        <f>IF(#REF!,1,0)</f>
        <v>#REF!</v>
      </c>
      <c r="AJ70" s="4">
        <v>14</v>
      </c>
      <c r="AK70" s="4"/>
      <c r="AL70" s="4"/>
      <c r="AQ70" s="4"/>
    </row>
    <row r="71" spans="1:43" x14ac:dyDescent="0.25">
      <c r="A71" s="258">
        <f>ROW(TAB_Offres[[#This Row],[Reference]])-ROW(TAB_Offres[[#Headers],[ID]])</f>
        <v>70</v>
      </c>
      <c r="B71" s="258" t="s">
        <v>138</v>
      </c>
      <c r="C71" s="258" t="s">
        <v>143</v>
      </c>
      <c r="D71" s="258" t="s">
        <v>299</v>
      </c>
      <c r="E71" s="263" t="s">
        <v>5373</v>
      </c>
      <c r="F71" s="258" t="e">
        <f>IF(ISBLANK(TAB_Offres[[#This Row],[Reference]]),"",LOOKUP(TAB_Offres[[#This Row],[Reference]],#REF!,#REF!))</f>
        <v>#REF!</v>
      </c>
      <c r="G71" s="263" t="s">
        <v>5374</v>
      </c>
      <c r="H71" s="262" t="s">
        <v>86</v>
      </c>
      <c r="I71" s="262" t="s">
        <v>166</v>
      </c>
      <c r="J71" s="262" t="s">
        <v>445</v>
      </c>
      <c r="K71" s="262" t="s">
        <v>484</v>
      </c>
      <c r="L71" s="262" t="s">
        <v>225</v>
      </c>
      <c r="M71" s="264" t="s">
        <v>393</v>
      </c>
      <c r="N71" s="262" t="s">
        <v>413</v>
      </c>
      <c r="O71" s="262" t="s">
        <v>338</v>
      </c>
      <c r="P71" s="262"/>
      <c r="Q71" s="263"/>
      <c r="R71" s="263"/>
      <c r="S71" s="292" t="s">
        <v>5375</v>
      </c>
      <c r="T71" s="261"/>
      <c r="U71" s="261"/>
      <c r="V71" s="268">
        <v>45111</v>
      </c>
      <c r="W71" s="268">
        <v>45114</v>
      </c>
      <c r="X71" s="268">
        <v>45200</v>
      </c>
      <c r="Y71" s="268">
        <v>45565</v>
      </c>
      <c r="Z71" s="471">
        <f>SUMIF(TAB_CS[Reference],TAB_Offres[[#This Row],[Reference]],TAB_CS[Commited days])</f>
        <v>150</v>
      </c>
      <c r="AA71" s="269">
        <f>SUMIF(TAB_CS[Reference],TAB_Offres[[#This Row],[Reference]],TAB_CS[Commited amount])</f>
        <v>66457.5</v>
      </c>
      <c r="AB71" s="275" t="s">
        <v>174</v>
      </c>
      <c r="AC71" s="270" t="s">
        <v>5376</v>
      </c>
      <c r="AD71" s="270" t="s">
        <v>39</v>
      </c>
      <c r="AE71" s="260" t="s">
        <v>5377</v>
      </c>
      <c r="AF71" s="271"/>
      <c r="AG71" s="278"/>
      <c r="AH71" s="277" t="str">
        <f>CONCATENATE(YEAR(TAB_Offres[[#This Row],[Request date ]]),"-",MONTH(TAB_Offres[[#This Row],[Request date ]]))</f>
        <v>2023-6</v>
      </c>
      <c r="AI71" s="274" t="e">
        <f>IF(#REF!,1,0)</f>
        <v>#REF!</v>
      </c>
      <c r="AJ71" s="4">
        <v>14</v>
      </c>
      <c r="AK71" s="4"/>
      <c r="AL71" s="4"/>
      <c r="AQ71" s="4"/>
    </row>
    <row r="72" spans="1:43" x14ac:dyDescent="0.25">
      <c r="A72" s="258">
        <f>ROW(TAB_Offres[[#This Row],[Reference]])-ROW(TAB_Offres[[#Headers],[ID]])</f>
        <v>71</v>
      </c>
      <c r="B72" s="258" t="s">
        <v>138</v>
      </c>
      <c r="C72" s="258" t="s">
        <v>143</v>
      </c>
      <c r="D72" s="258" t="s">
        <v>246</v>
      </c>
      <c r="E72" s="263" t="s">
        <v>5475</v>
      </c>
      <c r="F72" s="258" t="e">
        <f>IF(ISBLANK(TAB_Offres[[#This Row],[Reference]]),"",LOOKUP(TAB_Offres[[#This Row],[Reference]],#REF!,#REF!))</f>
        <v>#REF!</v>
      </c>
      <c r="G72" s="263" t="s">
        <v>5481</v>
      </c>
      <c r="H72" s="262" t="s">
        <v>85</v>
      </c>
      <c r="I72" s="262" t="s">
        <v>166</v>
      </c>
      <c r="J72" s="262" t="s">
        <v>446</v>
      </c>
      <c r="K72" s="262" t="s">
        <v>446</v>
      </c>
      <c r="L72" s="262" t="s">
        <v>225</v>
      </c>
      <c r="M72" s="264" t="s">
        <v>384</v>
      </c>
      <c r="N72" s="262" t="s">
        <v>404</v>
      </c>
      <c r="O72" s="262" t="s">
        <v>338</v>
      </c>
      <c r="P72" s="262" t="s">
        <v>346</v>
      </c>
      <c r="Q72" s="263"/>
      <c r="R72" s="263"/>
      <c r="S72" s="292" t="s">
        <v>5492</v>
      </c>
      <c r="T72" s="261"/>
      <c r="U72" s="261"/>
      <c r="V72" s="268">
        <v>45180</v>
      </c>
      <c r="W72" s="268">
        <v>45180</v>
      </c>
      <c r="X72" s="268">
        <v>45180</v>
      </c>
      <c r="Y72" s="268">
        <v>45565</v>
      </c>
      <c r="Z72" s="471">
        <f>SUMIF(TAB_CS[Reference],TAB_Offres[[#This Row],[Reference]],TAB_CS[Commited days])</f>
        <v>150</v>
      </c>
      <c r="AA72" s="269">
        <f>SUMIF(TAB_CS[Reference],TAB_Offres[[#This Row],[Reference]],TAB_CS[Commited amount])</f>
        <v>87111</v>
      </c>
      <c r="AB72" s="275"/>
      <c r="AC72" s="270" t="s">
        <v>5493</v>
      </c>
      <c r="AD72" s="270" t="s">
        <v>39</v>
      </c>
      <c r="AE72" s="260">
        <v>8</v>
      </c>
      <c r="AF72" s="271"/>
      <c r="AG72" s="278"/>
      <c r="AH72" s="277" t="str">
        <f>CONCATENATE(YEAR(TAB_Offres[[#This Row],[Request date ]]),"-",MONTH(TAB_Offres[[#This Row],[Request date ]]))</f>
        <v>2023-8</v>
      </c>
      <c r="AI72" s="274" t="e">
        <f>IF(#REF!,1,0)</f>
        <v>#REF!</v>
      </c>
      <c r="AJ72" s="4"/>
      <c r="AK72" s="4">
        <v>3</v>
      </c>
      <c r="AL72" s="4"/>
      <c r="AN72" s="150"/>
      <c r="AQ72" s="4"/>
    </row>
    <row r="73" spans="1:43" x14ac:dyDescent="0.25">
      <c r="A73" s="279">
        <f>ROW(TAB_Offres[[#This Row],[Reference]])-ROW(TAB_Offres[[#Headers],[ID]])</f>
        <v>72</v>
      </c>
      <c r="B73" s="279" t="s">
        <v>139</v>
      </c>
      <c r="C73" s="258" t="s">
        <v>143</v>
      </c>
      <c r="D73" s="279" t="s">
        <v>247</v>
      </c>
      <c r="E73" s="280" t="s">
        <v>5466</v>
      </c>
      <c r="F73" s="258" t="e">
        <f>IF(ISBLANK(TAB_Offres[[#This Row],[Reference]]),"",LOOKUP(TAB_Offres[[#This Row],[Reference]],#REF!,#REF!))</f>
        <v>#REF!</v>
      </c>
      <c r="G73" s="280" t="s">
        <v>5467</v>
      </c>
      <c r="H73" s="262" t="s">
        <v>86</v>
      </c>
      <c r="I73" s="262" t="s">
        <v>166</v>
      </c>
      <c r="J73" s="281" t="s">
        <v>445</v>
      </c>
      <c r="K73" s="262" t="s">
        <v>484</v>
      </c>
      <c r="L73" s="262" t="s">
        <v>225</v>
      </c>
      <c r="M73" s="273" t="s">
        <v>5468</v>
      </c>
      <c r="N73" s="281" t="s">
        <v>5469</v>
      </c>
      <c r="O73" s="262" t="s">
        <v>338</v>
      </c>
      <c r="P73" s="281" t="s">
        <v>346</v>
      </c>
      <c r="Q73" s="280"/>
      <c r="R73" s="280"/>
      <c r="S73" s="292" t="s">
        <v>5558</v>
      </c>
      <c r="T73" s="261"/>
      <c r="U73" s="261"/>
      <c r="V73" s="288">
        <v>45173</v>
      </c>
      <c r="W73" s="288">
        <v>45173</v>
      </c>
      <c r="X73" s="288">
        <v>45173</v>
      </c>
      <c r="Y73" s="288">
        <v>45688</v>
      </c>
      <c r="Z73" s="471">
        <f>SUMIF(TAB_CS[Reference],TAB_Offres[[#This Row],[Reference]],TAB_CS[Commited days])</f>
        <v>220</v>
      </c>
      <c r="AA73" s="269">
        <f>SUMIF(TAB_CS[Reference],TAB_Offres[[#This Row],[Reference]],TAB_CS[Commited amount])</f>
        <v>177436.6</v>
      </c>
      <c r="AB73" s="267" t="s">
        <v>173</v>
      </c>
      <c r="AC73" s="282" t="s">
        <v>277</v>
      </c>
      <c r="AD73" s="282" t="s">
        <v>54</v>
      </c>
      <c r="AE73" s="260">
        <v>10</v>
      </c>
      <c r="AF73" s="271"/>
      <c r="AG73" s="278"/>
      <c r="AH73" s="277" t="str">
        <f>CONCATENATE(YEAR(TAB_Offres[[#This Row],[Request date ]]),"-",MONTH(TAB_Offres[[#This Row],[Request date ]]))</f>
        <v>2023-7</v>
      </c>
      <c r="AI73" s="283" t="e">
        <f>IF(#REF!,1,0)</f>
        <v>#REF!</v>
      </c>
      <c r="AJ73" s="4">
        <v>16</v>
      </c>
      <c r="AK73" s="4"/>
      <c r="AL73" s="4"/>
      <c r="AQ73" s="4"/>
    </row>
    <row r="74" spans="1:43" x14ac:dyDescent="0.25">
      <c r="A74" s="258">
        <f>ROW(TAB_Offres[[#This Row],[Reference]])-ROW(TAB_Offres[[#Headers],[ID]])</f>
        <v>73</v>
      </c>
      <c r="B74" s="258" t="s">
        <v>139</v>
      </c>
      <c r="C74" s="258" t="s">
        <v>143</v>
      </c>
      <c r="D74" s="258" t="s">
        <v>247</v>
      </c>
      <c r="E74" s="263" t="s">
        <v>5473</v>
      </c>
      <c r="F74" s="258" t="e">
        <f>IF(ISBLANK(TAB_Offres[[#This Row],[Reference]]),"",LOOKUP(TAB_Offres[[#This Row],[Reference]],#REF!,#REF!))</f>
        <v>#REF!</v>
      </c>
      <c r="G74" s="263" t="s">
        <v>5480</v>
      </c>
      <c r="H74" s="262" t="s">
        <v>203</v>
      </c>
      <c r="I74" s="262" t="s">
        <v>166</v>
      </c>
      <c r="J74" s="262" t="s">
        <v>445</v>
      </c>
      <c r="K74" s="262" t="s">
        <v>484</v>
      </c>
      <c r="L74" s="262" t="s">
        <v>225</v>
      </c>
      <c r="M74" s="264" t="s">
        <v>5499</v>
      </c>
      <c r="N74" s="262" t="s">
        <v>5469</v>
      </c>
      <c r="O74" s="262" t="s">
        <v>338</v>
      </c>
      <c r="P74" s="262" t="s">
        <v>346</v>
      </c>
      <c r="Q74" s="263"/>
      <c r="R74" s="263"/>
      <c r="S74" s="292" t="s">
        <v>5500</v>
      </c>
      <c r="T74" s="261"/>
      <c r="U74" s="261"/>
      <c r="V74" s="268">
        <v>45202</v>
      </c>
      <c r="W74" s="268">
        <v>45202</v>
      </c>
      <c r="X74" s="268">
        <v>45202</v>
      </c>
      <c r="Y74" s="268">
        <v>46081</v>
      </c>
      <c r="Z74" s="471">
        <f>SUMIF(TAB_CS[Reference],TAB_Offres[[#This Row],[Reference]],TAB_CS[Commited days])</f>
        <v>440</v>
      </c>
      <c r="AA74" s="269">
        <f>SUMIF(TAB_CS[Reference],TAB_Offres[[#This Row],[Reference]],TAB_CS[Commited amount])</f>
        <v>354873.2</v>
      </c>
      <c r="AB74" s="275"/>
      <c r="AC74" s="270" t="s">
        <v>257</v>
      </c>
      <c r="AD74" s="270" t="s">
        <v>54</v>
      </c>
      <c r="AE74" s="260">
        <v>10</v>
      </c>
      <c r="AF74" s="271"/>
      <c r="AG74" s="272"/>
      <c r="AH74" s="273" t="str">
        <f>CONCATENATE(YEAR(TAB_Offres[[#This Row],[Request date ]]),"-",MONTH(TAB_Offres[[#This Row],[Request date ]]))</f>
        <v>2023-6</v>
      </c>
      <c r="AI74" s="274" t="e">
        <f>IF(#REF!,1,0)</f>
        <v>#REF!</v>
      </c>
      <c r="AJ74" s="4">
        <v>18</v>
      </c>
      <c r="AK74" s="4"/>
      <c r="AL74" s="4"/>
      <c r="AQ74" s="4"/>
    </row>
    <row r="75" spans="1:43" x14ac:dyDescent="0.25">
      <c r="A75" s="303">
        <f>ROW(TAB_Offres[[#This Row],[Reference]])-ROW(TAB_Offres[[#Headers],[ID]])</f>
        <v>74</v>
      </c>
      <c r="B75" s="303" t="s">
        <v>140</v>
      </c>
      <c r="C75" s="303" t="s">
        <v>143</v>
      </c>
      <c r="D75" s="303" t="s">
        <v>5463</v>
      </c>
      <c r="E75" s="304" t="s">
        <v>5574</v>
      </c>
      <c r="F75" s="303" t="s">
        <v>245</v>
      </c>
      <c r="G75" s="304" t="s">
        <v>5578</v>
      </c>
      <c r="H75" s="305" t="s">
        <v>86</v>
      </c>
      <c r="I75" s="305" t="s">
        <v>166</v>
      </c>
      <c r="J75" s="305" t="s">
        <v>445</v>
      </c>
      <c r="K75" s="305"/>
      <c r="L75" s="305" t="s">
        <v>225</v>
      </c>
      <c r="M75" s="306" t="s">
        <v>541</v>
      </c>
      <c r="N75" s="306" t="s">
        <v>542</v>
      </c>
      <c r="O75" s="305" t="s">
        <v>338</v>
      </c>
      <c r="P75" s="305" t="s">
        <v>346</v>
      </c>
      <c r="Q75" s="304"/>
      <c r="R75" s="304"/>
      <c r="S75" s="307" t="s">
        <v>5585</v>
      </c>
      <c r="T75" s="308"/>
      <c r="U75" s="308"/>
      <c r="V75" s="315">
        <v>45264</v>
      </c>
      <c r="W75" s="315">
        <v>45264</v>
      </c>
      <c r="X75" s="315">
        <v>45264</v>
      </c>
      <c r="Y75" s="315">
        <v>45565</v>
      </c>
      <c r="Z75" s="472">
        <f>SUMIF(TAB_CS[Reference],TAB_Offres[[#This Row],[Reference]],TAB_CS[Commited days])</f>
        <v>60</v>
      </c>
      <c r="AA75" s="269">
        <f>SUMIF(TAB_CS[Reference],TAB_Offres[[#This Row],[Reference]],TAB_CS[Commited amount])</f>
        <v>43622.399999999994</v>
      </c>
      <c r="AB75" s="309"/>
      <c r="AC75" s="310" t="s">
        <v>5594</v>
      </c>
      <c r="AD75" s="310" t="s">
        <v>73</v>
      </c>
      <c r="AE75" s="319">
        <v>10</v>
      </c>
      <c r="AF75" s="311"/>
      <c r="AG75" s="312"/>
      <c r="AH75" s="313" t="s">
        <v>5589</v>
      </c>
      <c r="AI75" s="314" t="e">
        <v>#REF!</v>
      </c>
      <c r="AJ75" s="295">
        <v>21</v>
      </c>
      <c r="AK75" s="295"/>
      <c r="AL75" s="295"/>
      <c r="AM75" s="295"/>
      <c r="AN75" s="294"/>
      <c r="AQ75" s="4"/>
    </row>
    <row r="76" spans="1:43" x14ac:dyDescent="0.25">
      <c r="A76" s="303">
        <f>ROW(TAB_Offres[[#This Row],[Reference]])-ROW(TAB_Offres[[#Headers],[ID]])</f>
        <v>75</v>
      </c>
      <c r="B76" s="303" t="s">
        <v>139</v>
      </c>
      <c r="C76" s="303" t="s">
        <v>143</v>
      </c>
      <c r="D76" s="303" t="s">
        <v>247</v>
      </c>
      <c r="E76" s="304" t="s">
        <v>5569</v>
      </c>
      <c r="F76" s="303" t="s">
        <v>245</v>
      </c>
      <c r="G76" s="304" t="s">
        <v>54</v>
      </c>
      <c r="H76" s="305" t="s">
        <v>87</v>
      </c>
      <c r="I76" s="305" t="s">
        <v>166</v>
      </c>
      <c r="J76" s="305" t="s">
        <v>445</v>
      </c>
      <c r="K76" s="305"/>
      <c r="L76" s="305" t="s">
        <v>225</v>
      </c>
      <c r="M76" s="306" t="s">
        <v>5468</v>
      </c>
      <c r="N76" s="306" t="s">
        <v>5469</v>
      </c>
      <c r="O76" s="305" t="s">
        <v>338</v>
      </c>
      <c r="P76" s="305" t="s">
        <v>346</v>
      </c>
      <c r="Q76" s="304"/>
      <c r="R76" s="304"/>
      <c r="S76" s="307" t="s">
        <v>5580</v>
      </c>
      <c r="T76" s="308"/>
      <c r="U76" s="308"/>
      <c r="V76" s="315">
        <v>45274</v>
      </c>
      <c r="W76" s="315">
        <v>45275</v>
      </c>
      <c r="X76" s="315">
        <v>45292</v>
      </c>
      <c r="Y76" s="315">
        <v>45777</v>
      </c>
      <c r="Z76" s="472">
        <f>SUMIF(TAB_CS[Reference],TAB_Offres[[#This Row],[Reference]],TAB_CS[Commited days])</f>
        <v>220</v>
      </c>
      <c r="AA76" s="269">
        <f>SUMIF(TAB_CS[Reference],TAB_Offres[[#This Row],[Reference]],TAB_CS[Commited amount])</f>
        <v>163116.80000000002</v>
      </c>
      <c r="AB76" s="309"/>
      <c r="AC76" s="310" t="s">
        <v>327</v>
      </c>
      <c r="AD76" s="310" t="s">
        <v>54</v>
      </c>
      <c r="AE76" s="306">
        <v>8</v>
      </c>
      <c r="AF76" s="311"/>
      <c r="AG76" s="312"/>
      <c r="AH76" s="313" t="s">
        <v>5589</v>
      </c>
      <c r="AI76" s="314" t="e">
        <v>#REF!</v>
      </c>
      <c r="AJ76" s="295"/>
      <c r="AK76" s="295"/>
      <c r="AL76" s="295">
        <v>3</v>
      </c>
      <c r="AM76" s="295"/>
      <c r="AN76" s="294"/>
      <c r="AQ76" s="4"/>
    </row>
    <row r="77" spans="1:43" x14ac:dyDescent="0.25">
      <c r="A77" s="258">
        <f>ROW(TAB_Offres[[#This Row],[Reference]])-ROW(TAB_Offres[[#Headers],[ID]])</f>
        <v>76</v>
      </c>
      <c r="B77" s="258" t="s">
        <v>140</v>
      </c>
      <c r="C77" s="258" t="s">
        <v>143</v>
      </c>
      <c r="D77" s="258" t="s">
        <v>299</v>
      </c>
      <c r="E77" s="263" t="s">
        <v>5437</v>
      </c>
      <c r="F77" s="258" t="e">
        <f>IF(ISBLANK(TAB_Offres[[#This Row],[Reference]]),"",LOOKUP(TAB_Offres[[#This Row],[Reference]],#REF!,#REF!))</f>
        <v>#REF!</v>
      </c>
      <c r="G77" s="263" t="s">
        <v>5444</v>
      </c>
      <c r="H77" s="262" t="s">
        <v>88</v>
      </c>
      <c r="I77" s="262" t="s">
        <v>222</v>
      </c>
      <c r="J77" s="262" t="s">
        <v>445</v>
      </c>
      <c r="K77" s="262" t="s">
        <v>484</v>
      </c>
      <c r="L77" s="262" t="s">
        <v>225</v>
      </c>
      <c r="M77" s="264" t="s">
        <v>5445</v>
      </c>
      <c r="N77" s="262" t="s">
        <v>399</v>
      </c>
      <c r="O77" s="262" t="s">
        <v>338</v>
      </c>
      <c r="P77" s="262"/>
      <c r="Q77" s="263"/>
      <c r="R77" s="263"/>
      <c r="S77" s="292" t="s">
        <v>5446</v>
      </c>
      <c r="T77" s="261"/>
      <c r="U77" s="261"/>
      <c r="V77" s="268">
        <v>45140</v>
      </c>
      <c r="W77" s="268">
        <v>45140</v>
      </c>
      <c r="X77" s="268">
        <v>45140</v>
      </c>
      <c r="Y77" s="268">
        <v>45289</v>
      </c>
      <c r="Z77" s="471">
        <f>SUMIF(TAB_CS[Reference],TAB_Offres[[#This Row],[Reference]],TAB_CS[Commited days])</f>
        <v>221</v>
      </c>
      <c r="AA77" s="269">
        <f>SUMIF(TAB_CS[Reference],TAB_Offres[[#This Row],[Reference]],TAB_CS[Commited amount])</f>
        <v>127461.75</v>
      </c>
      <c r="AB77" s="275" t="s">
        <v>173</v>
      </c>
      <c r="AC77" s="270" t="s">
        <v>266</v>
      </c>
      <c r="AD77" s="270" t="s">
        <v>79</v>
      </c>
      <c r="AE77" s="260">
        <v>4</v>
      </c>
      <c r="AF77" s="271"/>
      <c r="AG77" s="278"/>
      <c r="AH77" s="277" t="str">
        <f>CONCATENATE(YEAR(TAB_Offres[[#This Row],[Request date ]]),"-",MONTH(TAB_Offres[[#This Row],[Request date ]]))</f>
        <v>2023-7</v>
      </c>
      <c r="AI77" s="274" t="e">
        <f>IF(#REF!,1,0)</f>
        <v>#REF!</v>
      </c>
      <c r="AJ77" s="4"/>
      <c r="AK77" s="4"/>
      <c r="AL77" s="4"/>
      <c r="AM77" s="4">
        <v>2</v>
      </c>
      <c r="AQ77" s="4"/>
    </row>
    <row r="78" spans="1:43" x14ac:dyDescent="0.25">
      <c r="A78" s="258">
        <f>ROW(TAB_Offres[[#This Row],[Reference]])-ROW(TAB_Offres[[#Headers],[ID]])</f>
        <v>77</v>
      </c>
      <c r="B78" s="258" t="s">
        <v>138</v>
      </c>
      <c r="C78" s="258" t="s">
        <v>143</v>
      </c>
      <c r="D78" s="258" t="s">
        <v>5504</v>
      </c>
      <c r="E78" s="263" t="s">
        <v>5505</v>
      </c>
      <c r="F78" s="258" t="e">
        <f>IF(ISBLANK(TAB_Offres[[#This Row],[Reference]]),"",LOOKUP(TAB_Offres[[#This Row],[Reference]],#REF!,#REF!))</f>
        <v>#REF!</v>
      </c>
      <c r="G78" s="263" t="s">
        <v>5481</v>
      </c>
      <c r="H78" s="262" t="s">
        <v>85</v>
      </c>
      <c r="I78" s="262" t="s">
        <v>167</v>
      </c>
      <c r="J78" s="262" t="s">
        <v>445</v>
      </c>
      <c r="K78" s="262"/>
      <c r="L78" s="262" t="s">
        <v>225</v>
      </c>
      <c r="M78" s="264" t="s">
        <v>384</v>
      </c>
      <c r="N78" s="262" t="s">
        <v>404</v>
      </c>
      <c r="O78" s="262" t="s">
        <v>338</v>
      </c>
      <c r="P78" s="262" t="s">
        <v>346</v>
      </c>
      <c r="Q78" s="263"/>
      <c r="R78" s="263"/>
      <c r="S78" s="292" t="s">
        <v>5506</v>
      </c>
      <c r="T78" s="261"/>
      <c r="U78" s="261"/>
      <c r="V78" s="268">
        <v>45166</v>
      </c>
      <c r="W78" s="268">
        <v>45168</v>
      </c>
      <c r="X78" s="268">
        <v>45168</v>
      </c>
      <c r="Y78" s="268">
        <v>45199</v>
      </c>
      <c r="Z78" s="471">
        <f>SUMIF(TAB_CS[Reference],TAB_Offres[[#This Row],[Reference]],TAB_CS[Commited days])</f>
        <v>0</v>
      </c>
      <c r="AA78" s="269">
        <f>SUMIF(TAB_CS[Reference],TAB_Offres[[#This Row],[Reference]],TAB_CS[Commited amount])</f>
        <v>0</v>
      </c>
      <c r="AB78" s="275"/>
      <c r="AC78" s="270" t="s">
        <v>349</v>
      </c>
      <c r="AD78" s="270" t="s">
        <v>92</v>
      </c>
      <c r="AE78" s="275">
        <v>7</v>
      </c>
      <c r="AF78" s="271"/>
      <c r="AG78" s="278"/>
      <c r="AH78" s="277" t="str">
        <f>CONCATENATE(YEAR(TAB_Offres[[#This Row],[Request date ]]),"-",MONTH(TAB_Offres[[#This Row],[Request date ]]))</f>
        <v>2023-7</v>
      </c>
      <c r="AI78" s="274" t="e">
        <f>IF(#REF!,1,0)</f>
        <v>#REF!</v>
      </c>
      <c r="AJ78" s="4"/>
      <c r="AK78" s="4">
        <v>3</v>
      </c>
      <c r="AL78" s="4"/>
      <c r="AN78" s="150"/>
      <c r="AQ78" s="4"/>
    </row>
    <row r="79" spans="1:43" x14ac:dyDescent="0.25">
      <c r="A79" s="258">
        <f>ROW(TAB_Offres[[#This Row],[Reference]])-ROW(TAB_Offres[[#Headers],[ID]])</f>
        <v>78</v>
      </c>
      <c r="B79" s="258" t="s">
        <v>138</v>
      </c>
      <c r="C79" s="258" t="s">
        <v>143</v>
      </c>
      <c r="D79" s="258" t="s">
        <v>250</v>
      </c>
      <c r="E79" s="263" t="s">
        <v>5476</v>
      </c>
      <c r="F79" s="258" t="e">
        <f>IF(ISBLANK(TAB_Offres[[#This Row],[Reference]]),"",LOOKUP(TAB_Offres[[#This Row],[Reference]],#REF!,#REF!))</f>
        <v>#REF!</v>
      </c>
      <c r="G79" s="263" t="s">
        <v>5482</v>
      </c>
      <c r="H79" s="262" t="s">
        <v>87</v>
      </c>
      <c r="I79" s="262" t="s">
        <v>167</v>
      </c>
      <c r="J79" s="262" t="s">
        <v>445</v>
      </c>
      <c r="K79" s="262" t="s">
        <v>486</v>
      </c>
      <c r="L79" s="262" t="s">
        <v>225</v>
      </c>
      <c r="M79" s="264" t="s">
        <v>527</v>
      </c>
      <c r="N79" s="262" t="s">
        <v>528</v>
      </c>
      <c r="O79" s="262" t="s">
        <v>338</v>
      </c>
      <c r="P79" s="262" t="s">
        <v>345</v>
      </c>
      <c r="Q79" s="263"/>
      <c r="R79" s="263"/>
      <c r="S79" s="292" t="s">
        <v>5489</v>
      </c>
      <c r="T79" s="261"/>
      <c r="U79" s="261"/>
      <c r="V79" s="268">
        <v>45203</v>
      </c>
      <c r="W79" s="268">
        <v>45204</v>
      </c>
      <c r="X79" s="268">
        <v>45204</v>
      </c>
      <c r="Y79" s="268">
        <v>45657</v>
      </c>
      <c r="Z79" s="471">
        <f>SUMIF(TAB_CS[Reference],TAB_Offres[[#This Row],[Reference]],TAB_CS[Commited days])</f>
        <v>215</v>
      </c>
      <c r="AA79" s="269">
        <f>SUMIF(TAB_CS[Reference],TAB_Offres[[#This Row],[Reference]],TAB_CS[Commited amount])</f>
        <v>59041.15</v>
      </c>
      <c r="AB79" s="275"/>
      <c r="AC79" s="270" t="s">
        <v>5488</v>
      </c>
      <c r="AD79" s="270" t="s">
        <v>90</v>
      </c>
      <c r="AE79" s="275">
        <v>5</v>
      </c>
      <c r="AF79" s="271"/>
      <c r="AG79" s="278"/>
      <c r="AH79" s="277" t="str">
        <f>CONCATENATE(YEAR(TAB_Offres[[#This Row],[Request date ]]),"-",MONTH(TAB_Offres[[#This Row],[Request date ]]))</f>
        <v>2023-9</v>
      </c>
      <c r="AI79" s="274" t="e">
        <f>IF(#REF!,1,0)</f>
        <v>#REF!</v>
      </c>
      <c r="AJ79" s="4"/>
      <c r="AK79" s="4"/>
      <c r="AL79" s="4">
        <v>3</v>
      </c>
      <c r="AN79" s="150"/>
      <c r="AQ79" s="4"/>
    </row>
    <row r="80" spans="1:43" x14ac:dyDescent="0.25">
      <c r="A80" s="258">
        <f>ROW(TAB_Offres[[#This Row],[Reference]])-ROW(TAB_Offres[[#Headers],[ID]])</f>
        <v>79</v>
      </c>
      <c r="B80" s="258" t="s">
        <v>138</v>
      </c>
      <c r="C80" s="258" t="s">
        <v>143</v>
      </c>
      <c r="D80" s="258" t="s">
        <v>5463</v>
      </c>
      <c r="E80" s="263" t="s">
        <v>5566</v>
      </c>
      <c r="F80" s="258" t="e">
        <f>IF(ISBLANK(TAB_Offres[[#This Row],[Reference]]),"",LOOKUP(TAB_Offres[[#This Row],[Reference]],#REF!,#REF!))</f>
        <v>#REF!</v>
      </c>
      <c r="G80" s="280" t="s">
        <v>5481</v>
      </c>
      <c r="H80" s="262" t="s">
        <v>86</v>
      </c>
      <c r="I80" s="262" t="s">
        <v>167</v>
      </c>
      <c r="J80" s="262" t="s">
        <v>445</v>
      </c>
      <c r="K80" s="262" t="s">
        <v>486</v>
      </c>
      <c r="L80" s="262" t="s">
        <v>225</v>
      </c>
      <c r="M80" s="264" t="s">
        <v>541</v>
      </c>
      <c r="N80" s="262" t="s">
        <v>542</v>
      </c>
      <c r="O80" s="262" t="s">
        <v>338</v>
      </c>
      <c r="P80" s="262" t="s">
        <v>346</v>
      </c>
      <c r="Q80" s="263"/>
      <c r="R80" s="263"/>
      <c r="S80" s="292" t="s">
        <v>5494</v>
      </c>
      <c r="T80" s="261"/>
      <c r="U80" s="261"/>
      <c r="V80" s="268">
        <v>45181</v>
      </c>
      <c r="W80" s="268">
        <v>45182</v>
      </c>
      <c r="X80" s="268">
        <v>45182</v>
      </c>
      <c r="Y80" s="268">
        <v>45565</v>
      </c>
      <c r="Z80" s="471">
        <f>SUMIF(TAB_CS[Reference],TAB_Offres[[#This Row],[Reference]],TAB_CS[Commited days])</f>
        <v>115</v>
      </c>
      <c r="AA80" s="269">
        <f>SUMIF(TAB_CS[Reference],TAB_Offres[[#This Row],[Reference]],TAB_CS[Commited amount])</f>
        <v>53348.5</v>
      </c>
      <c r="AB80" s="275"/>
      <c r="AC80" s="270" t="s">
        <v>302</v>
      </c>
      <c r="AD80" s="270" t="s">
        <v>90</v>
      </c>
      <c r="AE80" s="318">
        <v>8</v>
      </c>
      <c r="AF80" s="271"/>
      <c r="AG80" s="278"/>
      <c r="AH80" s="277" t="str">
        <f>CONCATENATE(YEAR(TAB_Offres[[#This Row],[Request date ]]),"-",MONTH(TAB_Offres[[#This Row],[Request date ]]))</f>
        <v>2023-8</v>
      </c>
      <c r="AI80" s="274" t="e">
        <f>IF(#REF!,1,0)</f>
        <v>#REF!</v>
      </c>
      <c r="AJ80" s="4">
        <v>17</v>
      </c>
      <c r="AK80" s="4"/>
      <c r="AL80" s="4"/>
      <c r="AN80" s="150"/>
      <c r="AQ80" s="4"/>
    </row>
    <row r="81" spans="1:43" x14ac:dyDescent="0.25">
      <c r="A81" s="258">
        <f>ROW(TAB_Offres[[#This Row],[Reference]])-ROW(TAB_Offres[[#Headers],[ID]])</f>
        <v>80</v>
      </c>
      <c r="B81" s="258" t="s">
        <v>138</v>
      </c>
      <c r="C81" s="258" t="s">
        <v>143</v>
      </c>
      <c r="D81" s="258" t="s">
        <v>5460</v>
      </c>
      <c r="E81" s="263" t="s">
        <v>5507</v>
      </c>
      <c r="F81" s="258" t="e">
        <f>IF(ISBLANK(TAB_Offres[[#This Row],[Reference]]),"",LOOKUP(TAB_Offres[[#This Row],[Reference]],#REF!,#REF!))</f>
        <v>#REF!</v>
      </c>
      <c r="G81" s="263" t="s">
        <v>5509</v>
      </c>
      <c r="H81" s="262" t="s">
        <v>203</v>
      </c>
      <c r="I81" s="262" t="s">
        <v>167</v>
      </c>
      <c r="J81" s="262" t="s">
        <v>445</v>
      </c>
      <c r="K81" s="262" t="s">
        <v>485</v>
      </c>
      <c r="L81" s="262" t="s">
        <v>225</v>
      </c>
      <c r="M81" s="264" t="s">
        <v>5510</v>
      </c>
      <c r="N81" s="262" t="s">
        <v>5511</v>
      </c>
      <c r="O81" s="262" t="s">
        <v>338</v>
      </c>
      <c r="P81" s="262" t="s">
        <v>345</v>
      </c>
      <c r="Q81" s="263"/>
      <c r="R81" s="263"/>
      <c r="S81" s="292" t="s">
        <v>5512</v>
      </c>
      <c r="T81" s="261"/>
      <c r="U81" s="261"/>
      <c r="V81" s="268">
        <v>45210</v>
      </c>
      <c r="W81" s="268">
        <v>45210</v>
      </c>
      <c r="X81" s="268">
        <v>45210</v>
      </c>
      <c r="Y81" s="268">
        <v>45626</v>
      </c>
      <c r="Z81" s="471">
        <f>SUMIF(TAB_CS[Reference],TAB_Offres[[#This Row],[Reference]],TAB_CS[Commited days])</f>
        <v>220</v>
      </c>
      <c r="AA81" s="269">
        <f>SUMIF(TAB_CS[Reference],TAB_Offres[[#This Row],[Reference]],TAB_CS[Commited amount])</f>
        <v>116846.39999999999</v>
      </c>
      <c r="AB81" s="275"/>
      <c r="AC81" s="270" t="s">
        <v>320</v>
      </c>
      <c r="AD81" s="270" t="s">
        <v>92</v>
      </c>
      <c r="AE81" s="275">
        <v>10</v>
      </c>
      <c r="AF81" s="271"/>
      <c r="AG81" s="278"/>
      <c r="AH81" s="277" t="str">
        <f>CONCATENATE(YEAR(TAB_Offres[[#This Row],[Request date ]]),"-",MONTH(TAB_Offres[[#This Row],[Request date ]]))</f>
        <v>2023-9</v>
      </c>
      <c r="AI81" s="274" t="e">
        <f>IF(#REF!,1,0)</f>
        <v>#REF!</v>
      </c>
      <c r="AJ81" s="4">
        <v>19</v>
      </c>
      <c r="AK81" s="4"/>
      <c r="AL81" s="4"/>
      <c r="AN81" s="150"/>
      <c r="AQ81" s="4"/>
    </row>
    <row r="82" spans="1:43" x14ac:dyDescent="0.25">
      <c r="A82" s="258">
        <f>ROW(TAB_Offres[[#This Row],[Reference]])-ROW(TAB_Offres[[#Headers],[ID]])</f>
        <v>81</v>
      </c>
      <c r="B82" s="258" t="s">
        <v>139</v>
      </c>
      <c r="C82" s="258" t="s">
        <v>143</v>
      </c>
      <c r="D82" s="258"/>
      <c r="E82" s="263" t="s">
        <v>5567</v>
      </c>
      <c r="F82" s="258" t="e">
        <f>IF(ISBLANK(TAB_Offres[[#This Row],[Reference]]),"",LOOKUP(TAB_Offres[[#This Row],[Reference]],#REF!,#REF!))</f>
        <v>#REF!</v>
      </c>
      <c r="G82" s="263" t="s">
        <v>512</v>
      </c>
      <c r="H82" s="262" t="s">
        <v>203</v>
      </c>
      <c r="I82" s="262"/>
      <c r="J82" s="262"/>
      <c r="K82" s="262"/>
      <c r="L82" s="262" t="s">
        <v>512</v>
      </c>
      <c r="M82" s="264" t="s">
        <v>388</v>
      </c>
      <c r="N82" s="262" t="s">
        <v>5487</v>
      </c>
      <c r="O82" s="262" t="s">
        <v>338</v>
      </c>
      <c r="P82" s="262" t="s">
        <v>345</v>
      </c>
      <c r="Q82" s="263"/>
      <c r="R82" s="263"/>
      <c r="S82" s="292" t="s">
        <v>5490</v>
      </c>
      <c r="T82" s="261"/>
      <c r="U82" s="261"/>
      <c r="V82" s="268">
        <v>45198</v>
      </c>
      <c r="W82" s="268">
        <v>45198</v>
      </c>
      <c r="X82" s="268">
        <v>45198</v>
      </c>
      <c r="Y82" s="268">
        <v>45440</v>
      </c>
      <c r="Z82" s="471">
        <f>SUMIF(TAB_CS[Reference],TAB_Offres[[#This Row],[Reference]],TAB_CS[Commited days])</f>
        <v>0</v>
      </c>
      <c r="AA82" s="269">
        <f>SUMIF(TAB_CS[Reference],TAB_Offres[[#This Row],[Reference]],TAB_CS[Commited amount])</f>
        <v>0</v>
      </c>
      <c r="AB82" s="275"/>
      <c r="AC82" s="270" t="s">
        <v>263</v>
      </c>
      <c r="AD82" s="270" t="s">
        <v>54</v>
      </c>
      <c r="AE82" s="318">
        <v>9</v>
      </c>
      <c r="AF82" s="271"/>
      <c r="AG82" s="278"/>
      <c r="AH82" s="277" t="str">
        <f>CONCATENATE(YEAR(TAB_Offres[[#This Row],[Request date ]]),"-",MONTH(TAB_Offres[[#This Row],[Request date ]]))</f>
        <v>2023-9</v>
      </c>
      <c r="AI82" s="274" t="e">
        <f>IF(#REF!,1,0)</f>
        <v>#REF!</v>
      </c>
      <c r="AJ82" s="4">
        <v>17</v>
      </c>
      <c r="AK82" s="4"/>
      <c r="AL82" s="4"/>
      <c r="AN82" s="150"/>
      <c r="AQ82" s="4"/>
    </row>
    <row r="83" spans="1:43" x14ac:dyDescent="0.25">
      <c r="A83" s="258">
        <f>ROW(TAB_Offres[[#This Row],[Reference]])-ROW(TAB_Offres[[#Headers],[ID]])</f>
        <v>82</v>
      </c>
      <c r="B83" s="258" t="s">
        <v>139</v>
      </c>
      <c r="C83" s="258" t="s">
        <v>143</v>
      </c>
      <c r="D83" s="258" t="s">
        <v>247</v>
      </c>
      <c r="E83" s="263" t="s">
        <v>5514</v>
      </c>
      <c r="F83" s="258" t="e">
        <f>IF(ISBLANK(TAB_Offres[[#This Row],[Reference]]),"",LOOKUP(TAB_Offres[[#This Row],[Reference]],#REF!,#REF!))</f>
        <v>#REF!</v>
      </c>
      <c r="G83" s="263" t="s">
        <v>5483</v>
      </c>
      <c r="H83" s="262" t="s">
        <v>87</v>
      </c>
      <c r="I83" s="262" t="s">
        <v>166</v>
      </c>
      <c r="J83" s="262" t="s">
        <v>445</v>
      </c>
      <c r="K83" s="262"/>
      <c r="L83" s="262" t="s">
        <v>225</v>
      </c>
      <c r="M83" t="s">
        <v>388</v>
      </c>
      <c r="N83" t="s">
        <v>408</v>
      </c>
      <c r="O83" s="262" t="s">
        <v>338</v>
      </c>
      <c r="P83" s="262" t="s">
        <v>345</v>
      </c>
      <c r="Q83" s="263"/>
      <c r="R83" s="263"/>
      <c r="S83" s="292" t="s">
        <v>5521</v>
      </c>
      <c r="T83" s="261"/>
      <c r="U83" s="261"/>
      <c r="V83" s="268">
        <v>45224</v>
      </c>
      <c r="W83" s="268">
        <v>45236</v>
      </c>
      <c r="X83" s="268">
        <v>45236</v>
      </c>
      <c r="Y83" s="268">
        <v>45747</v>
      </c>
      <c r="Z83" s="471">
        <f>SUMIF(TAB_CS[Reference],TAB_Offres[[#This Row],[Reference]],TAB_CS[Commited days])</f>
        <v>220</v>
      </c>
      <c r="AA83" s="269">
        <f>SUMIF(TAB_CS[Reference],TAB_Offres[[#This Row],[Reference]],TAB_CS[Commited amount])</f>
        <v>186751.4</v>
      </c>
      <c r="AB83" s="275"/>
      <c r="AC83" s="270" t="s">
        <v>330</v>
      </c>
      <c r="AD83" s="270" t="s">
        <v>54</v>
      </c>
      <c r="AE83" s="275">
        <v>9</v>
      </c>
      <c r="AF83" s="271"/>
      <c r="AG83" s="278"/>
      <c r="AH83" s="277" t="str">
        <f>CONCATENATE(YEAR(TAB_Offres[[#This Row],[Request date ]]),"-",MONTH(TAB_Offres[[#This Row],[Request date ]]))</f>
        <v>2023-9</v>
      </c>
      <c r="AI83" s="274" t="e">
        <f>IF(#REF!,1,0)</f>
        <v>#REF!</v>
      </c>
      <c r="AJ83" s="4"/>
      <c r="AK83" s="4"/>
      <c r="AL83" s="4">
        <v>4</v>
      </c>
      <c r="AN83" s="150"/>
      <c r="AQ83" s="4"/>
    </row>
    <row r="84" spans="1:43" x14ac:dyDescent="0.25">
      <c r="A84" s="258">
        <f>ROW(TAB_Offres[[#This Row],[Reference]])-ROW(TAB_Offres[[#Headers],[ID]])</f>
        <v>83</v>
      </c>
      <c r="B84" s="258" t="s">
        <v>139</v>
      </c>
      <c r="C84" s="258" t="s">
        <v>143</v>
      </c>
      <c r="D84" s="258" t="s">
        <v>5462</v>
      </c>
      <c r="E84" s="263" t="s">
        <v>5477</v>
      </c>
      <c r="F84" s="258" t="e">
        <f>IF(ISBLANK(TAB_Offres[[#This Row],[Reference]]),"",LOOKUP(TAB_Offres[[#This Row],[Reference]],#REF!,#REF!))</f>
        <v>#REF!</v>
      </c>
      <c r="G84" s="263" t="s">
        <v>5483</v>
      </c>
      <c r="H84" s="262" t="s">
        <v>86</v>
      </c>
      <c r="I84" s="262" t="s">
        <v>222</v>
      </c>
      <c r="J84" s="262" t="s">
        <v>445</v>
      </c>
      <c r="K84" s="262" t="s">
        <v>484</v>
      </c>
      <c r="L84" s="262" t="s">
        <v>225</v>
      </c>
      <c r="M84" s="264" t="s">
        <v>5485</v>
      </c>
      <c r="N84" s="262" t="s">
        <v>5484</v>
      </c>
      <c r="O84" s="262" t="s">
        <v>338</v>
      </c>
      <c r="P84" s="262"/>
      <c r="Q84" s="263"/>
      <c r="R84" s="263"/>
      <c r="S84" s="292" t="s">
        <v>5491</v>
      </c>
      <c r="T84" s="261"/>
      <c r="U84" s="261"/>
      <c r="V84" s="268">
        <v>45198</v>
      </c>
      <c r="W84" s="268">
        <v>45198</v>
      </c>
      <c r="X84" s="268">
        <v>45198</v>
      </c>
      <c r="Y84" s="268">
        <v>45565</v>
      </c>
      <c r="Z84" s="471">
        <f>SUMIF(TAB_CS[Reference],TAB_Offres[[#This Row],[Reference]],TAB_CS[Commited days])</f>
        <v>150</v>
      </c>
      <c r="AA84" s="269">
        <f>SUMIF(TAB_CS[Reference],TAB_Offres[[#This Row],[Reference]],TAB_CS[Commited amount])</f>
        <v>105669</v>
      </c>
      <c r="AB84" s="275"/>
      <c r="AC84" s="270" t="s">
        <v>586</v>
      </c>
      <c r="AD84" s="270" t="s">
        <v>54</v>
      </c>
      <c r="AE84" s="275">
        <v>8</v>
      </c>
      <c r="AF84" s="271"/>
      <c r="AG84" s="278"/>
      <c r="AH84" s="277" t="str">
        <f>CONCATENATE(YEAR(TAB_Offres[[#This Row],[Request date ]]),"-",MONTH(TAB_Offres[[#This Row],[Request date ]]))</f>
        <v>2023-9</v>
      </c>
      <c r="AI84" s="274" t="e">
        <f>IF(#REF!,1,0)</f>
        <v>#REF!</v>
      </c>
      <c r="AJ84" s="4">
        <v>17</v>
      </c>
      <c r="AK84" s="4"/>
      <c r="AL84" s="4"/>
      <c r="AN84" s="150"/>
      <c r="AQ84" s="4"/>
    </row>
    <row r="85" spans="1:43" x14ac:dyDescent="0.25">
      <c r="A85" s="303">
        <f>ROW(TAB_Offres[[#This Row],[Reference]])-ROW(TAB_Offres[[#Headers],[ID]])</f>
        <v>84</v>
      </c>
      <c r="B85" s="303" t="s">
        <v>138</v>
      </c>
      <c r="C85" s="303" t="s">
        <v>143</v>
      </c>
      <c r="D85" s="303" t="s">
        <v>246</v>
      </c>
      <c r="E85" s="304" t="s">
        <v>5570</v>
      </c>
      <c r="F85" s="303" t="s">
        <v>245</v>
      </c>
      <c r="G85" s="304" t="s">
        <v>5509</v>
      </c>
      <c r="H85" s="305" t="s">
        <v>85</v>
      </c>
      <c r="I85" s="305" t="s">
        <v>167</v>
      </c>
      <c r="J85" s="305" t="s">
        <v>445</v>
      </c>
      <c r="K85" s="305"/>
      <c r="L85" s="305" t="s">
        <v>225</v>
      </c>
      <c r="M85" s="306" t="s">
        <v>384</v>
      </c>
      <c r="N85" s="306" t="s">
        <v>404</v>
      </c>
      <c r="O85" s="305" t="s">
        <v>338</v>
      </c>
      <c r="P85" s="305" t="s">
        <v>346</v>
      </c>
      <c r="Q85" s="304"/>
      <c r="R85" s="304"/>
      <c r="S85" s="307" t="s">
        <v>5581</v>
      </c>
      <c r="T85" s="308"/>
      <c r="U85" s="308"/>
      <c r="V85" s="315"/>
      <c r="W85" s="315"/>
      <c r="X85" s="315"/>
      <c r="Y85" s="315"/>
      <c r="Z85" s="472">
        <f>SUMIF(TAB_CS[Reference],TAB_Offres[[#This Row],[Reference]],TAB_CS[Commited days])</f>
        <v>0</v>
      </c>
      <c r="AA85" s="269">
        <f>SUMIF(TAB_CS[Reference],TAB_Offres[[#This Row],[Reference]],TAB_CS[Commited amount])</f>
        <v>0</v>
      </c>
      <c r="AB85" s="309"/>
      <c r="AC85" s="310" t="s">
        <v>5556</v>
      </c>
      <c r="AD85" s="310" t="s">
        <v>92</v>
      </c>
      <c r="AE85" s="319">
        <v>7</v>
      </c>
      <c r="AF85" s="311"/>
      <c r="AG85" s="312"/>
      <c r="AH85" s="313" t="s">
        <v>5589</v>
      </c>
      <c r="AI85" s="314" t="e">
        <v>#REF!</v>
      </c>
      <c r="AJ85" s="295"/>
      <c r="AK85" s="295">
        <v>3</v>
      </c>
      <c r="AL85" s="295"/>
      <c r="AM85" s="295"/>
      <c r="AN85" s="294"/>
      <c r="AQ85" s="4"/>
    </row>
    <row r="86" spans="1:43" x14ac:dyDescent="0.25">
      <c r="A86" s="258">
        <f>ROW(TAB_Offres[[#This Row],[Reference]])-ROW(TAB_Offres[[#Headers],[ID]])</f>
        <v>85</v>
      </c>
      <c r="B86" s="258" t="s">
        <v>139</v>
      </c>
      <c r="C86" s="258" t="s">
        <v>143</v>
      </c>
      <c r="D86" s="258" t="s">
        <v>5462</v>
      </c>
      <c r="E86" s="263" t="s">
        <v>5478</v>
      </c>
      <c r="F86" s="258" t="e">
        <f>IF(ISBLANK(TAB_Offres[[#This Row],[Reference]]),"",LOOKUP(TAB_Offres[[#This Row],[Reference]],#REF!,#REF!))</f>
        <v>#REF!</v>
      </c>
      <c r="G86" s="263" t="s">
        <v>54</v>
      </c>
      <c r="H86" s="262" t="s">
        <v>203</v>
      </c>
      <c r="I86" s="262" t="s">
        <v>222</v>
      </c>
      <c r="J86" s="262" t="s">
        <v>445</v>
      </c>
      <c r="K86" s="262" t="s">
        <v>484</v>
      </c>
      <c r="L86" s="262" t="s">
        <v>225</v>
      </c>
      <c r="M86" s="264" t="s">
        <v>5485</v>
      </c>
      <c r="N86" s="262" t="s">
        <v>5484</v>
      </c>
      <c r="O86" s="262" t="s">
        <v>338</v>
      </c>
      <c r="P86" s="262" t="s">
        <v>346</v>
      </c>
      <c r="Q86" s="263"/>
      <c r="R86" s="263"/>
      <c r="S86" s="292" t="s">
        <v>5486</v>
      </c>
      <c r="T86" s="261"/>
      <c r="U86" s="261"/>
      <c r="V86" s="268">
        <v>45210</v>
      </c>
      <c r="W86" s="268">
        <v>45210</v>
      </c>
      <c r="X86" s="268">
        <v>45210</v>
      </c>
      <c r="Y86" s="268">
        <v>45565</v>
      </c>
      <c r="Z86" s="471">
        <f>SUMIF(TAB_CS[Reference],TAB_Offres[[#This Row],[Reference]],TAB_CS[Commited days])</f>
        <v>120</v>
      </c>
      <c r="AA86" s="269">
        <f>SUMIF(TAB_CS[Reference],TAB_Offres[[#This Row],[Reference]],TAB_CS[Commited amount])</f>
        <v>90452.4</v>
      </c>
      <c r="AB86" s="275"/>
      <c r="AC86" s="270" t="s">
        <v>308</v>
      </c>
      <c r="AD86" s="270" t="s">
        <v>54</v>
      </c>
      <c r="AE86" s="275">
        <v>9</v>
      </c>
      <c r="AF86" s="271"/>
      <c r="AG86" s="278"/>
      <c r="AH86" s="277" t="str">
        <f>CONCATENATE(YEAR(TAB_Offres[[#This Row],[Request date ]]),"-",MONTH(TAB_Offres[[#This Row],[Request date ]]))</f>
        <v>2023-9</v>
      </c>
      <c r="AI86" s="274" t="e">
        <f>IF(#REF!,1,0)</f>
        <v>#REF!</v>
      </c>
      <c r="AJ86" s="4">
        <v>19</v>
      </c>
      <c r="AK86" s="4"/>
      <c r="AL86" s="4"/>
      <c r="AN86" s="150"/>
      <c r="AQ86" s="4"/>
    </row>
    <row r="87" spans="1:43" x14ac:dyDescent="0.25">
      <c r="A87" s="258">
        <f>ROW(TAB_Offres[[#This Row],[Reference]])-ROW(TAB_Offres[[#Headers],[ID]])</f>
        <v>86</v>
      </c>
      <c r="B87" s="258" t="s">
        <v>139</v>
      </c>
      <c r="C87" s="258" t="s">
        <v>143</v>
      </c>
      <c r="D87" s="258" t="s">
        <v>5462</v>
      </c>
      <c r="E87" s="263" t="s">
        <v>5508</v>
      </c>
      <c r="F87" s="258" t="e">
        <f>IF(ISBLANK(TAB_Offres[[#This Row],[Reference]]),"",LOOKUP(TAB_Offres[[#This Row],[Reference]],#REF!,#REF!))</f>
        <v>#REF!</v>
      </c>
      <c r="G87" s="263" t="s">
        <v>5483</v>
      </c>
      <c r="H87" s="262" t="s">
        <v>203</v>
      </c>
      <c r="I87" s="262" t="s">
        <v>222</v>
      </c>
      <c r="J87" s="262" t="s">
        <v>445</v>
      </c>
      <c r="K87" s="262" t="s">
        <v>484</v>
      </c>
      <c r="L87" s="262" t="s">
        <v>225</v>
      </c>
      <c r="M87" s="264" t="s">
        <v>5485</v>
      </c>
      <c r="N87" s="317" t="s">
        <v>405</v>
      </c>
      <c r="O87" s="262" t="s">
        <v>338</v>
      </c>
      <c r="P87" s="262" t="s">
        <v>346</v>
      </c>
      <c r="Q87" s="263"/>
      <c r="R87" s="263"/>
      <c r="S87" s="292" t="s">
        <v>5513</v>
      </c>
      <c r="T87" s="261"/>
      <c r="U87" s="261"/>
      <c r="V87" s="268">
        <v>45210</v>
      </c>
      <c r="W87" s="268">
        <v>45210</v>
      </c>
      <c r="X87" s="268">
        <v>45210</v>
      </c>
      <c r="Y87" s="268">
        <v>45199</v>
      </c>
      <c r="Z87" s="471">
        <f>SUMIF(TAB_CS[Reference],TAB_Offres[[#This Row],[Reference]],TAB_CS[Commited days])</f>
        <v>120</v>
      </c>
      <c r="AA87" s="269">
        <f>SUMIF(TAB_CS[Reference],TAB_Offres[[#This Row],[Reference]],TAB_CS[Commited amount])</f>
        <v>90452.4</v>
      </c>
      <c r="AB87" s="275"/>
      <c r="AC87" s="270" t="s">
        <v>284</v>
      </c>
      <c r="AD87" s="270" t="s">
        <v>54</v>
      </c>
      <c r="AE87" s="275">
        <v>9</v>
      </c>
      <c r="AF87" s="271"/>
      <c r="AG87" s="278"/>
      <c r="AH87" s="277" t="str">
        <f>CONCATENATE(YEAR(TAB_Offres[[#This Row],[Request date ]]),"-",MONTH(TAB_Offres[[#This Row],[Request date ]]))</f>
        <v>2023-10</v>
      </c>
      <c r="AI87" s="274" t="e">
        <f>IF(#REF!,1,0)</f>
        <v>#REF!</v>
      </c>
      <c r="AJ87" s="4">
        <v>19</v>
      </c>
      <c r="AK87" s="4"/>
      <c r="AL87" s="4"/>
      <c r="AN87" s="150"/>
      <c r="AQ87" s="4"/>
    </row>
    <row r="88" spans="1:43" x14ac:dyDescent="0.25">
      <c r="A88" s="258">
        <f>ROW(TAB_Offres[[#This Row],[Reference]])-ROW(TAB_Offres[[#Headers],[ID]])</f>
        <v>87</v>
      </c>
      <c r="B88" s="258" t="s">
        <v>139</v>
      </c>
      <c r="C88" s="258" t="s">
        <v>143</v>
      </c>
      <c r="D88" s="258" t="s">
        <v>5462</v>
      </c>
      <c r="E88" s="263" t="s">
        <v>5515</v>
      </c>
      <c r="F88" s="258" t="e">
        <f>IF(ISBLANK(TAB_Offres[[#This Row],[Reference]]),"",LOOKUP(TAB_Offres[[#This Row],[Reference]],#REF!,#REF!))</f>
        <v>#REF!</v>
      </c>
      <c r="G88" s="263" t="s">
        <v>54</v>
      </c>
      <c r="H88" s="262" t="s">
        <v>203</v>
      </c>
      <c r="I88" s="262" t="s">
        <v>222</v>
      </c>
      <c r="J88" s="262" t="s">
        <v>445</v>
      </c>
      <c r="K88" s="262"/>
      <c r="L88" s="262" t="s">
        <v>225</v>
      </c>
      <c r="M88" s="264" t="s">
        <v>385</v>
      </c>
      <c r="N88" s="262" t="s">
        <v>5484</v>
      </c>
      <c r="O88" s="262" t="s">
        <v>338</v>
      </c>
      <c r="P88" s="262" t="s">
        <v>346</v>
      </c>
      <c r="Q88" s="263"/>
      <c r="R88" s="263"/>
      <c r="S88" s="292" t="s">
        <v>5522</v>
      </c>
      <c r="T88" s="261"/>
      <c r="U88" s="261"/>
      <c r="V88" s="268">
        <v>45224</v>
      </c>
      <c r="W88" s="268">
        <v>45224</v>
      </c>
      <c r="X88" s="268">
        <v>45224</v>
      </c>
      <c r="Y88" s="268">
        <v>45565</v>
      </c>
      <c r="Z88" s="471">
        <f>SUMIF(TAB_CS[Reference],TAB_Offres[[#This Row],[Reference]],TAB_CS[Commited days])</f>
        <v>120</v>
      </c>
      <c r="AA88" s="269">
        <f>SUMIF(TAB_CS[Reference],TAB_Offres[[#This Row],[Reference]],TAB_CS[Commited amount])</f>
        <v>90452.4</v>
      </c>
      <c r="AB88" s="275"/>
      <c r="AC88" s="270" t="s">
        <v>263</v>
      </c>
      <c r="AD88" s="270" t="s">
        <v>54</v>
      </c>
      <c r="AE88" s="266">
        <v>9</v>
      </c>
      <c r="AF88" s="271"/>
      <c r="AG88" s="278"/>
      <c r="AH88" s="277" t="str">
        <f>CONCATENATE(YEAR(TAB_Offres[[#This Row],[Request date ]]),"-",MONTH(TAB_Offres[[#This Row],[Request date ]]))</f>
        <v>2023-10</v>
      </c>
      <c r="AI88" s="274" t="e">
        <f>IF(#REF!,1,0)</f>
        <v>#REF!</v>
      </c>
      <c r="AJ88" s="4">
        <v>20</v>
      </c>
      <c r="AK88" s="4"/>
      <c r="AL88" s="4"/>
      <c r="AN88" s="150"/>
      <c r="AQ88" s="4"/>
    </row>
    <row r="89" spans="1:43" x14ac:dyDescent="0.25">
      <c r="A89" s="258">
        <f>ROW(TAB_Offres[[#This Row],[Reference]])-ROW(TAB_Offres[[#Headers],[ID]])</f>
        <v>88</v>
      </c>
      <c r="B89" s="258" t="s">
        <v>138</v>
      </c>
      <c r="C89" s="258" t="s">
        <v>143</v>
      </c>
      <c r="D89" s="258" t="s">
        <v>5462</v>
      </c>
      <c r="E89" s="263" t="s">
        <v>5518</v>
      </c>
      <c r="F89" s="258" t="e">
        <f>IF(ISBLANK(TAB_Offres[[#This Row],[Reference]]),"",LOOKUP(TAB_Offres[[#This Row],[Reference]],#REF!,#REF!))</f>
        <v>#REF!</v>
      </c>
      <c r="G89" s="263" t="s">
        <v>5520</v>
      </c>
      <c r="H89" s="262" t="s">
        <v>86</v>
      </c>
      <c r="I89" s="262" t="s">
        <v>222</v>
      </c>
      <c r="J89" s="262" t="s">
        <v>446</v>
      </c>
      <c r="K89" s="262"/>
      <c r="L89" s="262" t="s">
        <v>225</v>
      </c>
      <c r="M89" s="264" t="s">
        <v>388</v>
      </c>
      <c r="N89" t="s">
        <v>408</v>
      </c>
      <c r="O89" s="262" t="s">
        <v>338</v>
      </c>
      <c r="P89" s="262" t="s">
        <v>346</v>
      </c>
      <c r="Q89" s="263"/>
      <c r="R89" s="263"/>
      <c r="S89" s="292" t="s">
        <v>5525</v>
      </c>
      <c r="T89" s="261"/>
      <c r="U89" s="261"/>
      <c r="V89" s="268">
        <v>45212</v>
      </c>
      <c r="W89" s="268">
        <v>45212</v>
      </c>
      <c r="X89" s="268">
        <v>45212</v>
      </c>
      <c r="Y89" s="268">
        <v>45565</v>
      </c>
      <c r="Z89" s="471">
        <f>SUMIF(TAB_CS[Reference],TAB_Offres[[#This Row],[Reference]],TAB_CS[Commited days])</f>
        <v>120</v>
      </c>
      <c r="AA89" s="269">
        <f>SUMIF(TAB_CS[Reference],TAB_Offres[[#This Row],[Reference]],TAB_CS[Commited amount])</f>
        <v>79080</v>
      </c>
      <c r="AB89" s="275"/>
      <c r="AC89" s="270" t="s">
        <v>259</v>
      </c>
      <c r="AD89" s="270" t="s">
        <v>38</v>
      </c>
      <c r="AE89" s="266">
        <v>10</v>
      </c>
      <c r="AF89" s="271"/>
      <c r="AG89" s="278"/>
      <c r="AH89" s="277" t="str">
        <f>CONCATENATE(YEAR(TAB_Offres[[#This Row],[Request date ]]),"-",MONTH(TAB_Offres[[#This Row],[Request date ]]))</f>
        <v>2023-10</v>
      </c>
      <c r="AI89" s="274" t="e">
        <f>IF(#REF!,1,0)</f>
        <v>#REF!</v>
      </c>
      <c r="AJ89" s="4">
        <v>20</v>
      </c>
      <c r="AK89" s="4"/>
      <c r="AL89" s="4"/>
      <c r="AN89" s="150"/>
      <c r="AQ89" s="4"/>
    </row>
    <row r="90" spans="1:43" x14ac:dyDescent="0.25">
      <c r="A90" s="258">
        <f>ROW(TAB_Offres[[#This Row],[Reference]])-ROW(TAB_Offres[[#Headers],[ID]])</f>
        <v>89</v>
      </c>
      <c r="B90" s="258" t="s">
        <v>140</v>
      </c>
      <c r="C90" s="258" t="s">
        <v>143</v>
      </c>
      <c r="D90" s="258" t="s">
        <v>299</v>
      </c>
      <c r="E90" s="263" t="s">
        <v>5516</v>
      </c>
      <c r="F90" s="258" t="e">
        <f>IF(ISBLANK(TAB_Offres[[#This Row],[Reference]]),"",LOOKUP(TAB_Offres[[#This Row],[Reference]],#REF!,#REF!))</f>
        <v>#REF!</v>
      </c>
      <c r="G90" s="263" t="s">
        <v>5519</v>
      </c>
      <c r="H90" s="262" t="s">
        <v>203</v>
      </c>
      <c r="I90" s="262" t="s">
        <v>222</v>
      </c>
      <c r="J90" s="262" t="s">
        <v>445</v>
      </c>
      <c r="K90" s="262"/>
      <c r="L90" s="262" t="s">
        <v>225</v>
      </c>
      <c r="M90" s="264" t="s">
        <v>5445</v>
      </c>
      <c r="N90" s="317" t="s">
        <v>399</v>
      </c>
      <c r="O90" s="262" t="s">
        <v>338</v>
      </c>
      <c r="P90" s="262" t="s">
        <v>345</v>
      </c>
      <c r="Q90" s="263"/>
      <c r="R90" s="263"/>
      <c r="S90" s="292" t="s">
        <v>5523</v>
      </c>
      <c r="T90" s="261"/>
      <c r="U90" s="261"/>
      <c r="V90" s="268">
        <v>45224</v>
      </c>
      <c r="W90" s="268">
        <v>45224</v>
      </c>
      <c r="X90" s="268">
        <v>45224</v>
      </c>
      <c r="Y90" s="268">
        <v>45565</v>
      </c>
      <c r="Z90" s="471">
        <f>SUMIF(TAB_CS[Reference],TAB_Offres[[#This Row],[Reference]],TAB_CS[Commited days])</f>
        <v>100</v>
      </c>
      <c r="AA90" s="269">
        <f>SUMIF(TAB_CS[Reference],TAB_Offres[[#This Row],[Reference]],TAB_CS[Commited amount])</f>
        <v>80892</v>
      </c>
      <c r="AB90" s="275"/>
      <c r="AC90" s="270" t="s">
        <v>313</v>
      </c>
      <c r="AD90" s="270" t="s">
        <v>79</v>
      </c>
      <c r="AE90" s="318">
        <v>9</v>
      </c>
      <c r="AF90" s="271"/>
      <c r="AG90" s="278"/>
      <c r="AH90" s="277" t="str">
        <f>CONCATENATE(YEAR(TAB_Offres[[#This Row],[Request date ]]),"-",MONTH(TAB_Offres[[#This Row],[Request date ]]))</f>
        <v>2023-10</v>
      </c>
      <c r="AI90" s="274" t="e">
        <f>IF(#REF!,1,0)</f>
        <v>#REF!</v>
      </c>
      <c r="AJ90" s="4">
        <v>20</v>
      </c>
      <c r="AK90" s="4"/>
      <c r="AL90" s="4"/>
      <c r="AN90" s="150"/>
      <c r="AQ90" s="4"/>
    </row>
    <row r="91" spans="1:43" x14ac:dyDescent="0.25">
      <c r="A91" s="258">
        <f>ROW(TAB_Offres[[#This Row],[Reference]])-ROW(TAB_Offres[[#Headers],[ID]])</f>
        <v>90</v>
      </c>
      <c r="B91" s="258" t="s">
        <v>139</v>
      </c>
      <c r="C91" s="258" t="s">
        <v>143</v>
      </c>
      <c r="D91" s="258" t="s">
        <v>299</v>
      </c>
      <c r="E91" s="263" t="s">
        <v>5517</v>
      </c>
      <c r="F91" s="258" t="e">
        <f>IF(ISBLANK(TAB_Offres[[#This Row],[Reference]]),"",LOOKUP(TAB_Offres[[#This Row],[Reference]],#REF!,#REF!))</f>
        <v>#REF!</v>
      </c>
      <c r="G91" s="263" t="s">
        <v>54</v>
      </c>
      <c r="H91" s="262" t="s">
        <v>203</v>
      </c>
      <c r="I91" s="262" t="s">
        <v>222</v>
      </c>
      <c r="J91" s="262" t="s">
        <v>445</v>
      </c>
      <c r="K91" s="262"/>
      <c r="L91" s="262" t="s">
        <v>225</v>
      </c>
      <c r="M91" s="264" t="s">
        <v>5445</v>
      </c>
      <c r="N91" s="262" t="s">
        <v>399</v>
      </c>
      <c r="O91" s="262" t="s">
        <v>338</v>
      </c>
      <c r="P91" s="262" t="s">
        <v>346</v>
      </c>
      <c r="Q91" s="263"/>
      <c r="R91" s="263"/>
      <c r="S91" s="292" t="s">
        <v>5524</v>
      </c>
      <c r="T91" s="261"/>
      <c r="U91" s="261"/>
      <c r="V91" s="268">
        <v>45224</v>
      </c>
      <c r="W91" s="268">
        <v>45225</v>
      </c>
      <c r="X91" s="268">
        <v>45225</v>
      </c>
      <c r="Y91" s="268">
        <v>45565</v>
      </c>
      <c r="Z91" s="471">
        <f>SUMIF(TAB_CS[Reference],TAB_Offres[[#This Row],[Reference]],TAB_CS[Commited days])</f>
        <v>100</v>
      </c>
      <c r="AA91" s="269">
        <f>SUMIF(TAB_CS[Reference],TAB_Offres[[#This Row],[Reference]],TAB_CS[Commited amount])</f>
        <v>80653</v>
      </c>
      <c r="AB91" s="275"/>
      <c r="AC91" s="270" t="s">
        <v>311</v>
      </c>
      <c r="AD91" s="270" t="s">
        <v>54</v>
      </c>
      <c r="AE91" s="275">
        <v>10</v>
      </c>
      <c r="AF91" s="271"/>
      <c r="AG91" s="278"/>
      <c r="AH91" s="277" t="str">
        <f>CONCATENATE(YEAR(TAB_Offres[[#This Row],[Request date ]]),"-",MONTH(TAB_Offres[[#This Row],[Request date ]]))</f>
        <v>2023-10</v>
      </c>
      <c r="AI91" s="274" t="e">
        <f>IF(#REF!,1,0)</f>
        <v>#REF!</v>
      </c>
      <c r="AJ91" s="4">
        <v>20</v>
      </c>
      <c r="AK91" s="4"/>
      <c r="AL91" s="4"/>
      <c r="AN91" s="150"/>
      <c r="AQ91" s="4"/>
    </row>
    <row r="92" spans="1:43" x14ac:dyDescent="0.25">
      <c r="A92" s="303">
        <f>ROW(TAB_Offres[[#This Row],[Reference]])-ROW(TAB_Offres[[#Headers],[ID]])</f>
        <v>91</v>
      </c>
      <c r="B92" s="303" t="s">
        <v>138</v>
      </c>
      <c r="C92" s="303" t="s">
        <v>143</v>
      </c>
      <c r="D92" s="303" t="s">
        <v>5568</v>
      </c>
      <c r="E92" s="304" t="s">
        <v>5573</v>
      </c>
      <c r="F92" s="303" t="s">
        <v>245</v>
      </c>
      <c r="G92" s="304" t="s">
        <v>5509</v>
      </c>
      <c r="H92" s="305" t="s">
        <v>85</v>
      </c>
      <c r="I92" s="305" t="s">
        <v>167</v>
      </c>
      <c r="J92" s="305" t="s">
        <v>446</v>
      </c>
      <c r="K92" s="305"/>
      <c r="L92" s="305" t="s">
        <v>225</v>
      </c>
      <c r="M92" s="306" t="s">
        <v>605</v>
      </c>
      <c r="N92" s="306" t="s">
        <v>606</v>
      </c>
      <c r="O92" s="305" t="s">
        <v>338</v>
      </c>
      <c r="P92" s="305" t="s">
        <v>346</v>
      </c>
      <c r="Q92" s="304"/>
      <c r="R92" s="304"/>
      <c r="S92" s="307" t="s">
        <v>5584</v>
      </c>
      <c r="T92" s="308"/>
      <c r="U92" s="308"/>
      <c r="V92" s="315">
        <v>45251</v>
      </c>
      <c r="W92" s="315">
        <v>45254</v>
      </c>
      <c r="X92" s="315">
        <v>45261</v>
      </c>
      <c r="Y92" s="315">
        <v>45777</v>
      </c>
      <c r="Z92" s="472">
        <f>SUMIF(TAB_CS[Reference],TAB_Offres[[#This Row],[Reference]],TAB_CS[Commited days])</f>
        <v>260</v>
      </c>
      <c r="AA92" s="269">
        <f>SUMIF(TAB_CS[Reference],TAB_Offres[[#This Row],[Reference]],TAB_CS[Commited amount])</f>
        <v>105349.4</v>
      </c>
      <c r="AB92" s="309"/>
      <c r="AC92" s="310" t="s">
        <v>610</v>
      </c>
      <c r="AD92" s="310" t="s">
        <v>92</v>
      </c>
      <c r="AE92" s="306">
        <v>6</v>
      </c>
      <c r="AF92" s="311"/>
      <c r="AG92" s="312"/>
      <c r="AH92" s="313" t="s">
        <v>5589</v>
      </c>
      <c r="AI92" s="314" t="e">
        <v>#REF!</v>
      </c>
      <c r="AJ92" s="295"/>
      <c r="AK92" s="295">
        <v>4</v>
      </c>
      <c r="AL92" s="295"/>
      <c r="AM92" s="295"/>
      <c r="AN92" s="294"/>
      <c r="AQ92" s="4"/>
    </row>
    <row r="93" spans="1:43" x14ac:dyDescent="0.25">
      <c r="A93" s="258">
        <f>ROW(TAB_Offres[[#This Row],[Reference]])-ROW(TAB_Offres[[#Headers],[ID]])</f>
        <v>92</v>
      </c>
      <c r="B93" s="258" t="s">
        <v>140</v>
      </c>
      <c r="C93" s="258" t="s">
        <v>143</v>
      </c>
      <c r="D93" s="258" t="s">
        <v>299</v>
      </c>
      <c r="E93" s="263" t="s">
        <v>5548</v>
      </c>
      <c r="F93" s="258" t="e">
        <f>IF(ISBLANK(TAB_Offres[[#This Row],[Reference]]),"",LOOKUP(TAB_Offres[[#This Row],[Reference]],#REF!,#REF!))</f>
        <v>#REF!</v>
      </c>
      <c r="G93" s="263" t="s">
        <v>512</v>
      </c>
      <c r="H93" s="262" t="s">
        <v>203</v>
      </c>
      <c r="I93" s="262"/>
      <c r="J93" s="262" t="s">
        <v>445</v>
      </c>
      <c r="K93" s="262" t="s">
        <v>484</v>
      </c>
      <c r="L93" s="262" t="s">
        <v>225</v>
      </c>
      <c r="M93" s="264" t="s">
        <v>5445</v>
      </c>
      <c r="N93" s="317" t="s">
        <v>399</v>
      </c>
      <c r="O93" s="262" t="s">
        <v>338</v>
      </c>
      <c r="P93" s="262" t="s">
        <v>345</v>
      </c>
      <c r="Q93" s="263"/>
      <c r="R93" s="263"/>
      <c r="S93" s="292" t="s">
        <v>5549</v>
      </c>
      <c r="T93" s="261"/>
      <c r="U93" s="261"/>
      <c r="V93" s="268"/>
      <c r="W93" s="268"/>
      <c r="X93" s="268"/>
      <c r="Y93" s="268"/>
      <c r="Z93" s="471">
        <f>SUMIF(TAB_CS[Reference],TAB_Offres[[#This Row],[Reference]],TAB_CS[Commited days])</f>
        <v>1</v>
      </c>
      <c r="AA93" s="269">
        <f>SUMIF(TAB_CS[Reference],TAB_Offres[[#This Row],[Reference]],TAB_CS[Commited amount])</f>
        <v>10000</v>
      </c>
      <c r="AB93" s="275"/>
      <c r="AC93" s="270" t="s">
        <v>313</v>
      </c>
      <c r="AD93" s="270" t="s">
        <v>79</v>
      </c>
      <c r="AE93" s="318">
        <v>9</v>
      </c>
      <c r="AF93" s="271"/>
      <c r="AG93" s="278"/>
      <c r="AH93" s="277" t="str">
        <f>CONCATENATE(YEAR(TAB_Offres[[#This Row],[Request date ]]),"-",MONTH(TAB_Offres[[#This Row],[Request date ]]))</f>
        <v>2023-10</v>
      </c>
      <c r="AI93" s="274" t="e">
        <f>IF(#REF!,1,0)</f>
        <v>#REF!</v>
      </c>
      <c r="AJ93" s="4">
        <v>21</v>
      </c>
      <c r="AK93" s="4"/>
      <c r="AL93" s="4"/>
      <c r="AN93" s="150"/>
      <c r="AQ93" s="4"/>
    </row>
    <row r="94" spans="1:43" s="295" customFormat="1" x14ac:dyDescent="0.25">
      <c r="A94" s="258">
        <f>ROW(TAB_Offres[[#This Row],[Reference]])-ROW(TAB_Offres[[#Headers],[ID]])</f>
        <v>93</v>
      </c>
      <c r="B94" s="258" t="s">
        <v>139</v>
      </c>
      <c r="C94" s="258" t="s">
        <v>143</v>
      </c>
      <c r="D94" s="258" t="s">
        <v>5462</v>
      </c>
      <c r="E94" s="263" t="s">
        <v>5550</v>
      </c>
      <c r="F94" s="258" t="e">
        <f>IF(ISBLANK(TAB_Offres[[#This Row],[Reference]]),"",LOOKUP(TAB_Offres[[#This Row],[Reference]],#REF!,#REF!))</f>
        <v>#REF!</v>
      </c>
      <c r="G94" s="263" t="s">
        <v>54</v>
      </c>
      <c r="H94" s="262" t="s">
        <v>203</v>
      </c>
      <c r="I94" s="262" t="s">
        <v>222</v>
      </c>
      <c r="J94" s="262" t="s">
        <v>445</v>
      </c>
      <c r="K94" s="262"/>
      <c r="L94" s="262" t="s">
        <v>225</v>
      </c>
      <c r="M94" s="264" t="s">
        <v>385</v>
      </c>
      <c r="N94" s="316" t="s">
        <v>405</v>
      </c>
      <c r="O94" s="262" t="s">
        <v>338</v>
      </c>
      <c r="P94" s="262" t="s">
        <v>346</v>
      </c>
      <c r="Q94" s="263"/>
      <c r="R94" s="263"/>
      <c r="S94" s="292" t="s">
        <v>5557</v>
      </c>
      <c r="T94" s="261"/>
      <c r="U94" s="261"/>
      <c r="V94" s="268"/>
      <c r="W94" s="268"/>
      <c r="X94" s="268"/>
      <c r="Y94" s="268"/>
      <c r="Z94" s="471">
        <f>SUMIF(TAB_CS[Reference],TAB_Offres[[#This Row],[Reference]],TAB_CS[Commited days])</f>
        <v>101.5</v>
      </c>
      <c r="AA94" s="269">
        <f>SUMIF(TAB_CS[Reference],TAB_Offres[[#This Row],[Reference]],TAB_CS[Commited amount])</f>
        <v>47645.115000000005</v>
      </c>
      <c r="AB94" s="275"/>
      <c r="AC94" s="270" t="s">
        <v>290</v>
      </c>
      <c r="AD94" s="270" t="s">
        <v>54</v>
      </c>
      <c r="AE94" s="318">
        <v>2</v>
      </c>
      <c r="AF94" s="271"/>
      <c r="AG94" s="278"/>
      <c r="AH94" s="277" t="str">
        <f>CONCATENATE(YEAR(TAB_Offres[[#This Row],[Request date ]]),"-",MONTH(TAB_Offres[[#This Row],[Request date ]]))</f>
        <v>2023-10</v>
      </c>
      <c r="AI94" s="274" t="e">
        <f>IF(#REF!,1,0)</f>
        <v>#REF!</v>
      </c>
      <c r="AJ94" s="4">
        <v>21</v>
      </c>
      <c r="AK94" s="4"/>
      <c r="AL94" s="4"/>
      <c r="AM94" s="4"/>
      <c r="AN94" s="150"/>
    </row>
    <row r="95" spans="1:43" s="295" customFormat="1" x14ac:dyDescent="0.25">
      <c r="A95" s="258">
        <f>ROW(TAB_Offres[[#This Row],[Reference]])-ROW(TAB_Offres[[#Headers],[ID]])</f>
        <v>94</v>
      </c>
      <c r="B95" s="258" t="s">
        <v>139</v>
      </c>
      <c r="C95" s="258" t="s">
        <v>143</v>
      </c>
      <c r="D95" s="258" t="s">
        <v>253</v>
      </c>
      <c r="E95" s="263" t="s">
        <v>5552</v>
      </c>
      <c r="F95" s="258" t="e">
        <f>IF(ISBLANK(TAB_Offres[[#This Row],[Reference]]),"",LOOKUP(TAB_Offres[[#This Row],[Reference]],#REF!,#REF!))</f>
        <v>#REF!</v>
      </c>
      <c r="G95" s="263" t="s">
        <v>5483</v>
      </c>
      <c r="H95" s="262" t="s">
        <v>203</v>
      </c>
      <c r="I95" s="262" t="s">
        <v>166</v>
      </c>
      <c r="J95" s="262" t="s">
        <v>446</v>
      </c>
      <c r="K95" s="262"/>
      <c r="L95" s="262" t="s">
        <v>225</v>
      </c>
      <c r="M95" s="264" t="s">
        <v>387</v>
      </c>
      <c r="N95" s="316" t="s">
        <v>407</v>
      </c>
      <c r="O95" s="262" t="s">
        <v>338</v>
      </c>
      <c r="P95" s="262" t="s">
        <v>346</v>
      </c>
      <c r="Q95" s="263"/>
      <c r="R95" s="263"/>
      <c r="S95" s="292" t="s">
        <v>5564</v>
      </c>
      <c r="T95" s="261"/>
      <c r="U95" s="261"/>
      <c r="V95" s="268"/>
      <c r="W95" s="268"/>
      <c r="X95" s="268"/>
      <c r="Y95" s="268"/>
      <c r="Z95" s="471">
        <f>SUMIF(TAB_CS[Reference],TAB_Offres[[#This Row],[Reference]],TAB_CS[Commited days])</f>
        <v>50</v>
      </c>
      <c r="AA95" s="269">
        <f>SUMIF(TAB_CS[Reference],TAB_Offres[[#This Row],[Reference]],TAB_CS[Commited amount])</f>
        <v>35223</v>
      </c>
      <c r="AB95" s="275"/>
      <c r="AC95" s="270" t="s">
        <v>325</v>
      </c>
      <c r="AD95" s="270" t="s">
        <v>54</v>
      </c>
      <c r="AE95" s="275">
        <v>8</v>
      </c>
      <c r="AF95" s="271"/>
      <c r="AG95" s="278"/>
      <c r="AH95" s="277" t="str">
        <f>CONCATENATE(YEAR(TAB_Offres[[#This Row],[Request date ]]),"-",MONTH(TAB_Offres[[#This Row],[Request date ]]))</f>
        <v>2023-10</v>
      </c>
      <c r="AI95" s="274" t="e">
        <f>IF(#REF!,1,0)</f>
        <v>#REF!</v>
      </c>
      <c r="AJ95" s="4">
        <v>21</v>
      </c>
      <c r="AK95" s="4"/>
      <c r="AL95" s="4"/>
      <c r="AM95" s="4"/>
      <c r="AN95" s="150"/>
    </row>
    <row r="96" spans="1:43" s="295" customFormat="1" x14ac:dyDescent="0.25">
      <c r="A96" s="258">
        <f>ROW(TAB_Offres[[#This Row],[Reference]])-ROW(TAB_Offres[[#Headers],[ID]])</f>
        <v>95</v>
      </c>
      <c r="B96" s="258" t="s">
        <v>138</v>
      </c>
      <c r="C96" s="258" t="s">
        <v>143</v>
      </c>
      <c r="D96" s="258" t="s">
        <v>248</v>
      </c>
      <c r="E96" s="263" t="s">
        <v>5553</v>
      </c>
      <c r="F96" s="258" t="e">
        <f>IF(ISBLANK(TAB_Offres[[#This Row],[Reference]]),"",LOOKUP(TAB_Offres[[#This Row],[Reference]],#REF!,#REF!))</f>
        <v>#REF!</v>
      </c>
      <c r="G96" s="263" t="s">
        <v>5555</v>
      </c>
      <c r="H96" s="262" t="s">
        <v>85</v>
      </c>
      <c r="I96" s="262" t="s">
        <v>222</v>
      </c>
      <c r="J96" s="262" t="s">
        <v>445</v>
      </c>
      <c r="K96" s="262" t="s">
        <v>484</v>
      </c>
      <c r="L96" s="262" t="s">
        <v>225</v>
      </c>
      <c r="M96" s="264" t="s">
        <v>5495</v>
      </c>
      <c r="N96" s="262" t="s">
        <v>5496</v>
      </c>
      <c r="O96" s="262" t="s">
        <v>338</v>
      </c>
      <c r="P96" s="262" t="s">
        <v>346</v>
      </c>
      <c r="Q96" s="263"/>
      <c r="R96" s="263"/>
      <c r="S96" s="292" t="s">
        <v>5563</v>
      </c>
      <c r="T96" s="261"/>
      <c r="U96" s="261"/>
      <c r="V96" s="268">
        <v>45182</v>
      </c>
      <c r="W96" s="268">
        <v>45184</v>
      </c>
      <c r="X96" s="268"/>
      <c r="Y96" s="268"/>
      <c r="Z96" s="471">
        <f>SUMIF(TAB_CS[Reference],TAB_Offres[[#This Row],[Reference]],TAB_CS[Commited days])</f>
        <v>150</v>
      </c>
      <c r="AA96" s="269">
        <f>SUMIF(TAB_CS[Reference],TAB_Offres[[#This Row],[Reference]],TAB_CS[Commited amount])</f>
        <v>76086</v>
      </c>
      <c r="AB96" s="275"/>
      <c r="AC96" s="270" t="s">
        <v>5498</v>
      </c>
      <c r="AD96" s="270" t="s">
        <v>39</v>
      </c>
      <c r="AE96" s="275">
        <v>6</v>
      </c>
      <c r="AF96" s="271"/>
      <c r="AG96" s="278"/>
      <c r="AH96" s="277" t="str">
        <f>CONCATENATE(YEAR(TAB_Offres[[#This Row],[Request date ]]),"-",MONTH(TAB_Offres[[#This Row],[Request date ]]))</f>
        <v>2023-10</v>
      </c>
      <c r="AI96" s="274" t="e">
        <f>IF(#REF!,1,0)</f>
        <v>#REF!</v>
      </c>
      <c r="AJ96" s="4"/>
      <c r="AK96" s="4">
        <v>4</v>
      </c>
      <c r="AL96" s="4"/>
      <c r="AM96" s="4"/>
      <c r="AN96" s="150"/>
    </row>
    <row r="97" spans="1:43" s="295" customFormat="1" ht="26.4" x14ac:dyDescent="0.25">
      <c r="A97" s="258">
        <f>ROW(TAB_Offres[[#This Row],[Reference]])-ROW(TAB_Offres[[#Headers],[ID]])</f>
        <v>96</v>
      </c>
      <c r="B97" s="303" t="s">
        <v>138</v>
      </c>
      <c r="C97" s="303" t="s">
        <v>143</v>
      </c>
      <c r="D97" s="303" t="s">
        <v>251</v>
      </c>
      <c r="E97" s="304" t="s">
        <v>5571</v>
      </c>
      <c r="F97" s="303" t="s">
        <v>245</v>
      </c>
      <c r="G97" s="304" t="s">
        <v>5555</v>
      </c>
      <c r="H97" s="305" t="s">
        <v>86</v>
      </c>
      <c r="I97" s="305" t="s">
        <v>222</v>
      </c>
      <c r="J97" s="305" t="s">
        <v>445</v>
      </c>
      <c r="K97" s="305"/>
      <c r="L97" s="305" t="s">
        <v>225</v>
      </c>
      <c r="M97" s="306" t="s">
        <v>5590</v>
      </c>
      <c r="N97" s="306" t="s">
        <v>5591</v>
      </c>
      <c r="O97" s="305" t="s">
        <v>338</v>
      </c>
      <c r="P97" s="305" t="s">
        <v>346</v>
      </c>
      <c r="Q97" s="304"/>
      <c r="R97" s="304"/>
      <c r="S97" s="307" t="s">
        <v>5582</v>
      </c>
      <c r="T97" s="308"/>
      <c r="U97" s="308"/>
      <c r="V97" s="315">
        <v>45271</v>
      </c>
      <c r="W97" s="315">
        <v>45274</v>
      </c>
      <c r="X97" s="315">
        <v>45292</v>
      </c>
      <c r="Y97" s="315">
        <v>45565</v>
      </c>
      <c r="Z97" s="472">
        <f>SUMIF(TAB_CS[Reference],TAB_Offres[[#This Row],[Reference]],TAB_CS[Commited days])</f>
        <v>147</v>
      </c>
      <c r="AA97" s="269">
        <f>SUMIF(TAB_CS[Reference],TAB_Offres[[#This Row],[Reference]],TAB_CS[Commited amount])</f>
        <v>89853.75</v>
      </c>
      <c r="AB97" s="309"/>
      <c r="AC97" s="310" t="s">
        <v>5438</v>
      </c>
      <c r="AD97" s="310" t="s">
        <v>39</v>
      </c>
      <c r="AE97" s="306">
        <v>8</v>
      </c>
      <c r="AF97" s="311"/>
      <c r="AG97" s="312"/>
      <c r="AH97" s="313" t="s">
        <v>5592</v>
      </c>
      <c r="AI97" s="314" t="e">
        <v>#REF!</v>
      </c>
      <c r="AJ97" s="295">
        <v>21</v>
      </c>
      <c r="AN97" s="294"/>
    </row>
    <row r="98" spans="1:43" s="295" customFormat="1" x14ac:dyDescent="0.25">
      <c r="A98" s="258">
        <f>ROW(TAB_Offres[[#This Row],[Reference]])-ROW(TAB_Offres[[#Headers],[ID]])</f>
        <v>97</v>
      </c>
      <c r="B98" s="258" t="s">
        <v>138</v>
      </c>
      <c r="C98" s="258" t="s">
        <v>143</v>
      </c>
      <c r="D98" s="258" t="s">
        <v>246</v>
      </c>
      <c r="E98" s="263" t="s">
        <v>5554</v>
      </c>
      <c r="F98" s="258" t="e">
        <f>IF(ISBLANK(TAB_Offres[[#This Row],[Reference]]),"",LOOKUP(TAB_Offres[[#This Row],[Reference]],#REF!,#REF!))</f>
        <v>#REF!</v>
      </c>
      <c r="G98" s="263" t="s">
        <v>5481</v>
      </c>
      <c r="H98" s="262" t="s">
        <v>85</v>
      </c>
      <c r="I98" s="262" t="s">
        <v>167</v>
      </c>
      <c r="J98" s="262" t="s">
        <v>445</v>
      </c>
      <c r="K98" s="262"/>
      <c r="L98" s="262" t="s">
        <v>225</v>
      </c>
      <c r="M98" s="264" t="s">
        <v>384</v>
      </c>
      <c r="N98" s="262" t="s">
        <v>404</v>
      </c>
      <c r="O98" s="262" t="s">
        <v>338</v>
      </c>
      <c r="P98" s="262" t="s">
        <v>346</v>
      </c>
      <c r="Q98" s="263"/>
      <c r="R98" s="263"/>
      <c r="S98" s="292" t="s">
        <v>5562</v>
      </c>
      <c r="T98" s="261"/>
      <c r="U98" s="261"/>
      <c r="V98" s="268"/>
      <c r="W98" s="268"/>
      <c r="X98" s="268"/>
      <c r="Y98" s="268"/>
      <c r="Z98" s="471">
        <f>SUMIF(TAB_CS[Reference],TAB_Offres[[#This Row],[Reference]],TAB_CS[Commited days])</f>
        <v>120</v>
      </c>
      <c r="AA98" s="269">
        <f>SUMIF(TAB_CS[Reference],TAB_Offres[[#This Row],[Reference]],TAB_CS[Commited amount])</f>
        <v>53226</v>
      </c>
      <c r="AB98" s="275"/>
      <c r="AC98" s="270" t="s">
        <v>5556</v>
      </c>
      <c r="AD98" s="270" t="s">
        <v>92</v>
      </c>
      <c r="AE98" s="275">
        <v>7</v>
      </c>
      <c r="AF98" s="271"/>
      <c r="AG98" s="278"/>
      <c r="AH98" s="277" t="str">
        <f>CONCATENATE(YEAR(TAB_Offres[[#This Row],[Request date ]]),"-",MONTH(TAB_Offres[[#This Row],[Request date ]]))</f>
        <v>2023-11</v>
      </c>
      <c r="AI98" s="274" t="e">
        <f>IF(#REF!,1,0)</f>
        <v>#REF!</v>
      </c>
      <c r="AJ98" s="4"/>
      <c r="AK98" s="4">
        <v>4</v>
      </c>
      <c r="AL98" s="4"/>
      <c r="AM98" s="4"/>
      <c r="AN98" s="150"/>
    </row>
    <row r="99" spans="1:43" s="295" customFormat="1" ht="26.4" x14ac:dyDescent="0.25">
      <c r="A99" s="458">
        <f>ROW(TAB_Offres[[#This Row],[Reference]])-ROW(TAB_Offres[[#Headers],[ID]])</f>
        <v>98</v>
      </c>
      <c r="B99" s="303" t="s">
        <v>140</v>
      </c>
      <c r="C99" s="303" t="s">
        <v>143</v>
      </c>
      <c r="D99" s="303" t="s">
        <v>299</v>
      </c>
      <c r="E99" s="304" t="s">
        <v>5572</v>
      </c>
      <c r="F99" s="303" t="s">
        <v>245</v>
      </c>
      <c r="G99" s="304" t="s">
        <v>5519</v>
      </c>
      <c r="H99" s="305" t="s">
        <v>85</v>
      </c>
      <c r="I99" s="305" t="s">
        <v>166</v>
      </c>
      <c r="J99" s="305" t="s">
        <v>597</v>
      </c>
      <c r="K99" s="305"/>
      <c r="L99" s="305" t="s">
        <v>225</v>
      </c>
      <c r="M99" s="306" t="s">
        <v>379</v>
      </c>
      <c r="N99" s="306" t="s">
        <v>399</v>
      </c>
      <c r="O99" s="305" t="s">
        <v>338</v>
      </c>
      <c r="P99" s="305" t="s">
        <v>346</v>
      </c>
      <c r="Q99" s="304"/>
      <c r="R99" s="304"/>
      <c r="S99" s="307" t="s">
        <v>5583</v>
      </c>
      <c r="T99" s="308"/>
      <c r="U99" s="308"/>
      <c r="V99" s="315">
        <v>45273</v>
      </c>
      <c r="W99" s="315">
        <v>45273</v>
      </c>
      <c r="X99" s="315">
        <v>45292</v>
      </c>
      <c r="Y99" s="315">
        <v>45930</v>
      </c>
      <c r="Z99" s="472">
        <f>SUMIF(TAB_CS[Reference],TAB_Offres[[#This Row],[Reference]],TAB_CS[Commited days])</f>
        <v>60</v>
      </c>
      <c r="AA99" s="269">
        <f>SUMIF(TAB_CS[Reference],TAB_Offres[[#This Row],[Reference]],TAB_CS[Commited amount])</f>
        <v>44618.400000000001</v>
      </c>
      <c r="AB99" s="309"/>
      <c r="AC99" s="310" t="s">
        <v>601</v>
      </c>
      <c r="AD99" s="310" t="s">
        <v>79</v>
      </c>
      <c r="AE99" s="306">
        <v>7</v>
      </c>
      <c r="AF99" s="311"/>
      <c r="AG99" s="312"/>
      <c r="AH99" s="313" t="s">
        <v>5592</v>
      </c>
      <c r="AI99" s="314" t="e">
        <v>#REF!</v>
      </c>
      <c r="AK99" s="295">
        <v>4</v>
      </c>
      <c r="AN99" s="294"/>
    </row>
    <row r="100" spans="1:43" s="295" customFormat="1" x14ac:dyDescent="0.25">
      <c r="A100" s="303">
        <f>ROW(TAB_Offres[[#This Row],[Reference]])-ROW(TAB_Offres[[#Headers],[ID]])</f>
        <v>99</v>
      </c>
      <c r="B100" s="303" t="s">
        <v>138</v>
      </c>
      <c r="C100" s="303" t="s">
        <v>143</v>
      </c>
      <c r="D100" s="303" t="s">
        <v>5551</v>
      </c>
      <c r="E100" s="304" t="s">
        <v>5575</v>
      </c>
      <c r="F100" s="303" t="s">
        <v>245</v>
      </c>
      <c r="G100" s="304" t="s">
        <v>5479</v>
      </c>
      <c r="H100" s="305" t="s">
        <v>86</v>
      </c>
      <c r="I100" s="305" t="s">
        <v>222</v>
      </c>
      <c r="J100" s="305" t="s">
        <v>446</v>
      </c>
      <c r="K100" s="305"/>
      <c r="L100" s="305" t="s">
        <v>225</v>
      </c>
      <c r="M100" s="306" t="s">
        <v>5559</v>
      </c>
      <c r="N100" s="306" t="s">
        <v>5593</v>
      </c>
      <c r="O100" s="305" t="s">
        <v>338</v>
      </c>
      <c r="P100" s="305" t="s">
        <v>346</v>
      </c>
      <c r="Q100" s="304"/>
      <c r="R100" s="304"/>
      <c r="S100" s="307" t="s">
        <v>5586</v>
      </c>
      <c r="T100" s="308"/>
      <c r="U100" s="308"/>
      <c r="V100" s="315">
        <v>45261</v>
      </c>
      <c r="W100" s="315">
        <v>45265</v>
      </c>
      <c r="X100" s="315">
        <v>45265</v>
      </c>
      <c r="Y100" s="315">
        <v>45565</v>
      </c>
      <c r="Z100" s="472">
        <f>SUMIF(TAB_CS[Reference],TAB_Offres[[#This Row],[Reference]],TAB_CS[Commited days])</f>
        <v>151</v>
      </c>
      <c r="AA100" s="269">
        <f>SUMIF(TAB_CS[Reference],TAB_Offres[[#This Row],[Reference]],TAB_CS[Commited amount])</f>
        <v>99509</v>
      </c>
      <c r="AB100" s="309"/>
      <c r="AC100" s="310" t="s">
        <v>259</v>
      </c>
      <c r="AD100" s="310" t="s">
        <v>38</v>
      </c>
      <c r="AE100" s="306">
        <v>10</v>
      </c>
      <c r="AF100" s="311"/>
      <c r="AG100" s="312"/>
      <c r="AH100" s="313" t="s">
        <v>5589</v>
      </c>
      <c r="AI100" s="314" t="e">
        <v>#REF!</v>
      </c>
      <c r="AJ100" s="295">
        <v>22</v>
      </c>
      <c r="AN100" s="294"/>
    </row>
    <row r="101" spans="1:43" s="295" customFormat="1" x14ac:dyDescent="0.25">
      <c r="A101" s="303">
        <f>ROW(TAB_Offres[[#This Row],[Reference]])-ROW(TAB_Offres[[#Headers],[ID]])</f>
        <v>100</v>
      </c>
      <c r="B101" s="303" t="s">
        <v>139</v>
      </c>
      <c r="C101" s="303" t="s">
        <v>143</v>
      </c>
      <c r="D101" s="303" t="s">
        <v>253</v>
      </c>
      <c r="E101" s="304" t="s">
        <v>5576</v>
      </c>
      <c r="F101" s="303" t="s">
        <v>245</v>
      </c>
      <c r="G101" s="304" t="s">
        <v>5579</v>
      </c>
      <c r="H101" s="305" t="s">
        <v>86</v>
      </c>
      <c r="I101" s="305" t="s">
        <v>166</v>
      </c>
      <c r="J101" s="305" t="s">
        <v>446</v>
      </c>
      <c r="K101" s="305"/>
      <c r="L101" s="305" t="s">
        <v>225</v>
      </c>
      <c r="M101" s="306" t="s">
        <v>387</v>
      </c>
      <c r="N101" s="306" t="s">
        <v>407</v>
      </c>
      <c r="O101" s="305" t="s">
        <v>338</v>
      </c>
      <c r="P101" s="305" t="s">
        <v>346</v>
      </c>
      <c r="Q101" s="304"/>
      <c r="R101" s="304"/>
      <c r="S101" s="307" t="s">
        <v>5587</v>
      </c>
      <c r="T101" s="308"/>
      <c r="U101" s="308"/>
      <c r="V101" s="315"/>
      <c r="W101" s="315"/>
      <c r="X101" s="315"/>
      <c r="Y101" s="315"/>
      <c r="Z101" s="472">
        <f>SUMIF(TAB_CS[Reference],TAB_Offres[[#This Row],[Reference]],TAB_CS[Commited days])</f>
        <v>200</v>
      </c>
      <c r="AA101" s="269">
        <f>SUMIF(TAB_CS[Reference],TAB_Offres[[#This Row],[Reference]],TAB_CS[Commited amount])</f>
        <v>93206</v>
      </c>
      <c r="AB101" s="309"/>
      <c r="AC101" s="310" t="s">
        <v>537</v>
      </c>
      <c r="AD101" s="310" t="s">
        <v>69</v>
      </c>
      <c r="AE101" s="306">
        <v>5</v>
      </c>
      <c r="AF101" s="311"/>
      <c r="AG101" s="312"/>
      <c r="AH101" s="313" t="s">
        <v>5592</v>
      </c>
      <c r="AI101" s="314" t="e">
        <v>#REF!</v>
      </c>
      <c r="AJ101" s="295">
        <v>22</v>
      </c>
      <c r="AN101" s="294"/>
    </row>
    <row r="102" spans="1:43" s="295" customFormat="1" x14ac:dyDescent="0.25">
      <c r="A102" s="303">
        <f>ROW(TAB_Offres[[#This Row],[Reference]])-ROW(TAB_Offres[[#Headers],[ID]])</f>
        <v>101</v>
      </c>
      <c r="B102" s="303" t="s">
        <v>138</v>
      </c>
      <c r="C102" s="303" t="s">
        <v>143</v>
      </c>
      <c r="D102" s="303" t="s">
        <v>250</v>
      </c>
      <c r="E102" s="304" t="s">
        <v>5577</v>
      </c>
      <c r="F102" s="303" t="s">
        <v>245</v>
      </c>
      <c r="G102" s="304" t="s">
        <v>5555</v>
      </c>
      <c r="H102" s="305" t="s">
        <v>87</v>
      </c>
      <c r="I102" s="305" t="s">
        <v>167</v>
      </c>
      <c r="J102" s="305" t="s">
        <v>445</v>
      </c>
      <c r="K102" s="305" t="s">
        <v>486</v>
      </c>
      <c r="L102" s="305" t="s">
        <v>225</v>
      </c>
      <c r="M102" s="306" t="s">
        <v>527</v>
      </c>
      <c r="N102" s="306" t="s">
        <v>528</v>
      </c>
      <c r="O102" s="305" t="s">
        <v>338</v>
      </c>
      <c r="P102" s="305" t="s">
        <v>345</v>
      </c>
      <c r="Q102" s="304"/>
      <c r="R102" s="304"/>
      <c r="S102" s="307" t="s">
        <v>5588</v>
      </c>
      <c r="T102" s="308"/>
      <c r="U102" s="308"/>
      <c r="V102" s="315">
        <v>45274</v>
      </c>
      <c r="W102" s="315">
        <v>45275</v>
      </c>
      <c r="X102" s="315">
        <v>45275</v>
      </c>
      <c r="Y102" s="315">
        <v>45747</v>
      </c>
      <c r="Z102" s="472">
        <f>SUMIF(TAB_CS[Reference],TAB_Offres[[#This Row],[Reference]],TAB_CS[Commited days])</f>
        <v>217</v>
      </c>
      <c r="AA102" s="269">
        <f>SUMIF(TAB_CS[Reference],TAB_Offres[[#This Row],[Reference]],TAB_CS[Commited amount])</f>
        <v>115537.30999999998</v>
      </c>
      <c r="AB102" s="309"/>
      <c r="AC102" s="310" t="s">
        <v>532</v>
      </c>
      <c r="AD102" s="310" t="s">
        <v>92</v>
      </c>
      <c r="AE102" s="306">
        <v>9</v>
      </c>
      <c r="AF102" s="332"/>
      <c r="AG102" s="312"/>
      <c r="AH102" s="313" t="s">
        <v>5592</v>
      </c>
      <c r="AI102" s="333" t="e">
        <v>#REF!</v>
      </c>
      <c r="AL102" s="295">
        <v>4</v>
      </c>
      <c r="AN102" s="294"/>
    </row>
    <row r="103" spans="1:43" x14ac:dyDescent="0.25">
      <c r="A103" s="258">
        <f>ROW(TAB_Offres[[#This Row],[Reference]])-ROW(TAB_Offres[[#Headers],[ID]])</f>
        <v>102</v>
      </c>
      <c r="B103" s="258" t="s">
        <v>138</v>
      </c>
      <c r="C103" s="258" t="s">
        <v>143</v>
      </c>
      <c r="D103" s="258" t="s">
        <v>5681</v>
      </c>
      <c r="E103" s="263" t="s">
        <v>5680</v>
      </c>
      <c r="F103" s="258" t="s">
        <v>245</v>
      </c>
      <c r="G103" s="263" t="s">
        <v>5555</v>
      </c>
      <c r="H103" s="262" t="s">
        <v>86</v>
      </c>
      <c r="I103" s="262" t="s">
        <v>166</v>
      </c>
      <c r="J103" s="262" t="s">
        <v>446</v>
      </c>
      <c r="K103" s="262"/>
      <c r="L103" s="262" t="s">
        <v>225</v>
      </c>
      <c r="M103" s="264" t="s">
        <v>5683</v>
      </c>
      <c r="N103" s="262" t="s">
        <v>5682</v>
      </c>
      <c r="O103" s="262" t="s">
        <v>338</v>
      </c>
      <c r="P103" s="262" t="s">
        <v>346</v>
      </c>
      <c r="Q103" s="263"/>
      <c r="R103" s="263"/>
      <c r="S103" s="346">
        <v>45335.736527777779</v>
      </c>
      <c r="T103" s="261"/>
      <c r="U103" s="261"/>
      <c r="V103" s="268">
        <v>45349</v>
      </c>
      <c r="W103" s="268">
        <v>45356</v>
      </c>
      <c r="X103" s="268"/>
      <c r="Y103" s="268">
        <v>45930</v>
      </c>
      <c r="Z103" s="471">
        <f>SUMIF(TAB_CS[Reference],TAB_Offres[[#This Row],[Reference]],TAB_CS[Commited days])</f>
        <v>140</v>
      </c>
      <c r="AA103" s="269">
        <f>SUMIF(TAB_CS[Reference],TAB_Offres[[#This Row],[Reference]],TAB_CS[Commited amount])</f>
        <v>91565.599999999991</v>
      </c>
      <c r="AB103" s="275"/>
      <c r="AC103" s="270" t="s">
        <v>288</v>
      </c>
      <c r="AD103" s="270" t="s">
        <v>5687</v>
      </c>
      <c r="AE103" s="264">
        <v>9</v>
      </c>
      <c r="AF103" s="271"/>
      <c r="AG103" s="278">
        <v>45930</v>
      </c>
      <c r="AH103" s="277" t="str">
        <f>CONCATENATE(YEAR(TAB_Offres[[#This Row],[Request date ]]),"-",MONTH(TAB_Offres[[#This Row],[Request date ]]))</f>
        <v>2024-2</v>
      </c>
      <c r="AI103" s="274" t="e">
        <f>IF(#REF!,1,0)</f>
        <v>#REF!</v>
      </c>
      <c r="AJ103" s="4"/>
      <c r="AK103" s="4"/>
      <c r="AL103" s="4"/>
      <c r="AN103" s="150"/>
      <c r="AQ103" s="4"/>
    </row>
    <row r="104" spans="1:43" x14ac:dyDescent="0.25">
      <c r="A104" s="258">
        <f>ROW(TAB_Offres[[#This Row],[Reference]])-ROW(TAB_Offres[[#Headers],[ID]])</f>
        <v>103</v>
      </c>
      <c r="B104" s="258" t="s">
        <v>138</v>
      </c>
      <c r="C104" s="258" t="s">
        <v>143</v>
      </c>
      <c r="D104" s="258" t="s">
        <v>252</v>
      </c>
      <c r="E104" s="263" t="s">
        <v>5766</v>
      </c>
      <c r="F104" s="258"/>
      <c r="G104" s="263" t="s">
        <v>5555</v>
      </c>
      <c r="H104" s="262" t="s">
        <v>85</v>
      </c>
      <c r="I104" s="262" t="s">
        <v>222</v>
      </c>
      <c r="J104" s="262" t="s">
        <v>445</v>
      </c>
      <c r="K104" s="262"/>
      <c r="L104" s="262" t="s">
        <v>225</v>
      </c>
      <c r="M104" s="264" t="s">
        <v>5775</v>
      </c>
      <c r="N104" t="s">
        <v>5774</v>
      </c>
      <c r="O104" s="262" t="s">
        <v>338</v>
      </c>
      <c r="P104" s="262"/>
      <c r="Q104" s="263"/>
      <c r="R104" s="263"/>
      <c r="S104" s="307" t="s">
        <v>5773</v>
      </c>
      <c r="T104" s="261"/>
      <c r="U104" s="261"/>
      <c r="V104" s="268">
        <v>45356</v>
      </c>
      <c r="W104" s="268">
        <v>45356</v>
      </c>
      <c r="X104" s="268">
        <v>45356</v>
      </c>
      <c r="Y104" s="268">
        <v>45657</v>
      </c>
      <c r="Z104" s="471">
        <f>SUMIF(TAB_CS[Reference],TAB_Offres[[#This Row],[Reference]],TAB_CS[Commited days])</f>
        <v>116</v>
      </c>
      <c r="AA104" s="269">
        <f>SUMIF(TAB_CS[Reference],TAB_Offres[[#This Row],[Reference]],TAB_CS[Commited amount])</f>
        <v>81179.12000000001</v>
      </c>
      <c r="AB104" s="275"/>
      <c r="AC104" s="270" t="s">
        <v>5976</v>
      </c>
      <c r="AD104" s="270" t="s">
        <v>5687</v>
      </c>
      <c r="AE104" s="264">
        <v>10</v>
      </c>
      <c r="AF104" s="271"/>
      <c r="AG104" s="278"/>
      <c r="AH104" s="277" t="e">
        <f>CONCATENATE(YEAR(TAB_Offres[[#This Row],[Request date ]]),"-",MONTH(TAB_Offres[[#This Row],[Request date ]]))</f>
        <v>#VALUE!</v>
      </c>
      <c r="AI104" s="274" t="e">
        <f>IF(#REF!,1,0)</f>
        <v>#REF!</v>
      </c>
      <c r="AJ104" s="4"/>
      <c r="AK104" s="4"/>
      <c r="AL104" s="4"/>
      <c r="AN104" s="150"/>
      <c r="AQ104" s="4"/>
    </row>
    <row r="105" spans="1:43" x14ac:dyDescent="0.25">
      <c r="A105" s="258">
        <f>ROW(TAB_Offres[[#This Row],[Reference]])-ROW(TAB_Offres[[#Headers],[ID]])</f>
        <v>104</v>
      </c>
      <c r="B105" s="258" t="s">
        <v>139</v>
      </c>
      <c r="C105" s="258" t="s">
        <v>143</v>
      </c>
      <c r="D105" s="258" t="s">
        <v>253</v>
      </c>
      <c r="E105" s="263" t="s">
        <v>5767</v>
      </c>
      <c r="F105" s="258"/>
      <c r="G105" s="263" t="s">
        <v>54</v>
      </c>
      <c r="H105" s="262" t="s">
        <v>203</v>
      </c>
      <c r="I105" s="262" t="s">
        <v>166</v>
      </c>
      <c r="J105" s="262" t="s">
        <v>446</v>
      </c>
      <c r="K105" s="262"/>
      <c r="L105" s="262" t="s">
        <v>225</v>
      </c>
      <c r="M105" s="264" t="s">
        <v>387</v>
      </c>
      <c r="N105" s="264" t="s">
        <v>407</v>
      </c>
      <c r="O105" s="262" t="s">
        <v>338</v>
      </c>
      <c r="P105" s="262"/>
      <c r="Q105" s="263"/>
      <c r="R105" s="263"/>
      <c r="S105" s="345" t="s">
        <v>5776</v>
      </c>
      <c r="T105" s="261"/>
      <c r="U105" s="261"/>
      <c r="V105" s="268">
        <v>45314</v>
      </c>
      <c r="W105" s="268">
        <v>45314</v>
      </c>
      <c r="X105" s="268">
        <v>45314</v>
      </c>
      <c r="Y105" s="348">
        <v>45747</v>
      </c>
      <c r="Z105" s="471">
        <f>SUMIF(TAB_CS[Reference],TAB_Offres[[#This Row],[Reference]],TAB_CS[Commited days])</f>
        <v>200</v>
      </c>
      <c r="AA105" s="269">
        <f>SUMIF(TAB_CS[Reference],TAB_Offres[[#This Row],[Reference]],TAB_CS[Commited amount])</f>
        <v>148288</v>
      </c>
      <c r="AB105" s="275"/>
      <c r="AC105" s="270" t="s">
        <v>325</v>
      </c>
      <c r="AD105" s="270" t="s">
        <v>5700</v>
      </c>
      <c r="AE105" s="264">
        <v>8</v>
      </c>
      <c r="AF105" s="271"/>
      <c r="AG105" s="278"/>
      <c r="AH105" s="277" t="e">
        <f>CONCATENATE(YEAR(TAB_Offres[[#This Row],[Request date ]]),"-",MONTH(TAB_Offres[[#This Row],[Request date ]]))</f>
        <v>#VALUE!</v>
      </c>
      <c r="AI105" s="274" t="e">
        <f>IF(#REF!,1,0)</f>
        <v>#REF!</v>
      </c>
      <c r="AJ105" s="4"/>
      <c r="AK105" s="4"/>
      <c r="AL105" s="4"/>
      <c r="AN105" s="150"/>
      <c r="AQ105" s="4"/>
    </row>
    <row r="106" spans="1:43" x14ac:dyDescent="0.25">
      <c r="A106" s="258">
        <f>ROW(TAB_Offres[[#This Row],[Reference]])-ROW(TAB_Offres[[#Headers],[ID]])</f>
        <v>105</v>
      </c>
      <c r="B106" s="258" t="s">
        <v>139</v>
      </c>
      <c r="C106" s="258" t="s">
        <v>143</v>
      </c>
      <c r="D106" s="258" t="s">
        <v>5463</v>
      </c>
      <c r="E106" s="263" t="s">
        <v>5768</v>
      </c>
      <c r="F106" s="258"/>
      <c r="G106" s="263" t="s">
        <v>5770</v>
      </c>
      <c r="H106" s="262" t="s">
        <v>86</v>
      </c>
      <c r="I106" s="262" t="s">
        <v>167</v>
      </c>
      <c r="J106" s="262" t="s">
        <v>445</v>
      </c>
      <c r="K106" s="262"/>
      <c r="L106" s="262" t="s">
        <v>225</v>
      </c>
      <c r="M106" s="264" t="s">
        <v>541</v>
      </c>
      <c r="N106" s="262" t="s">
        <v>542</v>
      </c>
      <c r="O106" s="262" t="s">
        <v>338</v>
      </c>
      <c r="P106" s="262"/>
      <c r="Q106" s="263"/>
      <c r="R106" s="263"/>
      <c r="S106" s="345">
        <v>45322.671793981484</v>
      </c>
      <c r="T106" s="261"/>
      <c r="U106" s="261"/>
      <c r="V106" s="349" t="s">
        <v>5777</v>
      </c>
      <c r="W106" s="268"/>
      <c r="X106" s="268"/>
      <c r="Y106" s="268"/>
      <c r="Z106" s="471">
        <f>SUMIF(TAB_CS[Reference],TAB_Offres[[#This Row],[Reference]],TAB_CS[Commited days])</f>
        <v>0</v>
      </c>
      <c r="AA106" s="269">
        <f>SUMIF(TAB_CS[Reference],TAB_Offres[[#This Row],[Reference]],TAB_CS[Commited amount])</f>
        <v>0</v>
      </c>
      <c r="AB106" s="275"/>
      <c r="AC106" s="270" t="s">
        <v>5772</v>
      </c>
      <c r="AD106" s="270" t="s">
        <v>5725</v>
      </c>
      <c r="AE106" s="264">
        <v>10</v>
      </c>
      <c r="AF106" s="271"/>
      <c r="AG106" s="278"/>
      <c r="AH106" s="277" t="str">
        <f>CONCATENATE(YEAR(TAB_Offres[[#This Row],[Request date ]]),"-",MONTH(TAB_Offres[[#This Row],[Request date ]]))</f>
        <v>2024-1</v>
      </c>
      <c r="AI106" s="274" t="e">
        <f>IF(#REF!,1,0)</f>
        <v>#REF!</v>
      </c>
      <c r="AJ106" s="4"/>
      <c r="AK106" s="4"/>
      <c r="AL106" s="4"/>
      <c r="AN106" s="150"/>
      <c r="AQ106" s="4"/>
    </row>
    <row r="107" spans="1:43" x14ac:dyDescent="0.25">
      <c r="A107" s="258">
        <f>ROW(TAB_Offres[[#This Row],[Reference]])-ROW(TAB_Offres[[#Headers],[ID]])</f>
        <v>106</v>
      </c>
      <c r="B107" s="258" t="s">
        <v>140</v>
      </c>
      <c r="C107" s="258" t="s">
        <v>143</v>
      </c>
      <c r="D107" s="258" t="s">
        <v>251</v>
      </c>
      <c r="E107" s="263" t="s">
        <v>5769</v>
      </c>
      <c r="F107" s="258"/>
      <c r="G107" s="263" t="s">
        <v>5771</v>
      </c>
      <c r="H107" s="262" t="s">
        <v>203</v>
      </c>
      <c r="I107" s="262" t="s">
        <v>166</v>
      </c>
      <c r="J107" s="262" t="s">
        <v>445</v>
      </c>
      <c r="K107" s="262"/>
      <c r="L107" s="262" t="s">
        <v>225</v>
      </c>
      <c r="M107" s="264"/>
      <c r="N107" s="262"/>
      <c r="O107" s="262" t="s">
        <v>338</v>
      </c>
      <c r="P107" s="262"/>
      <c r="Q107" s="263"/>
      <c r="R107" s="263"/>
      <c r="S107" s="345">
        <v>45351.414895833332</v>
      </c>
      <c r="T107" s="261"/>
      <c r="U107" s="261"/>
      <c r="V107" s="268">
        <v>45366</v>
      </c>
      <c r="W107" s="268"/>
      <c r="X107" s="268"/>
      <c r="Y107" s="268">
        <v>45900</v>
      </c>
      <c r="Z107" s="471">
        <f>SUMIF(TAB_CS[Reference],TAB_Offres[[#This Row],[Reference]],TAB_CS[Commited days])</f>
        <v>210</v>
      </c>
      <c r="AA107" s="269">
        <f>SUMIF(TAB_CS[Reference],TAB_Offres[[#This Row],[Reference]],TAB_CS[Commited amount])</f>
        <v>191307.9</v>
      </c>
      <c r="AB107" s="275"/>
      <c r="AC107" s="270" t="s">
        <v>279</v>
      </c>
      <c r="AD107" s="270" t="s">
        <v>5745</v>
      </c>
      <c r="AE107" s="264">
        <v>10</v>
      </c>
      <c r="AF107" s="271"/>
      <c r="AG107" s="278"/>
      <c r="AH107" s="277" t="str">
        <f>CONCATENATE(YEAR(TAB_Offres[[#This Row],[Request date ]]),"-",MONTH(TAB_Offres[[#This Row],[Request date ]]))</f>
        <v>2024-2</v>
      </c>
      <c r="AI107" s="274" t="e">
        <f>IF(#REF!,1,0)</f>
        <v>#REF!</v>
      </c>
      <c r="AJ107" s="4"/>
      <c r="AK107" s="4"/>
      <c r="AL107" s="4"/>
      <c r="AN107" s="150"/>
      <c r="AQ107" s="4"/>
    </row>
    <row r="108" spans="1:43" x14ac:dyDescent="0.25">
      <c r="A108" s="258">
        <f>ROW(TAB_Offres[[#This Row],[Reference]])-ROW(TAB_Offres[[#Headers],[ID]])</f>
        <v>107</v>
      </c>
      <c r="B108" s="258" t="s">
        <v>140</v>
      </c>
      <c r="C108" s="258" t="s">
        <v>143</v>
      </c>
      <c r="D108" s="258" t="s">
        <v>5463</v>
      </c>
      <c r="E108" s="263" t="s">
        <v>5785</v>
      </c>
      <c r="F108" s="258" t="s">
        <v>245</v>
      </c>
      <c r="G108" s="262" t="s">
        <v>5786</v>
      </c>
      <c r="H108" s="262" t="s">
        <v>86</v>
      </c>
      <c r="I108" s="262" t="s">
        <v>166</v>
      </c>
      <c r="J108" s="262" t="s">
        <v>445</v>
      </c>
      <c r="K108" s="262"/>
      <c r="L108" s="262" t="s">
        <v>225</v>
      </c>
      <c r="M108" s="264" t="s">
        <v>541</v>
      </c>
      <c r="N108" s="262" t="s">
        <v>542</v>
      </c>
      <c r="O108" s="262" t="s">
        <v>338</v>
      </c>
      <c r="P108" s="262" t="s">
        <v>346</v>
      </c>
      <c r="Q108" s="263"/>
      <c r="R108" s="263"/>
      <c r="S108" s="292"/>
      <c r="T108" s="261"/>
      <c r="U108" s="261"/>
      <c r="V108" s="268">
        <v>45355</v>
      </c>
      <c r="W108" s="268">
        <v>45355</v>
      </c>
      <c r="X108" s="268">
        <v>45355</v>
      </c>
      <c r="Y108" s="268">
        <v>45930</v>
      </c>
      <c r="Z108" s="471">
        <f>SUMIF(TAB_CS[Reference],TAB_Offres[[#This Row],[Reference]],TAB_CS[Commited days])</f>
        <v>60</v>
      </c>
      <c r="AA108" s="269">
        <f>SUMIF(TAB_CS[Reference],TAB_Offres[[#This Row],[Reference]],TAB_CS[Commited amount])</f>
        <v>45914.400000000001</v>
      </c>
      <c r="AB108" s="275"/>
      <c r="AC108" s="270" t="s">
        <v>5594</v>
      </c>
      <c r="AD108" s="270" t="s">
        <v>5739</v>
      </c>
      <c r="AE108" s="264">
        <v>10</v>
      </c>
      <c r="AF108" s="271"/>
      <c r="AG108" s="278"/>
      <c r="AH108" s="277" t="str">
        <f>CONCATENATE(YEAR(TAB_Offres[[#This Row],[Request date ]]),"-",MONTH(TAB_Offres[[#This Row],[Request date ]]))</f>
        <v>1900-1</v>
      </c>
      <c r="AI108" s="274" t="e">
        <f>IF(#REF!,1,0)</f>
        <v>#REF!</v>
      </c>
      <c r="AJ108" s="4"/>
      <c r="AK108" s="4"/>
      <c r="AL108" s="4"/>
      <c r="AN108" s="150"/>
      <c r="AQ108" s="4"/>
    </row>
    <row r="109" spans="1:43" x14ac:dyDescent="0.25">
      <c r="A109" s="258">
        <f>ROW(TAB_Offres[[#This Row],[Reference]])-ROW(TAB_Offres[[#Headers],[ID]])</f>
        <v>108</v>
      </c>
      <c r="B109" s="258" t="s">
        <v>139</v>
      </c>
      <c r="C109" s="258" t="s">
        <v>143</v>
      </c>
      <c r="D109" s="258" t="s">
        <v>255</v>
      </c>
      <c r="E109" s="263" t="s">
        <v>5795</v>
      </c>
      <c r="F109" s="258"/>
      <c r="G109" s="263" t="s">
        <v>5796</v>
      </c>
      <c r="H109" s="262" t="s">
        <v>86</v>
      </c>
      <c r="I109" s="262" t="s">
        <v>222</v>
      </c>
      <c r="J109" s="262" t="s">
        <v>445</v>
      </c>
      <c r="K109" s="262"/>
      <c r="L109" s="262" t="s">
        <v>225</v>
      </c>
      <c r="M109" s="264"/>
      <c r="N109" s="262"/>
      <c r="O109" s="262" t="s">
        <v>338</v>
      </c>
      <c r="P109" s="262" t="s">
        <v>346</v>
      </c>
      <c r="Q109" s="263"/>
      <c r="R109" s="263"/>
      <c r="S109" s="292"/>
      <c r="T109" s="261"/>
      <c r="U109" s="261"/>
      <c r="V109" s="268"/>
      <c r="W109" s="268"/>
      <c r="X109" s="268"/>
      <c r="Y109" s="268">
        <v>45808</v>
      </c>
      <c r="Z109" s="471">
        <f>SUMIF(TAB_CS[Reference],TAB_Offres[[#This Row],[Reference]],TAB_CS[Commited days])</f>
        <v>220</v>
      </c>
      <c r="AA109" s="269">
        <f>SUMIF(TAB_CS[Reference],TAB_Offres[[#This Row],[Reference]],TAB_CS[Commited amount])</f>
        <v>117383.19999999998</v>
      </c>
      <c r="AB109" s="275"/>
      <c r="AC109" s="270" t="s">
        <v>273</v>
      </c>
      <c r="AD109" s="270" t="s">
        <v>5699</v>
      </c>
      <c r="AE109" s="264">
        <v>7</v>
      </c>
      <c r="AF109" s="271"/>
      <c r="AG109" s="278"/>
      <c r="AH109" s="277" t="str">
        <f>CONCATENATE(YEAR(TAB_Offres[[#This Row],[Request date ]]),"-",MONTH(TAB_Offres[[#This Row],[Request date ]]))</f>
        <v>1900-1</v>
      </c>
      <c r="AI109" s="274" t="e">
        <f>IF(#REF!,1,0)</f>
        <v>#REF!</v>
      </c>
      <c r="AJ109" s="4"/>
      <c r="AK109" s="4"/>
      <c r="AL109" s="4"/>
      <c r="AN109" s="150"/>
      <c r="AQ109" s="4"/>
    </row>
    <row r="110" spans="1:43" x14ac:dyDescent="0.25">
      <c r="A110" s="258">
        <f>ROW(TAB_Offres[[#This Row],[Reference]])-ROW(TAB_Offres[[#Headers],[ID]])</f>
        <v>109</v>
      </c>
      <c r="B110" s="258" t="s">
        <v>138</v>
      </c>
      <c r="C110" s="258" t="s">
        <v>152</v>
      </c>
      <c r="D110" s="258" t="s">
        <v>152</v>
      </c>
      <c r="E110" s="263" t="s">
        <v>5801</v>
      </c>
      <c r="F110" s="258"/>
      <c r="G110" s="263" t="s">
        <v>5481</v>
      </c>
      <c r="H110" s="262" t="s">
        <v>86</v>
      </c>
      <c r="I110" s="262" t="s">
        <v>222</v>
      </c>
      <c r="J110" s="262" t="s">
        <v>445</v>
      </c>
      <c r="K110" s="262"/>
      <c r="L110" s="262" t="s">
        <v>225</v>
      </c>
      <c r="M110" s="264"/>
      <c r="N110" s="262"/>
      <c r="O110" s="262" t="s">
        <v>338</v>
      </c>
      <c r="P110" s="262" t="s">
        <v>346</v>
      </c>
      <c r="Q110" s="263"/>
      <c r="R110" s="263"/>
      <c r="S110" s="292"/>
      <c r="T110" s="261"/>
      <c r="U110" s="261"/>
      <c r="V110" s="268">
        <v>45376</v>
      </c>
      <c r="W110" s="268">
        <v>45376</v>
      </c>
      <c r="X110" s="268">
        <v>45376</v>
      </c>
      <c r="Y110" s="268">
        <v>45838</v>
      </c>
      <c r="Z110" s="471">
        <f>SUMIF(TAB_CS[Reference],TAB_Offres[[#This Row],[Reference]],TAB_CS[Commited days])</f>
        <v>220</v>
      </c>
      <c r="AA110" s="269">
        <f>SUMIF(TAB_CS[Reference],TAB_Offres[[#This Row],[Reference]],TAB_CS[Commited amount])</f>
        <v>134475</v>
      </c>
      <c r="AB110" s="275"/>
      <c r="AC110" s="270" t="s">
        <v>270</v>
      </c>
      <c r="AD110" s="270" t="s">
        <v>5687</v>
      </c>
      <c r="AE110" s="264">
        <v>8</v>
      </c>
      <c r="AF110" s="271"/>
      <c r="AG110" s="278"/>
      <c r="AH110" s="277" t="str">
        <f>CONCATENATE(YEAR(TAB_Offres[[#This Row],[Request date ]]),"-",MONTH(TAB_Offres[[#This Row],[Request date ]]))</f>
        <v>1900-1</v>
      </c>
      <c r="AI110" s="274" t="e">
        <f>IF(#REF!,1,0)</f>
        <v>#REF!</v>
      </c>
      <c r="AJ110" s="4"/>
      <c r="AK110" s="4"/>
      <c r="AL110" s="4"/>
      <c r="AN110" s="150"/>
      <c r="AQ110" s="4"/>
    </row>
    <row r="111" spans="1:43" x14ac:dyDescent="0.25">
      <c r="A111" s="258">
        <f>ROW(TAB_Offres[[#This Row],[Reference]])-ROW(TAB_Offres[[#Headers],[ID]])</f>
        <v>110</v>
      </c>
      <c r="B111" s="258" t="s">
        <v>139</v>
      </c>
      <c r="C111" s="258" t="s">
        <v>143</v>
      </c>
      <c r="D111" s="258" t="s">
        <v>249</v>
      </c>
      <c r="E111" s="263" t="s">
        <v>5803</v>
      </c>
      <c r="F111" s="258"/>
      <c r="G111" s="263" t="s">
        <v>5809</v>
      </c>
      <c r="H111" s="262" t="s">
        <v>85</v>
      </c>
      <c r="I111" s="262" t="s">
        <v>167</v>
      </c>
      <c r="J111" s="262" t="s">
        <v>445</v>
      </c>
      <c r="K111" s="262"/>
      <c r="L111" s="262" t="s">
        <v>225</v>
      </c>
      <c r="M111" s="264"/>
      <c r="N111" s="262"/>
      <c r="O111" s="262" t="s">
        <v>338</v>
      </c>
      <c r="P111" s="262" t="s">
        <v>345</v>
      </c>
      <c r="Q111" s="263"/>
      <c r="R111" s="263"/>
      <c r="S111" s="292"/>
      <c r="T111" s="261"/>
      <c r="U111" s="261"/>
      <c r="V111" s="268"/>
      <c r="W111" s="268"/>
      <c r="X111" s="268"/>
      <c r="Y111" s="268">
        <v>45838</v>
      </c>
      <c r="Z111" s="471">
        <f>SUMIF(TAB_CS[Reference],TAB_Offres[[#This Row],[Reference]],TAB_CS[Commited days])</f>
        <v>220</v>
      </c>
      <c r="AA111" s="269">
        <f>SUMIF(TAB_CS[Reference],TAB_Offres[[#This Row],[Reference]],TAB_CS[Commited amount])</f>
        <v>108609.60000000001</v>
      </c>
      <c r="AB111" s="275"/>
      <c r="AC111" s="270" t="s">
        <v>6016</v>
      </c>
      <c r="AD111" s="270" t="s">
        <v>5732</v>
      </c>
      <c r="AE111" s="264">
        <v>8</v>
      </c>
      <c r="AF111" s="271"/>
      <c r="AG111" s="278"/>
      <c r="AH111" s="277" t="str">
        <f>CONCATENATE(YEAR(TAB_Offres[[#This Row],[Request date ]]),"-",MONTH(TAB_Offres[[#This Row],[Request date ]]))</f>
        <v>1900-1</v>
      </c>
      <c r="AI111" s="274" t="e">
        <f>IF(#REF!,1,0)</f>
        <v>#REF!</v>
      </c>
      <c r="AJ111" s="4"/>
      <c r="AK111" s="4"/>
      <c r="AL111" s="4"/>
      <c r="AN111" s="150"/>
      <c r="AQ111" s="4"/>
    </row>
    <row r="112" spans="1:43" x14ac:dyDescent="0.25">
      <c r="A112" s="258">
        <f>ROW(TAB_Offres[[#This Row],[Reference]])-ROW(TAB_Offres[[#Headers],[ID]])</f>
        <v>111</v>
      </c>
      <c r="B112" s="258" t="s">
        <v>139</v>
      </c>
      <c r="C112" s="258" t="s">
        <v>143</v>
      </c>
      <c r="D112" s="258" t="s">
        <v>5802</v>
      </c>
      <c r="E112" s="263" t="s">
        <v>5804</v>
      </c>
      <c r="F112" s="258"/>
      <c r="G112" s="263" t="s">
        <v>54</v>
      </c>
      <c r="H112" s="262" t="s">
        <v>203</v>
      </c>
      <c r="I112" s="262" t="s">
        <v>222</v>
      </c>
      <c r="J112" s="262" t="s">
        <v>445</v>
      </c>
      <c r="K112" s="262"/>
      <c r="L112" s="262" t="s">
        <v>225</v>
      </c>
      <c r="M112" s="264"/>
      <c r="N112" s="262"/>
      <c r="O112" s="262" t="s">
        <v>338</v>
      </c>
      <c r="P112" s="262" t="s">
        <v>346</v>
      </c>
      <c r="Q112" s="263"/>
      <c r="R112" s="263"/>
      <c r="S112" s="292"/>
      <c r="T112" s="261"/>
      <c r="U112" s="261"/>
      <c r="V112" s="268"/>
      <c r="W112" s="268"/>
      <c r="X112" s="268"/>
      <c r="Y112" s="268">
        <v>45930</v>
      </c>
      <c r="Z112" s="471">
        <f>SUMIF(TAB_CS[Reference],TAB_Offres[[#This Row],[Reference]],TAB_CS[Commited days])</f>
        <v>120</v>
      </c>
      <c r="AA112" s="269">
        <f>SUMIF(TAB_CS[Reference],TAB_Offres[[#This Row],[Reference]],TAB_CS[Commited amount])</f>
        <v>95200.8</v>
      </c>
      <c r="AB112" s="275"/>
      <c r="AC112" s="270" t="s">
        <v>308</v>
      </c>
      <c r="AD112" s="270" t="s">
        <v>5700</v>
      </c>
      <c r="AE112" s="264">
        <v>9</v>
      </c>
      <c r="AF112" s="271"/>
      <c r="AG112" s="278"/>
      <c r="AH112" s="277" t="str">
        <f>CONCATENATE(YEAR(TAB_Offres[[#This Row],[Request date ]]),"-",MONTH(TAB_Offres[[#This Row],[Request date ]]))</f>
        <v>1900-1</v>
      </c>
      <c r="AI112" s="274" t="e">
        <f>IF(#REF!,1,0)</f>
        <v>#REF!</v>
      </c>
      <c r="AJ112" s="4"/>
      <c r="AK112" s="4"/>
      <c r="AL112" s="4"/>
      <c r="AN112" s="150"/>
      <c r="AQ112" s="4"/>
    </row>
    <row r="113" spans="1:43" x14ac:dyDescent="0.25">
      <c r="A113" s="258">
        <f>ROW(TAB_Offres[[#This Row],[Reference]])-ROW(TAB_Offres[[#Headers],[ID]])</f>
        <v>112</v>
      </c>
      <c r="B113" s="258" t="s">
        <v>140</v>
      </c>
      <c r="C113" s="258" t="s">
        <v>143</v>
      </c>
      <c r="D113" s="258" t="s">
        <v>250</v>
      </c>
      <c r="E113" s="263" t="s">
        <v>5805</v>
      </c>
      <c r="F113" s="258"/>
      <c r="G113" s="263" t="s">
        <v>5810</v>
      </c>
      <c r="H113" s="262" t="s">
        <v>86</v>
      </c>
      <c r="I113" s="262" t="s">
        <v>166</v>
      </c>
      <c r="J113" s="262" t="s">
        <v>445</v>
      </c>
      <c r="K113" s="262"/>
      <c r="L113" s="262" t="s">
        <v>225</v>
      </c>
      <c r="M113" s="264"/>
      <c r="N113" s="262"/>
      <c r="O113" s="262" t="s">
        <v>338</v>
      </c>
      <c r="P113" s="262" t="s">
        <v>346</v>
      </c>
      <c r="Q113" s="263"/>
      <c r="R113" s="263"/>
      <c r="S113" s="292"/>
      <c r="T113" s="261"/>
      <c r="U113" s="261"/>
      <c r="V113" s="268"/>
      <c r="W113" s="268"/>
      <c r="X113" s="268"/>
      <c r="Y113" s="268">
        <v>45961</v>
      </c>
      <c r="Z113" s="471">
        <f>SUMIF(TAB_CS[Reference],TAB_Offres[[#This Row],[Reference]],TAB_CS[Commited days])</f>
        <v>200</v>
      </c>
      <c r="AA113" s="269">
        <f>SUMIF(TAB_CS[Reference],TAB_Offres[[#This Row],[Reference]],TAB_CS[Commited amount])</f>
        <v>118094</v>
      </c>
      <c r="AB113" s="275"/>
      <c r="AC113" s="270" t="s">
        <v>304</v>
      </c>
      <c r="AD113" s="270" t="s">
        <v>5747</v>
      </c>
      <c r="AE113" s="264">
        <v>5</v>
      </c>
      <c r="AF113" s="271"/>
      <c r="AG113" s="278"/>
      <c r="AH113" s="277" t="str">
        <f>CONCATENATE(YEAR(TAB_Offres[[#This Row],[Request date ]]),"-",MONTH(TAB_Offres[[#This Row],[Request date ]]))</f>
        <v>1900-1</v>
      </c>
      <c r="AI113" s="274" t="e">
        <f>IF(#REF!,1,0)</f>
        <v>#REF!</v>
      </c>
      <c r="AJ113" s="4"/>
      <c r="AK113" s="4"/>
      <c r="AL113" s="4"/>
      <c r="AN113" s="150"/>
      <c r="AQ113" s="4"/>
    </row>
    <row r="114" spans="1:43" x14ac:dyDescent="0.25">
      <c r="A114" s="258">
        <f>ROW(TAB_Offres[[#This Row],[Reference]])-ROW(TAB_Offres[[#Headers],[ID]])</f>
        <v>113</v>
      </c>
      <c r="B114" s="258" t="s">
        <v>139</v>
      </c>
      <c r="C114" s="258" t="s">
        <v>143</v>
      </c>
      <c r="D114" s="258" t="s">
        <v>255</v>
      </c>
      <c r="E114" s="263" t="s">
        <v>5806</v>
      </c>
      <c r="F114" s="258"/>
      <c r="G114" s="263" t="s">
        <v>5811</v>
      </c>
      <c r="H114" s="262" t="s">
        <v>86</v>
      </c>
      <c r="I114" s="262" t="s">
        <v>222</v>
      </c>
      <c r="J114" s="262" t="s">
        <v>445</v>
      </c>
      <c r="K114" s="262"/>
      <c r="L114" s="262" t="s">
        <v>225</v>
      </c>
      <c r="M114" s="264"/>
      <c r="N114" s="262"/>
      <c r="O114" s="262" t="s">
        <v>338</v>
      </c>
      <c r="P114" s="262" t="s">
        <v>346</v>
      </c>
      <c r="Q114" s="263"/>
      <c r="R114" s="263"/>
      <c r="S114" s="292"/>
      <c r="T114" s="261"/>
      <c r="U114" s="261"/>
      <c r="V114" s="268"/>
      <c r="W114" s="268"/>
      <c r="X114" s="268"/>
      <c r="Y114" s="268">
        <v>45412</v>
      </c>
      <c r="Z114" s="471">
        <f>SUMIF(TAB_CS[Reference],TAB_Offres[[#This Row],[Reference]],TAB_CS[Commited days])</f>
        <v>50</v>
      </c>
      <c r="AA114" s="269">
        <f>SUMIF(TAB_CS[Reference],TAB_Offres[[#This Row],[Reference]],TAB_CS[Commited amount])</f>
        <v>26677.999999999996</v>
      </c>
      <c r="AB114" s="275"/>
      <c r="AC114" s="270" t="s">
        <v>273</v>
      </c>
      <c r="AD114" s="270" t="s">
        <v>5699</v>
      </c>
      <c r="AE114" s="264">
        <v>7</v>
      </c>
      <c r="AF114" s="271"/>
      <c r="AG114" s="278"/>
      <c r="AH114" s="277" t="str">
        <f>CONCATENATE(YEAR(TAB_Offres[[#This Row],[Request date ]]),"-",MONTH(TAB_Offres[[#This Row],[Request date ]]))</f>
        <v>1900-1</v>
      </c>
      <c r="AI114" s="274" t="e">
        <f>IF(#REF!,1,0)</f>
        <v>#REF!</v>
      </c>
      <c r="AJ114" s="4"/>
      <c r="AK114" s="4"/>
      <c r="AL114" s="4"/>
      <c r="AN114" s="150"/>
      <c r="AQ114" s="4"/>
    </row>
    <row r="115" spans="1:43" x14ac:dyDescent="0.25">
      <c r="A115" s="258">
        <f>ROW(TAB_Offres[[#This Row],[Reference]])-ROW(TAB_Offres[[#Headers],[ID]])</f>
        <v>114</v>
      </c>
      <c r="B115" s="258" t="s">
        <v>138</v>
      </c>
      <c r="C115" s="258" t="s">
        <v>152</v>
      </c>
      <c r="D115" s="258" t="s">
        <v>152</v>
      </c>
      <c r="E115" s="263" t="s">
        <v>5807</v>
      </c>
      <c r="F115" s="258"/>
      <c r="G115" s="263" t="s">
        <v>5479</v>
      </c>
      <c r="H115" s="262" t="s">
        <v>86</v>
      </c>
      <c r="I115" s="262" t="s">
        <v>166</v>
      </c>
      <c r="J115" s="262" t="s">
        <v>445</v>
      </c>
      <c r="K115" s="262"/>
      <c r="L115" s="262" t="s">
        <v>225</v>
      </c>
      <c r="M115" s="264"/>
      <c r="N115" s="262"/>
      <c r="O115" s="262" t="s">
        <v>338</v>
      </c>
      <c r="P115" s="262" t="s">
        <v>346</v>
      </c>
      <c r="Q115" s="263"/>
      <c r="R115" s="263"/>
      <c r="S115" s="292"/>
      <c r="T115" s="261"/>
      <c r="U115" s="261"/>
      <c r="V115" s="268">
        <v>45390</v>
      </c>
      <c r="W115" s="268">
        <v>45392</v>
      </c>
      <c r="X115" s="268">
        <v>45392</v>
      </c>
      <c r="Y115" s="268">
        <v>45626</v>
      </c>
      <c r="Z115" s="471">
        <f>SUMIF(TAB_CS[Reference],TAB_Offres[[#This Row],[Reference]],TAB_CS[Commited days])</f>
        <v>110</v>
      </c>
      <c r="AA115" s="269">
        <f>SUMIF(TAB_CS[Reference],TAB_Offres[[#This Row],[Reference]],TAB_CS[Commited amount])</f>
        <v>66640.200000000012</v>
      </c>
      <c r="AB115" s="275"/>
      <c r="AC115" s="270" t="s">
        <v>548</v>
      </c>
      <c r="AD115" s="270" t="s">
        <v>5686</v>
      </c>
      <c r="AE115" s="264">
        <v>8</v>
      </c>
      <c r="AF115" s="271"/>
      <c r="AG115" s="278"/>
      <c r="AH115" s="277" t="str">
        <f>CONCATENATE(YEAR(TAB_Offres[[#This Row],[Request date ]]),"-",MONTH(TAB_Offres[[#This Row],[Request date ]]))</f>
        <v>1900-1</v>
      </c>
      <c r="AI115" s="274" t="e">
        <f>IF(#REF!,1,0)</f>
        <v>#REF!</v>
      </c>
      <c r="AJ115" s="4"/>
      <c r="AK115" s="4"/>
      <c r="AL115" s="4"/>
      <c r="AN115" s="150"/>
      <c r="AQ115" s="4"/>
    </row>
    <row r="116" spans="1:43" x14ac:dyDescent="0.25">
      <c r="A116" s="258">
        <f>ROW(TAB_Offres[[#This Row],[Reference]])-ROW(TAB_Offres[[#Headers],[ID]])</f>
        <v>115</v>
      </c>
      <c r="B116" s="258" t="s">
        <v>138</v>
      </c>
      <c r="C116" s="258" t="s">
        <v>143</v>
      </c>
      <c r="D116" s="258" t="s">
        <v>5551</v>
      </c>
      <c r="E116" s="263" t="s">
        <v>5808</v>
      </c>
      <c r="F116" s="258"/>
      <c r="G116" s="263" t="s">
        <v>5481</v>
      </c>
      <c r="H116" s="262" t="s">
        <v>86</v>
      </c>
      <c r="I116" s="262" t="s">
        <v>167</v>
      </c>
      <c r="J116" s="262" t="s">
        <v>445</v>
      </c>
      <c r="K116" s="262"/>
      <c r="L116" s="262" t="s">
        <v>225</v>
      </c>
      <c r="M116" s="264"/>
      <c r="N116" s="262"/>
      <c r="O116" s="262" t="s">
        <v>338</v>
      </c>
      <c r="P116" s="262" t="s">
        <v>346</v>
      </c>
      <c r="Q116" s="263"/>
      <c r="R116" s="263"/>
      <c r="S116" s="292"/>
      <c r="T116" s="261"/>
      <c r="U116" s="261"/>
      <c r="V116" s="268"/>
      <c r="W116" s="268"/>
      <c r="X116" s="268"/>
      <c r="Y116" s="268">
        <v>45930</v>
      </c>
      <c r="Z116" s="471">
        <f>SUMIF(TAB_CS[Reference],TAB_Offres[[#This Row],[Reference]],TAB_CS[Commited days])</f>
        <v>140</v>
      </c>
      <c r="AA116" s="269">
        <f>SUMIF(TAB_CS[Reference],TAB_Offres[[#This Row],[Reference]],TAB_CS[Commited amount])</f>
        <v>73140.2</v>
      </c>
      <c r="AB116" s="275"/>
      <c r="AC116" s="270" t="s">
        <v>302</v>
      </c>
      <c r="AD116" s="270" t="s">
        <v>5812</v>
      </c>
      <c r="AE116" s="264">
        <v>9</v>
      </c>
      <c r="AF116" s="271"/>
      <c r="AG116" s="278"/>
      <c r="AH116" s="277" t="str">
        <f>CONCATENATE(YEAR(TAB_Offres[[#This Row],[Request date ]]),"-",MONTH(TAB_Offres[[#This Row],[Request date ]]))</f>
        <v>1900-1</v>
      </c>
      <c r="AI116" s="274" t="e">
        <f>IF(#REF!,1,0)</f>
        <v>#REF!</v>
      </c>
      <c r="AJ116" s="4"/>
      <c r="AK116" s="4"/>
      <c r="AL116" s="4"/>
      <c r="AN116" s="150"/>
      <c r="AQ116" s="4"/>
    </row>
    <row r="117" spans="1:43" s="32" customFormat="1" ht="26.4" x14ac:dyDescent="0.25">
      <c r="A117" s="258">
        <f>ROW(TAB_Offres[[#This Row],[Reference]])-ROW(TAB_Offres[[#Headers],[ID]])</f>
        <v>116</v>
      </c>
      <c r="B117" s="258" t="s">
        <v>140</v>
      </c>
      <c r="C117" s="258" t="s">
        <v>143</v>
      </c>
      <c r="D117" s="258" t="s">
        <v>299</v>
      </c>
      <c r="E117" s="263" t="s">
        <v>5813</v>
      </c>
      <c r="F117" s="258"/>
      <c r="G117" s="263" t="s">
        <v>5771</v>
      </c>
      <c r="H117" s="262" t="s">
        <v>85</v>
      </c>
      <c r="I117" s="262" t="s">
        <v>166</v>
      </c>
      <c r="J117" s="262" t="s">
        <v>597</v>
      </c>
      <c r="K117" s="262"/>
      <c r="L117" s="262" t="s">
        <v>225</v>
      </c>
      <c r="M117" s="264"/>
      <c r="N117" s="262"/>
      <c r="O117" s="262" t="s">
        <v>338</v>
      </c>
      <c r="P117" s="262" t="s">
        <v>346</v>
      </c>
      <c r="Q117" s="263"/>
      <c r="R117" s="263"/>
      <c r="S117" s="292"/>
      <c r="T117" s="261"/>
      <c r="U117" s="261"/>
      <c r="V117" s="268"/>
      <c r="W117" s="268">
        <v>45399</v>
      </c>
      <c r="X117" s="268">
        <v>45399</v>
      </c>
      <c r="Y117" s="268">
        <v>45930</v>
      </c>
      <c r="Z117" s="471">
        <f>SUMIF(TAB_CS[Reference],TAB_Offres[[#This Row],[Reference]],TAB_CS[Commited days])</f>
        <v>180</v>
      </c>
      <c r="AA117" s="269">
        <f>SUMIF(TAB_CS[Reference],TAB_Offres[[#This Row],[Reference]],TAB_CS[Commited amount])</f>
        <v>133855.20000000001</v>
      </c>
      <c r="AB117" s="275"/>
      <c r="AC117" s="31" t="s">
        <v>601</v>
      </c>
      <c r="AD117" s="270" t="s">
        <v>5745</v>
      </c>
      <c r="AE117" s="264">
        <v>7</v>
      </c>
      <c r="AF117" s="271"/>
      <c r="AG117" s="278"/>
      <c r="AH117" s="277" t="str">
        <f>CONCATENATE(YEAR(TAB_Offres[[#This Row],[Request date ]]),"-",MONTH(TAB_Offres[[#This Row],[Request date ]]))</f>
        <v>1900-1</v>
      </c>
      <c r="AI117" s="367" t="e">
        <f>IF(#REF!,1,0)</f>
        <v>#REF!</v>
      </c>
      <c r="AN117" s="8"/>
    </row>
    <row r="118" spans="1:43" x14ac:dyDescent="0.25">
      <c r="A118" s="258">
        <f>ROW(TAB_Offres[[#This Row],[Reference]])-ROW(TAB_Offres[[#Headers],[ID]])</f>
        <v>117</v>
      </c>
      <c r="B118" s="258" t="s">
        <v>139</v>
      </c>
      <c r="C118" s="258" t="s">
        <v>143</v>
      </c>
      <c r="D118" s="258" t="s">
        <v>5802</v>
      </c>
      <c r="E118" s="263" t="s">
        <v>5814</v>
      </c>
      <c r="F118" s="258"/>
      <c r="G118" s="263" t="s">
        <v>54</v>
      </c>
      <c r="H118" s="262" t="s">
        <v>203</v>
      </c>
      <c r="I118" s="262" t="s">
        <v>222</v>
      </c>
      <c r="J118" s="262" t="s">
        <v>445</v>
      </c>
      <c r="K118" s="262"/>
      <c r="L118" s="262" t="s">
        <v>225</v>
      </c>
      <c r="M118" s="264"/>
      <c r="N118" s="262"/>
      <c r="O118" s="262" t="s">
        <v>338</v>
      </c>
      <c r="P118" s="262" t="s">
        <v>346</v>
      </c>
      <c r="Q118" s="263"/>
      <c r="R118" s="263"/>
      <c r="S118" s="292"/>
      <c r="T118" s="261"/>
      <c r="U118" s="261"/>
      <c r="V118" s="268"/>
      <c r="W118" s="268">
        <v>45406</v>
      </c>
      <c r="X118" s="268">
        <v>45406</v>
      </c>
      <c r="Y118" s="268">
        <v>45930</v>
      </c>
      <c r="Z118" s="471">
        <f>SUMIF(TAB_CS[Reference],TAB_Offres[[#This Row],[Reference]],TAB_CS[Commited days])</f>
        <v>110</v>
      </c>
      <c r="AA118" s="269">
        <f>SUMIF(TAB_CS[Reference],TAB_Offres[[#This Row],[Reference]],TAB_CS[Commited amount])</f>
        <v>54346.6</v>
      </c>
      <c r="AB118" s="275"/>
      <c r="AC118" s="270" t="s">
        <v>290</v>
      </c>
      <c r="AD118" s="270" t="s">
        <v>5700</v>
      </c>
      <c r="AE118" s="264">
        <v>2</v>
      </c>
      <c r="AF118" s="271"/>
      <c r="AG118" s="278"/>
      <c r="AH118" s="277" t="str">
        <f>CONCATENATE(YEAR(TAB_Offres[[#This Row],[Request date ]]),"-",MONTH(TAB_Offres[[#This Row],[Request date ]]))</f>
        <v>1900-1</v>
      </c>
      <c r="AI118" s="274" t="e">
        <f>IF(#REF!,1,0)</f>
        <v>#REF!</v>
      </c>
      <c r="AJ118" s="4"/>
      <c r="AK118" s="4"/>
      <c r="AL118" s="4"/>
      <c r="AN118" s="150"/>
      <c r="AQ118" s="4"/>
    </row>
    <row r="119" spans="1:43" x14ac:dyDescent="0.25">
      <c r="A119" s="258">
        <f>ROW(TAB_Offres[[#This Row],[Reference]])-ROW(TAB_Offres[[#Headers],[ID]])</f>
        <v>118</v>
      </c>
      <c r="B119" s="258" t="s">
        <v>138</v>
      </c>
      <c r="C119" s="258" t="s">
        <v>143</v>
      </c>
      <c r="D119" s="258" t="s">
        <v>5463</v>
      </c>
      <c r="E119" s="263" t="s">
        <v>5822</v>
      </c>
      <c r="F119" s="258"/>
      <c r="G119" s="263" t="s">
        <v>5481</v>
      </c>
      <c r="H119" s="262" t="s">
        <v>86</v>
      </c>
      <c r="I119" s="262" t="s">
        <v>167</v>
      </c>
      <c r="J119" s="262" t="s">
        <v>445</v>
      </c>
      <c r="K119" s="262"/>
      <c r="L119" s="262" t="s">
        <v>225</v>
      </c>
      <c r="M119" s="264"/>
      <c r="N119" s="262"/>
      <c r="O119" s="262" t="s">
        <v>338</v>
      </c>
      <c r="P119" s="262" t="s">
        <v>346</v>
      </c>
      <c r="Q119" s="263"/>
      <c r="R119" s="263"/>
      <c r="S119" s="292"/>
      <c r="T119" s="261"/>
      <c r="U119" s="261"/>
      <c r="V119" s="268"/>
      <c r="W119" s="268">
        <v>45182</v>
      </c>
      <c r="X119" s="268">
        <v>45182</v>
      </c>
      <c r="Y119" s="268">
        <v>45565</v>
      </c>
      <c r="Z119" s="471">
        <f>SUMIF(TAB_CS[Reference],TAB_Offres[[#This Row],[Reference]],TAB_CS[Commited days])</f>
        <v>0</v>
      </c>
      <c r="AA119" s="269">
        <f>SUMIF(TAB_CS[Reference],TAB_Offres[[#This Row],[Reference]],TAB_CS[Commited amount])</f>
        <v>0</v>
      </c>
      <c r="AB119" s="275"/>
      <c r="AC119" s="270" t="s">
        <v>302</v>
      </c>
      <c r="AD119" s="270" t="s">
        <v>92</v>
      </c>
      <c r="AE119" s="264">
        <v>8</v>
      </c>
      <c r="AF119" s="271"/>
      <c r="AG119" s="278"/>
      <c r="AH119" s="277" t="str">
        <f>CONCATENATE(YEAR(TAB_Offres[[#This Row],[Request date ]]),"-",MONTH(TAB_Offres[[#This Row],[Request date ]]))</f>
        <v>1900-1</v>
      </c>
      <c r="AI119" s="274" t="e">
        <f>IF(#REF!,1,0)</f>
        <v>#REF!</v>
      </c>
      <c r="AJ119" s="4"/>
      <c r="AK119" s="4"/>
      <c r="AL119" s="4"/>
      <c r="AN119" s="150"/>
      <c r="AQ119" s="4"/>
    </row>
    <row r="120" spans="1:43" x14ac:dyDescent="0.25">
      <c r="A120" s="258">
        <f>ROW(TAB_Offres[[#This Row],[Reference]])-ROW(TAB_Offres[[#Headers],[ID]])</f>
        <v>119</v>
      </c>
      <c r="B120" s="258" t="s">
        <v>139</v>
      </c>
      <c r="C120" s="258" t="s">
        <v>143</v>
      </c>
      <c r="D120" s="258" t="s">
        <v>5447</v>
      </c>
      <c r="E120" s="263" t="s">
        <v>5820</v>
      </c>
      <c r="F120" s="258"/>
      <c r="G120" s="263" t="s">
        <v>5811</v>
      </c>
      <c r="H120" s="262" t="s">
        <v>86</v>
      </c>
      <c r="I120" s="262" t="s">
        <v>222</v>
      </c>
      <c r="J120" s="262" t="s">
        <v>445</v>
      </c>
      <c r="K120" s="262"/>
      <c r="L120" s="262" t="s">
        <v>225</v>
      </c>
      <c r="M120" s="264"/>
      <c r="N120" s="262"/>
      <c r="O120" s="262" t="s">
        <v>338</v>
      </c>
      <c r="P120" s="262" t="s">
        <v>346</v>
      </c>
      <c r="Q120" s="263"/>
      <c r="R120" s="263"/>
      <c r="S120" s="292"/>
      <c r="T120" s="261"/>
      <c r="U120" s="261"/>
      <c r="V120" s="268"/>
      <c r="W120" s="268">
        <v>45397</v>
      </c>
      <c r="X120" s="268">
        <v>45397</v>
      </c>
      <c r="Y120" s="268">
        <v>45717</v>
      </c>
      <c r="Z120" s="471">
        <f>SUMIF(TAB_CS[Reference],TAB_Offres[[#This Row],[Reference]],TAB_CS[Commited days])</f>
        <v>120</v>
      </c>
      <c r="AA120" s="269">
        <f>SUMIF(TAB_CS[Reference],TAB_Offres[[#This Row],[Reference]],TAB_CS[Commited amount])</f>
        <v>78435.600000000006</v>
      </c>
      <c r="AB120" s="275"/>
      <c r="AC120" s="270" t="s">
        <v>5821</v>
      </c>
      <c r="AD120" s="270" t="s">
        <v>5699</v>
      </c>
      <c r="AE120" s="264">
        <v>10</v>
      </c>
      <c r="AF120" s="271"/>
      <c r="AG120" s="278"/>
      <c r="AH120" s="277" t="str">
        <f>CONCATENATE(YEAR(TAB_Offres[[#This Row],[Request date ]]),"-",MONTH(TAB_Offres[[#This Row],[Request date ]]))</f>
        <v>1900-1</v>
      </c>
      <c r="AI120" s="274" t="e">
        <f>IF(#REF!,1,0)</f>
        <v>#REF!</v>
      </c>
      <c r="AJ120" s="4"/>
      <c r="AK120" s="4"/>
      <c r="AL120" s="4"/>
      <c r="AN120" s="150"/>
      <c r="AQ120" s="4"/>
    </row>
    <row r="121" spans="1:43" x14ac:dyDescent="0.25">
      <c r="A121" s="258">
        <f>ROW(TAB_Offres[[#This Row],[Reference]])-ROW(TAB_Offres[[#Headers],[ID]])</f>
        <v>120</v>
      </c>
      <c r="B121" s="258" t="s">
        <v>138</v>
      </c>
      <c r="C121" s="258" t="s">
        <v>143</v>
      </c>
      <c r="D121" s="258" t="s">
        <v>250</v>
      </c>
      <c r="E121" s="263" t="s">
        <v>5823</v>
      </c>
      <c r="F121" s="258"/>
      <c r="G121" s="263" t="s">
        <v>5481</v>
      </c>
      <c r="H121" s="262" t="s">
        <v>86</v>
      </c>
      <c r="I121" s="262" t="s">
        <v>166</v>
      </c>
      <c r="J121" s="262" t="s">
        <v>445</v>
      </c>
      <c r="K121" s="262"/>
      <c r="L121" s="262" t="s">
        <v>225</v>
      </c>
      <c r="M121" s="264"/>
      <c r="N121" s="262"/>
      <c r="O121" s="262" t="s">
        <v>338</v>
      </c>
      <c r="P121" s="262" t="s">
        <v>346</v>
      </c>
      <c r="Q121" s="263"/>
      <c r="R121" s="263"/>
      <c r="S121" s="292"/>
      <c r="T121" s="261"/>
      <c r="U121" s="261"/>
      <c r="V121" s="268"/>
      <c r="W121" s="268">
        <v>45400</v>
      </c>
      <c r="X121" s="268">
        <v>45400</v>
      </c>
      <c r="Y121" s="268">
        <v>45961</v>
      </c>
      <c r="Z121" s="471">
        <f>SUMIF(TAB_CS[Reference],TAB_Offres[[#This Row],[Reference]],TAB_CS[Commited days])</f>
        <v>200</v>
      </c>
      <c r="AA121" s="269">
        <f>SUMIF(TAB_CS[Reference],TAB_Offres[[#This Row],[Reference]],TAB_CS[Commited amount])</f>
        <v>130808</v>
      </c>
      <c r="AB121" s="275"/>
      <c r="AC121" s="270" t="s">
        <v>515</v>
      </c>
      <c r="AD121" s="270" t="s">
        <v>5687</v>
      </c>
      <c r="AE121" s="264">
        <v>9</v>
      </c>
      <c r="AF121" s="271"/>
      <c r="AG121" s="278"/>
      <c r="AH121" s="277" t="str">
        <f>CONCATENATE(YEAR(TAB_Offres[[#This Row],[Request date ]]),"-",MONTH(TAB_Offres[[#This Row],[Request date ]]))</f>
        <v>1900-1</v>
      </c>
      <c r="AI121" s="274" t="e">
        <f>IF(#REF!,1,0)</f>
        <v>#REF!</v>
      </c>
      <c r="AJ121" s="4"/>
      <c r="AK121" s="4"/>
      <c r="AL121" s="4"/>
      <c r="AN121" s="150"/>
      <c r="AQ121" s="4"/>
    </row>
    <row r="122" spans="1:43" x14ac:dyDescent="0.25">
      <c r="A122" s="258">
        <f>ROW(TAB_Offres[[#This Row],[Reference]])-ROW(TAB_Offres[[#Headers],[ID]])</f>
        <v>121</v>
      </c>
      <c r="B122" s="258" t="s">
        <v>140</v>
      </c>
      <c r="C122" s="258" t="s">
        <v>152</v>
      </c>
      <c r="D122" s="258" t="s">
        <v>152</v>
      </c>
      <c r="E122" s="263" t="s">
        <v>5824</v>
      </c>
      <c r="F122" s="258"/>
      <c r="G122" s="263" t="s">
        <v>5810</v>
      </c>
      <c r="H122" s="262" t="s">
        <v>86</v>
      </c>
      <c r="I122" s="262" t="s">
        <v>167</v>
      </c>
      <c r="J122" s="262" t="s">
        <v>445</v>
      </c>
      <c r="K122" s="262"/>
      <c r="L122" s="262" t="s">
        <v>225</v>
      </c>
      <c r="M122" s="264"/>
      <c r="N122" s="262"/>
      <c r="O122" s="262" t="s">
        <v>338</v>
      </c>
      <c r="P122" s="262" t="s">
        <v>345</v>
      </c>
      <c r="Q122" s="263"/>
      <c r="R122" s="263"/>
      <c r="S122" s="292"/>
      <c r="T122" s="261"/>
      <c r="U122" s="261"/>
      <c r="V122" s="268">
        <v>45407</v>
      </c>
      <c r="W122" s="268">
        <v>45419</v>
      </c>
      <c r="X122" s="268">
        <v>45419</v>
      </c>
      <c r="Y122" s="268">
        <v>45869</v>
      </c>
      <c r="Z122" s="471">
        <f>SUMIF(TAB_CS[Reference],TAB_Offres[[#This Row],[Reference]],TAB_CS[Commited days])</f>
        <v>220</v>
      </c>
      <c r="AA122" s="269">
        <f>SUMIF(TAB_CS[Reference],TAB_Offres[[#This Row],[Reference]],TAB_CS[Commited amount])</f>
        <v>119354.4</v>
      </c>
      <c r="AB122" s="275"/>
      <c r="AC122" s="270" t="s">
        <v>268</v>
      </c>
      <c r="AD122" s="270" t="s">
        <v>5762</v>
      </c>
      <c r="AE122" s="264">
        <v>8</v>
      </c>
      <c r="AF122" s="271"/>
      <c r="AG122" s="278"/>
      <c r="AH122" s="277" t="str">
        <f>CONCATENATE(YEAR(TAB_Offres[[#This Row],[Request date ]]),"-",MONTH(TAB_Offres[[#This Row],[Request date ]]))</f>
        <v>1900-1</v>
      </c>
      <c r="AI122" s="274" t="e">
        <f>IF(#REF!,1,0)</f>
        <v>#REF!</v>
      </c>
      <c r="AJ122" s="4"/>
      <c r="AK122" s="4"/>
      <c r="AL122" s="4"/>
      <c r="AN122" s="150"/>
      <c r="AQ122" s="4"/>
    </row>
    <row r="123" spans="1:43" x14ac:dyDescent="0.25">
      <c r="A123" s="258">
        <f>ROW(TAB_Offres[[#This Row],[Reference]])-ROW(TAB_Offres[[#Headers],[ID]])</f>
        <v>122</v>
      </c>
      <c r="B123" s="258" t="s">
        <v>139</v>
      </c>
      <c r="C123" s="258" t="s">
        <v>143</v>
      </c>
      <c r="D123" s="258" t="s">
        <v>5802</v>
      </c>
      <c r="E123" s="263" t="s">
        <v>5825</v>
      </c>
      <c r="F123" s="258"/>
      <c r="G123" s="263" t="s">
        <v>54</v>
      </c>
      <c r="H123" s="262" t="s">
        <v>203</v>
      </c>
      <c r="I123" s="262" t="s">
        <v>222</v>
      </c>
      <c r="J123" s="262" t="s">
        <v>445</v>
      </c>
      <c r="K123" s="262"/>
      <c r="L123" s="262" t="s">
        <v>225</v>
      </c>
      <c r="M123" s="264"/>
      <c r="N123" s="262"/>
      <c r="O123" s="262" t="s">
        <v>338</v>
      </c>
      <c r="P123" s="262" t="s">
        <v>346</v>
      </c>
      <c r="Q123" s="263"/>
      <c r="R123" s="263"/>
      <c r="S123" s="292"/>
      <c r="T123" s="261"/>
      <c r="U123" s="261"/>
      <c r="V123" s="268">
        <v>45414</v>
      </c>
      <c r="W123" s="268">
        <v>45415</v>
      </c>
      <c r="X123" s="268">
        <v>45415</v>
      </c>
      <c r="Y123" s="268">
        <v>45930</v>
      </c>
      <c r="Z123" s="471">
        <f>SUMIF(TAB_CS[Reference],TAB_Offres[[#This Row],[Reference]],TAB_CS[Commited days])</f>
        <v>110</v>
      </c>
      <c r="AA123" s="269">
        <f>SUMIF(TAB_CS[Reference],TAB_Offres[[#This Row],[Reference]],TAB_CS[Commited amount])</f>
        <v>87267.400000000009</v>
      </c>
      <c r="AB123" s="275"/>
      <c r="AC123" s="270" t="s">
        <v>284</v>
      </c>
      <c r="AD123" s="270" t="s">
        <v>5700</v>
      </c>
      <c r="AE123" s="264">
        <v>9</v>
      </c>
      <c r="AF123" s="271"/>
      <c r="AG123" s="278"/>
      <c r="AH123" s="277" t="str">
        <f>CONCATENATE(YEAR(TAB_Offres[[#This Row],[Request date ]]),"-",MONTH(TAB_Offres[[#This Row],[Request date ]]))</f>
        <v>1900-1</v>
      </c>
      <c r="AI123" s="274" t="e">
        <f>IF(#REF!,1,0)</f>
        <v>#REF!</v>
      </c>
      <c r="AJ123" s="4"/>
      <c r="AK123" s="4"/>
      <c r="AL123" s="4"/>
      <c r="AN123" s="150"/>
      <c r="AQ123" s="4"/>
    </row>
    <row r="124" spans="1:43" x14ac:dyDescent="0.25">
      <c r="A124" s="258">
        <f>ROW(TAB_Offres[[#This Row],[Reference]])-ROW(TAB_Offres[[#Headers],[ID]])</f>
        <v>123</v>
      </c>
      <c r="B124" s="258" t="s">
        <v>139</v>
      </c>
      <c r="C124" s="258" t="s">
        <v>143</v>
      </c>
      <c r="D124" s="258" t="s">
        <v>5802</v>
      </c>
      <c r="E124" s="263" t="s">
        <v>5826</v>
      </c>
      <c r="F124" s="258"/>
      <c r="G124" s="263" t="s">
        <v>54</v>
      </c>
      <c r="H124" s="262" t="s">
        <v>203</v>
      </c>
      <c r="I124" s="262" t="s">
        <v>222</v>
      </c>
      <c r="J124" s="262" t="s">
        <v>445</v>
      </c>
      <c r="K124" s="262"/>
      <c r="L124" s="262" t="s">
        <v>225</v>
      </c>
      <c r="M124" s="264"/>
      <c r="N124" s="262"/>
      <c r="O124" s="262" t="s">
        <v>338</v>
      </c>
      <c r="P124" s="262" t="s">
        <v>346</v>
      </c>
      <c r="Q124" s="263"/>
      <c r="R124" s="263"/>
      <c r="S124" s="292"/>
      <c r="T124" s="261"/>
      <c r="U124" s="261"/>
      <c r="V124" s="268">
        <v>45414</v>
      </c>
      <c r="W124" s="268">
        <v>45415</v>
      </c>
      <c r="X124" s="268">
        <v>45415</v>
      </c>
      <c r="Y124" s="268">
        <v>45930</v>
      </c>
      <c r="Z124" s="471">
        <f>SUMIF(TAB_CS[Reference],TAB_Offres[[#This Row],[Reference]],TAB_CS[Commited days])</f>
        <v>110</v>
      </c>
      <c r="AA124" s="269">
        <f>SUMIF(TAB_CS[Reference],TAB_Offres[[#This Row],[Reference]],TAB_CS[Commited amount])</f>
        <v>87267.400000000009</v>
      </c>
      <c r="AB124" s="275"/>
      <c r="AC124" s="270" t="s">
        <v>263</v>
      </c>
      <c r="AD124" s="270" t="s">
        <v>5700</v>
      </c>
      <c r="AE124" s="264">
        <v>9</v>
      </c>
      <c r="AF124" s="271"/>
      <c r="AG124" s="278"/>
      <c r="AH124" s="277" t="str">
        <f>CONCATENATE(YEAR(TAB_Offres[[#This Row],[Request date ]]),"-",MONTH(TAB_Offres[[#This Row],[Request date ]]))</f>
        <v>1900-1</v>
      </c>
      <c r="AI124" s="274" t="e">
        <f>IF(#REF!,1,0)</f>
        <v>#REF!</v>
      </c>
      <c r="AJ124" s="4"/>
      <c r="AK124" s="4"/>
      <c r="AL124" s="4"/>
      <c r="AN124" s="150"/>
      <c r="AQ124" s="4"/>
    </row>
    <row r="125" spans="1:43" x14ac:dyDescent="0.25">
      <c r="A125" s="258">
        <f>ROW(TAB_Offres[[#This Row],[Reference]])-ROW(TAB_Offres[[#Headers],[ID]])</f>
        <v>124</v>
      </c>
      <c r="B125" s="258" t="s">
        <v>138</v>
      </c>
      <c r="C125" s="258" t="s">
        <v>143</v>
      </c>
      <c r="D125" s="258" t="s">
        <v>5463</v>
      </c>
      <c r="E125" s="263" t="s">
        <v>5827</v>
      </c>
      <c r="F125" s="258"/>
      <c r="G125" s="263" t="s">
        <v>5481</v>
      </c>
      <c r="H125" s="262" t="s">
        <v>85</v>
      </c>
      <c r="I125" s="262" t="s">
        <v>166</v>
      </c>
      <c r="J125" s="262" t="s">
        <v>446</v>
      </c>
      <c r="K125" s="262"/>
      <c r="L125" s="262" t="s">
        <v>225</v>
      </c>
      <c r="M125" s="264"/>
      <c r="N125" s="262"/>
      <c r="O125" s="262" t="s">
        <v>338</v>
      </c>
      <c r="P125" s="262" t="s">
        <v>346</v>
      </c>
      <c r="Q125" s="263"/>
      <c r="R125" s="263"/>
      <c r="S125" s="292"/>
      <c r="T125" s="261"/>
      <c r="U125" s="261"/>
      <c r="V125" s="268">
        <v>45425</v>
      </c>
      <c r="W125" s="268">
        <v>45425</v>
      </c>
      <c r="X125" s="268">
        <v>45425</v>
      </c>
      <c r="Y125" s="268">
        <v>45930</v>
      </c>
      <c r="Z125" s="471">
        <f>SUMIF(TAB_CS[Reference],TAB_Offres[[#This Row],[Reference]],TAB_CS[Commited days])</f>
        <v>90</v>
      </c>
      <c r="AA125" s="269">
        <f>SUMIF(TAB_CS[Reference],TAB_Offres[[#This Row],[Reference]],TAB_CS[Commited amount])</f>
        <v>55012.5</v>
      </c>
      <c r="AB125" s="275"/>
      <c r="AC125" s="270" t="s">
        <v>5493</v>
      </c>
      <c r="AD125" s="270" t="s">
        <v>5687</v>
      </c>
      <c r="AE125" s="264">
        <v>8</v>
      </c>
      <c r="AF125" s="271"/>
      <c r="AG125" s="278"/>
      <c r="AH125" s="277" t="str">
        <f>CONCATENATE(YEAR(TAB_Offres[[#This Row],[Request date ]]),"-",MONTH(TAB_Offres[[#This Row],[Request date ]]))</f>
        <v>1900-1</v>
      </c>
      <c r="AI125" s="274" t="e">
        <f>IF(#REF!,1,0)</f>
        <v>#REF!</v>
      </c>
      <c r="AJ125" s="4"/>
      <c r="AK125" s="4"/>
      <c r="AL125" s="4"/>
      <c r="AN125" s="150"/>
      <c r="AQ125" s="4"/>
    </row>
    <row r="126" spans="1:43" x14ac:dyDescent="0.25">
      <c r="A126" s="258">
        <f>ROW(TAB_Offres[[#This Row],[Reference]])-ROW(TAB_Offres[[#Headers],[ID]])</f>
        <v>125</v>
      </c>
      <c r="B126" s="258" t="s">
        <v>138</v>
      </c>
      <c r="C126" s="258" t="s">
        <v>143</v>
      </c>
      <c r="D126" s="258" t="s">
        <v>246</v>
      </c>
      <c r="E126" s="263" t="s">
        <v>5828</v>
      </c>
      <c r="F126" s="258"/>
      <c r="G126" s="263" t="s">
        <v>5481</v>
      </c>
      <c r="H126" s="262" t="s">
        <v>85</v>
      </c>
      <c r="I126" s="262" t="s">
        <v>167</v>
      </c>
      <c r="J126" s="262" t="s">
        <v>445</v>
      </c>
      <c r="K126" s="262"/>
      <c r="L126" s="262" t="s">
        <v>225</v>
      </c>
      <c r="M126" s="264"/>
      <c r="N126" s="262"/>
      <c r="O126" s="262" t="s">
        <v>338</v>
      </c>
      <c r="P126" s="262" t="s">
        <v>345</v>
      </c>
      <c r="Q126" s="263"/>
      <c r="R126" s="263"/>
      <c r="S126" s="292"/>
      <c r="T126" s="261"/>
      <c r="U126" s="261"/>
      <c r="V126" s="268">
        <v>45418</v>
      </c>
      <c r="W126" s="268">
        <v>45419</v>
      </c>
      <c r="X126" s="268">
        <v>45419</v>
      </c>
      <c r="Y126" s="268">
        <v>45930</v>
      </c>
      <c r="Z126" s="471">
        <f>SUMIF(TAB_CS[Reference],TAB_Offres[[#This Row],[Reference]],TAB_CS[Commited days])</f>
        <v>220</v>
      </c>
      <c r="AA126" s="269">
        <f>SUMIF(TAB_CS[Reference],TAB_Offres[[#This Row],[Reference]],TAB_CS[Commited amount])</f>
        <v>102588.2</v>
      </c>
      <c r="AB126" s="275"/>
      <c r="AC126" s="270" t="s">
        <v>5556</v>
      </c>
      <c r="AD126" s="270" t="s">
        <v>5812</v>
      </c>
      <c r="AE126" s="264">
        <v>7</v>
      </c>
      <c r="AF126" s="271"/>
      <c r="AG126" s="278"/>
      <c r="AH126" s="277" t="str">
        <f>CONCATENATE(YEAR(TAB_Offres[[#This Row],[Request date ]]),"-",MONTH(TAB_Offres[[#This Row],[Request date ]]))</f>
        <v>1900-1</v>
      </c>
      <c r="AI126" s="274" t="e">
        <f>IF(#REF!,1,0)</f>
        <v>#REF!</v>
      </c>
      <c r="AJ126" s="4"/>
      <c r="AK126" s="4"/>
      <c r="AL126" s="4"/>
      <c r="AN126" s="150"/>
      <c r="AQ126" s="4"/>
    </row>
    <row r="127" spans="1:43" x14ac:dyDescent="0.25">
      <c r="A127" s="258">
        <f>ROW(TAB_Offres[[#This Row],[Reference]])-ROW(TAB_Offres[[#Headers],[ID]])</f>
        <v>126</v>
      </c>
      <c r="B127" s="258" t="s">
        <v>140</v>
      </c>
      <c r="C127" s="258" t="s">
        <v>143</v>
      </c>
      <c r="D127" s="258" t="s">
        <v>5887</v>
      </c>
      <c r="E127" s="263" t="s">
        <v>5829</v>
      </c>
      <c r="F127" s="258"/>
      <c r="G127" s="263" t="s">
        <v>5771</v>
      </c>
      <c r="H127" s="262" t="s">
        <v>203</v>
      </c>
      <c r="I127" s="262" t="s">
        <v>222</v>
      </c>
      <c r="J127" s="262" t="s">
        <v>445</v>
      </c>
      <c r="K127" s="262"/>
      <c r="L127" s="262" t="s">
        <v>225</v>
      </c>
      <c r="M127" s="264"/>
      <c r="N127" s="262"/>
      <c r="O127" s="262" t="s">
        <v>338</v>
      </c>
      <c r="P127" s="262" t="s">
        <v>346</v>
      </c>
      <c r="Q127" s="263"/>
      <c r="R127" s="263"/>
      <c r="S127" s="292"/>
      <c r="T127" s="261"/>
      <c r="U127" s="261"/>
      <c r="V127" s="268">
        <v>45419</v>
      </c>
      <c r="W127" s="268">
        <v>45425</v>
      </c>
      <c r="X127" s="268">
        <v>45425</v>
      </c>
      <c r="Y127" s="268">
        <v>45930</v>
      </c>
      <c r="Z127" s="471">
        <f>SUMIF(TAB_CS[Reference],TAB_Offres[[#This Row],[Reference]],TAB_CS[Commited days])</f>
        <v>110</v>
      </c>
      <c r="AA127" s="269">
        <f>SUMIF(TAB_CS[Reference],TAB_Offres[[#This Row],[Reference]],TAB_CS[Commited amount])</f>
        <v>93652.9</v>
      </c>
      <c r="AB127" s="275"/>
      <c r="AC127" s="270" t="s">
        <v>313</v>
      </c>
      <c r="AD127" s="270" t="s">
        <v>5745</v>
      </c>
      <c r="AE127" s="264">
        <v>9</v>
      </c>
      <c r="AF127" s="271"/>
      <c r="AG127" s="278"/>
      <c r="AH127" s="277" t="str">
        <f>CONCATENATE(YEAR(TAB_Offres[[#This Row],[Request date ]]),"-",MONTH(TAB_Offres[[#This Row],[Request date ]]))</f>
        <v>1900-1</v>
      </c>
      <c r="AI127" s="274" t="e">
        <f>IF(#REF!,1,0)</f>
        <v>#REF!</v>
      </c>
      <c r="AJ127" s="4"/>
      <c r="AK127" s="4"/>
      <c r="AL127" s="4"/>
      <c r="AN127" s="150"/>
      <c r="AQ127" s="4"/>
    </row>
    <row r="128" spans="1:43" x14ac:dyDescent="0.25">
      <c r="A128" s="258">
        <f>ROW(TAB_Offres[[#This Row],[Reference]])-ROW(TAB_Offres[[#Headers],[ID]])</f>
        <v>127</v>
      </c>
      <c r="B128" s="258" t="s">
        <v>139</v>
      </c>
      <c r="C128" s="258" t="s">
        <v>143</v>
      </c>
      <c r="D128" s="258" t="s">
        <v>5887</v>
      </c>
      <c r="E128" s="263" t="s">
        <v>5830</v>
      </c>
      <c r="F128" s="258"/>
      <c r="G128" s="263" t="s">
        <v>54</v>
      </c>
      <c r="H128" s="262" t="s">
        <v>203</v>
      </c>
      <c r="I128" s="262" t="s">
        <v>222</v>
      </c>
      <c r="J128" s="262" t="s">
        <v>445</v>
      </c>
      <c r="K128" s="262"/>
      <c r="L128" s="262" t="s">
        <v>225</v>
      </c>
      <c r="M128" s="264"/>
      <c r="N128" s="262"/>
      <c r="O128" s="262" t="s">
        <v>338</v>
      </c>
      <c r="P128" s="262" t="s">
        <v>346</v>
      </c>
      <c r="Q128" s="263"/>
      <c r="R128" s="263"/>
      <c r="S128" s="292"/>
      <c r="T128" s="261"/>
      <c r="U128" s="261"/>
      <c r="V128" s="268">
        <v>45419</v>
      </c>
      <c r="W128" s="268">
        <v>45425</v>
      </c>
      <c r="X128" s="268">
        <v>45425</v>
      </c>
      <c r="Y128" s="268">
        <v>45930</v>
      </c>
      <c r="Z128" s="471">
        <f>SUMIF(TAB_CS[Reference],TAB_Offres[[#This Row],[Reference]],TAB_CS[Commited days])</f>
        <v>110</v>
      </c>
      <c r="AA128" s="269">
        <f>SUMIF(TAB_CS[Reference],TAB_Offres[[#This Row],[Reference]],TAB_CS[Commited amount])</f>
        <v>93375.7</v>
      </c>
      <c r="AB128" s="275"/>
      <c r="AC128" s="270" t="s">
        <v>311</v>
      </c>
      <c r="AD128" s="270" t="s">
        <v>5700</v>
      </c>
      <c r="AE128" s="264">
        <v>10</v>
      </c>
      <c r="AF128" s="271"/>
      <c r="AG128" s="278"/>
      <c r="AH128" s="277" t="str">
        <f>CONCATENATE(YEAR(TAB_Offres[[#This Row],[Request date ]]),"-",MONTH(TAB_Offres[[#This Row],[Request date ]]))</f>
        <v>1900-1</v>
      </c>
      <c r="AI128" s="274" t="e">
        <f>IF(#REF!,1,0)</f>
        <v>#REF!</v>
      </c>
      <c r="AJ128" s="4"/>
      <c r="AK128" s="4"/>
      <c r="AL128" s="4"/>
      <c r="AN128" s="150"/>
      <c r="AQ128" s="4"/>
    </row>
    <row r="129" spans="1:43" x14ac:dyDescent="0.25">
      <c r="A129" s="258">
        <f>ROW(TAB_Offres[[#This Row],[Reference]])-ROW(TAB_Offres[[#Headers],[ID]])</f>
        <v>128</v>
      </c>
      <c r="B129" s="258" t="s">
        <v>138</v>
      </c>
      <c r="C129" s="258" t="s">
        <v>152</v>
      </c>
      <c r="D129" s="258" t="s">
        <v>152</v>
      </c>
      <c r="E129" s="263" t="s">
        <v>5831</v>
      </c>
      <c r="F129" s="258"/>
      <c r="G129" s="263" t="s">
        <v>5481</v>
      </c>
      <c r="H129" s="262" t="s">
        <v>86</v>
      </c>
      <c r="I129" s="262" t="s">
        <v>222</v>
      </c>
      <c r="J129" s="262" t="s">
        <v>445</v>
      </c>
      <c r="K129" s="262"/>
      <c r="L129" s="262" t="s">
        <v>225</v>
      </c>
      <c r="M129" s="264"/>
      <c r="N129" s="262"/>
      <c r="O129" s="262" t="s">
        <v>338</v>
      </c>
      <c r="P129" s="262" t="s">
        <v>346</v>
      </c>
      <c r="Q129" s="263"/>
      <c r="R129" s="263"/>
      <c r="S129" s="292"/>
      <c r="T129" s="261"/>
      <c r="U129" s="261"/>
      <c r="V129" s="268">
        <v>45441</v>
      </c>
      <c r="W129" s="268">
        <v>45427</v>
      </c>
      <c r="X129" s="268">
        <v>45427</v>
      </c>
      <c r="Y129" s="268">
        <v>45838</v>
      </c>
      <c r="Z129" s="471">
        <f>SUMIF(TAB_CS[Reference],TAB_Offres[[#This Row],[Reference]],TAB_CS[Commited days])</f>
        <v>205</v>
      </c>
      <c r="AA129" s="269">
        <f>SUMIF(TAB_CS[Reference],TAB_Offres[[#This Row],[Reference]],TAB_CS[Commited amount])</f>
        <v>134078.19999999998</v>
      </c>
      <c r="AB129" s="275"/>
      <c r="AC129" s="270" t="s">
        <v>272</v>
      </c>
      <c r="AD129" s="270" t="s">
        <v>5687</v>
      </c>
      <c r="AE129" s="264">
        <v>9</v>
      </c>
      <c r="AF129" s="271"/>
      <c r="AG129" s="278"/>
      <c r="AH129" s="277" t="str">
        <f>CONCATENATE(YEAR(TAB_Offres[[#This Row],[Request date ]]),"-",MONTH(TAB_Offres[[#This Row],[Request date ]]))</f>
        <v>1900-1</v>
      </c>
      <c r="AI129" s="274" t="e">
        <f>IF(#REF!,1,0)</f>
        <v>#REF!</v>
      </c>
      <c r="AJ129" s="4"/>
      <c r="AK129" s="4"/>
      <c r="AL129" s="4"/>
      <c r="AN129" s="150"/>
      <c r="AQ129" s="4"/>
    </row>
    <row r="130" spans="1:43" x14ac:dyDescent="0.25">
      <c r="A130" s="258">
        <f>ROW(TAB_Offres[[#This Row],[Reference]])-ROW(TAB_Offres[[#Headers],[ID]])</f>
        <v>129</v>
      </c>
      <c r="B130" s="258" t="s">
        <v>140</v>
      </c>
      <c r="C130" s="258" t="s">
        <v>143</v>
      </c>
      <c r="D130" s="258" t="s">
        <v>5551</v>
      </c>
      <c r="E130" s="263" t="s">
        <v>5888</v>
      </c>
      <c r="F130" s="258"/>
      <c r="G130" s="263" t="s">
        <v>5578</v>
      </c>
      <c r="H130" s="262" t="s">
        <v>87</v>
      </c>
      <c r="I130" s="262" t="s">
        <v>167</v>
      </c>
      <c r="J130" s="262" t="s">
        <v>445</v>
      </c>
      <c r="K130" s="262"/>
      <c r="L130" s="262" t="s">
        <v>225</v>
      </c>
      <c r="M130" s="264"/>
      <c r="N130" s="262"/>
      <c r="O130" s="262" t="s">
        <v>338</v>
      </c>
      <c r="P130" s="262" t="s">
        <v>346</v>
      </c>
      <c r="Q130" s="263"/>
      <c r="R130" s="263"/>
      <c r="S130" s="292"/>
      <c r="T130" s="261"/>
      <c r="U130" s="261"/>
      <c r="V130" s="268">
        <v>45439</v>
      </c>
      <c r="W130" s="268">
        <v>45439</v>
      </c>
      <c r="X130" s="268">
        <v>45439</v>
      </c>
      <c r="Y130" s="268">
        <v>45930</v>
      </c>
      <c r="Z130" s="471">
        <f>SUMIF(TAB_CS[Reference],TAB_Offres[[#This Row],[Reference]],TAB_CS[Commited days])</f>
        <v>60</v>
      </c>
      <c r="AA130" s="269">
        <f>SUMIF(TAB_CS[Reference],TAB_Offres[[#This Row],[Reference]],TAB_CS[Commited amount])</f>
        <v>31694.400000000001</v>
      </c>
      <c r="AB130" s="275"/>
      <c r="AC130" s="270" t="s">
        <v>5890</v>
      </c>
      <c r="AD130" s="270" t="s">
        <v>5754</v>
      </c>
      <c r="AE130" s="264">
        <v>9</v>
      </c>
      <c r="AF130" s="271"/>
      <c r="AG130" s="278"/>
      <c r="AH130" s="277" t="str">
        <f>CONCATENATE(YEAR(TAB_Offres[[#This Row],[Request date ]]),"-",MONTH(TAB_Offres[[#This Row],[Request date ]]))</f>
        <v>1900-1</v>
      </c>
      <c r="AI130" s="274" t="e">
        <f>IF(#REF!,1,0)</f>
        <v>#REF!</v>
      </c>
      <c r="AJ130" s="4"/>
      <c r="AK130" s="4"/>
      <c r="AL130" s="4"/>
      <c r="AN130" s="150"/>
      <c r="AQ130" s="4"/>
    </row>
    <row r="131" spans="1:43" x14ac:dyDescent="0.25">
      <c r="A131" s="258">
        <f>ROW(TAB_Offres[[#This Row],[Reference]])-ROW(TAB_Offres[[#Headers],[ID]])</f>
        <v>130</v>
      </c>
      <c r="B131" s="258" t="s">
        <v>139</v>
      </c>
      <c r="C131" s="258" t="s">
        <v>143</v>
      </c>
      <c r="D131" s="258" t="s">
        <v>591</v>
      </c>
      <c r="E131" s="263" t="s">
        <v>5889</v>
      </c>
      <c r="F131" s="258"/>
      <c r="G131" s="263" t="s">
        <v>54</v>
      </c>
      <c r="H131" s="262" t="s">
        <v>87</v>
      </c>
      <c r="I131" s="262" t="s">
        <v>222</v>
      </c>
      <c r="J131" s="262" t="s">
        <v>445</v>
      </c>
      <c r="K131" s="262"/>
      <c r="L131" s="262" t="s">
        <v>225</v>
      </c>
      <c r="M131" s="264"/>
      <c r="N131" s="262"/>
      <c r="O131" s="262" t="s">
        <v>338</v>
      </c>
      <c r="P131" s="262" t="s">
        <v>346</v>
      </c>
      <c r="Q131" s="263"/>
      <c r="R131" s="263"/>
      <c r="S131" s="292"/>
      <c r="T131" s="261"/>
      <c r="U131" s="261"/>
      <c r="V131" s="268">
        <v>45439</v>
      </c>
      <c r="W131" s="268">
        <v>45439</v>
      </c>
      <c r="X131" s="268">
        <v>45439</v>
      </c>
      <c r="Y131" s="268">
        <v>45930</v>
      </c>
      <c r="Z131" s="471">
        <f>SUMIF(TAB_CS[Reference],TAB_Offres[[#This Row],[Reference]],TAB_CS[Commited days])</f>
        <v>220</v>
      </c>
      <c r="AA131" s="269">
        <f>SUMIF(TAB_CS[Reference],TAB_Offres[[#This Row],[Reference]],TAB_CS[Commited amount])</f>
        <v>174534.80000000002</v>
      </c>
      <c r="AB131" s="275"/>
      <c r="AC131" s="270" t="s">
        <v>594</v>
      </c>
      <c r="AD131" s="270" t="s">
        <v>5700</v>
      </c>
      <c r="AE131" s="264">
        <v>9</v>
      </c>
      <c r="AF131" s="271"/>
      <c r="AG131" s="278"/>
      <c r="AH131" s="277" t="str">
        <f>CONCATENATE(YEAR(TAB_Offres[[#This Row],[Request date ]]),"-",MONTH(TAB_Offres[[#This Row],[Request date ]]))</f>
        <v>1900-1</v>
      </c>
      <c r="AI131" s="274" t="e">
        <f>IF(#REF!,1,0)</f>
        <v>#REF!</v>
      </c>
      <c r="AJ131" s="4"/>
      <c r="AK131" s="4"/>
      <c r="AL131" s="4"/>
      <c r="AN131" s="150"/>
      <c r="AQ131" s="4"/>
    </row>
    <row r="132" spans="1:43" x14ac:dyDescent="0.25">
      <c r="A132" s="258">
        <f>ROW(TAB_Offres[[#This Row],[Reference]])-ROW(TAB_Offres[[#Headers],[ID]])</f>
        <v>131</v>
      </c>
      <c r="B132" s="258" t="s">
        <v>139</v>
      </c>
      <c r="C132" s="258" t="s">
        <v>143</v>
      </c>
      <c r="D132" s="258" t="s">
        <v>5802</v>
      </c>
      <c r="E132" s="263" t="s">
        <v>5902</v>
      </c>
      <c r="F132" s="258"/>
      <c r="G132" s="263" t="s">
        <v>54</v>
      </c>
      <c r="H132" s="262" t="s">
        <v>86</v>
      </c>
      <c r="I132" s="262" t="s">
        <v>222</v>
      </c>
      <c r="J132" s="262" t="s">
        <v>445</v>
      </c>
      <c r="K132" s="262"/>
      <c r="L132" s="262" t="s">
        <v>225</v>
      </c>
      <c r="M132" s="264"/>
      <c r="N132" s="262"/>
      <c r="O132" s="262" t="s">
        <v>338</v>
      </c>
      <c r="P132" s="262" t="s">
        <v>346</v>
      </c>
      <c r="Q132" s="263"/>
      <c r="R132" s="263"/>
      <c r="S132" s="292"/>
      <c r="T132" s="261"/>
      <c r="U132" s="261"/>
      <c r="V132" s="268">
        <v>45442</v>
      </c>
      <c r="W132" s="268">
        <v>45442</v>
      </c>
      <c r="X132" s="268">
        <v>45442</v>
      </c>
      <c r="Y132" s="268">
        <v>45930</v>
      </c>
      <c r="Z132" s="471">
        <f>SUMIF(TAB_CS[Reference],TAB_Offres[[#This Row],[Reference]],TAB_CS[Commited days])</f>
        <v>90</v>
      </c>
      <c r="AA132" s="269">
        <f>SUMIF(TAB_CS[Reference],TAB_Offres[[#This Row],[Reference]],TAB_CS[Commited amount])</f>
        <v>66729.600000000006</v>
      </c>
      <c r="AB132" s="275"/>
      <c r="AC132" s="270" t="s">
        <v>586</v>
      </c>
      <c r="AD132" s="270" t="s">
        <v>5700</v>
      </c>
      <c r="AE132" s="264">
        <v>8</v>
      </c>
      <c r="AF132" s="271"/>
      <c r="AG132" s="278"/>
      <c r="AH132" s="277" t="str">
        <f>CONCATENATE(YEAR(TAB_Offres[[#This Row],[Request date ]]),"-",MONTH(TAB_Offres[[#This Row],[Request date ]]))</f>
        <v>1900-1</v>
      </c>
      <c r="AI132" s="274" t="e">
        <f>IF(#REF!,1,0)</f>
        <v>#REF!</v>
      </c>
      <c r="AJ132" s="4"/>
      <c r="AK132" s="4"/>
      <c r="AL132" s="4"/>
      <c r="AN132" s="150"/>
      <c r="AQ132" s="4"/>
    </row>
    <row r="133" spans="1:43" x14ac:dyDescent="0.25">
      <c r="A133" s="258">
        <f>ROW(TAB_Offres[[#This Row],[Reference]])-ROW(TAB_Offres[[#Headers],[ID]])</f>
        <v>132</v>
      </c>
      <c r="B133" s="258" t="s">
        <v>138</v>
      </c>
      <c r="C133" s="258" t="s">
        <v>143</v>
      </c>
      <c r="D133" s="258" t="s">
        <v>299</v>
      </c>
      <c r="E133" s="263" t="s">
        <v>5903</v>
      </c>
      <c r="F133" s="258"/>
      <c r="G133" s="263" t="s">
        <v>5481</v>
      </c>
      <c r="H133" s="262" t="s">
        <v>86</v>
      </c>
      <c r="I133" s="262" t="s">
        <v>166</v>
      </c>
      <c r="J133" s="262" t="s">
        <v>445</v>
      </c>
      <c r="K133" s="262"/>
      <c r="L133" s="262" t="s">
        <v>225</v>
      </c>
      <c r="M133" s="264"/>
      <c r="N133" s="262"/>
      <c r="O133" s="262" t="s">
        <v>338</v>
      </c>
      <c r="P133" s="262" t="s">
        <v>346</v>
      </c>
      <c r="Q133" s="263"/>
      <c r="R133" s="263"/>
      <c r="S133" s="292"/>
      <c r="T133" s="261"/>
      <c r="U133" s="261"/>
      <c r="V133" s="268">
        <v>45443</v>
      </c>
      <c r="W133" s="268">
        <v>45443</v>
      </c>
      <c r="X133" s="268">
        <v>45443</v>
      </c>
      <c r="Y133" s="268">
        <v>45930</v>
      </c>
      <c r="Z133" s="471">
        <f>SUMIF(TAB_CS[Reference],TAB_Offres[[#This Row],[Reference]],TAB_CS[Commited days])</f>
        <v>125</v>
      </c>
      <c r="AA133" s="269">
        <f>SUMIF(TAB_CS[Reference],TAB_Offres[[#This Row],[Reference]],TAB_CS[Commited amount])</f>
        <v>62370</v>
      </c>
      <c r="AB133" s="275"/>
      <c r="AC133" s="270" t="s">
        <v>5376</v>
      </c>
      <c r="AD133" s="270" t="s">
        <v>5687</v>
      </c>
      <c r="AE133" s="264">
        <v>5</v>
      </c>
      <c r="AF133" s="271"/>
      <c r="AG133" s="278"/>
      <c r="AH133" s="277" t="str">
        <f>CONCATENATE(YEAR(TAB_Offres[[#This Row],[Request date ]]),"-",MONTH(TAB_Offres[[#This Row],[Request date ]]))</f>
        <v>1900-1</v>
      </c>
      <c r="AI133" s="274" t="e">
        <f>IF(#REF!,1,0)</f>
        <v>#REF!</v>
      </c>
      <c r="AJ133" s="4"/>
      <c r="AK133" s="4"/>
      <c r="AL133" s="4"/>
      <c r="AN133" s="150"/>
      <c r="AQ133" s="4"/>
    </row>
    <row r="134" spans="1:43" x14ac:dyDescent="0.25">
      <c r="A134" s="258">
        <f>ROW(TAB_Offres[[#This Row],[Reference]])-ROW(TAB_Offres[[#Headers],[ID]])</f>
        <v>133</v>
      </c>
      <c r="B134" s="258" t="s">
        <v>138</v>
      </c>
      <c r="C134" s="258" t="s">
        <v>143</v>
      </c>
      <c r="D134" s="258" t="s">
        <v>251</v>
      </c>
      <c r="E134" s="263" t="s">
        <v>5960</v>
      </c>
      <c r="F134" s="258"/>
      <c r="G134" s="263" t="s">
        <v>5481</v>
      </c>
      <c r="H134" s="262" t="s">
        <v>86</v>
      </c>
      <c r="I134" s="262" t="s">
        <v>222</v>
      </c>
      <c r="J134" s="262" t="s">
        <v>445</v>
      </c>
      <c r="K134" s="262"/>
      <c r="L134" s="262" t="s">
        <v>225</v>
      </c>
      <c r="M134" s="264"/>
      <c r="N134" s="262"/>
      <c r="O134" s="262" t="s">
        <v>338</v>
      </c>
      <c r="P134" s="262" t="s">
        <v>346</v>
      </c>
      <c r="Q134" s="263"/>
      <c r="R134" s="263"/>
      <c r="S134" s="292"/>
      <c r="T134" s="261"/>
      <c r="U134" s="261"/>
      <c r="V134" s="268">
        <v>45448</v>
      </c>
      <c r="W134" s="268">
        <v>45454</v>
      </c>
      <c r="X134" s="268">
        <v>45819</v>
      </c>
      <c r="Y134" s="268">
        <v>45930</v>
      </c>
      <c r="Z134" s="471">
        <f>SUMIF(TAB_CS[Reference],TAB_Offres[[#This Row],[Reference]],TAB_CS[Commited days])</f>
        <v>180</v>
      </c>
      <c r="AA134" s="269">
        <f>SUMIF(TAB_CS[Reference],TAB_Offres[[#This Row],[Reference]],TAB_CS[Commited amount])</f>
        <v>110025</v>
      </c>
      <c r="AB134" s="275"/>
      <c r="AC134" s="270" t="s">
        <v>5438</v>
      </c>
      <c r="AD134" s="270" t="s">
        <v>5687</v>
      </c>
      <c r="AE134" s="264">
        <v>8</v>
      </c>
      <c r="AF134" s="271"/>
      <c r="AG134" s="278"/>
      <c r="AH134" s="277" t="str">
        <f>CONCATENATE(YEAR(TAB_Offres[[#This Row],[Request date ]]),"-",MONTH(TAB_Offres[[#This Row],[Request date ]]))</f>
        <v>1900-1</v>
      </c>
      <c r="AI134" s="274" t="e">
        <f>IF(#REF!,1,0)</f>
        <v>#REF!</v>
      </c>
      <c r="AJ134" s="4"/>
      <c r="AK134" s="4"/>
      <c r="AL134" s="4"/>
      <c r="AN134" s="150"/>
      <c r="AQ134" s="4"/>
    </row>
    <row r="135" spans="1:43" x14ac:dyDescent="0.25">
      <c r="A135" s="258">
        <f>ROW(TAB_Offres[[#This Row],[Reference]])-ROW(TAB_Offres[[#Headers],[ID]])</f>
        <v>134</v>
      </c>
      <c r="B135" s="258" t="s">
        <v>138</v>
      </c>
      <c r="C135" s="258" t="s">
        <v>143</v>
      </c>
      <c r="D135" s="258" t="s">
        <v>255</v>
      </c>
      <c r="E135" s="263" t="s">
        <v>5963</v>
      </c>
      <c r="F135" s="258"/>
      <c r="G135" s="263" t="s">
        <v>5479</v>
      </c>
      <c r="H135" s="262" t="s">
        <v>86</v>
      </c>
      <c r="I135" s="262" t="s">
        <v>222</v>
      </c>
      <c r="J135" s="262" t="s">
        <v>445</v>
      </c>
      <c r="K135" s="262"/>
      <c r="L135" s="262" t="s">
        <v>225</v>
      </c>
      <c r="M135" s="264"/>
      <c r="N135" s="262"/>
      <c r="O135" s="262" t="s">
        <v>338</v>
      </c>
      <c r="P135" s="262" t="s">
        <v>346</v>
      </c>
      <c r="Q135" s="263"/>
      <c r="R135" s="263"/>
      <c r="S135" s="292"/>
      <c r="T135" s="261"/>
      <c r="U135" s="261"/>
      <c r="V135" s="268">
        <v>45460</v>
      </c>
      <c r="W135" s="268">
        <v>45461</v>
      </c>
      <c r="X135" s="268">
        <v>45461</v>
      </c>
      <c r="Y135" s="268">
        <v>45900</v>
      </c>
      <c r="Z135" s="471">
        <f>SUMIF(TAB_CS[Reference],TAB_Offres[[#This Row],[Reference]],TAB_CS[Commited days])</f>
        <v>220</v>
      </c>
      <c r="AA135" s="269">
        <f>SUMIF(TAB_CS[Reference],TAB_Offres[[#This Row],[Reference]],TAB_CS[Commited amount])</f>
        <v>142610.6</v>
      </c>
      <c r="AB135" s="275"/>
      <c r="AC135" s="270" t="s">
        <v>5439</v>
      </c>
      <c r="AD135" s="270" t="s">
        <v>5686</v>
      </c>
      <c r="AE135" s="264">
        <v>9</v>
      </c>
      <c r="AF135" s="271"/>
      <c r="AG135" s="278"/>
      <c r="AH135" s="277" t="str">
        <f>CONCATENATE(YEAR(TAB_Offres[[#This Row],[Request date ]]),"-",MONTH(TAB_Offres[[#This Row],[Request date ]]))</f>
        <v>1900-1</v>
      </c>
      <c r="AI135" s="274" t="e">
        <f>IF(#REF!,1,0)</f>
        <v>#REF!</v>
      </c>
      <c r="AJ135" s="4"/>
      <c r="AK135" s="4"/>
      <c r="AL135" s="4"/>
      <c r="AN135" s="150"/>
      <c r="AQ135" s="4"/>
    </row>
    <row r="136" spans="1:43" x14ac:dyDescent="0.25">
      <c r="A136" s="258">
        <f>ROW(TAB_Offres[[#This Row],[Reference]])-ROW(TAB_Offres[[#Headers],[ID]])</f>
        <v>135</v>
      </c>
      <c r="B136" s="258" t="s">
        <v>140</v>
      </c>
      <c r="C136" s="258" t="s">
        <v>143</v>
      </c>
      <c r="D136" s="258" t="s">
        <v>5463</v>
      </c>
      <c r="E136" s="263" t="s">
        <v>5964</v>
      </c>
      <c r="F136" s="258"/>
      <c r="G136" s="263" t="s">
        <v>5966</v>
      </c>
      <c r="H136" s="262" t="s">
        <v>87</v>
      </c>
      <c r="I136" s="262" t="s">
        <v>167</v>
      </c>
      <c r="J136" s="262" t="s">
        <v>445</v>
      </c>
      <c r="K136" s="262"/>
      <c r="L136" s="262" t="s">
        <v>225</v>
      </c>
      <c r="M136" s="264"/>
      <c r="N136" s="262"/>
      <c r="O136" s="262" t="s">
        <v>338</v>
      </c>
      <c r="P136" s="262" t="s">
        <v>345</v>
      </c>
      <c r="Q136" s="263"/>
      <c r="R136" s="263"/>
      <c r="S136" s="292"/>
      <c r="T136" s="261"/>
      <c r="U136" s="261"/>
      <c r="V136" s="268">
        <v>45449</v>
      </c>
      <c r="W136" s="268">
        <v>45449</v>
      </c>
      <c r="X136" s="268">
        <v>45449</v>
      </c>
      <c r="Y136" s="268">
        <v>45930</v>
      </c>
      <c r="Z136" s="531">
        <v>1</v>
      </c>
      <c r="AA136" s="532">
        <v>800</v>
      </c>
      <c r="AB136" s="275"/>
      <c r="AC136" s="270" t="s">
        <v>5890</v>
      </c>
      <c r="AD136" s="270" t="s">
        <v>5754</v>
      </c>
      <c r="AE136" s="264">
        <v>9</v>
      </c>
      <c r="AF136" s="271"/>
      <c r="AG136" s="278"/>
      <c r="AH136" s="277" t="str">
        <f>CONCATENATE(YEAR(TAB_Offres[[#This Row],[Request date ]]),"-",MONTH(TAB_Offres[[#This Row],[Request date ]]))</f>
        <v>1900-1</v>
      </c>
      <c r="AI136" s="274" t="e">
        <f>IF(#REF!,1,0)</f>
        <v>#REF!</v>
      </c>
      <c r="AJ136" s="4"/>
      <c r="AK136" s="4"/>
      <c r="AL136" s="4"/>
      <c r="AN136" s="150"/>
      <c r="AQ136" s="4"/>
    </row>
    <row r="137" spans="1:43" x14ac:dyDescent="0.25">
      <c r="A137" s="258">
        <f>ROW(TAB_Offres[[#This Row],[Reference]])-ROW(TAB_Offres[[#Headers],[ID]])</f>
        <v>136</v>
      </c>
      <c r="B137" s="258" t="s">
        <v>138</v>
      </c>
      <c r="C137" s="258" t="s">
        <v>143</v>
      </c>
      <c r="D137" s="258" t="s">
        <v>248</v>
      </c>
      <c r="E137" s="263" t="s">
        <v>5965</v>
      </c>
      <c r="F137" s="258"/>
      <c r="G137" s="263" t="s">
        <v>5481</v>
      </c>
      <c r="H137" s="262" t="s">
        <v>85</v>
      </c>
      <c r="I137" s="262" t="s">
        <v>222</v>
      </c>
      <c r="J137" s="262" t="s">
        <v>445</v>
      </c>
      <c r="K137" s="262"/>
      <c r="L137" s="262" t="s">
        <v>225</v>
      </c>
      <c r="M137" s="264"/>
      <c r="N137" s="262"/>
      <c r="O137" s="262" t="s">
        <v>338</v>
      </c>
      <c r="P137" s="262" t="s">
        <v>346</v>
      </c>
      <c r="Q137" s="263"/>
      <c r="R137" s="263"/>
      <c r="S137" s="292"/>
      <c r="T137" s="261"/>
      <c r="U137" s="261"/>
      <c r="V137" s="268">
        <v>45461</v>
      </c>
      <c r="W137" s="268">
        <v>45461</v>
      </c>
      <c r="X137" s="268">
        <v>45461</v>
      </c>
      <c r="Y137" s="268">
        <v>45991</v>
      </c>
      <c r="Z137" s="471">
        <f>SUMIF(TAB_CS[Reference],TAB_Offres[[#This Row],[Reference]],TAB_CS[Commited days])</f>
        <v>150</v>
      </c>
      <c r="AA137" s="269">
        <f>SUMIF(TAB_CS[Reference],TAB_Offres[[#This Row],[Reference]],TAB_CS[Commited amount])</f>
        <v>80083.5</v>
      </c>
      <c r="AB137" s="275"/>
      <c r="AC137" s="270" t="s">
        <v>5498</v>
      </c>
      <c r="AD137" s="270" t="s">
        <v>5687</v>
      </c>
      <c r="AE137" s="264">
        <v>6</v>
      </c>
      <c r="AF137" s="271"/>
      <c r="AG137" s="278"/>
      <c r="AH137" s="277" t="str">
        <f>CONCATENATE(YEAR(TAB_Offres[[#This Row],[Request date ]]),"-",MONTH(TAB_Offres[[#This Row],[Request date ]]))</f>
        <v>1900-1</v>
      </c>
      <c r="AI137" s="274" t="e">
        <f>IF(#REF!,1,0)</f>
        <v>#REF!</v>
      </c>
      <c r="AJ137" s="4"/>
      <c r="AK137" s="4"/>
      <c r="AL137" s="4"/>
      <c r="AN137" s="150"/>
      <c r="AQ137" s="4"/>
    </row>
    <row r="138" spans="1:43" x14ac:dyDescent="0.25">
      <c r="A138" s="258">
        <f>ROW(TAB_Offres[[#This Row],[Reference]])-ROW(TAB_Offres[[#Headers],[ID]])</f>
        <v>137</v>
      </c>
      <c r="B138" s="258" t="s">
        <v>140</v>
      </c>
      <c r="C138" s="258" t="s">
        <v>143</v>
      </c>
      <c r="D138" s="258" t="s">
        <v>250</v>
      </c>
      <c r="E138" s="263" t="s">
        <v>5971</v>
      </c>
      <c r="F138" s="258"/>
      <c r="G138" s="263" t="s">
        <v>5578</v>
      </c>
      <c r="H138" s="262" t="s">
        <v>86</v>
      </c>
      <c r="I138" s="262" t="s">
        <v>167</v>
      </c>
      <c r="J138" s="262" t="s">
        <v>445</v>
      </c>
      <c r="K138" s="262"/>
      <c r="L138" s="262" t="s">
        <v>225</v>
      </c>
      <c r="M138" s="264"/>
      <c r="N138" s="262"/>
      <c r="O138" s="262" t="s">
        <v>338</v>
      </c>
      <c r="P138" s="262" t="s">
        <v>346</v>
      </c>
      <c r="Q138" s="263"/>
      <c r="R138" s="263"/>
      <c r="S138" s="292"/>
      <c r="T138" s="261"/>
      <c r="U138" s="261"/>
      <c r="V138" s="268">
        <v>45464</v>
      </c>
      <c r="W138" s="268">
        <v>45467</v>
      </c>
      <c r="X138" s="268">
        <v>45467</v>
      </c>
      <c r="Y138" s="268">
        <v>45961</v>
      </c>
      <c r="Z138" s="471">
        <f>SUMIF(TAB_CS[Reference],TAB_Offres[[#This Row],[Reference]],TAB_CS[Commited days])</f>
        <v>180</v>
      </c>
      <c r="AA138" s="269">
        <f>SUMIF(TAB_CS[Reference],TAB_Offres[[#This Row],[Reference]],TAB_CS[Commited amount])</f>
        <v>95083.199999999997</v>
      </c>
      <c r="AB138" s="275"/>
      <c r="AC138" s="270" t="s">
        <v>296</v>
      </c>
      <c r="AD138" s="270" t="s">
        <v>5754</v>
      </c>
      <c r="AE138" s="275">
        <v>9</v>
      </c>
      <c r="AF138" s="271"/>
      <c r="AG138" s="278"/>
      <c r="AH138" s="277" t="str">
        <f>CONCATENATE(YEAR(TAB_Offres[[#This Row],[Request date ]]),"-",MONTH(TAB_Offres[[#This Row],[Request date ]]))</f>
        <v>1900-1</v>
      </c>
      <c r="AI138" s="274" t="e">
        <f>IF(#REF!,1,0)</f>
        <v>#REF!</v>
      </c>
      <c r="AJ138" s="4"/>
      <c r="AK138" s="4"/>
      <c r="AL138" s="4"/>
      <c r="AN138" s="150"/>
      <c r="AQ138" s="4"/>
    </row>
    <row r="139" spans="1:43" x14ac:dyDescent="0.25">
      <c r="A139" s="258">
        <f>ROW(TAB_Offres[[#This Row],[Reference]])-ROW(TAB_Offres[[#Headers],[ID]])</f>
        <v>138</v>
      </c>
      <c r="B139" s="258" t="s">
        <v>140</v>
      </c>
      <c r="C139" s="258" t="s">
        <v>143</v>
      </c>
      <c r="D139" s="258" t="s">
        <v>5551</v>
      </c>
      <c r="E139" s="263" t="s">
        <v>5972</v>
      </c>
      <c r="F139" s="258"/>
      <c r="G139" s="263" t="s">
        <v>5771</v>
      </c>
      <c r="H139" s="262" t="s">
        <v>85</v>
      </c>
      <c r="I139" s="262" t="s">
        <v>222</v>
      </c>
      <c r="J139" s="262" t="s">
        <v>445</v>
      </c>
      <c r="K139" s="262"/>
      <c r="L139" s="262" t="s">
        <v>225</v>
      </c>
      <c r="M139" s="264"/>
      <c r="N139" s="262"/>
      <c r="O139" s="262" t="s">
        <v>338</v>
      </c>
      <c r="P139" s="262" t="s">
        <v>346</v>
      </c>
      <c r="Q139" s="263"/>
      <c r="R139" s="263"/>
      <c r="S139" s="292"/>
      <c r="T139" s="261"/>
      <c r="U139" s="261"/>
      <c r="V139" s="268">
        <v>45463</v>
      </c>
      <c r="W139" s="268">
        <v>45464</v>
      </c>
      <c r="X139" s="268">
        <v>45464</v>
      </c>
      <c r="Y139" s="268">
        <v>45930</v>
      </c>
      <c r="Z139" s="471">
        <f>SUMIF(TAB_CS[Reference],TAB_Offres[[#This Row],[Reference]],TAB_CS[Commited days])</f>
        <v>180</v>
      </c>
      <c r="AA139" s="269">
        <f>SUMIF(TAB_CS[Reference],TAB_Offres[[#This Row],[Reference]],TAB_CS[Commited amount])</f>
        <v>153250.20000000001</v>
      </c>
      <c r="AB139" s="275"/>
      <c r="AC139" s="270" t="s">
        <v>5973</v>
      </c>
      <c r="AD139" s="270" t="s">
        <v>5745</v>
      </c>
      <c r="AE139" s="264">
        <v>9</v>
      </c>
      <c r="AF139" s="271"/>
      <c r="AG139" s="278"/>
      <c r="AH139" s="277" t="str">
        <f>CONCATENATE(YEAR(TAB_Offres[[#This Row],[Request date ]]),"-",MONTH(TAB_Offres[[#This Row],[Request date ]]))</f>
        <v>1900-1</v>
      </c>
      <c r="AI139" s="274" t="e">
        <f>IF(#REF!,1,0)</f>
        <v>#REF!</v>
      </c>
      <c r="AJ139" s="4"/>
      <c r="AK139" s="4"/>
      <c r="AL139" s="4"/>
      <c r="AN139" s="150"/>
      <c r="AQ139" s="4"/>
    </row>
    <row r="140" spans="1:43" x14ac:dyDescent="0.25">
      <c r="A140" s="258">
        <f>ROW(TAB_Offres[[#This Row],[Reference]])-ROW(TAB_Offres[[#Headers],[ID]])</f>
        <v>139</v>
      </c>
      <c r="B140" s="258" t="s">
        <v>140</v>
      </c>
      <c r="C140" s="258" t="s">
        <v>143</v>
      </c>
      <c r="D140" s="258" t="s">
        <v>251</v>
      </c>
      <c r="E140" s="263" t="s">
        <v>5986</v>
      </c>
      <c r="F140" s="258"/>
      <c r="G140" s="263" t="s">
        <v>5771</v>
      </c>
      <c r="H140" s="262" t="s">
        <v>203</v>
      </c>
      <c r="I140" s="262" t="s">
        <v>166</v>
      </c>
      <c r="J140" s="262" t="s">
        <v>445</v>
      </c>
      <c r="K140" s="262"/>
      <c r="L140" s="262" t="s">
        <v>225</v>
      </c>
      <c r="M140" s="264"/>
      <c r="N140" s="262"/>
      <c r="O140" s="262" t="s">
        <v>338</v>
      </c>
      <c r="P140" s="262" t="s">
        <v>346</v>
      </c>
      <c r="Q140" s="263"/>
      <c r="R140" s="263"/>
      <c r="S140" s="292"/>
      <c r="T140" s="261"/>
      <c r="U140" s="261"/>
      <c r="V140" s="268">
        <v>45373</v>
      </c>
      <c r="W140" s="268">
        <v>45378</v>
      </c>
      <c r="X140" s="268">
        <v>45378</v>
      </c>
      <c r="Y140" s="268">
        <v>45900</v>
      </c>
      <c r="Z140" s="471">
        <f>SUMIF(TAB_CS[Reference],TAB_Offres[[#This Row],[Reference]],TAB_CS[Commited days])</f>
        <v>74.5</v>
      </c>
      <c r="AA140" s="269">
        <f>SUMIF(TAB_CS[Reference],TAB_Offres[[#This Row],[Reference]],TAB_CS[Commited amount])</f>
        <v>67868.755000000005</v>
      </c>
      <c r="AB140" s="275"/>
      <c r="AC140" s="270" t="s">
        <v>286</v>
      </c>
      <c r="AD140" s="270" t="s">
        <v>5745</v>
      </c>
      <c r="AE140" s="264">
        <v>10</v>
      </c>
      <c r="AF140" s="271"/>
      <c r="AG140" s="278"/>
      <c r="AH140" s="277" t="str">
        <f>CONCATENATE(YEAR(TAB_Offres[[#This Row],[Request date ]]),"-",MONTH(TAB_Offres[[#This Row],[Request date ]]))</f>
        <v>1900-1</v>
      </c>
      <c r="AI140" s="274" t="e">
        <f>IF(#REF!,1,0)</f>
        <v>#REF!</v>
      </c>
      <c r="AJ140" s="4"/>
      <c r="AK140" s="4"/>
      <c r="AL140" s="4"/>
      <c r="AN140" s="150"/>
      <c r="AQ140" s="4"/>
    </row>
    <row r="141" spans="1:43" x14ac:dyDescent="0.25">
      <c r="A141" s="258">
        <f>ROW(TAB_Offres[[#This Row],[Reference]])-ROW(TAB_Offres[[#Headers],[ID]])</f>
        <v>140</v>
      </c>
      <c r="B141" s="258" t="s">
        <v>139</v>
      </c>
      <c r="C141" s="258" t="s">
        <v>143</v>
      </c>
      <c r="D141" s="258" t="s">
        <v>247</v>
      </c>
      <c r="E141" s="263" t="s">
        <v>6004</v>
      </c>
      <c r="F141" s="258"/>
      <c r="G141" s="263" t="s">
        <v>54</v>
      </c>
      <c r="H141" s="262" t="s">
        <v>203</v>
      </c>
      <c r="I141" s="262" t="s">
        <v>166</v>
      </c>
      <c r="J141" s="262" t="s">
        <v>445</v>
      </c>
      <c r="K141" s="262"/>
      <c r="L141" s="262" t="s">
        <v>225</v>
      </c>
      <c r="M141" s="264"/>
      <c r="N141" s="262"/>
      <c r="O141" s="262" t="s">
        <v>338</v>
      </c>
      <c r="P141" s="262" t="s">
        <v>346</v>
      </c>
      <c r="Q141" s="263"/>
      <c r="R141" s="263"/>
      <c r="S141" s="292"/>
      <c r="T141" s="261"/>
      <c r="U141" s="261"/>
      <c r="V141" s="268">
        <v>45482</v>
      </c>
      <c r="W141" s="268">
        <v>45484</v>
      </c>
      <c r="X141" s="268">
        <v>45484</v>
      </c>
      <c r="Y141" s="268">
        <v>45838</v>
      </c>
      <c r="Z141" s="471">
        <f>SUMIF(TAB_CS[Reference],TAB_Offres[[#This Row],[Reference]],TAB_CS[Commited days])</f>
        <v>176</v>
      </c>
      <c r="AA141" s="269">
        <f>SUMIF(TAB_CS[Reference],TAB_Offres[[#This Row],[Reference]],TAB_CS[Commited amount])</f>
        <v>149401.12</v>
      </c>
      <c r="AB141" s="275"/>
      <c r="AC141" s="270" t="s">
        <v>277</v>
      </c>
      <c r="AD141" s="270" t="s">
        <v>5700</v>
      </c>
      <c r="AE141" s="264">
        <v>10</v>
      </c>
      <c r="AF141" s="271"/>
      <c r="AG141" s="278"/>
      <c r="AH141" s="277" t="str">
        <f>CONCATENATE(YEAR(TAB_Offres[[#This Row],[Request date ]]),"-",MONTH(TAB_Offres[[#This Row],[Request date ]]))</f>
        <v>1900-1</v>
      </c>
      <c r="AI141" s="274" t="e">
        <f>IF(#REF!,1,0)</f>
        <v>#REF!</v>
      </c>
      <c r="AJ141" s="4"/>
      <c r="AK141" s="4"/>
      <c r="AL141" s="4"/>
      <c r="AN141" s="150"/>
      <c r="AQ141" s="4"/>
    </row>
    <row r="142" spans="1:43" x14ac:dyDescent="0.25">
      <c r="A142" s="258">
        <f>ROW(TAB_Offres[[#This Row],[Reference]])-ROW(TAB_Offres[[#Headers],[ID]])</f>
        <v>141</v>
      </c>
      <c r="B142" s="258" t="s">
        <v>138</v>
      </c>
      <c r="C142" s="258" t="s">
        <v>143</v>
      </c>
      <c r="D142" s="258" t="s">
        <v>255</v>
      </c>
      <c r="E142" s="263" t="s">
        <v>6008</v>
      </c>
      <c r="F142" s="258"/>
      <c r="G142" s="263" t="s">
        <v>5479</v>
      </c>
      <c r="H142" s="262" t="s">
        <v>86</v>
      </c>
      <c r="I142" s="262" t="s">
        <v>222</v>
      </c>
      <c r="J142" s="262" t="s">
        <v>445</v>
      </c>
      <c r="K142" s="262"/>
      <c r="L142" s="262" t="s">
        <v>225</v>
      </c>
      <c r="M142" s="264"/>
      <c r="N142" s="262"/>
      <c r="O142" s="262" t="s">
        <v>338</v>
      </c>
      <c r="P142" s="262" t="s">
        <v>346</v>
      </c>
      <c r="Q142" s="263"/>
      <c r="R142" s="263"/>
      <c r="S142" s="292"/>
      <c r="T142" s="261"/>
      <c r="U142" s="261"/>
      <c r="V142" s="268">
        <v>45495</v>
      </c>
      <c r="W142" s="268"/>
      <c r="X142" s="268"/>
      <c r="Y142" s="268">
        <v>45961</v>
      </c>
      <c r="Z142" s="471">
        <f>SUMIF(TAB_CS[Reference],TAB_Offres[[#This Row],[Reference]],TAB_CS[Commited days])</f>
        <v>0</v>
      </c>
      <c r="AA142" s="269">
        <f>SUMIF(TAB_CS[Reference],TAB_Offres[[#This Row],[Reference]],TAB_CS[Commited amount])</f>
        <v>0</v>
      </c>
      <c r="AB142" s="275"/>
      <c r="AC142" s="270" t="s">
        <v>6009</v>
      </c>
      <c r="AD142" s="270" t="s">
        <v>5686</v>
      </c>
      <c r="AE142" s="264">
        <v>10</v>
      </c>
      <c r="AF142" s="271"/>
      <c r="AG142" s="278"/>
      <c r="AH142" s="277" t="str">
        <f>CONCATENATE(YEAR(TAB_Offres[[#This Row],[Request date ]]),"-",MONTH(TAB_Offres[[#This Row],[Request date ]]))</f>
        <v>1900-1</v>
      </c>
      <c r="AI142" s="274" t="e">
        <f>IF(#REF!,1,0)</f>
        <v>#REF!</v>
      </c>
      <c r="AJ142" s="4"/>
      <c r="AK142" s="4"/>
      <c r="AL142" s="4"/>
      <c r="AN142" s="150"/>
      <c r="AQ142" s="4"/>
    </row>
    <row r="143" spans="1:43" x14ac:dyDescent="0.25">
      <c r="A143" s="258">
        <f>ROW(TAB_Offres[[#This Row],[Reference]])-ROW(TAB_Offres[[#Headers],[ID]])</f>
        <v>142</v>
      </c>
      <c r="B143" s="258" t="s">
        <v>138</v>
      </c>
      <c r="C143" s="258" t="s">
        <v>143</v>
      </c>
      <c r="D143" s="258" t="s">
        <v>5802</v>
      </c>
      <c r="E143" s="263" t="s">
        <v>6010</v>
      </c>
      <c r="F143" s="258"/>
      <c r="G143" s="263" t="s">
        <v>5479</v>
      </c>
      <c r="H143" s="262" t="s">
        <v>86</v>
      </c>
      <c r="I143" s="262" t="s">
        <v>222</v>
      </c>
      <c r="J143" s="262" t="s">
        <v>445</v>
      </c>
      <c r="K143" s="262"/>
      <c r="L143" s="262" t="s">
        <v>225</v>
      </c>
      <c r="M143" s="264"/>
      <c r="N143" s="262"/>
      <c r="O143" s="262" t="s">
        <v>338</v>
      </c>
      <c r="P143" s="262" t="s">
        <v>346</v>
      </c>
      <c r="Q143" s="263"/>
      <c r="R143" s="263"/>
      <c r="S143" s="292"/>
      <c r="T143" s="261"/>
      <c r="U143" s="261"/>
      <c r="V143" s="268">
        <v>45491</v>
      </c>
      <c r="W143" s="268">
        <v>45495</v>
      </c>
      <c r="X143" s="268">
        <v>45495</v>
      </c>
      <c r="Y143" s="268">
        <v>45930</v>
      </c>
      <c r="Z143" s="471">
        <f>SUMIF(TAB_CS[Reference],TAB_Offres[[#This Row],[Reference]],TAB_CS[Commited days])</f>
        <v>60</v>
      </c>
      <c r="AA143" s="269">
        <f>SUMIF(TAB_CS[Reference],TAB_Offres[[#This Row],[Reference]],TAB_CS[Commited amount])</f>
        <v>33971.4</v>
      </c>
      <c r="AB143" s="275"/>
      <c r="AC143" s="270" t="s">
        <v>6011</v>
      </c>
      <c r="AD143" s="270" t="s">
        <v>5686</v>
      </c>
      <c r="AE143" s="264">
        <v>7</v>
      </c>
      <c r="AF143" s="271"/>
      <c r="AG143" s="278"/>
      <c r="AH143" s="277" t="str">
        <f>CONCATENATE(YEAR(TAB_Offres[[#This Row],[Request date ]]),"-",MONTH(TAB_Offres[[#This Row],[Request date ]]))</f>
        <v>1900-1</v>
      </c>
      <c r="AI143" s="274" t="e">
        <f>IF(#REF!,1,0)</f>
        <v>#REF!</v>
      </c>
      <c r="AJ143" s="4"/>
      <c r="AK143" s="4"/>
      <c r="AL143" s="4"/>
      <c r="AN143" s="150"/>
      <c r="AQ143" s="4"/>
    </row>
    <row r="144" spans="1:43" x14ac:dyDescent="0.25">
      <c r="A144" s="258">
        <f>ROW(TAB_Offres[[#This Row],[Reference]])-ROW(TAB_Offres[[#Headers],[ID]])</f>
        <v>143</v>
      </c>
      <c r="B144" s="258" t="s">
        <v>140</v>
      </c>
      <c r="C144" s="258" t="s">
        <v>143</v>
      </c>
      <c r="D144" s="258" t="s">
        <v>299</v>
      </c>
      <c r="E144" s="263" t="s">
        <v>6012</v>
      </c>
      <c r="F144" s="258"/>
      <c r="G144" s="263" t="s">
        <v>5771</v>
      </c>
      <c r="H144" s="262" t="s">
        <v>88</v>
      </c>
      <c r="I144" s="262" t="s">
        <v>222</v>
      </c>
      <c r="J144" s="262" t="s">
        <v>445</v>
      </c>
      <c r="K144" s="262"/>
      <c r="L144" s="262" t="s">
        <v>225</v>
      </c>
      <c r="M144" s="264"/>
      <c r="N144" s="262"/>
      <c r="O144" s="262" t="s">
        <v>338</v>
      </c>
      <c r="P144" s="262" t="s">
        <v>346</v>
      </c>
      <c r="Q144" s="263"/>
      <c r="R144" s="263"/>
      <c r="S144" s="292"/>
      <c r="T144" s="261"/>
      <c r="U144" s="261"/>
      <c r="V144" s="268">
        <v>45488</v>
      </c>
      <c r="W144" s="268">
        <v>45488</v>
      </c>
      <c r="X144" s="268">
        <v>45488</v>
      </c>
      <c r="Y144" s="268">
        <v>45930</v>
      </c>
      <c r="Z144" s="471">
        <f>SUMIF(TAB_CS[Reference],TAB_Offres[[#This Row],[Reference]],TAB_CS[Commited days])</f>
        <v>130</v>
      </c>
      <c r="AA144" s="269">
        <f>SUMIF(TAB_CS[Reference],TAB_Offres[[#This Row],[Reference]],TAB_CS[Commited amount])</f>
        <v>68927.3</v>
      </c>
      <c r="AB144" s="275"/>
      <c r="AC144" s="270" t="s">
        <v>6013</v>
      </c>
      <c r="AD144" s="270" t="s">
        <v>5745</v>
      </c>
      <c r="AE144" s="264">
        <v>2</v>
      </c>
      <c r="AF144" s="271"/>
      <c r="AG144" s="278"/>
      <c r="AH144" s="277" t="str">
        <f>CONCATENATE(YEAR(TAB_Offres[[#This Row],[Request date ]]),"-",MONTH(TAB_Offres[[#This Row],[Request date ]]))</f>
        <v>1900-1</v>
      </c>
      <c r="AI144" s="274" t="e">
        <f>IF(#REF!,1,0)</f>
        <v>#REF!</v>
      </c>
      <c r="AJ144" s="4"/>
      <c r="AK144" s="4"/>
      <c r="AL144" s="4"/>
      <c r="AN144" s="150"/>
      <c r="AQ144" s="4"/>
    </row>
    <row r="145" spans="1:43" x14ac:dyDescent="0.25">
      <c r="A145" s="258">
        <f>ROW(TAB_Offres[[#This Row],[Reference]])-ROW(TAB_Offres[[#Headers],[ID]])</f>
        <v>144</v>
      </c>
      <c r="B145" s="258" t="s">
        <v>140</v>
      </c>
      <c r="C145" s="258" t="s">
        <v>143</v>
      </c>
      <c r="D145" s="258" t="s">
        <v>5463</v>
      </c>
      <c r="E145" s="263" t="s">
        <v>6014</v>
      </c>
      <c r="F145" s="258"/>
      <c r="G145" s="263" t="s">
        <v>5578</v>
      </c>
      <c r="H145" s="262" t="s">
        <v>87</v>
      </c>
      <c r="I145" s="262" t="s">
        <v>167</v>
      </c>
      <c r="J145" s="262" t="s">
        <v>445</v>
      </c>
      <c r="K145" s="262"/>
      <c r="L145" s="262" t="s">
        <v>225</v>
      </c>
      <c r="M145" s="264"/>
      <c r="N145" s="262"/>
      <c r="O145" s="262" t="s">
        <v>338</v>
      </c>
      <c r="P145" s="262" t="s">
        <v>346</v>
      </c>
      <c r="Q145" s="263"/>
      <c r="R145" s="263"/>
      <c r="S145" s="292"/>
      <c r="T145" s="261"/>
      <c r="U145" s="261"/>
      <c r="V145" s="268">
        <v>45484</v>
      </c>
      <c r="W145" s="268">
        <v>45484</v>
      </c>
      <c r="X145" s="268">
        <v>45484</v>
      </c>
      <c r="Y145" s="268">
        <v>45930</v>
      </c>
      <c r="Z145" s="471">
        <f>SUMIF(TAB_CS[Reference],TAB_Offres[[#This Row],[Reference]],TAB_CS[Commited days])</f>
        <v>35</v>
      </c>
      <c r="AA145" s="269">
        <f>SUMIF(TAB_CS[Reference],TAB_Offres[[#This Row],[Reference]],TAB_CS[Commited amount])</f>
        <v>18488.400000000001</v>
      </c>
      <c r="AB145" s="275"/>
      <c r="AC145" s="270" t="s">
        <v>5890</v>
      </c>
      <c r="AD145" s="270" t="s">
        <v>5754</v>
      </c>
      <c r="AE145" s="264">
        <v>9</v>
      </c>
      <c r="AF145" s="271"/>
      <c r="AG145" s="278"/>
      <c r="AH145" s="277" t="str">
        <f>CONCATENATE(YEAR(TAB_Offres[[#This Row],[Request date ]]),"-",MONTH(TAB_Offres[[#This Row],[Request date ]]))</f>
        <v>1900-1</v>
      </c>
      <c r="AI145" s="274" t="e">
        <f>IF(#REF!,1,0)</f>
        <v>#REF!</v>
      </c>
      <c r="AJ145" s="4"/>
      <c r="AK145" s="4"/>
      <c r="AL145" s="4"/>
      <c r="AN145" s="150"/>
      <c r="AQ145" s="4"/>
    </row>
    <row r="146" spans="1:43" x14ac:dyDescent="0.25">
      <c r="A146" s="258">
        <f>ROW(TAB_Offres[[#This Row],[Reference]])-ROW(TAB_Offres[[#Headers],[ID]])</f>
        <v>145</v>
      </c>
      <c r="B146" s="258" t="s">
        <v>138</v>
      </c>
      <c r="C146" s="258" t="s">
        <v>143</v>
      </c>
      <c r="D146" s="258" t="s">
        <v>5551</v>
      </c>
      <c r="E146" s="263" t="s">
        <v>6015</v>
      </c>
      <c r="F146" s="258"/>
      <c r="G146" s="263" t="s">
        <v>5479</v>
      </c>
      <c r="H146" s="262" t="s">
        <v>86</v>
      </c>
      <c r="I146" s="262" t="s">
        <v>222</v>
      </c>
      <c r="J146" s="262" t="s">
        <v>445</v>
      </c>
      <c r="K146" s="262"/>
      <c r="L146" s="262" t="s">
        <v>225</v>
      </c>
      <c r="M146" s="264"/>
      <c r="N146" s="262"/>
      <c r="O146" s="262" t="s">
        <v>338</v>
      </c>
      <c r="P146" s="262" t="s">
        <v>346</v>
      </c>
      <c r="Q146" s="263"/>
      <c r="R146" s="263"/>
      <c r="S146" s="292"/>
      <c r="T146" s="261"/>
      <c r="U146" s="261"/>
      <c r="V146" s="268">
        <v>45492</v>
      </c>
      <c r="W146" s="268">
        <v>45495</v>
      </c>
      <c r="X146" s="268">
        <v>45495</v>
      </c>
      <c r="Y146" s="268">
        <v>45930</v>
      </c>
      <c r="Z146" s="471">
        <f>SUMIF(TAB_CS[Reference],TAB_Offres[[#This Row],[Reference]],TAB_CS[Commited days])</f>
        <v>55</v>
      </c>
      <c r="AA146" s="269">
        <f>SUMIF(TAB_CS[Reference],TAB_Offres[[#This Row],[Reference]],TAB_CS[Commited amount])</f>
        <v>38148.550000000003</v>
      </c>
      <c r="AB146" s="275"/>
      <c r="AC146" s="270" t="s">
        <v>259</v>
      </c>
      <c r="AD146" s="270" t="s">
        <v>5686</v>
      </c>
      <c r="AE146" s="264">
        <v>10</v>
      </c>
      <c r="AF146" s="271"/>
      <c r="AG146" s="278"/>
      <c r="AH146" s="277" t="str">
        <f>CONCATENATE(YEAR(TAB_Offres[[#This Row],[Request date ]]),"-",MONTH(TAB_Offres[[#This Row],[Request date ]]))</f>
        <v>1900-1</v>
      </c>
      <c r="AI146" s="274" t="e">
        <f>IF(#REF!,1,0)</f>
        <v>#REF!</v>
      </c>
      <c r="AJ146" s="4"/>
      <c r="AK146" s="4"/>
      <c r="AL146" s="4"/>
      <c r="AN146" s="150"/>
      <c r="AQ146" s="4"/>
    </row>
    <row r="147" spans="1:43" x14ac:dyDescent="0.25">
      <c r="A147" s="258">
        <f>ROW(TAB_Offres[[#This Row],[Reference]])-ROW(TAB_Offres[[#Headers],[ID]])</f>
        <v>146</v>
      </c>
      <c r="B147" s="258" t="s">
        <v>138</v>
      </c>
      <c r="C147" s="258" t="s">
        <v>143</v>
      </c>
      <c r="D147" s="258" t="s">
        <v>6020</v>
      </c>
      <c r="E147" s="263" t="s">
        <v>6019</v>
      </c>
      <c r="F147" s="258"/>
      <c r="G147" s="263" t="s">
        <v>5481</v>
      </c>
      <c r="H147" s="262" t="s">
        <v>85</v>
      </c>
      <c r="I147" s="262" t="s">
        <v>222</v>
      </c>
      <c r="J147" s="262" t="s">
        <v>445</v>
      </c>
      <c r="K147" s="262"/>
      <c r="L147" s="262" t="s">
        <v>225</v>
      </c>
      <c r="M147" s="264"/>
      <c r="N147" s="262"/>
      <c r="O147" s="262" t="s">
        <v>338</v>
      </c>
      <c r="P147" s="262" t="s">
        <v>346</v>
      </c>
      <c r="Q147" s="263"/>
      <c r="R147" s="263"/>
      <c r="S147" s="292"/>
      <c r="T147" s="261"/>
      <c r="U147" s="261"/>
      <c r="V147" s="268"/>
      <c r="W147" s="268">
        <v>45496</v>
      </c>
      <c r="X147" s="268">
        <v>45496</v>
      </c>
      <c r="Y147" s="268">
        <v>45747</v>
      </c>
      <c r="Z147" s="471">
        <f>SUMIF(TAB_CS[Reference],TAB_Offres[[#This Row],[Reference]],TAB_CS[Commited days])</f>
        <v>110</v>
      </c>
      <c r="AA147" s="269">
        <f>SUMIF(TAB_CS[Reference],TAB_Offres[[#This Row],[Reference]],TAB_CS[Commited amount])</f>
        <v>76980.200000000012</v>
      </c>
      <c r="AB147" s="275"/>
      <c r="AC147" s="270" t="s">
        <v>5976</v>
      </c>
      <c r="AD147" s="270" t="s">
        <v>5687</v>
      </c>
      <c r="AE147" s="264">
        <v>10</v>
      </c>
      <c r="AF147" s="271"/>
      <c r="AG147" s="278"/>
      <c r="AH147" s="277" t="str">
        <f>CONCATENATE(YEAR(TAB_Offres[[#This Row],[Request date ]]),"-",MONTH(TAB_Offres[[#This Row],[Request date ]]))</f>
        <v>1900-1</v>
      </c>
      <c r="AI147" s="274" t="e">
        <f>IF(#REF!,1,0)</f>
        <v>#REF!</v>
      </c>
      <c r="AJ147" s="4"/>
      <c r="AK147" s="4"/>
      <c r="AL147" s="4"/>
      <c r="AN147" s="150"/>
      <c r="AQ147" s="4"/>
    </row>
    <row r="148" spans="1:43" x14ac:dyDescent="0.25">
      <c r="A148" s="258">
        <f>ROW(TAB_Offres[[#This Row],[Reference]])-ROW(TAB_Offres[[#Headers],[ID]])</f>
        <v>147</v>
      </c>
      <c r="B148" s="258" t="s">
        <v>139</v>
      </c>
      <c r="C148" s="258" t="s">
        <v>143</v>
      </c>
      <c r="D148" s="258" t="s">
        <v>5447</v>
      </c>
      <c r="E148" s="263" t="s">
        <v>6024</v>
      </c>
      <c r="F148" s="258"/>
      <c r="G148" s="263" t="s">
        <v>6025</v>
      </c>
      <c r="H148" s="262" t="s">
        <v>203</v>
      </c>
      <c r="I148" s="262" t="s">
        <v>222</v>
      </c>
      <c r="J148" s="262" t="s">
        <v>445</v>
      </c>
      <c r="K148" s="262"/>
      <c r="L148" s="262" t="s">
        <v>225</v>
      </c>
      <c r="M148" s="264"/>
      <c r="N148" s="262"/>
      <c r="O148" s="262" t="s">
        <v>338</v>
      </c>
      <c r="P148" s="262" t="s">
        <v>346</v>
      </c>
      <c r="Q148" s="263"/>
      <c r="R148" s="263"/>
      <c r="S148" s="292"/>
      <c r="T148" s="261"/>
      <c r="U148" s="261"/>
      <c r="V148" s="268">
        <v>45499</v>
      </c>
      <c r="W148" s="268">
        <v>45502</v>
      </c>
      <c r="X148" s="268">
        <v>45502</v>
      </c>
      <c r="Y148" s="268">
        <v>46022</v>
      </c>
      <c r="Z148" s="471">
        <f>SUMIF(TAB_CS[Reference],TAB_Offres[[#This Row],[Reference]],TAB_CS[Commited days])</f>
        <v>110</v>
      </c>
      <c r="AA148" s="269">
        <f>SUMIF(TAB_CS[Reference],TAB_Offres[[#This Row],[Reference]],TAB_CS[Commited amount])</f>
        <v>51263.299999999996</v>
      </c>
      <c r="AB148" s="275"/>
      <c r="AC148" s="270" t="s">
        <v>5453</v>
      </c>
      <c r="AD148" s="270" t="s">
        <v>5713</v>
      </c>
      <c r="AE148" s="264">
        <v>5</v>
      </c>
      <c r="AF148" s="271"/>
      <c r="AG148" s="278"/>
      <c r="AH148" s="277" t="str">
        <f>CONCATENATE(YEAR(TAB_Offres[[#This Row],[Request date ]]),"-",MONTH(TAB_Offres[[#This Row],[Request date ]]))</f>
        <v>1900-1</v>
      </c>
      <c r="AI148" s="274" t="e">
        <f>IF(#REF!,1,0)</f>
        <v>#REF!</v>
      </c>
      <c r="AJ148" s="4"/>
      <c r="AK148" s="4"/>
      <c r="AL148" s="4"/>
      <c r="AN148" s="150"/>
      <c r="AQ148" s="4"/>
    </row>
    <row r="149" spans="1:43" x14ac:dyDescent="0.25">
      <c r="A149" s="258">
        <f>ROW(TAB_Offres[[#This Row],[Reference]])-ROW(TAB_Offres[[#Headers],[ID]])</f>
        <v>148</v>
      </c>
      <c r="B149" s="258" t="s">
        <v>139</v>
      </c>
      <c r="C149" s="258" t="s">
        <v>143</v>
      </c>
      <c r="D149" s="258" t="s">
        <v>5447</v>
      </c>
      <c r="E149" s="263" t="s">
        <v>6031</v>
      </c>
      <c r="F149" s="258"/>
      <c r="G149" s="263" t="s">
        <v>5811</v>
      </c>
      <c r="H149" s="262" t="s">
        <v>86</v>
      </c>
      <c r="I149" s="262" t="s">
        <v>222</v>
      </c>
      <c r="J149" s="262" t="s">
        <v>445</v>
      </c>
      <c r="K149" s="262"/>
      <c r="L149" s="262" t="s">
        <v>225</v>
      </c>
      <c r="M149" s="264"/>
      <c r="N149" s="262"/>
      <c r="O149" s="262" t="s">
        <v>338</v>
      </c>
      <c r="P149" s="262" t="s">
        <v>346</v>
      </c>
      <c r="Q149" s="263"/>
      <c r="R149" s="263"/>
      <c r="S149" s="292"/>
      <c r="T149" s="261"/>
      <c r="U149" s="261"/>
      <c r="V149" s="268">
        <v>45513</v>
      </c>
      <c r="W149" s="268">
        <v>45513</v>
      </c>
      <c r="X149" s="268">
        <v>45513</v>
      </c>
      <c r="Y149" s="268">
        <v>45869</v>
      </c>
      <c r="Z149" s="471">
        <f>SUMIF(TAB_CS[Reference],TAB_Offres[[#This Row],[Reference]],TAB_CS[Commited days])</f>
        <v>100</v>
      </c>
      <c r="AA149" s="269">
        <f>SUMIF(TAB_CS[Reference],TAB_Offres[[#This Row],[Reference]],TAB_CS[Commited amount])</f>
        <v>65363</v>
      </c>
      <c r="AB149" s="275"/>
      <c r="AC149" s="270" t="s">
        <v>5821</v>
      </c>
      <c r="AD149" s="270" t="s">
        <v>5699</v>
      </c>
      <c r="AE149" s="264">
        <v>10</v>
      </c>
      <c r="AF149" s="271"/>
      <c r="AG149" s="278"/>
      <c r="AH149" s="277" t="str">
        <f>CONCATENATE(YEAR(TAB_Offres[[#This Row],[Request date ]]),"-",MONTH(TAB_Offres[[#This Row],[Request date ]]))</f>
        <v>1900-1</v>
      </c>
      <c r="AI149" s="274" t="e">
        <f>IF(#REF!,1,0)</f>
        <v>#REF!</v>
      </c>
      <c r="AJ149" s="4"/>
      <c r="AK149" s="4"/>
      <c r="AL149" s="4"/>
      <c r="AN149" s="150"/>
      <c r="AQ149" s="4"/>
    </row>
    <row r="150" spans="1:43" x14ac:dyDescent="0.25">
      <c r="A150" s="258">
        <f>ROW(TAB_Offres[[#This Row],[Reference]])-ROW(TAB_Offres[[#Headers],[ID]])</f>
        <v>149</v>
      </c>
      <c r="B150" s="258" t="s">
        <v>138</v>
      </c>
      <c r="C150" s="258" t="s">
        <v>143</v>
      </c>
      <c r="D150" s="258" t="s">
        <v>6035</v>
      </c>
      <c r="E150" s="263" t="s">
        <v>6034</v>
      </c>
      <c r="F150" s="258"/>
      <c r="G150" s="263" t="s">
        <v>6036</v>
      </c>
      <c r="H150" s="262" t="s">
        <v>85</v>
      </c>
      <c r="I150" s="262" t="s">
        <v>167</v>
      </c>
      <c r="J150" s="262" t="s">
        <v>445</v>
      </c>
      <c r="K150" s="262"/>
      <c r="L150" s="262" t="s">
        <v>225</v>
      </c>
      <c r="M150" s="264"/>
      <c r="N150" s="262"/>
      <c r="O150" s="262" t="s">
        <v>338</v>
      </c>
      <c r="P150" s="262" t="s">
        <v>346</v>
      </c>
      <c r="Q150" s="263"/>
      <c r="R150" s="263"/>
      <c r="S150" s="292"/>
      <c r="T150" s="261"/>
      <c r="U150" s="261"/>
      <c r="V150" s="268">
        <v>45531</v>
      </c>
      <c r="W150" s="268">
        <v>45531</v>
      </c>
      <c r="X150" s="268">
        <v>45531</v>
      </c>
      <c r="Y150" s="268">
        <v>45716</v>
      </c>
      <c r="Z150" s="471">
        <f>SUMIF(TAB_CS[Reference],TAB_Offres[[#This Row],[Reference]],TAB_CS[Commited days])</f>
        <v>60</v>
      </c>
      <c r="AA150" s="269">
        <f>SUMIF(TAB_CS[Reference],TAB_Offres[[#This Row],[Reference]],TAB_CS[Commited amount])</f>
        <v>21903.599999999999</v>
      </c>
      <c r="AB150" s="275"/>
      <c r="AC150" s="270" t="s">
        <v>6037</v>
      </c>
      <c r="AD150" s="270" t="s">
        <v>6038</v>
      </c>
      <c r="AE150" s="264">
        <v>7</v>
      </c>
      <c r="AF150" s="271"/>
      <c r="AG150" s="278"/>
      <c r="AH150" s="277" t="str">
        <f>CONCATENATE(YEAR(TAB_Offres[[#This Row],[Request date ]]),"-",MONTH(TAB_Offres[[#This Row],[Request date ]]))</f>
        <v>1900-1</v>
      </c>
      <c r="AI150" s="274" t="e">
        <f>IF(#REF!,1,0)</f>
        <v>#REF!</v>
      </c>
      <c r="AJ150" s="4"/>
      <c r="AK150" s="4"/>
      <c r="AL150" s="4"/>
      <c r="AN150" s="150"/>
      <c r="AQ150" s="4"/>
    </row>
    <row r="151" spans="1:43" x14ac:dyDescent="0.25">
      <c r="A151" s="258">
        <f>ROW(TAB_Offres[[#This Row],[Reference]])-ROW(TAB_Offres[[#Headers],[ID]])</f>
        <v>150</v>
      </c>
      <c r="B151" s="258" t="s">
        <v>139</v>
      </c>
      <c r="C151" s="258" t="s">
        <v>143</v>
      </c>
      <c r="D151" s="258" t="s">
        <v>5802</v>
      </c>
      <c r="E151" s="263" t="s">
        <v>6039</v>
      </c>
      <c r="F151" s="258"/>
      <c r="G151" s="263" t="s">
        <v>54</v>
      </c>
      <c r="H151" s="262" t="s">
        <v>86</v>
      </c>
      <c r="I151" s="262" t="s">
        <v>222</v>
      </c>
      <c r="J151" s="262" t="s">
        <v>445</v>
      </c>
      <c r="K151" s="262"/>
      <c r="L151" s="262" t="s">
        <v>225</v>
      </c>
      <c r="M151" s="264"/>
      <c r="N151" s="262"/>
      <c r="O151" s="262" t="s">
        <v>338</v>
      </c>
      <c r="P151" s="262" t="s">
        <v>346</v>
      </c>
      <c r="Q151" s="263"/>
      <c r="R151" s="263"/>
      <c r="S151" s="292"/>
      <c r="T151" s="261"/>
      <c r="U151" s="261"/>
      <c r="V151" s="268">
        <v>45524</v>
      </c>
      <c r="W151" s="268">
        <v>45531</v>
      </c>
      <c r="X151" s="268">
        <v>45531</v>
      </c>
      <c r="Y151" s="268">
        <v>45930</v>
      </c>
      <c r="Z151" s="471">
        <f>SUMIF(TAB_CS[Reference],TAB_Offres[[#This Row],[Reference]],TAB_CS[Commited days])</f>
        <v>67</v>
      </c>
      <c r="AA151" s="269">
        <f>SUMIF(TAB_CS[Reference],TAB_Offres[[#This Row],[Reference]],TAB_CS[Commited amount])</f>
        <v>49676.480000000003</v>
      </c>
      <c r="AB151" s="275"/>
      <c r="AC151" s="270" t="s">
        <v>586</v>
      </c>
      <c r="AD151" s="270" t="s">
        <v>5700</v>
      </c>
      <c r="AE151" s="264">
        <v>8</v>
      </c>
      <c r="AF151" s="271"/>
      <c r="AG151" s="278"/>
      <c r="AH151" s="277" t="str">
        <f>CONCATENATE(YEAR(TAB_Offres[[#This Row],[Request date ]]),"-",MONTH(TAB_Offres[[#This Row],[Request date ]]))</f>
        <v>1900-1</v>
      </c>
      <c r="AI151" s="274" t="e">
        <f>IF(#REF!,1,0)</f>
        <v>#REF!</v>
      </c>
      <c r="AJ151" s="4"/>
      <c r="AK151" s="4"/>
      <c r="AL151" s="4"/>
      <c r="AN151" s="150"/>
      <c r="AQ151" s="4"/>
    </row>
    <row r="152" spans="1:43" x14ac:dyDescent="0.25">
      <c r="A152" s="258">
        <f>ROW(TAB_Offres[[#This Row],[Reference]])-ROW(TAB_Offres[[#Headers],[ID]])</f>
        <v>151</v>
      </c>
      <c r="B152" s="258" t="s">
        <v>139</v>
      </c>
      <c r="C152" s="258" t="s">
        <v>143</v>
      </c>
      <c r="D152" s="258" t="s">
        <v>5802</v>
      </c>
      <c r="E152" s="263" t="s">
        <v>6040</v>
      </c>
      <c r="F152" s="258"/>
      <c r="G152" s="263" t="s">
        <v>54</v>
      </c>
      <c r="H152" s="262" t="s">
        <v>203</v>
      </c>
      <c r="I152" s="262" t="s">
        <v>222</v>
      </c>
      <c r="J152" s="262" t="s">
        <v>445</v>
      </c>
      <c r="K152" s="262"/>
      <c r="L152" s="262" t="s">
        <v>225</v>
      </c>
      <c r="M152" s="264"/>
      <c r="N152" s="262"/>
      <c r="O152" s="262" t="s">
        <v>338</v>
      </c>
      <c r="P152" s="262" t="s">
        <v>346</v>
      </c>
      <c r="Q152" s="263"/>
      <c r="R152" s="263"/>
      <c r="S152" s="292"/>
      <c r="T152" s="261"/>
      <c r="U152" s="261"/>
      <c r="V152" s="268">
        <v>45524</v>
      </c>
      <c r="W152" s="268">
        <v>45531</v>
      </c>
      <c r="X152" s="268">
        <v>45531</v>
      </c>
      <c r="Y152" s="268">
        <v>45930</v>
      </c>
      <c r="Z152" s="471">
        <f>SUMIF(TAB_CS[Reference],TAB_Offres[[#This Row],[Reference]],TAB_CS[Commited days])</f>
        <v>100</v>
      </c>
      <c r="AA152" s="269">
        <f>SUMIF(TAB_CS[Reference],TAB_Offres[[#This Row],[Reference]],TAB_CS[Commited amount])</f>
        <v>79334</v>
      </c>
      <c r="AB152" s="275"/>
      <c r="AC152" s="270" t="s">
        <v>263</v>
      </c>
      <c r="AD152" s="270" t="s">
        <v>5700</v>
      </c>
      <c r="AE152" s="264">
        <v>9</v>
      </c>
      <c r="AF152" s="271"/>
      <c r="AG152" s="278"/>
      <c r="AH152" s="277" t="str">
        <f>CONCATENATE(YEAR(TAB_Offres[[#This Row],[Request date ]]),"-",MONTH(TAB_Offres[[#This Row],[Request date ]]))</f>
        <v>1900-1</v>
      </c>
      <c r="AI152" s="274" t="e">
        <f>IF(#REF!,1,0)</f>
        <v>#REF!</v>
      </c>
      <c r="AJ152" s="4"/>
      <c r="AK152" s="4"/>
      <c r="AL152" s="4"/>
      <c r="AN152" s="150"/>
      <c r="AQ152" s="4"/>
    </row>
    <row r="153" spans="1:43" x14ac:dyDescent="0.25">
      <c r="A153" s="258">
        <f>ROW(TAB_Offres[[#This Row],[Reference]])-ROW(TAB_Offres[[#Headers],[ID]])</f>
        <v>152</v>
      </c>
      <c r="B153" s="258" t="s">
        <v>139</v>
      </c>
      <c r="C153" s="258" t="s">
        <v>143</v>
      </c>
      <c r="D153" s="258" t="s">
        <v>5802</v>
      </c>
      <c r="E153" s="263" t="s">
        <v>6041</v>
      </c>
      <c r="F153" s="258"/>
      <c r="G153" s="263" t="s">
        <v>54</v>
      </c>
      <c r="H153" s="262" t="s">
        <v>203</v>
      </c>
      <c r="I153" s="262" t="s">
        <v>222</v>
      </c>
      <c r="J153" s="262" t="s">
        <v>445</v>
      </c>
      <c r="K153" s="262"/>
      <c r="L153" s="262" t="s">
        <v>225</v>
      </c>
      <c r="M153" s="264"/>
      <c r="N153" s="262"/>
      <c r="O153" s="262" t="s">
        <v>338</v>
      </c>
      <c r="P153" s="262" t="s">
        <v>346</v>
      </c>
      <c r="Q153" s="263"/>
      <c r="R153" s="263"/>
      <c r="S153" s="292"/>
      <c r="T153" s="261"/>
      <c r="U153" s="261"/>
      <c r="V153" s="268">
        <v>45526</v>
      </c>
      <c r="W153" s="268">
        <v>45526</v>
      </c>
      <c r="X153" s="268">
        <v>45531</v>
      </c>
      <c r="Y153" s="268">
        <v>45930</v>
      </c>
      <c r="Z153" s="471">
        <f>SUMIF(TAB_CS[Reference],TAB_Offres[[#This Row],[Reference]],TAB_CS[Commited days])</f>
        <v>100</v>
      </c>
      <c r="AA153" s="269">
        <f>SUMIF(TAB_CS[Reference],TAB_Offres[[#This Row],[Reference]],TAB_CS[Commited amount])</f>
        <v>79334</v>
      </c>
      <c r="AB153" s="275"/>
      <c r="AC153" s="270" t="s">
        <v>284</v>
      </c>
      <c r="AD153" s="270" t="s">
        <v>5700</v>
      </c>
      <c r="AE153" s="264">
        <v>9</v>
      </c>
      <c r="AF153" s="271"/>
      <c r="AG153" s="278"/>
      <c r="AH153" s="277" t="str">
        <f>CONCATENATE(YEAR(TAB_Offres[[#This Row],[Request date ]]),"-",MONTH(TAB_Offres[[#This Row],[Request date ]]))</f>
        <v>1900-1</v>
      </c>
      <c r="AI153" s="274" t="e">
        <f>IF(#REF!,1,0)</f>
        <v>#REF!</v>
      </c>
      <c r="AJ153" s="4"/>
      <c r="AK153" s="4"/>
      <c r="AL153" s="4"/>
      <c r="AN153" s="150"/>
      <c r="AQ153" s="4"/>
    </row>
    <row r="154" spans="1:43" x14ac:dyDescent="0.25">
      <c r="A154" s="258">
        <f>ROW(TAB_Offres[[#This Row],[Reference]])-ROW(TAB_Offres[[#Headers],[ID]])</f>
        <v>153</v>
      </c>
      <c r="B154" s="258" t="s">
        <v>138</v>
      </c>
      <c r="C154" s="258" t="s">
        <v>143</v>
      </c>
      <c r="D154" s="258" t="s">
        <v>5551</v>
      </c>
      <c r="E154" s="263" t="s">
        <v>6042</v>
      </c>
      <c r="F154" s="258"/>
      <c r="G154" s="263" t="s">
        <v>5479</v>
      </c>
      <c r="H154" s="262" t="s">
        <v>85</v>
      </c>
      <c r="I154" s="262" t="s">
        <v>167</v>
      </c>
      <c r="J154" s="262" t="s">
        <v>445</v>
      </c>
      <c r="K154" s="262"/>
      <c r="L154" s="262" t="s">
        <v>225</v>
      </c>
      <c r="M154" s="264"/>
      <c r="N154" s="262"/>
      <c r="O154" s="262" t="s">
        <v>338</v>
      </c>
      <c r="P154" s="262" t="s">
        <v>346</v>
      </c>
      <c r="Q154" s="263"/>
      <c r="R154" s="263"/>
      <c r="S154" s="292"/>
      <c r="T154" s="261"/>
      <c r="U154" s="261"/>
      <c r="V154" s="268">
        <v>45527</v>
      </c>
      <c r="W154" s="268">
        <v>45531</v>
      </c>
      <c r="X154" s="268">
        <v>45531</v>
      </c>
      <c r="Y154" s="268">
        <v>45930</v>
      </c>
      <c r="Z154" s="471">
        <f>SUMIF(TAB_CS[Reference],TAB_Offres[[#This Row],[Reference]],TAB_CS[Commited days])</f>
        <v>140</v>
      </c>
      <c r="AA154" s="269">
        <f>SUMIF(TAB_CS[Reference],TAB_Offres[[#This Row],[Reference]],TAB_CS[Commited amount])</f>
        <v>68115.600000000006</v>
      </c>
      <c r="AB154" s="275"/>
      <c r="AC154" s="270" t="s">
        <v>6043</v>
      </c>
      <c r="AD154" s="270" t="s">
        <v>6044</v>
      </c>
      <c r="AE154" s="264">
        <v>10</v>
      </c>
      <c r="AF154" s="271"/>
      <c r="AG154" s="278"/>
      <c r="AH154" s="277" t="str">
        <f>CONCATENATE(YEAR(TAB_Offres[[#This Row],[Request date ]]),"-",MONTH(TAB_Offres[[#This Row],[Request date ]]))</f>
        <v>1900-1</v>
      </c>
      <c r="AI154" s="274" t="e">
        <f>IF(#REF!,1,0)</f>
        <v>#REF!</v>
      </c>
      <c r="AJ154" s="4"/>
      <c r="AK154" s="4"/>
      <c r="AL154" s="4"/>
      <c r="AN154" s="150"/>
      <c r="AQ154" s="4"/>
    </row>
    <row r="155" spans="1:43" x14ac:dyDescent="0.25">
      <c r="A155" s="258">
        <f>ROW(TAB_Offres[[#This Row],[Reference]])-ROW(TAB_Offres[[#Headers],[ID]])</f>
        <v>154</v>
      </c>
      <c r="B155" s="258" t="s">
        <v>138</v>
      </c>
      <c r="C155" s="258" t="s">
        <v>143</v>
      </c>
      <c r="D155" s="258" t="s">
        <v>250</v>
      </c>
      <c r="E155" s="263" t="s">
        <v>6045</v>
      </c>
      <c r="F155" s="258"/>
      <c r="G155" s="263" t="s">
        <v>6046</v>
      </c>
      <c r="H155" s="262" t="s">
        <v>87</v>
      </c>
      <c r="I155" s="262" t="s">
        <v>167</v>
      </c>
      <c r="J155" s="262" t="s">
        <v>445</v>
      </c>
      <c r="K155" s="262"/>
      <c r="L155" s="262" t="s">
        <v>225</v>
      </c>
      <c r="M155" s="264"/>
      <c r="N155" s="262"/>
      <c r="O155" s="262" t="s">
        <v>338</v>
      </c>
      <c r="P155" s="262" t="s">
        <v>346</v>
      </c>
      <c r="Q155" s="263"/>
      <c r="R155" s="263"/>
      <c r="S155" s="292"/>
      <c r="T155" s="261"/>
      <c r="U155" s="261"/>
      <c r="V155" s="268">
        <v>45533</v>
      </c>
      <c r="W155" s="268">
        <v>45534</v>
      </c>
      <c r="X155" s="268">
        <v>45534</v>
      </c>
      <c r="Y155" s="268">
        <v>45688</v>
      </c>
      <c r="Z155" s="471">
        <f>SUMIF(TAB_CS[Reference],TAB_Offres[[#This Row],[Reference]],TAB_CS[Commited days])</f>
        <v>86</v>
      </c>
      <c r="AA155" s="269">
        <f>SUMIF(TAB_CS[Reference],TAB_Offres[[#This Row],[Reference]],TAB_CS[Commited amount])</f>
        <v>24811</v>
      </c>
      <c r="AB155" s="275"/>
      <c r="AC155" s="270" t="s">
        <v>5488</v>
      </c>
      <c r="AD155" s="270" t="s">
        <v>6047</v>
      </c>
      <c r="AE155" s="264">
        <v>3</v>
      </c>
      <c r="AF155" s="271"/>
      <c r="AG155" s="278"/>
      <c r="AH155" s="277" t="str">
        <f>CONCATENATE(YEAR(TAB_Offres[[#This Row],[Request date ]]),"-",MONTH(TAB_Offres[[#This Row],[Request date ]]))</f>
        <v>1900-1</v>
      </c>
      <c r="AI155" s="274" t="e">
        <f>IF(#REF!,1,0)</f>
        <v>#REF!</v>
      </c>
      <c r="AJ155" s="4"/>
      <c r="AK155" s="4"/>
      <c r="AL155" s="4"/>
      <c r="AN155" s="150"/>
      <c r="AQ155" s="4"/>
    </row>
    <row r="156" spans="1:43" x14ac:dyDescent="0.25">
      <c r="A156" s="258">
        <f>ROW(TAB_Offres[[#This Row],[Reference]])-ROW(TAB_Offres[[#Headers],[ID]])</f>
        <v>155</v>
      </c>
      <c r="B156" s="258" t="s">
        <v>138</v>
      </c>
      <c r="C156" s="258" t="s">
        <v>152</v>
      </c>
      <c r="D156" s="258" t="s">
        <v>152</v>
      </c>
      <c r="E156" s="263" t="s">
        <v>6054</v>
      </c>
      <c r="F156" s="258"/>
      <c r="G156" s="263" t="s">
        <v>5479</v>
      </c>
      <c r="H156" s="262" t="s">
        <v>86</v>
      </c>
      <c r="I156" s="262" t="s">
        <v>222</v>
      </c>
      <c r="J156" s="262" t="s">
        <v>445</v>
      </c>
      <c r="K156" s="262"/>
      <c r="L156" s="262" t="s">
        <v>225</v>
      </c>
      <c r="M156" s="264"/>
      <c r="N156" s="262"/>
      <c r="O156" s="262" t="s">
        <v>338</v>
      </c>
      <c r="P156" s="262" t="s">
        <v>346</v>
      </c>
      <c r="Q156" s="263"/>
      <c r="R156" s="263"/>
      <c r="S156" s="292"/>
      <c r="T156" s="261"/>
      <c r="U156" s="261"/>
      <c r="V156" s="268">
        <v>45540</v>
      </c>
      <c r="W156" s="268">
        <v>45546</v>
      </c>
      <c r="X156" s="268">
        <v>45546</v>
      </c>
      <c r="Y156" s="268">
        <v>45412</v>
      </c>
      <c r="Z156" s="471">
        <f>SUMIF(TAB_CS[Reference],TAB_Offres[[#This Row],[Reference]],TAB_CS[Commited days])</f>
        <v>110</v>
      </c>
      <c r="AA156" s="269">
        <f>SUMIF(TAB_CS[Reference],TAB_Offres[[#This Row],[Reference]],TAB_CS[Commited amount])</f>
        <v>66640.200000000012</v>
      </c>
      <c r="AB156" s="275"/>
      <c r="AC156" s="270" t="s">
        <v>548</v>
      </c>
      <c r="AD156" s="270" t="s">
        <v>5686</v>
      </c>
      <c r="AE156" s="264">
        <v>8</v>
      </c>
      <c r="AF156" s="271"/>
      <c r="AG156" s="278"/>
      <c r="AH156" s="277" t="str">
        <f>CONCATENATE(YEAR(TAB_Offres[[#This Row],[Request date ]]),"-",MONTH(TAB_Offres[[#This Row],[Request date ]]))</f>
        <v>1900-1</v>
      </c>
      <c r="AI156" s="274" t="e">
        <f>IF(#REF!,1,0)</f>
        <v>#REF!</v>
      </c>
      <c r="AJ156" s="4"/>
      <c r="AK156" s="4"/>
      <c r="AL156" s="4"/>
      <c r="AN156" s="150"/>
      <c r="AQ156" s="4"/>
    </row>
    <row r="157" spans="1:43" x14ac:dyDescent="0.25">
      <c r="A157" s="258">
        <f>ROW(TAB_Offres[[#This Row],[Reference]])-ROW(TAB_Offres[[#Headers],[ID]])</f>
        <v>156</v>
      </c>
      <c r="B157" s="258" t="s">
        <v>138</v>
      </c>
      <c r="C157" s="258" t="s">
        <v>143</v>
      </c>
      <c r="D157" s="258" t="s">
        <v>255</v>
      </c>
      <c r="E157" s="263" t="s">
        <v>6055</v>
      </c>
      <c r="F157" s="258"/>
      <c r="G157" s="263" t="s">
        <v>5479</v>
      </c>
      <c r="H157" s="262" t="s">
        <v>86</v>
      </c>
      <c r="I157" s="262" t="s">
        <v>222</v>
      </c>
      <c r="J157" s="262" t="s">
        <v>445</v>
      </c>
      <c r="K157" s="262"/>
      <c r="L157" s="262" t="s">
        <v>225</v>
      </c>
      <c r="M157" s="264"/>
      <c r="N157" s="262"/>
      <c r="O157" s="262" t="s">
        <v>338</v>
      </c>
      <c r="P157" s="262" t="s">
        <v>346</v>
      </c>
      <c r="Q157" s="263"/>
      <c r="R157" s="263"/>
      <c r="S157" s="292"/>
      <c r="T157" s="261"/>
      <c r="U157" s="261"/>
      <c r="V157" s="268">
        <v>45540</v>
      </c>
      <c r="W157" s="268">
        <v>45541</v>
      </c>
      <c r="X157" s="268">
        <v>45541</v>
      </c>
      <c r="Y157" s="268">
        <v>46022</v>
      </c>
      <c r="Z157" s="471">
        <f>SUMIF(TAB_CS[Reference],TAB_Offres[[#This Row],[Reference]],TAB_CS[Commited days])</f>
        <v>220</v>
      </c>
      <c r="AA157" s="269">
        <f>SUMIF(TAB_CS[Reference],TAB_Offres[[#This Row],[Reference]],TAB_CS[Commited amount])</f>
        <v>152594.20000000001</v>
      </c>
      <c r="AB157" s="275"/>
      <c r="AC157" s="270" t="s">
        <v>5503</v>
      </c>
      <c r="AD157" s="270" t="s">
        <v>5686</v>
      </c>
      <c r="AE157" s="264">
        <v>10</v>
      </c>
      <c r="AF157" s="271"/>
      <c r="AG157" s="278"/>
      <c r="AH157" s="277" t="str">
        <f>CONCATENATE(YEAR(TAB_Offres[[#This Row],[Request date ]]),"-",MONTH(TAB_Offres[[#This Row],[Request date ]]))</f>
        <v>1900-1</v>
      </c>
      <c r="AI157" s="274" t="e">
        <f>IF(#REF!,1,0)</f>
        <v>#REF!</v>
      </c>
      <c r="AJ157" s="4"/>
      <c r="AK157" s="4"/>
      <c r="AL157" s="4"/>
      <c r="AN157" s="150"/>
      <c r="AQ157" s="4"/>
    </row>
    <row r="158" spans="1:43" x14ac:dyDescent="0.25">
      <c r="A158" s="258">
        <f>ROW(TAB_Offres[[#This Row],[Reference]])-ROW(TAB_Offres[[#Headers],[ID]])</f>
        <v>157</v>
      </c>
      <c r="B158" s="258" t="s">
        <v>140</v>
      </c>
      <c r="C158" s="258" t="s">
        <v>143</v>
      </c>
      <c r="D158" s="258" t="s">
        <v>250</v>
      </c>
      <c r="E158" s="263" t="s">
        <v>6070</v>
      </c>
      <c r="F158" s="258"/>
      <c r="G158" s="263" t="s">
        <v>6071</v>
      </c>
      <c r="H158" s="262" t="s">
        <v>86</v>
      </c>
      <c r="I158" s="262" t="s">
        <v>167</v>
      </c>
      <c r="J158" s="262" t="s">
        <v>445</v>
      </c>
      <c r="K158" s="262"/>
      <c r="L158" s="262" t="s">
        <v>225</v>
      </c>
      <c r="M158" s="264"/>
      <c r="N158" s="262"/>
      <c r="O158" s="262" t="s">
        <v>338</v>
      </c>
      <c r="P158" s="262" t="s">
        <v>345</v>
      </c>
      <c r="Q158" s="263"/>
      <c r="R158" s="263"/>
      <c r="S158" s="292"/>
      <c r="T158" s="261"/>
      <c r="U158" s="261"/>
      <c r="V158" s="268">
        <v>45260</v>
      </c>
      <c r="W158" s="268">
        <v>45260</v>
      </c>
      <c r="X158" s="268">
        <v>45260</v>
      </c>
      <c r="Y158" s="602"/>
      <c r="Z158" s="471">
        <f>SUMIF(TAB_CS[Reference],TAB_Offres[[#This Row],[Reference]],TAB_CS[Commited days])</f>
        <v>0</v>
      </c>
      <c r="AA158" s="269">
        <f>SUMIF(TAB_CS[Reference],TAB_Offres[[#This Row],[Reference]],TAB_CS[Commited amount])</f>
        <v>0</v>
      </c>
      <c r="AB158" s="275"/>
      <c r="AC158" s="270" t="s">
        <v>296</v>
      </c>
      <c r="AD158" s="270" t="s">
        <v>124</v>
      </c>
      <c r="AE158" s="264">
        <v>8</v>
      </c>
      <c r="AF158" s="271"/>
      <c r="AG158" s="278"/>
      <c r="AH158" s="277" t="str">
        <f>CONCATENATE(YEAR(TAB_Offres[[#This Row],[Request date ]]),"-",MONTH(TAB_Offres[[#This Row],[Request date ]]))</f>
        <v>1900-1</v>
      </c>
      <c r="AI158" s="274" t="e">
        <f>IF(#REF!,1,0)</f>
        <v>#REF!</v>
      </c>
      <c r="AJ158" s="4"/>
      <c r="AK158" s="4"/>
      <c r="AL158" s="4"/>
      <c r="AN158" s="150"/>
      <c r="AQ158" s="4"/>
    </row>
    <row r="159" spans="1:43" x14ac:dyDescent="0.25">
      <c r="A159" s="258">
        <f>ROW(TAB_Offres[[#This Row],[Reference]])-ROW(TAB_Offres[[#Headers],[ID]])</f>
        <v>158</v>
      </c>
      <c r="B159" s="258" t="s">
        <v>139</v>
      </c>
      <c r="C159" s="258" t="s">
        <v>143</v>
      </c>
      <c r="D159" s="258" t="s">
        <v>5802</v>
      </c>
      <c r="E159" s="263" t="s">
        <v>6072</v>
      </c>
      <c r="F159" s="258"/>
      <c r="G159" s="263" t="s">
        <v>6074</v>
      </c>
      <c r="H159" s="262"/>
      <c r="I159" s="262"/>
      <c r="J159" s="262" t="s">
        <v>445</v>
      </c>
      <c r="K159" s="262"/>
      <c r="L159" s="262" t="s">
        <v>225</v>
      </c>
      <c r="M159" s="264"/>
      <c r="N159" s="262"/>
      <c r="O159" s="262" t="s">
        <v>338</v>
      </c>
      <c r="P159" s="262" t="s">
        <v>345</v>
      </c>
      <c r="Q159" s="263"/>
      <c r="R159" s="263"/>
      <c r="S159" s="292"/>
      <c r="T159" s="261"/>
      <c r="U159" s="261"/>
      <c r="V159" s="268">
        <v>45553</v>
      </c>
      <c r="W159" s="268">
        <v>45553</v>
      </c>
      <c r="X159" s="268">
        <v>45553</v>
      </c>
      <c r="Y159" s="268">
        <v>45838</v>
      </c>
      <c r="Z159" s="471">
        <f>SUMIF(TAB_CS[Reference],TAB_Offres[[#This Row],[Reference]],TAB_CS[Commited days])</f>
        <v>0</v>
      </c>
      <c r="AA159" s="269">
        <f>SUMIF(TAB_CS[Reference],TAB_Offres[[#This Row],[Reference]],TAB_CS[Commited amount])</f>
        <v>0</v>
      </c>
      <c r="AB159" s="275"/>
      <c r="AC159" s="604" t="s">
        <v>6073</v>
      </c>
      <c r="AD159" s="270"/>
      <c r="AE159" s="264"/>
      <c r="AF159" s="271"/>
      <c r="AG159" s="278"/>
      <c r="AH159" s="277" t="str">
        <f>CONCATENATE(YEAR(TAB_Offres[[#This Row],[Request date ]]),"-",MONTH(TAB_Offres[[#This Row],[Request date ]]))</f>
        <v>1900-1</v>
      </c>
      <c r="AI159" s="274" t="e">
        <f>IF(#REF!,1,0)</f>
        <v>#REF!</v>
      </c>
      <c r="AJ159" s="4"/>
      <c r="AK159" s="4"/>
      <c r="AL159" s="4"/>
      <c r="AN159" s="150"/>
      <c r="AQ159" s="4"/>
    </row>
    <row r="160" spans="1:43" x14ac:dyDescent="0.25">
      <c r="A160" s="258">
        <f>ROW(TAB_Offres[[#This Row],[Reference]])-ROW(TAB_Offres[[#Headers],[ID]])</f>
        <v>159</v>
      </c>
      <c r="B160" s="258" t="s">
        <v>140</v>
      </c>
      <c r="C160" s="258" t="s">
        <v>143</v>
      </c>
      <c r="D160" s="258" t="s">
        <v>250</v>
      </c>
      <c r="E160" s="263" t="s">
        <v>6082</v>
      </c>
      <c r="F160" s="258"/>
      <c r="G160" s="263" t="s">
        <v>6083</v>
      </c>
      <c r="H160" s="262" t="s">
        <v>85</v>
      </c>
      <c r="I160" s="262" t="s">
        <v>222</v>
      </c>
      <c r="J160" s="262" t="s">
        <v>445</v>
      </c>
      <c r="K160" s="262"/>
      <c r="L160" s="262" t="s">
        <v>225</v>
      </c>
      <c r="M160" s="264"/>
      <c r="N160" s="262"/>
      <c r="O160" s="262" t="s">
        <v>338</v>
      </c>
      <c r="P160" s="262" t="s">
        <v>346</v>
      </c>
      <c r="Q160" s="263"/>
      <c r="R160" s="263"/>
      <c r="S160" s="292"/>
      <c r="T160" s="261"/>
      <c r="U160" s="261"/>
      <c r="V160" s="268">
        <v>45560</v>
      </c>
      <c r="W160" s="268">
        <v>45560</v>
      </c>
      <c r="X160" s="268">
        <v>45560</v>
      </c>
      <c r="Y160" s="268">
        <v>45961</v>
      </c>
      <c r="Z160" s="471">
        <f>SUMIF(TAB_CS[Reference],TAB_Offres[[#This Row],[Reference]],TAB_CS[Commited days])</f>
        <v>180</v>
      </c>
      <c r="AA160" s="269">
        <f>SUMIF(TAB_CS[Reference],TAB_Offres[[#This Row],[Reference]],TAB_CS[Commited amount])</f>
        <v>120310.2</v>
      </c>
      <c r="AB160" s="275"/>
      <c r="AC160" s="270" t="s">
        <v>6084</v>
      </c>
      <c r="AD160" s="270" t="s">
        <v>5749</v>
      </c>
      <c r="AE160" s="264">
        <v>8</v>
      </c>
      <c r="AF160" s="271"/>
      <c r="AG160" s="278"/>
      <c r="AH160" s="277" t="str">
        <f>CONCATENATE(YEAR(TAB_Offres[[#This Row],[Request date ]]),"-",MONTH(TAB_Offres[[#This Row],[Request date ]]))</f>
        <v>1900-1</v>
      </c>
      <c r="AI160" s="274" t="e">
        <f>IF(#REF!,1,0)</f>
        <v>#REF!</v>
      </c>
      <c r="AJ160" s="4"/>
      <c r="AK160" s="4"/>
      <c r="AL160" s="4"/>
      <c r="AN160" s="150"/>
      <c r="AQ160" s="4"/>
    </row>
    <row r="161" spans="1:43" x14ac:dyDescent="0.25">
      <c r="A161" s="258">
        <f>ROW(TAB_Offres[[#This Row],[Reference]])-ROW(TAB_Offres[[#Headers],[ID]])</f>
        <v>160</v>
      </c>
      <c r="B161" s="258" t="s">
        <v>140</v>
      </c>
      <c r="C161" s="258" t="s">
        <v>143</v>
      </c>
      <c r="D161" s="258" t="s">
        <v>251</v>
      </c>
      <c r="E161" s="263" t="s">
        <v>6086</v>
      </c>
      <c r="F161" s="258"/>
      <c r="G161" s="263" t="s">
        <v>5771</v>
      </c>
      <c r="H161" s="262" t="s">
        <v>203</v>
      </c>
      <c r="I161" s="262" t="s">
        <v>166</v>
      </c>
      <c r="J161" s="262" t="s">
        <v>445</v>
      </c>
      <c r="K161" s="262"/>
      <c r="L161" s="262" t="s">
        <v>225</v>
      </c>
      <c r="M161" s="264"/>
      <c r="N161" s="262"/>
      <c r="O161" s="262" t="s">
        <v>338</v>
      </c>
      <c r="P161" s="262" t="s">
        <v>346</v>
      </c>
      <c r="Q161" s="263"/>
      <c r="R161" s="263"/>
      <c r="S161" s="292"/>
      <c r="T161" s="261"/>
      <c r="U161" s="261"/>
      <c r="V161" s="268">
        <v>45561</v>
      </c>
      <c r="W161" s="268">
        <v>45562</v>
      </c>
      <c r="X161" s="268">
        <v>45562</v>
      </c>
      <c r="Y161" s="268">
        <v>45900</v>
      </c>
      <c r="Z161" s="471">
        <f>SUMIF(TAB_CS[Reference],TAB_Offres[[#This Row],[Reference]],TAB_CS[Commited days])</f>
        <v>135.5</v>
      </c>
      <c r="AA161" s="269">
        <f>SUMIF(TAB_CS[Reference],TAB_Offres[[#This Row],[Reference]],TAB_CS[Commited amount])</f>
        <v>123439.145</v>
      </c>
      <c r="AB161" s="275"/>
      <c r="AC161" s="270" t="s">
        <v>6087</v>
      </c>
      <c r="AD161" s="270" t="s">
        <v>5745</v>
      </c>
      <c r="AE161" s="264">
        <v>10</v>
      </c>
      <c r="AF161" s="271"/>
      <c r="AG161" s="278"/>
      <c r="AH161" s="277" t="str">
        <f>CONCATENATE(YEAR(TAB_Offres[[#This Row],[Request date ]]),"-",MONTH(TAB_Offres[[#This Row],[Request date ]]))</f>
        <v>1900-1</v>
      </c>
      <c r="AI161" s="274" t="e">
        <f>IF(#REF!,1,0)</f>
        <v>#REF!</v>
      </c>
      <c r="AJ161" s="4"/>
      <c r="AK161" s="4"/>
      <c r="AL161" s="4"/>
      <c r="AN161" s="150"/>
      <c r="AQ161" s="4"/>
    </row>
    <row r="162" spans="1:43" x14ac:dyDescent="0.25">
      <c r="A162" s="258">
        <f>ROW(TAB_Offres[[#This Row],[Reference]])-ROW(TAB_Offres[[#Headers],[ID]])</f>
        <v>161</v>
      </c>
      <c r="B162" s="258" t="s">
        <v>139</v>
      </c>
      <c r="C162" s="258" t="s">
        <v>143</v>
      </c>
      <c r="D162" s="258" t="s">
        <v>5802</v>
      </c>
      <c r="E162" s="263" t="s">
        <v>6089</v>
      </c>
      <c r="F162" s="258"/>
      <c r="G162" s="263" t="s">
        <v>54</v>
      </c>
      <c r="H162" s="262" t="s">
        <v>203</v>
      </c>
      <c r="I162" s="262" t="s">
        <v>222</v>
      </c>
      <c r="J162" s="262" t="s">
        <v>445</v>
      </c>
      <c r="K162" s="262"/>
      <c r="L162" s="262" t="s">
        <v>225</v>
      </c>
      <c r="M162" s="264"/>
      <c r="N162" s="262"/>
      <c r="O162" s="262" t="s">
        <v>338</v>
      </c>
      <c r="P162" s="262" t="s">
        <v>346</v>
      </c>
      <c r="Q162" s="263"/>
      <c r="R162" s="263"/>
      <c r="S162" s="292"/>
      <c r="T162" s="261"/>
      <c r="U162" s="261"/>
      <c r="V162" s="268">
        <v>45565</v>
      </c>
      <c r="W162" s="268">
        <v>45565</v>
      </c>
      <c r="X162" s="268">
        <v>45565</v>
      </c>
      <c r="Y162" s="268">
        <v>45930</v>
      </c>
      <c r="Z162" s="471">
        <f>SUMIF(TAB_CS[Reference],TAB_Offres[[#This Row],[Reference]],TAB_CS[Commited days])</f>
        <v>110</v>
      </c>
      <c r="AA162" s="269">
        <f>SUMIF(TAB_CS[Reference],TAB_Offres[[#This Row],[Reference]],TAB_CS[Commited amount])</f>
        <v>87267.400000000009</v>
      </c>
      <c r="AB162" s="275"/>
      <c r="AC162" s="270" t="s">
        <v>308</v>
      </c>
      <c r="AD162" s="270" t="s">
        <v>5700</v>
      </c>
      <c r="AE162" s="264">
        <v>9</v>
      </c>
      <c r="AF162" s="271"/>
      <c r="AG162" s="278"/>
      <c r="AH162" s="277" t="str">
        <f>CONCATENATE(YEAR(TAB_Offres[[#This Row],[Request date ]]),"-",MONTH(TAB_Offres[[#This Row],[Request date ]]))</f>
        <v>1900-1</v>
      </c>
      <c r="AI162" s="274" t="e">
        <f>IF(#REF!,1,0)</f>
        <v>#REF!</v>
      </c>
      <c r="AJ162" s="4"/>
      <c r="AK162" s="4"/>
      <c r="AL162" s="4"/>
      <c r="AN162" s="150"/>
      <c r="AQ162" s="4"/>
    </row>
    <row r="163" spans="1:43" x14ac:dyDescent="0.25">
      <c r="A163" s="258">
        <f>ROW(TAB_Offres[[#This Row],[Reference]])-ROW(TAB_Offres[[#Headers],[ID]])</f>
        <v>162</v>
      </c>
      <c r="B163" s="258" t="s">
        <v>138</v>
      </c>
      <c r="C163" s="258" t="s">
        <v>143</v>
      </c>
      <c r="D163" s="258" t="s">
        <v>5460</v>
      </c>
      <c r="E163" s="263" t="s">
        <v>6091</v>
      </c>
      <c r="F163" s="258"/>
      <c r="G163" s="263" t="s">
        <v>5481</v>
      </c>
      <c r="H163" s="262" t="s">
        <v>203</v>
      </c>
      <c r="I163" s="262" t="s">
        <v>167</v>
      </c>
      <c r="J163" s="262" t="s">
        <v>445</v>
      </c>
      <c r="K163" s="262"/>
      <c r="L163" s="610" t="s">
        <v>225</v>
      </c>
      <c r="M163" s="264"/>
      <c r="N163" s="262"/>
      <c r="O163" s="262" t="s">
        <v>338</v>
      </c>
      <c r="P163" s="262" t="s">
        <v>346</v>
      </c>
      <c r="Q163" s="263"/>
      <c r="R163" s="263"/>
      <c r="S163" s="292"/>
      <c r="T163" s="261"/>
      <c r="U163" s="261"/>
      <c r="V163" s="268">
        <v>45568</v>
      </c>
      <c r="W163" s="268">
        <v>45568</v>
      </c>
      <c r="X163" s="268">
        <v>45568</v>
      </c>
      <c r="Y163" s="268">
        <v>45991</v>
      </c>
      <c r="Z163" s="471">
        <f>SUMIF(TAB_CS[Reference],TAB_Offres[[#This Row],[Reference]],TAB_CS[Commited days])</f>
        <v>190</v>
      </c>
      <c r="AA163" s="269">
        <f>SUMIF(TAB_CS[Reference],TAB_Offres[[#This Row],[Reference]],TAB_CS[Commited amount])</f>
        <v>106210</v>
      </c>
      <c r="AB163" s="275"/>
      <c r="AC163" s="270" t="s">
        <v>320</v>
      </c>
      <c r="AD163" s="270" t="s">
        <v>5812</v>
      </c>
      <c r="AE163" s="264">
        <v>10</v>
      </c>
      <c r="AF163" s="271"/>
      <c r="AG163" s="278"/>
      <c r="AH163" s="277" t="str">
        <f>CONCATENATE(YEAR(TAB_Offres[[#This Row],[Request date ]]),"-",MONTH(TAB_Offres[[#This Row],[Request date ]]))</f>
        <v>1900-1</v>
      </c>
      <c r="AI163" s="274" t="e">
        <f>IF(#REF!,1,0)</f>
        <v>#REF!</v>
      </c>
      <c r="AJ163" s="4"/>
      <c r="AK163" s="4"/>
      <c r="AL163" s="4"/>
      <c r="AN163" s="150"/>
      <c r="AQ163" s="4"/>
    </row>
    <row r="164" spans="1:43" x14ac:dyDescent="0.25">
      <c r="A164" s="258">
        <f>ROW(TAB_Offres[[#This Row],[Reference]])-ROW(TAB_Offres[[#Headers],[ID]])</f>
        <v>163</v>
      </c>
      <c r="B164" s="258" t="s">
        <v>140</v>
      </c>
      <c r="C164" s="258" t="s">
        <v>143</v>
      </c>
      <c r="D164" s="258" t="s">
        <v>5463</v>
      </c>
      <c r="E164" s="263" t="s">
        <v>6095</v>
      </c>
      <c r="F164" s="258"/>
      <c r="G164" s="263" t="s">
        <v>5578</v>
      </c>
      <c r="H164" s="262" t="s">
        <v>87</v>
      </c>
      <c r="I164" s="262" t="s">
        <v>167</v>
      </c>
      <c r="J164" s="262" t="s">
        <v>445</v>
      </c>
      <c r="K164" s="262"/>
      <c r="L164" s="262" t="s">
        <v>225</v>
      </c>
      <c r="M164" s="264"/>
      <c r="N164" s="262"/>
      <c r="O164" s="262" t="s">
        <v>338</v>
      </c>
      <c r="P164" s="262" t="s">
        <v>346</v>
      </c>
      <c r="Q164" s="263"/>
      <c r="R164" s="263"/>
      <c r="S164" s="292"/>
      <c r="T164" s="261"/>
      <c r="U164" s="261"/>
      <c r="V164" s="268">
        <v>45579</v>
      </c>
      <c r="W164" s="268">
        <v>45579</v>
      </c>
      <c r="X164" s="268">
        <v>45579</v>
      </c>
      <c r="Y164" s="268">
        <v>45930</v>
      </c>
      <c r="Z164" s="471">
        <f>SUMIF(TAB_CS[Reference],TAB_Offres[[#This Row],[Reference]],TAB_CS[Commited days])</f>
        <v>110</v>
      </c>
      <c r="AA164" s="269">
        <f>SUMIF(TAB_CS[Reference],TAB_Offres[[#This Row],[Reference]],TAB_CS[Commited amount])</f>
        <v>58106.400000000001</v>
      </c>
      <c r="AB164" s="275"/>
      <c r="AC164" s="270" t="s">
        <v>5890</v>
      </c>
      <c r="AD164" s="270" t="s">
        <v>5754</v>
      </c>
      <c r="AE164" s="264">
        <v>9</v>
      </c>
      <c r="AF164" s="271"/>
      <c r="AG164" s="278"/>
      <c r="AH164" s="277" t="str">
        <f>CONCATENATE(YEAR(TAB_Offres[[#This Row],[Request date ]]),"-",MONTH(TAB_Offres[[#This Row],[Request date ]]))</f>
        <v>1900-1</v>
      </c>
      <c r="AI164" s="274" t="e">
        <f>IF(#REF!,1,0)</f>
        <v>#REF!</v>
      </c>
      <c r="AJ164" s="4"/>
      <c r="AK164" s="4"/>
      <c r="AL164" s="4"/>
      <c r="AN164" s="150"/>
      <c r="AQ164" s="4"/>
    </row>
    <row r="165" spans="1:43" x14ac:dyDescent="0.25">
      <c r="A165" s="258">
        <f>ROW(TAB_Offres[[#This Row],[Reference]])-ROW(TAB_Offres[[#Headers],[ID]])</f>
        <v>164</v>
      </c>
      <c r="B165" s="258" t="s">
        <v>138</v>
      </c>
      <c r="C165" s="258" t="s">
        <v>143</v>
      </c>
      <c r="D165" s="258" t="s">
        <v>5551</v>
      </c>
      <c r="E165" s="263" t="s">
        <v>6096</v>
      </c>
      <c r="F165" s="258"/>
      <c r="G165" s="263" t="s">
        <v>5479</v>
      </c>
      <c r="H165" s="262" t="s">
        <v>86</v>
      </c>
      <c r="I165" s="262" t="s">
        <v>222</v>
      </c>
      <c r="J165" s="262" t="s">
        <v>445</v>
      </c>
      <c r="K165" s="262"/>
      <c r="L165" s="262" t="s">
        <v>225</v>
      </c>
      <c r="M165" s="264"/>
      <c r="N165" s="262"/>
      <c r="O165" s="262" t="s">
        <v>338</v>
      </c>
      <c r="P165" s="262" t="s">
        <v>346</v>
      </c>
      <c r="Q165" s="263"/>
      <c r="R165" s="263"/>
      <c r="S165" s="292"/>
      <c r="T165" s="261"/>
      <c r="U165" s="261"/>
      <c r="V165" s="268">
        <v>45581</v>
      </c>
      <c r="W165" s="268">
        <v>45582</v>
      </c>
      <c r="X165" s="268">
        <v>45582</v>
      </c>
      <c r="Y165" s="268">
        <v>45930</v>
      </c>
      <c r="Z165" s="471">
        <f>SUMIF(TAB_CS[Reference],TAB_Offres[[#This Row],[Reference]],TAB_CS[Commited days])</f>
        <v>98.5</v>
      </c>
      <c r="AA165" s="269">
        <f>SUMIF(TAB_CS[Reference],TAB_Offres[[#This Row],[Reference]],TAB_CS[Commited amount])</f>
        <v>68320.585000000006</v>
      </c>
      <c r="AB165" s="275"/>
      <c r="AC165" s="270" t="s">
        <v>259</v>
      </c>
      <c r="AD165" s="270" t="s">
        <v>5686</v>
      </c>
      <c r="AE165" s="264">
        <v>10</v>
      </c>
      <c r="AF165" s="271"/>
      <c r="AG165" s="278"/>
      <c r="AH165" s="277" t="str">
        <f>CONCATENATE(YEAR(TAB_Offres[[#This Row],[Request date ]]),"-",MONTH(TAB_Offres[[#This Row],[Request date ]]))</f>
        <v>1900-1</v>
      </c>
      <c r="AI165" s="274" t="e">
        <f>IF(#REF!,1,0)</f>
        <v>#REF!</v>
      </c>
      <c r="AJ165" s="4"/>
      <c r="AK165" s="4"/>
      <c r="AL165" s="4"/>
      <c r="AN165" s="150"/>
      <c r="AQ165" s="4"/>
    </row>
    <row r="166" spans="1:43" x14ac:dyDescent="0.25">
      <c r="A166" s="258">
        <f>ROW(TAB_Offres[[#This Row],[Reference]])-ROW(TAB_Offres[[#Headers],[ID]])</f>
        <v>165</v>
      </c>
      <c r="B166" s="258" t="s">
        <v>138</v>
      </c>
      <c r="C166" s="258" t="s">
        <v>143</v>
      </c>
      <c r="D166" s="258" t="s">
        <v>5802</v>
      </c>
      <c r="E166" s="263" t="s">
        <v>6103</v>
      </c>
      <c r="F166" s="258"/>
      <c r="G166" s="263" t="s">
        <v>5479</v>
      </c>
      <c r="H166" s="262" t="s">
        <v>86</v>
      </c>
      <c r="I166" s="262" t="s">
        <v>222</v>
      </c>
      <c r="J166" s="262" t="s">
        <v>445</v>
      </c>
      <c r="K166" s="262"/>
      <c r="L166" s="262" t="s">
        <v>225</v>
      </c>
      <c r="M166" s="264"/>
      <c r="N166" s="262"/>
      <c r="O166" s="262" t="s">
        <v>338</v>
      </c>
      <c r="P166" s="262" t="s">
        <v>346</v>
      </c>
      <c r="Q166" s="263"/>
      <c r="R166" s="263"/>
      <c r="S166" s="292"/>
      <c r="T166" s="261"/>
      <c r="U166" s="261"/>
      <c r="V166" s="268">
        <v>45596</v>
      </c>
      <c r="W166" s="268">
        <v>45600</v>
      </c>
      <c r="X166" s="268">
        <v>45600</v>
      </c>
      <c r="Y166" s="268">
        <v>45930</v>
      </c>
      <c r="Z166" s="471">
        <f>SUMIF(TAB_CS[Reference],TAB_Offres[[#This Row],[Reference]],TAB_CS[Commited days])</f>
        <v>100</v>
      </c>
      <c r="AA166" s="269">
        <f>SUMIF(TAB_CS[Reference],TAB_Offres[[#This Row],[Reference]],TAB_CS[Commited amount])</f>
        <v>56619.000000000007</v>
      </c>
      <c r="AB166" s="275"/>
      <c r="AC166" s="270" t="s">
        <v>6011</v>
      </c>
      <c r="AD166" s="270" t="s">
        <v>5686</v>
      </c>
      <c r="AE166" s="264">
        <v>7</v>
      </c>
      <c r="AF166" s="271"/>
      <c r="AG166" s="278"/>
      <c r="AH166" s="277" t="str">
        <f>CONCATENATE(YEAR(TAB_Offres[[#This Row],[Request date ]]),"-",MONTH(TAB_Offres[[#This Row],[Request date ]]))</f>
        <v>1900-1</v>
      </c>
      <c r="AI166" s="274" t="e">
        <f>IF(#REF!,1,0)</f>
        <v>#REF!</v>
      </c>
      <c r="AJ166" s="4"/>
      <c r="AK166" s="4"/>
      <c r="AL166" s="4"/>
      <c r="AN166" s="150"/>
      <c r="AQ166" s="4"/>
    </row>
    <row r="167" spans="1:43" x14ac:dyDescent="0.25">
      <c r="A167" s="258">
        <f>ROW(TAB_Offres[[#This Row],[Reference]])-ROW(TAB_Offres[[#Headers],[ID]])</f>
        <v>166</v>
      </c>
      <c r="B167" s="258" t="s">
        <v>138</v>
      </c>
      <c r="C167" s="258" t="s">
        <v>143</v>
      </c>
      <c r="D167" s="258" t="s">
        <v>5551</v>
      </c>
      <c r="E167" s="263" t="s">
        <v>6105</v>
      </c>
      <c r="F167" s="258"/>
      <c r="G167" s="263" t="s">
        <v>5481</v>
      </c>
      <c r="H167" s="262" t="s">
        <v>86</v>
      </c>
      <c r="I167" s="262" t="s">
        <v>167</v>
      </c>
      <c r="J167" s="262" t="s">
        <v>445</v>
      </c>
      <c r="K167" s="262"/>
      <c r="L167" s="262" t="s">
        <v>225</v>
      </c>
      <c r="M167" s="264"/>
      <c r="N167" s="262"/>
      <c r="O167" s="262" t="s">
        <v>338</v>
      </c>
      <c r="P167" s="262" t="s">
        <v>346</v>
      </c>
      <c r="Q167" s="263"/>
      <c r="R167" s="263"/>
      <c r="S167" s="292"/>
      <c r="T167" s="261"/>
      <c r="U167" s="261"/>
      <c r="V167" s="268">
        <v>45596</v>
      </c>
      <c r="W167" s="268">
        <v>45600</v>
      </c>
      <c r="X167" s="268">
        <v>45600</v>
      </c>
      <c r="Y167" s="268">
        <v>45930</v>
      </c>
      <c r="Z167" s="471">
        <f>SUMIF(TAB_CS[Reference],TAB_Offres[[#This Row],[Reference]],TAB_CS[Commited days])</f>
        <v>100</v>
      </c>
      <c r="AA167" s="269">
        <f>SUMIF(TAB_CS[Reference],TAB_Offres[[#This Row],[Reference]],TAB_CS[Commited amount])</f>
        <v>52242.999999999993</v>
      </c>
      <c r="AB167" s="275"/>
      <c r="AC167" s="270" t="s">
        <v>302</v>
      </c>
      <c r="AD167" s="270" t="s">
        <v>5812</v>
      </c>
      <c r="AE167" s="264">
        <v>9</v>
      </c>
      <c r="AF167" s="271"/>
      <c r="AG167" s="278"/>
      <c r="AH167" s="277" t="str">
        <f>CONCATENATE(YEAR(TAB_Offres[[#This Row],[Request date ]]),"-",MONTH(TAB_Offres[[#This Row],[Request date ]]))</f>
        <v>1900-1</v>
      </c>
      <c r="AI167" s="274" t="e">
        <f>IF(#REF!,1,0)</f>
        <v>#REF!</v>
      </c>
      <c r="AJ167" s="4"/>
      <c r="AK167" s="4"/>
      <c r="AL167" s="4"/>
      <c r="AN167" s="150"/>
      <c r="AQ167" s="4"/>
    </row>
    <row r="168" spans="1:43" x14ac:dyDescent="0.25">
      <c r="A168" s="258">
        <f>ROW(TAB_Offres[[#This Row],[Reference]])-ROW(TAB_Offres[[#Headers],[ID]])</f>
        <v>167</v>
      </c>
      <c r="B168" s="258" t="s">
        <v>138</v>
      </c>
      <c r="C168" s="258" t="s">
        <v>143</v>
      </c>
      <c r="D168" s="258" t="s">
        <v>5463</v>
      </c>
      <c r="E168" s="263" t="s">
        <v>6107</v>
      </c>
      <c r="F168" s="258"/>
      <c r="G168" s="263" t="s">
        <v>5481</v>
      </c>
      <c r="H168" s="262" t="s">
        <v>85</v>
      </c>
      <c r="I168" s="262" t="s">
        <v>166</v>
      </c>
      <c r="J168" s="262" t="s">
        <v>445</v>
      </c>
      <c r="K168" s="262"/>
      <c r="L168" s="262" t="s">
        <v>225</v>
      </c>
      <c r="M168" s="264"/>
      <c r="N168" s="262"/>
      <c r="O168" s="262" t="s">
        <v>338</v>
      </c>
      <c r="P168" s="262" t="s">
        <v>346</v>
      </c>
      <c r="Q168" s="263"/>
      <c r="R168" s="263"/>
      <c r="S168" s="292"/>
      <c r="T168" s="261"/>
      <c r="U168" s="261"/>
      <c r="V168" s="268">
        <v>45594</v>
      </c>
      <c r="W168" s="268">
        <v>45594</v>
      </c>
      <c r="X168" s="268">
        <v>45594</v>
      </c>
      <c r="Y168" s="268">
        <v>45930</v>
      </c>
      <c r="Z168" s="471">
        <f>SUMIF(TAB_CS[Reference],TAB_Offres[[#This Row],[Reference]],TAB_CS[Commited days])</f>
        <v>91</v>
      </c>
      <c r="AA168" s="269">
        <f>SUMIF(TAB_CS[Reference],TAB_Offres[[#This Row],[Reference]],TAB_CS[Commited amount])</f>
        <v>55623.75</v>
      </c>
      <c r="AB168" s="275"/>
      <c r="AC168" s="270" t="s">
        <v>5493</v>
      </c>
      <c r="AD168" s="270" t="s">
        <v>5687</v>
      </c>
      <c r="AE168" s="264">
        <v>8</v>
      </c>
      <c r="AF168" s="271"/>
      <c r="AG168" s="278"/>
      <c r="AH168" s="277" t="str">
        <f>CONCATENATE(YEAR(TAB_Offres[[#This Row],[Request date ]]),"-",MONTH(TAB_Offres[[#This Row],[Request date ]]))</f>
        <v>1900-1</v>
      </c>
      <c r="AI168" s="274" t="e">
        <f>IF(#REF!,1,0)</f>
        <v>#REF!</v>
      </c>
      <c r="AJ168" s="4"/>
      <c r="AK168" s="4"/>
      <c r="AL168" s="4"/>
      <c r="AN168" s="150"/>
      <c r="AQ168" s="4"/>
    </row>
    <row r="169" spans="1:43" x14ac:dyDescent="0.25">
      <c r="A169" s="258">
        <f>ROW(TAB_Offres[[#This Row],[Reference]])-ROW(TAB_Offres[[#Headers],[ID]])</f>
        <v>168</v>
      </c>
      <c r="B169" s="258" t="s">
        <v>138</v>
      </c>
      <c r="C169" s="258" t="s">
        <v>143</v>
      </c>
      <c r="D169" s="258" t="s">
        <v>5568</v>
      </c>
      <c r="E169" s="263" t="s">
        <v>6200</v>
      </c>
      <c r="F169" s="258"/>
      <c r="G169" s="263" t="s">
        <v>5481</v>
      </c>
      <c r="H169" s="262" t="s">
        <v>85</v>
      </c>
      <c r="I169" s="262" t="s">
        <v>167</v>
      </c>
      <c r="J169" s="262" t="s">
        <v>445</v>
      </c>
      <c r="K169" s="262"/>
      <c r="L169" s="262" t="s">
        <v>225</v>
      </c>
      <c r="M169" s="264"/>
      <c r="N169" s="262"/>
      <c r="O169" s="262" t="s">
        <v>338</v>
      </c>
      <c r="P169" s="262" t="s">
        <v>345</v>
      </c>
      <c r="Q169" s="263"/>
      <c r="R169" s="263"/>
      <c r="S169" s="292"/>
      <c r="T169" s="261"/>
      <c r="U169" s="261"/>
      <c r="V169" s="268">
        <v>45601</v>
      </c>
      <c r="W169" s="268">
        <v>45607</v>
      </c>
      <c r="X169" s="268">
        <v>45607</v>
      </c>
      <c r="Y169" s="268">
        <v>45808</v>
      </c>
      <c r="Z169" s="471">
        <f>SUMIF(TAB_CS[Reference],TAB_Offres[[#This Row],[Reference]],TAB_CS[Commited days])</f>
        <v>70</v>
      </c>
      <c r="AA169" s="269">
        <f>SUMIF(TAB_CS[Reference],TAB_Offres[[#This Row],[Reference]],TAB_CS[Commited amount])</f>
        <v>29852.199999999997</v>
      </c>
      <c r="AB169" s="275"/>
      <c r="AC169" s="270" t="s">
        <v>610</v>
      </c>
      <c r="AD169" s="270" t="s">
        <v>5812</v>
      </c>
      <c r="AE169" s="264">
        <v>6</v>
      </c>
      <c r="AF169" s="271"/>
      <c r="AG169" s="278"/>
      <c r="AH169" s="277" t="str">
        <f>CONCATENATE(YEAR(TAB_Offres[[#This Row],[Request date ]]),"-",MONTH(TAB_Offres[[#This Row],[Request date ]]))</f>
        <v>1900-1</v>
      </c>
      <c r="AI169" s="274" t="e">
        <f>IF(#REF!,1,0)</f>
        <v>#REF!</v>
      </c>
      <c r="AJ169" s="4"/>
      <c r="AK169" s="4"/>
      <c r="AL169" s="4"/>
      <c r="AN169" s="150"/>
      <c r="AQ169" s="4"/>
    </row>
    <row r="170" spans="1:43" x14ac:dyDescent="0.25">
      <c r="A170" s="258">
        <f>ROW(TAB_Offres[[#This Row],[Reference]])-ROW(TAB_Offres[[#Headers],[ID]])</f>
        <v>169</v>
      </c>
      <c r="B170" s="258" t="s">
        <v>140</v>
      </c>
      <c r="C170" s="258" t="s">
        <v>143</v>
      </c>
      <c r="D170" s="258" t="s">
        <v>251</v>
      </c>
      <c r="E170" s="263" t="s">
        <v>6203</v>
      </c>
      <c r="F170" s="258"/>
      <c r="G170" s="263" t="s">
        <v>5771</v>
      </c>
      <c r="H170" s="262" t="s">
        <v>203</v>
      </c>
      <c r="I170" s="262" t="s">
        <v>166</v>
      </c>
      <c r="J170" s="262" t="s">
        <v>445</v>
      </c>
      <c r="K170" s="262"/>
      <c r="L170" s="262" t="s">
        <v>225</v>
      </c>
      <c r="M170" s="264"/>
      <c r="N170" s="262"/>
      <c r="O170" s="262" t="s">
        <v>338</v>
      </c>
      <c r="P170" s="262" t="s">
        <v>346</v>
      </c>
      <c r="Q170" s="263"/>
      <c r="R170" s="263"/>
      <c r="S170" s="292"/>
      <c r="T170" s="261"/>
      <c r="U170" s="261"/>
      <c r="V170" s="268">
        <v>45607</v>
      </c>
      <c r="W170" s="602"/>
      <c r="X170" s="602"/>
      <c r="Y170" s="268">
        <v>46326</v>
      </c>
      <c r="Z170" s="471">
        <f>SUMIF(TAB_CS[Reference],TAB_Offres[[#This Row],[Reference]],TAB_CS[Commited days])</f>
        <v>150</v>
      </c>
      <c r="AA170" s="269">
        <f>SUMIF(TAB_CS[Reference],TAB_Offres[[#This Row],[Reference]],TAB_CS[Commited amount])</f>
        <v>140155.5</v>
      </c>
      <c r="AB170" s="275"/>
      <c r="AC170" s="270" t="s">
        <v>279</v>
      </c>
      <c r="AD170" s="270" t="s">
        <v>6176</v>
      </c>
      <c r="AE170" s="264">
        <v>10</v>
      </c>
      <c r="AF170" s="271"/>
      <c r="AG170" s="278"/>
      <c r="AH170" s="277" t="str">
        <f>CONCATENATE(YEAR(TAB_Offres[[#This Row],[Request date ]]),"-",MONTH(TAB_Offres[[#This Row],[Request date ]]))</f>
        <v>1900-1</v>
      </c>
      <c r="AI170" s="274" t="e">
        <f>IF(#REF!,1,0)</f>
        <v>#REF!</v>
      </c>
      <c r="AJ170" s="4"/>
      <c r="AK170" s="4"/>
      <c r="AL170" s="4"/>
      <c r="AN170" s="150"/>
      <c r="AQ170" s="4"/>
    </row>
    <row r="171" spans="1:43" x14ac:dyDescent="0.25">
      <c r="A171" s="258">
        <f>ROW(TAB_Offres[[#This Row],[Reference]])-ROW(TAB_Offres[[#Headers],[ID]])</f>
        <v>170</v>
      </c>
      <c r="B171" s="258" t="s">
        <v>140</v>
      </c>
      <c r="C171" s="258" t="s">
        <v>143</v>
      </c>
      <c r="D171" s="258" t="s">
        <v>251</v>
      </c>
      <c r="E171" s="263" t="s">
        <v>6205</v>
      </c>
      <c r="F171" s="258"/>
      <c r="G171" s="263" t="s">
        <v>5771</v>
      </c>
      <c r="H171" s="262" t="s">
        <v>203</v>
      </c>
      <c r="I171" s="262" t="s">
        <v>166</v>
      </c>
      <c r="J171" s="262" t="s">
        <v>445</v>
      </c>
      <c r="K171" s="262"/>
      <c r="L171" s="262" t="s">
        <v>225</v>
      </c>
      <c r="M171" s="264"/>
      <c r="N171" s="262"/>
      <c r="O171" s="262" t="s">
        <v>338</v>
      </c>
      <c r="P171" s="262" t="s">
        <v>346</v>
      </c>
      <c r="Q171" s="263"/>
      <c r="R171" s="263"/>
      <c r="S171" s="292"/>
      <c r="T171" s="261"/>
      <c r="U171" s="261"/>
      <c r="V171" s="268">
        <v>45607</v>
      </c>
      <c r="W171" s="602"/>
      <c r="X171" s="602"/>
      <c r="Y171" s="268">
        <v>46326</v>
      </c>
      <c r="Z171" s="471">
        <f>SUMIF(TAB_CS[Reference],TAB_Offres[[#This Row],[Reference]],TAB_CS[Commited days])</f>
        <v>150</v>
      </c>
      <c r="AA171" s="269">
        <f>SUMIF(TAB_CS[Reference],TAB_Offres[[#This Row],[Reference]],TAB_CS[Commited amount])</f>
        <v>140155.5</v>
      </c>
      <c r="AB171" s="275"/>
      <c r="AC171" s="270" t="s">
        <v>6087</v>
      </c>
      <c r="AD171" s="270" t="s">
        <v>6176</v>
      </c>
      <c r="AE171" s="264">
        <v>10</v>
      </c>
      <c r="AF171" s="271"/>
      <c r="AG171" s="278"/>
      <c r="AH171" s="277" t="str">
        <f>CONCATENATE(YEAR(TAB_Offres[[#This Row],[Request date ]]),"-",MONTH(TAB_Offres[[#This Row],[Request date ]]))</f>
        <v>1900-1</v>
      </c>
      <c r="AI171" s="274" t="e">
        <f>IF(#REF!,1,0)</f>
        <v>#REF!</v>
      </c>
      <c r="AJ171" s="4"/>
      <c r="AK171" s="4"/>
      <c r="AL171" s="4"/>
      <c r="AN171" s="150"/>
      <c r="AQ171" s="4"/>
    </row>
    <row r="172" spans="1:43" x14ac:dyDescent="0.25">
      <c r="A172" s="258">
        <f>ROW(TAB_Offres[[#This Row],[Reference]])-ROW(TAB_Offres[[#Headers],[ID]])</f>
        <v>171</v>
      </c>
      <c r="B172" s="258"/>
      <c r="C172" s="258"/>
      <c r="D172" s="258"/>
      <c r="E172" s="263"/>
      <c r="F172" s="258"/>
      <c r="G172" s="263"/>
      <c r="H172" s="262"/>
      <c r="I172" s="262"/>
      <c r="J172" s="262"/>
      <c r="K172" s="262"/>
      <c r="L172" s="262"/>
      <c r="M172" s="264"/>
      <c r="N172" s="262"/>
      <c r="O172" s="262"/>
      <c r="P172" s="262"/>
      <c r="Q172" s="263"/>
      <c r="R172" s="263"/>
      <c r="S172" s="292"/>
      <c r="T172" s="261"/>
      <c r="U172" s="261"/>
      <c r="V172" s="268"/>
      <c r="W172" s="268"/>
      <c r="X172" s="268"/>
      <c r="Y172" s="268"/>
      <c r="Z172" s="471">
        <f>SUMIF(TAB_CS[Reference],TAB_Offres[[#This Row],[Reference]],TAB_CS[Commited days])</f>
        <v>0</v>
      </c>
      <c r="AA172" s="269">
        <f>SUMIF(TAB_CS[Reference],TAB_Offres[[#This Row],[Reference]],TAB_CS[Commited amount])</f>
        <v>0</v>
      </c>
      <c r="AB172" s="275"/>
      <c r="AC172" s="270"/>
      <c r="AD172" s="270"/>
      <c r="AE172" s="264"/>
      <c r="AF172" s="271"/>
      <c r="AG172" s="278"/>
      <c r="AH172" s="277" t="str">
        <f>CONCATENATE(YEAR(TAB_Offres[[#This Row],[Request date ]]),"-",MONTH(TAB_Offres[[#This Row],[Request date ]]))</f>
        <v>1900-1</v>
      </c>
      <c r="AI172" s="274" t="e">
        <f>IF(#REF!,1,0)</f>
        <v>#REF!</v>
      </c>
      <c r="AJ172" s="4"/>
      <c r="AK172" s="4"/>
      <c r="AL172" s="4"/>
      <c r="AN172" s="150"/>
      <c r="AQ172" s="4"/>
    </row>
    <row r="173" spans="1:43" x14ac:dyDescent="0.25">
      <c r="A173" s="258">
        <f>ROW(TAB_Offres[[#This Row],[Reference]])-ROW(TAB_Offres[[#Headers],[ID]])</f>
        <v>172</v>
      </c>
      <c r="B173" s="258"/>
      <c r="C173" s="258"/>
      <c r="D173" s="258"/>
      <c r="E173" s="263"/>
      <c r="F173" s="258"/>
      <c r="G173" s="263"/>
      <c r="H173" s="262"/>
      <c r="I173" s="262"/>
      <c r="J173" s="262"/>
      <c r="K173" s="262"/>
      <c r="L173" s="262"/>
      <c r="M173" s="264"/>
      <c r="N173" s="262"/>
      <c r="O173" s="262"/>
      <c r="P173" s="262"/>
      <c r="Q173" s="263"/>
      <c r="R173" s="263"/>
      <c r="S173" s="292"/>
      <c r="T173" s="261"/>
      <c r="U173" s="261"/>
      <c r="V173" s="268"/>
      <c r="W173" s="268"/>
      <c r="X173" s="268"/>
      <c r="Y173" s="268"/>
      <c r="Z173" s="471">
        <f>SUMIF(TAB_CS[Reference],TAB_Offres[[#This Row],[Reference]],TAB_CS[Commited days])</f>
        <v>0</v>
      </c>
      <c r="AA173" s="269">
        <f>SUMIF(TAB_CS[Reference],TAB_Offres[[#This Row],[Reference]],TAB_CS[Commited amount])</f>
        <v>0</v>
      </c>
      <c r="AB173" s="275"/>
      <c r="AC173" s="270"/>
      <c r="AD173" s="270"/>
      <c r="AE173" s="264"/>
      <c r="AF173" s="271"/>
      <c r="AG173" s="278"/>
      <c r="AH173" s="277" t="str">
        <f>CONCATENATE(YEAR(TAB_Offres[[#This Row],[Request date ]]),"-",MONTH(TAB_Offres[[#This Row],[Request date ]]))</f>
        <v>1900-1</v>
      </c>
      <c r="AI173" s="274" t="e">
        <f>IF(#REF!,1,0)</f>
        <v>#REF!</v>
      </c>
      <c r="AJ173" s="4"/>
      <c r="AK173" s="4"/>
      <c r="AL173" s="4"/>
      <c r="AN173" s="150"/>
      <c r="AQ173" s="4"/>
    </row>
    <row r="174" spans="1:43" x14ac:dyDescent="0.25">
      <c r="A174" s="258">
        <f>ROW(TAB_Offres[[#This Row],[Reference]])-ROW(TAB_Offres[[#Headers],[ID]])</f>
        <v>173</v>
      </c>
      <c r="B174" s="258"/>
      <c r="C174" s="258"/>
      <c r="D174" s="258"/>
      <c r="E174" s="263"/>
      <c r="F174" s="258"/>
      <c r="G174" s="263"/>
      <c r="H174" s="262"/>
      <c r="I174" s="262"/>
      <c r="J174" s="262"/>
      <c r="K174" s="262"/>
      <c r="L174" s="262"/>
      <c r="M174" s="264"/>
      <c r="N174" s="262"/>
      <c r="O174" s="262"/>
      <c r="P174" s="262"/>
      <c r="Q174" s="263"/>
      <c r="R174" s="263"/>
      <c r="S174" s="292"/>
      <c r="T174" s="261"/>
      <c r="U174" s="261"/>
      <c r="V174" s="268"/>
      <c r="W174" s="268"/>
      <c r="X174" s="268"/>
      <c r="Y174" s="268"/>
      <c r="Z174" s="471">
        <f>SUMIF(TAB_CS[Reference],TAB_Offres[[#This Row],[Reference]],TAB_CS[Commited days])</f>
        <v>0</v>
      </c>
      <c r="AA174" s="269">
        <f>SUMIF(TAB_CS[Reference],TAB_Offres[[#This Row],[Reference]],TAB_CS[Commited amount])</f>
        <v>0</v>
      </c>
      <c r="AB174" s="275"/>
      <c r="AC174" s="270"/>
      <c r="AD174" s="270"/>
      <c r="AE174" s="264"/>
      <c r="AF174" s="271"/>
      <c r="AG174" s="278"/>
      <c r="AH174" s="277" t="str">
        <f>CONCATENATE(YEAR(TAB_Offres[[#This Row],[Request date ]]),"-",MONTH(TAB_Offres[[#This Row],[Request date ]]))</f>
        <v>1900-1</v>
      </c>
      <c r="AI174" s="274" t="e">
        <f>IF(#REF!,1,0)</f>
        <v>#REF!</v>
      </c>
      <c r="AJ174" s="4"/>
      <c r="AK174" s="4"/>
      <c r="AL174" s="4"/>
      <c r="AN174" s="150"/>
      <c r="AQ174" s="4"/>
    </row>
    <row r="175" spans="1:43" x14ac:dyDescent="0.25">
      <c r="A175" s="258">
        <f>ROW(TAB_Offres[[#This Row],[Reference]])-ROW(TAB_Offres[[#Headers],[ID]])</f>
        <v>174</v>
      </c>
      <c r="B175" s="258"/>
      <c r="C175" s="258"/>
      <c r="D175" s="258"/>
      <c r="E175" s="263"/>
      <c r="F175" s="258"/>
      <c r="G175" s="263"/>
      <c r="H175" s="262"/>
      <c r="I175" s="262"/>
      <c r="J175" s="262"/>
      <c r="K175" s="262"/>
      <c r="L175" s="262"/>
      <c r="M175" s="264"/>
      <c r="N175" s="262"/>
      <c r="O175" s="262"/>
      <c r="P175" s="262"/>
      <c r="Q175" s="263"/>
      <c r="R175" s="263"/>
      <c r="S175" s="292"/>
      <c r="T175" s="261"/>
      <c r="U175" s="261"/>
      <c r="V175" s="268"/>
      <c r="W175" s="268"/>
      <c r="X175" s="268"/>
      <c r="Y175" s="268"/>
      <c r="Z175" s="471">
        <f>SUMIF(TAB_CS[Reference],TAB_Offres[[#This Row],[Reference]],TAB_CS[Commited days])</f>
        <v>0</v>
      </c>
      <c r="AA175" s="269">
        <f>SUMIF(TAB_CS[Reference],TAB_Offres[[#This Row],[Reference]],TAB_CS[Commited amount])</f>
        <v>0</v>
      </c>
      <c r="AB175" s="275"/>
      <c r="AC175" s="270"/>
      <c r="AD175" s="270"/>
      <c r="AE175" s="264"/>
      <c r="AF175" s="271"/>
      <c r="AG175" s="278"/>
      <c r="AH175" s="277" t="str">
        <f>CONCATENATE(YEAR(TAB_Offres[[#This Row],[Request date ]]),"-",MONTH(TAB_Offres[[#This Row],[Request date ]]))</f>
        <v>1900-1</v>
      </c>
      <c r="AI175" s="274" t="e">
        <f>IF(#REF!,1,0)</f>
        <v>#REF!</v>
      </c>
      <c r="AJ175" s="4"/>
      <c r="AK175" s="4"/>
      <c r="AL175" s="4"/>
      <c r="AN175" s="150"/>
      <c r="AQ175" s="4"/>
    </row>
    <row r="176" spans="1:43" x14ac:dyDescent="0.25">
      <c r="A176" s="258">
        <f>ROW(TAB_Offres[[#This Row],[Reference]])-ROW(TAB_Offres[[#Headers],[ID]])</f>
        <v>175</v>
      </c>
      <c r="B176" s="258"/>
      <c r="C176" s="258"/>
      <c r="D176" s="258"/>
      <c r="E176" s="263"/>
      <c r="F176" s="258"/>
      <c r="G176" s="263"/>
      <c r="H176" s="262"/>
      <c r="I176" s="262"/>
      <c r="J176" s="262"/>
      <c r="K176" s="262"/>
      <c r="L176" s="262"/>
      <c r="M176" s="264"/>
      <c r="N176" s="262"/>
      <c r="O176" s="262"/>
      <c r="P176" s="262"/>
      <c r="Q176" s="263"/>
      <c r="R176" s="263"/>
      <c r="S176" s="292"/>
      <c r="T176" s="261"/>
      <c r="U176" s="261"/>
      <c r="V176" s="268"/>
      <c r="W176" s="268"/>
      <c r="X176" s="268"/>
      <c r="Y176" s="268"/>
      <c r="Z176" s="471">
        <f>SUMIF(TAB_CS[Reference],TAB_Offres[[#This Row],[Reference]],TAB_CS[Commited days])</f>
        <v>0</v>
      </c>
      <c r="AA176" s="269">
        <f>SUMIF(TAB_CS[Reference],TAB_Offres[[#This Row],[Reference]],TAB_CS[Commited amount])</f>
        <v>0</v>
      </c>
      <c r="AB176" s="275"/>
      <c r="AC176" s="270"/>
      <c r="AD176" s="270"/>
      <c r="AE176" s="264"/>
      <c r="AF176" s="271"/>
      <c r="AG176" s="278"/>
      <c r="AH176" s="277" t="str">
        <f>CONCATENATE(YEAR(TAB_Offres[[#This Row],[Request date ]]),"-",MONTH(TAB_Offres[[#This Row],[Request date ]]))</f>
        <v>1900-1</v>
      </c>
      <c r="AI176" s="274" t="e">
        <f>IF(#REF!,1,0)</f>
        <v>#REF!</v>
      </c>
      <c r="AJ176" s="4"/>
      <c r="AK176" s="4"/>
      <c r="AL176" s="4"/>
      <c r="AN176" s="150"/>
      <c r="AQ176" s="4"/>
    </row>
    <row r="177" spans="1:43" x14ac:dyDescent="0.25">
      <c r="A177" s="258">
        <f>ROW(TAB_Offres[[#This Row],[Reference]])-ROW(TAB_Offres[[#Headers],[ID]])</f>
        <v>176</v>
      </c>
      <c r="B177" s="258"/>
      <c r="C177" s="258"/>
      <c r="D177" s="258"/>
      <c r="E177" s="263"/>
      <c r="F177" s="258"/>
      <c r="G177" s="263"/>
      <c r="H177" s="262"/>
      <c r="I177" s="262"/>
      <c r="J177" s="262"/>
      <c r="K177" s="262"/>
      <c r="L177" s="262"/>
      <c r="M177" s="264"/>
      <c r="N177" s="262"/>
      <c r="O177" s="262"/>
      <c r="P177" s="262"/>
      <c r="Q177" s="263"/>
      <c r="R177" s="263"/>
      <c r="S177" s="292"/>
      <c r="T177" s="261"/>
      <c r="U177" s="261"/>
      <c r="V177" s="268"/>
      <c r="W177" s="268"/>
      <c r="X177" s="268"/>
      <c r="Y177" s="268"/>
      <c r="Z177" s="471">
        <f>SUMIF(TAB_CS[Reference],TAB_Offres[[#This Row],[Reference]],TAB_CS[Commited days])</f>
        <v>0</v>
      </c>
      <c r="AA177" s="269">
        <f>SUMIF(TAB_CS[Reference],TAB_Offres[[#This Row],[Reference]],TAB_CS[Commited amount])</f>
        <v>0</v>
      </c>
      <c r="AB177" s="275"/>
      <c r="AC177" s="270"/>
      <c r="AD177" s="270"/>
      <c r="AE177" s="264"/>
      <c r="AF177" s="271"/>
      <c r="AG177" s="278"/>
      <c r="AH177" s="277" t="str">
        <f>CONCATENATE(YEAR(TAB_Offres[[#This Row],[Request date ]]),"-",MONTH(TAB_Offres[[#This Row],[Request date ]]))</f>
        <v>1900-1</v>
      </c>
      <c r="AI177" s="274" t="e">
        <f>IF(#REF!,1,0)</f>
        <v>#REF!</v>
      </c>
      <c r="AJ177" s="4"/>
      <c r="AK177" s="4"/>
      <c r="AL177" s="4"/>
      <c r="AN177" s="150"/>
      <c r="AQ177" s="4"/>
    </row>
    <row r="178" spans="1:43" x14ac:dyDescent="0.25">
      <c r="A178" s="258">
        <f>ROW(TAB_Offres[[#This Row],[Reference]])-ROW(TAB_Offres[[#Headers],[ID]])</f>
        <v>177</v>
      </c>
      <c r="B178" s="258"/>
      <c r="C178" s="258"/>
      <c r="D178" s="258"/>
      <c r="E178" s="263"/>
      <c r="F178" s="258"/>
      <c r="G178" s="263"/>
      <c r="H178" s="262"/>
      <c r="I178" s="262"/>
      <c r="J178" s="262"/>
      <c r="K178" s="262"/>
      <c r="L178" s="262"/>
      <c r="M178" s="264"/>
      <c r="N178" s="262"/>
      <c r="O178" s="262"/>
      <c r="P178" s="262"/>
      <c r="Q178" s="263"/>
      <c r="R178" s="263"/>
      <c r="S178" s="292"/>
      <c r="T178" s="261"/>
      <c r="U178" s="261"/>
      <c r="V178" s="268"/>
      <c r="W178" s="268"/>
      <c r="X178" s="268"/>
      <c r="Y178" s="268"/>
      <c r="Z178" s="471">
        <f>SUMIF(TAB_CS[Reference],TAB_Offres[[#This Row],[Reference]],TAB_CS[Commited days])</f>
        <v>0</v>
      </c>
      <c r="AA178" s="269">
        <f>SUMIF(TAB_CS[Reference],TAB_Offres[[#This Row],[Reference]],TAB_CS[Commited amount])</f>
        <v>0</v>
      </c>
      <c r="AB178" s="275"/>
      <c r="AC178" s="270"/>
      <c r="AD178" s="270"/>
      <c r="AE178" s="264"/>
      <c r="AF178" s="271"/>
      <c r="AG178" s="278"/>
      <c r="AH178" s="277" t="str">
        <f>CONCATENATE(YEAR(TAB_Offres[[#This Row],[Request date ]]),"-",MONTH(TAB_Offres[[#This Row],[Request date ]]))</f>
        <v>1900-1</v>
      </c>
      <c r="AI178" s="274" t="e">
        <f>IF(#REF!,1,0)</f>
        <v>#REF!</v>
      </c>
      <c r="AJ178" s="4"/>
      <c r="AK178" s="4"/>
      <c r="AL178" s="4"/>
      <c r="AN178" s="150"/>
      <c r="AQ178" s="4"/>
    </row>
    <row r="179" spans="1:43" x14ac:dyDescent="0.25">
      <c r="A179" s="258">
        <f>ROW(TAB_Offres[[#This Row],[Reference]])-ROW(TAB_Offres[[#Headers],[ID]])</f>
        <v>178</v>
      </c>
      <c r="B179" s="258"/>
      <c r="C179" s="258"/>
      <c r="D179" s="258"/>
      <c r="E179" s="263"/>
      <c r="F179" s="258"/>
      <c r="G179" s="263"/>
      <c r="H179" s="262"/>
      <c r="I179" s="262"/>
      <c r="J179" s="262"/>
      <c r="K179" s="262"/>
      <c r="L179" s="262"/>
      <c r="M179" s="264"/>
      <c r="N179" s="262"/>
      <c r="O179" s="262"/>
      <c r="P179" s="262"/>
      <c r="Q179" s="263"/>
      <c r="R179" s="263"/>
      <c r="S179" s="292"/>
      <c r="T179" s="261"/>
      <c r="U179" s="261"/>
      <c r="V179" s="268"/>
      <c r="W179" s="268"/>
      <c r="X179" s="268"/>
      <c r="Y179" s="268"/>
      <c r="Z179" s="471">
        <f>SUMIF(TAB_CS[Reference],TAB_Offres[[#This Row],[Reference]],TAB_CS[Commited days])</f>
        <v>0</v>
      </c>
      <c r="AA179" s="269">
        <f>SUMIF(TAB_CS[Reference],TAB_Offres[[#This Row],[Reference]],TAB_CS[Commited amount])</f>
        <v>0</v>
      </c>
      <c r="AB179" s="275"/>
      <c r="AC179" s="270"/>
      <c r="AD179" s="270"/>
      <c r="AE179" s="264"/>
      <c r="AF179" s="271"/>
      <c r="AG179" s="278"/>
      <c r="AH179" s="277" t="str">
        <f>CONCATENATE(YEAR(TAB_Offres[[#This Row],[Request date ]]),"-",MONTH(TAB_Offres[[#This Row],[Request date ]]))</f>
        <v>1900-1</v>
      </c>
      <c r="AI179" s="274" t="e">
        <f>IF(#REF!,1,0)</f>
        <v>#REF!</v>
      </c>
      <c r="AJ179" s="4"/>
      <c r="AK179" s="4"/>
      <c r="AL179" s="4"/>
      <c r="AN179" s="150"/>
      <c r="AQ179" s="4"/>
    </row>
    <row r="180" spans="1:43" x14ac:dyDescent="0.25">
      <c r="A180" s="258">
        <f>ROW(TAB_Offres[[#This Row],[Reference]])-ROW(TAB_Offres[[#Headers],[ID]])</f>
        <v>179</v>
      </c>
      <c r="B180" s="258"/>
      <c r="C180" s="258"/>
      <c r="D180" s="258"/>
      <c r="E180" s="263"/>
      <c r="F180" s="258"/>
      <c r="G180" s="263"/>
      <c r="H180" s="262"/>
      <c r="I180" s="262"/>
      <c r="J180" s="262"/>
      <c r="K180" s="262"/>
      <c r="L180" s="262"/>
      <c r="M180" s="264"/>
      <c r="N180" s="262"/>
      <c r="O180" s="262"/>
      <c r="P180" s="262"/>
      <c r="Q180" s="263"/>
      <c r="R180" s="263"/>
      <c r="S180" s="292"/>
      <c r="T180" s="261"/>
      <c r="U180" s="261"/>
      <c r="V180" s="268"/>
      <c r="W180" s="268"/>
      <c r="X180" s="268"/>
      <c r="Y180" s="268"/>
      <c r="Z180" s="471">
        <f>SUMIF(TAB_CS[Reference],TAB_Offres[[#This Row],[Reference]],TAB_CS[Commited days])</f>
        <v>0</v>
      </c>
      <c r="AA180" s="269">
        <f>SUMIF(TAB_CS[Reference],TAB_Offres[[#This Row],[Reference]],TAB_CS[Commited amount])</f>
        <v>0</v>
      </c>
      <c r="AB180" s="275"/>
      <c r="AC180" s="270"/>
      <c r="AD180" s="270"/>
      <c r="AE180" s="264"/>
      <c r="AF180" s="271"/>
      <c r="AG180" s="278"/>
      <c r="AH180" s="277" t="str">
        <f>CONCATENATE(YEAR(TAB_Offres[[#This Row],[Request date ]]),"-",MONTH(TAB_Offres[[#This Row],[Request date ]]))</f>
        <v>1900-1</v>
      </c>
      <c r="AI180" s="274" t="e">
        <f>IF(#REF!,1,0)</f>
        <v>#REF!</v>
      </c>
      <c r="AJ180" s="4"/>
      <c r="AK180" s="4"/>
      <c r="AL180" s="4"/>
      <c r="AN180" s="150"/>
      <c r="AQ180" s="4"/>
    </row>
    <row r="181" spans="1:43" x14ac:dyDescent="0.25">
      <c r="A181" s="258">
        <f>ROW(TAB_Offres[[#This Row],[Reference]])-ROW(TAB_Offres[[#Headers],[ID]])</f>
        <v>180</v>
      </c>
      <c r="B181" s="258"/>
      <c r="C181" s="258"/>
      <c r="D181" s="258"/>
      <c r="E181" s="263"/>
      <c r="F181" s="258"/>
      <c r="G181" s="263"/>
      <c r="H181" s="262"/>
      <c r="I181" s="262"/>
      <c r="J181" s="262"/>
      <c r="K181" s="262"/>
      <c r="L181" s="262"/>
      <c r="M181" s="264"/>
      <c r="N181" s="262"/>
      <c r="O181" s="262"/>
      <c r="P181" s="262"/>
      <c r="Q181" s="263"/>
      <c r="R181" s="263"/>
      <c r="S181" s="292"/>
      <c r="T181" s="261"/>
      <c r="U181" s="261"/>
      <c r="V181" s="268"/>
      <c r="W181" s="268"/>
      <c r="X181" s="268"/>
      <c r="Y181" s="268"/>
      <c r="Z181" s="471">
        <f>SUMIF(TAB_CS[Reference],TAB_Offres[[#This Row],[Reference]],TAB_CS[Commited days])</f>
        <v>0</v>
      </c>
      <c r="AA181" s="269">
        <f>SUMIF(TAB_CS[Reference],TAB_Offres[[#This Row],[Reference]],TAB_CS[Commited amount])</f>
        <v>0</v>
      </c>
      <c r="AB181" s="275"/>
      <c r="AC181" s="270"/>
      <c r="AD181" s="270"/>
      <c r="AE181" s="264"/>
      <c r="AF181" s="271"/>
      <c r="AG181" s="278"/>
      <c r="AH181" s="277" t="str">
        <f>CONCATENATE(YEAR(TAB_Offres[[#This Row],[Request date ]]),"-",MONTH(TAB_Offres[[#This Row],[Request date ]]))</f>
        <v>1900-1</v>
      </c>
      <c r="AI181" s="274" t="e">
        <f>IF(#REF!,1,0)</f>
        <v>#REF!</v>
      </c>
      <c r="AJ181" s="4"/>
      <c r="AK181" s="4"/>
      <c r="AL181" s="4"/>
      <c r="AN181" s="150"/>
      <c r="AQ181" s="4"/>
    </row>
    <row r="182" spans="1:43" x14ac:dyDescent="0.25">
      <c r="A182" s="258">
        <f>ROW(TAB_Offres[[#This Row],[Reference]])-ROW(TAB_Offres[[#Headers],[ID]])</f>
        <v>181</v>
      </c>
      <c r="B182" s="258"/>
      <c r="C182" s="258"/>
      <c r="D182" s="258"/>
      <c r="E182" s="263"/>
      <c r="F182" s="258"/>
      <c r="G182" s="263"/>
      <c r="H182" s="262"/>
      <c r="I182" s="262"/>
      <c r="J182" s="262"/>
      <c r="K182" s="262"/>
      <c r="L182" s="262"/>
      <c r="M182" s="264"/>
      <c r="N182" s="262"/>
      <c r="O182" s="262"/>
      <c r="P182" s="262"/>
      <c r="Q182" s="263"/>
      <c r="R182" s="263"/>
      <c r="S182" s="292"/>
      <c r="T182" s="261"/>
      <c r="U182" s="261"/>
      <c r="V182" s="268"/>
      <c r="W182" s="268"/>
      <c r="X182" s="268"/>
      <c r="Y182" s="268"/>
      <c r="Z182" s="471">
        <f>SUMIF(TAB_CS[Reference],TAB_Offres[[#This Row],[Reference]],TAB_CS[Commited days])</f>
        <v>0</v>
      </c>
      <c r="AA182" s="269">
        <f>SUMIF(TAB_CS[Reference],TAB_Offres[[#This Row],[Reference]],TAB_CS[Commited amount])</f>
        <v>0</v>
      </c>
      <c r="AB182" s="275"/>
      <c r="AC182" s="270"/>
      <c r="AD182" s="270"/>
      <c r="AE182" s="264"/>
      <c r="AF182" s="271"/>
      <c r="AG182" s="278"/>
      <c r="AH182" s="277" t="str">
        <f>CONCATENATE(YEAR(TAB_Offres[[#This Row],[Request date ]]),"-",MONTH(TAB_Offres[[#This Row],[Request date ]]))</f>
        <v>1900-1</v>
      </c>
      <c r="AI182" s="274" t="e">
        <f>IF(#REF!,1,0)</f>
        <v>#REF!</v>
      </c>
      <c r="AJ182" s="4"/>
      <c r="AK182" s="4"/>
      <c r="AL182" s="4"/>
      <c r="AN182" s="150"/>
      <c r="AQ182" s="4"/>
    </row>
    <row r="183" spans="1:43" x14ac:dyDescent="0.25">
      <c r="A183" s="258">
        <f>ROW(TAB_Offres[[#This Row],[Reference]])-ROW(TAB_Offres[[#Headers],[ID]])</f>
        <v>182</v>
      </c>
      <c r="B183" s="258"/>
      <c r="C183" s="258"/>
      <c r="D183" s="258"/>
      <c r="E183" s="263"/>
      <c r="F183" s="258"/>
      <c r="G183" s="263"/>
      <c r="H183" s="262"/>
      <c r="I183" s="262"/>
      <c r="J183" s="262"/>
      <c r="K183" s="262"/>
      <c r="L183" s="262"/>
      <c r="M183" s="264"/>
      <c r="N183" s="262"/>
      <c r="O183" s="262"/>
      <c r="P183" s="262"/>
      <c r="Q183" s="263"/>
      <c r="R183" s="263"/>
      <c r="S183" s="292"/>
      <c r="T183" s="261"/>
      <c r="U183" s="261"/>
      <c r="V183" s="268"/>
      <c r="W183" s="268"/>
      <c r="X183" s="268"/>
      <c r="Y183" s="268"/>
      <c r="Z183" s="471">
        <f>SUMIF(TAB_CS[Reference],TAB_Offres[[#This Row],[Reference]],TAB_CS[Commited days])</f>
        <v>0</v>
      </c>
      <c r="AA183" s="269">
        <f>SUMIF(TAB_CS[Reference],TAB_Offres[[#This Row],[Reference]],TAB_CS[Commited amount])</f>
        <v>0</v>
      </c>
      <c r="AB183" s="275"/>
      <c r="AC183" s="270"/>
      <c r="AD183" s="270"/>
      <c r="AE183" s="264"/>
      <c r="AF183" s="271"/>
      <c r="AG183" s="278"/>
      <c r="AH183" s="277" t="str">
        <f>CONCATENATE(YEAR(TAB_Offres[[#This Row],[Request date ]]),"-",MONTH(TAB_Offres[[#This Row],[Request date ]]))</f>
        <v>1900-1</v>
      </c>
      <c r="AI183" s="274" t="e">
        <f>IF(#REF!,1,0)</f>
        <v>#REF!</v>
      </c>
      <c r="AJ183" s="4"/>
      <c r="AK183" s="4"/>
      <c r="AL183" s="4"/>
      <c r="AN183" s="150"/>
      <c r="AQ183" s="4"/>
    </row>
    <row r="184" spans="1:43" x14ac:dyDescent="0.25">
      <c r="A184" s="258">
        <f>ROW(TAB_Offres[[#This Row],[Reference]])-ROW(TAB_Offres[[#Headers],[ID]])</f>
        <v>183</v>
      </c>
      <c r="B184" s="258"/>
      <c r="C184" s="258"/>
      <c r="D184" s="258"/>
      <c r="E184" s="263"/>
      <c r="F184" s="258"/>
      <c r="G184" s="263"/>
      <c r="H184" s="262"/>
      <c r="I184" s="262"/>
      <c r="J184" s="262"/>
      <c r="K184" s="262"/>
      <c r="L184" s="262"/>
      <c r="M184" s="264"/>
      <c r="N184" s="262"/>
      <c r="O184" s="262"/>
      <c r="P184" s="262"/>
      <c r="Q184" s="263"/>
      <c r="R184" s="263"/>
      <c r="S184" s="292"/>
      <c r="T184" s="261"/>
      <c r="U184" s="261"/>
      <c r="V184" s="268"/>
      <c r="W184" s="268"/>
      <c r="X184" s="268"/>
      <c r="Y184" s="268"/>
      <c r="Z184" s="471">
        <f>SUMIF(TAB_CS[Reference],TAB_Offres[[#This Row],[Reference]],TAB_CS[Commited days])</f>
        <v>0</v>
      </c>
      <c r="AA184" s="269">
        <f>SUMIF(TAB_CS[Reference],TAB_Offres[[#This Row],[Reference]],TAB_CS[Commited amount])</f>
        <v>0</v>
      </c>
      <c r="AB184" s="275"/>
      <c r="AC184" s="270"/>
      <c r="AD184" s="270"/>
      <c r="AE184" s="264"/>
      <c r="AF184" s="271"/>
      <c r="AG184" s="278"/>
      <c r="AH184" s="277" t="str">
        <f>CONCATENATE(YEAR(TAB_Offres[[#This Row],[Request date ]]),"-",MONTH(TAB_Offres[[#This Row],[Request date ]]))</f>
        <v>1900-1</v>
      </c>
      <c r="AI184" s="274" t="e">
        <f>IF(#REF!,1,0)</f>
        <v>#REF!</v>
      </c>
      <c r="AJ184" s="4"/>
      <c r="AK184" s="4"/>
      <c r="AL184" s="4"/>
      <c r="AN184" s="150"/>
      <c r="AQ184" s="4"/>
    </row>
    <row r="185" spans="1:43" x14ac:dyDescent="0.25">
      <c r="A185" s="258">
        <f>ROW(TAB_Offres[[#This Row],[Reference]])-ROW(TAB_Offres[[#Headers],[ID]])</f>
        <v>184</v>
      </c>
      <c r="B185" s="258"/>
      <c r="C185" s="258"/>
      <c r="D185" s="258"/>
      <c r="E185" s="263"/>
      <c r="F185" s="258"/>
      <c r="G185" s="263"/>
      <c r="H185" s="262"/>
      <c r="I185" s="262"/>
      <c r="J185" s="262"/>
      <c r="K185" s="262"/>
      <c r="L185" s="262"/>
      <c r="M185" s="264"/>
      <c r="N185" s="262"/>
      <c r="O185" s="262"/>
      <c r="P185" s="262"/>
      <c r="Q185" s="263"/>
      <c r="R185" s="263"/>
      <c r="S185" s="292"/>
      <c r="T185" s="261"/>
      <c r="U185" s="261"/>
      <c r="V185" s="268"/>
      <c r="W185" s="268"/>
      <c r="X185" s="268"/>
      <c r="Y185" s="268"/>
      <c r="Z185" s="471">
        <f>SUMIF(TAB_CS[Reference],TAB_Offres[[#This Row],[Reference]],TAB_CS[Commited days])</f>
        <v>0</v>
      </c>
      <c r="AA185" s="269">
        <f>SUMIF(TAB_CS[Reference],TAB_Offres[[#This Row],[Reference]],TAB_CS[Commited amount])</f>
        <v>0</v>
      </c>
      <c r="AB185" s="275"/>
      <c r="AC185" s="270"/>
      <c r="AD185" s="270"/>
      <c r="AE185" s="264"/>
      <c r="AF185" s="271"/>
      <c r="AG185" s="278"/>
      <c r="AH185" s="277" t="str">
        <f>CONCATENATE(YEAR(TAB_Offres[[#This Row],[Request date ]]),"-",MONTH(TAB_Offres[[#This Row],[Request date ]]))</f>
        <v>1900-1</v>
      </c>
      <c r="AI185" s="274" t="e">
        <f>IF(#REF!,1,0)</f>
        <v>#REF!</v>
      </c>
      <c r="AJ185" s="4"/>
      <c r="AK185" s="4"/>
      <c r="AL185" s="4"/>
      <c r="AN185" s="150"/>
      <c r="AQ185" s="4"/>
    </row>
    <row r="186" spans="1:43" x14ac:dyDescent="0.25">
      <c r="A186" s="258">
        <f>ROW(TAB_Offres[[#This Row],[Reference]])-ROW(TAB_Offres[[#Headers],[ID]])</f>
        <v>185</v>
      </c>
      <c r="B186" s="258"/>
      <c r="C186" s="258"/>
      <c r="D186" s="258"/>
      <c r="E186" s="263"/>
      <c r="F186" s="258"/>
      <c r="G186" s="263"/>
      <c r="H186" s="262"/>
      <c r="I186" s="262"/>
      <c r="J186" s="262"/>
      <c r="K186" s="262"/>
      <c r="L186" s="262"/>
      <c r="M186" s="264"/>
      <c r="N186" s="262"/>
      <c r="O186" s="262"/>
      <c r="P186" s="262"/>
      <c r="Q186" s="263"/>
      <c r="R186" s="263"/>
      <c r="S186" s="292"/>
      <c r="T186" s="261"/>
      <c r="U186" s="261"/>
      <c r="V186" s="268"/>
      <c r="W186" s="268"/>
      <c r="X186" s="268"/>
      <c r="Y186" s="268"/>
      <c r="Z186" s="471">
        <f>SUMIF(TAB_CS[Reference],TAB_Offres[[#This Row],[Reference]],TAB_CS[Commited days])</f>
        <v>0</v>
      </c>
      <c r="AA186" s="269">
        <f>SUMIF(TAB_CS[Reference],TAB_Offres[[#This Row],[Reference]],TAB_CS[Commited amount])</f>
        <v>0</v>
      </c>
      <c r="AB186" s="275"/>
      <c r="AC186" s="270"/>
      <c r="AD186" s="270"/>
      <c r="AE186" s="264"/>
      <c r="AF186" s="271"/>
      <c r="AG186" s="278"/>
      <c r="AH186" s="277" t="str">
        <f>CONCATENATE(YEAR(TAB_Offres[[#This Row],[Request date ]]),"-",MONTH(TAB_Offres[[#This Row],[Request date ]]))</f>
        <v>1900-1</v>
      </c>
      <c r="AI186" s="274" t="e">
        <f>IF(#REF!,1,0)</f>
        <v>#REF!</v>
      </c>
      <c r="AJ186" s="4"/>
      <c r="AK186" s="4"/>
      <c r="AL186" s="4"/>
      <c r="AN186" s="150"/>
      <c r="AQ186" s="4"/>
    </row>
    <row r="187" spans="1:43" x14ac:dyDescent="0.25">
      <c r="A187" s="258">
        <f>ROW(TAB_Offres[[#This Row],[Reference]])-ROW(TAB_Offres[[#Headers],[ID]])</f>
        <v>186</v>
      </c>
      <c r="B187" s="258"/>
      <c r="C187" s="258"/>
      <c r="D187" s="258"/>
      <c r="E187" s="263"/>
      <c r="F187" s="258"/>
      <c r="G187" s="263"/>
      <c r="H187" s="262"/>
      <c r="I187" s="262"/>
      <c r="J187" s="262"/>
      <c r="K187" s="262"/>
      <c r="L187" s="262"/>
      <c r="M187" s="264"/>
      <c r="N187" s="262"/>
      <c r="O187" s="262"/>
      <c r="P187" s="262"/>
      <c r="Q187" s="263"/>
      <c r="R187" s="263"/>
      <c r="S187" s="292"/>
      <c r="T187" s="261"/>
      <c r="U187" s="261"/>
      <c r="V187" s="268"/>
      <c r="W187" s="268"/>
      <c r="X187" s="268"/>
      <c r="Y187" s="268"/>
      <c r="Z187" s="471">
        <f>SUMIF(TAB_CS[Reference],TAB_Offres[[#This Row],[Reference]],TAB_CS[Commited days])</f>
        <v>0</v>
      </c>
      <c r="AA187" s="269">
        <f>SUMIF(TAB_CS[Reference],TAB_Offres[[#This Row],[Reference]],TAB_CS[Commited amount])</f>
        <v>0</v>
      </c>
      <c r="AB187" s="275"/>
      <c r="AC187" s="270"/>
      <c r="AD187" s="270"/>
      <c r="AE187" s="264"/>
      <c r="AF187" s="271"/>
      <c r="AG187" s="278"/>
      <c r="AH187" s="277" t="str">
        <f>CONCATENATE(YEAR(TAB_Offres[[#This Row],[Request date ]]),"-",MONTH(TAB_Offres[[#This Row],[Request date ]]))</f>
        <v>1900-1</v>
      </c>
      <c r="AI187" s="274" t="e">
        <f>IF(#REF!,1,0)</f>
        <v>#REF!</v>
      </c>
      <c r="AJ187" s="4"/>
      <c r="AK187" s="4"/>
      <c r="AL187" s="4"/>
      <c r="AN187" s="150"/>
      <c r="AQ187" s="4"/>
    </row>
    <row r="188" spans="1:43" x14ac:dyDescent="0.25">
      <c r="A188" s="258">
        <f>ROW(TAB_Offres[[#This Row],[Reference]])-ROW(TAB_Offres[[#Headers],[ID]])</f>
        <v>187</v>
      </c>
      <c r="B188" s="258"/>
      <c r="C188" s="258"/>
      <c r="D188" s="258"/>
      <c r="E188" s="263"/>
      <c r="F188" s="258"/>
      <c r="G188" s="263"/>
      <c r="H188" s="262"/>
      <c r="I188" s="262"/>
      <c r="J188" s="262"/>
      <c r="K188" s="262"/>
      <c r="L188" s="262"/>
      <c r="M188" s="264"/>
      <c r="N188" s="262"/>
      <c r="O188" s="262"/>
      <c r="P188" s="262"/>
      <c r="Q188" s="263"/>
      <c r="R188" s="263"/>
      <c r="S188" s="292"/>
      <c r="T188" s="261"/>
      <c r="U188" s="261"/>
      <c r="V188" s="268"/>
      <c r="W188" s="268"/>
      <c r="X188" s="268"/>
      <c r="Y188" s="268"/>
      <c r="Z188" s="471">
        <f>SUMIF(TAB_CS[Reference],TAB_Offres[[#This Row],[Reference]],TAB_CS[Commited days])</f>
        <v>0</v>
      </c>
      <c r="AA188" s="269">
        <f>SUMIF(TAB_CS[Reference],TAB_Offres[[#This Row],[Reference]],TAB_CS[Commited amount])</f>
        <v>0</v>
      </c>
      <c r="AB188" s="275"/>
      <c r="AC188" s="270"/>
      <c r="AD188" s="270"/>
      <c r="AE188" s="264"/>
      <c r="AF188" s="271"/>
      <c r="AG188" s="278"/>
      <c r="AH188" s="277" t="str">
        <f>CONCATENATE(YEAR(TAB_Offres[[#This Row],[Request date ]]),"-",MONTH(TAB_Offres[[#This Row],[Request date ]]))</f>
        <v>1900-1</v>
      </c>
      <c r="AI188" s="274" t="e">
        <f>IF(#REF!,1,0)</f>
        <v>#REF!</v>
      </c>
      <c r="AJ188" s="4"/>
      <c r="AK188" s="4"/>
      <c r="AL188" s="4"/>
      <c r="AN188" s="150"/>
      <c r="AQ188" s="4"/>
    </row>
    <row r="189" spans="1:43" x14ac:dyDescent="0.25">
      <c r="A189" s="258">
        <f>ROW(TAB_Offres[[#This Row],[Reference]])-ROW(TAB_Offres[[#Headers],[ID]])</f>
        <v>188</v>
      </c>
      <c r="B189" s="258"/>
      <c r="C189" s="258"/>
      <c r="D189" s="258"/>
      <c r="E189" s="263"/>
      <c r="F189" s="258"/>
      <c r="G189" s="263"/>
      <c r="H189" s="262"/>
      <c r="I189" s="262"/>
      <c r="J189" s="262"/>
      <c r="K189" s="262"/>
      <c r="L189" s="262"/>
      <c r="M189" s="264"/>
      <c r="N189" s="262"/>
      <c r="O189" s="262"/>
      <c r="P189" s="262"/>
      <c r="Q189" s="263"/>
      <c r="R189" s="263"/>
      <c r="S189" s="292"/>
      <c r="T189" s="261"/>
      <c r="U189" s="261"/>
      <c r="V189" s="268"/>
      <c r="W189" s="268"/>
      <c r="X189" s="268"/>
      <c r="Y189" s="268"/>
      <c r="Z189" s="471">
        <f>SUMIF(TAB_CS[Reference],TAB_Offres[[#This Row],[Reference]],TAB_CS[Commited days])</f>
        <v>0</v>
      </c>
      <c r="AA189" s="269">
        <f>SUMIF(TAB_CS[Reference],TAB_Offres[[#This Row],[Reference]],TAB_CS[Commited amount])</f>
        <v>0</v>
      </c>
      <c r="AB189" s="275"/>
      <c r="AC189" s="270"/>
      <c r="AD189" s="270"/>
      <c r="AE189" s="264"/>
      <c r="AF189" s="271"/>
      <c r="AG189" s="278"/>
      <c r="AH189" s="277" t="str">
        <f>CONCATENATE(YEAR(TAB_Offres[[#This Row],[Request date ]]),"-",MONTH(TAB_Offres[[#This Row],[Request date ]]))</f>
        <v>1900-1</v>
      </c>
      <c r="AI189" s="274" t="e">
        <f>IF(#REF!,1,0)</f>
        <v>#REF!</v>
      </c>
      <c r="AJ189" s="4"/>
      <c r="AK189" s="4"/>
      <c r="AL189" s="4"/>
      <c r="AN189" s="150"/>
      <c r="AQ189" s="4"/>
    </row>
    <row r="190" spans="1:43" x14ac:dyDescent="0.25">
      <c r="A190" s="258">
        <f>ROW(TAB_Offres[[#This Row],[Reference]])-ROW(TAB_Offres[[#Headers],[ID]])</f>
        <v>189</v>
      </c>
      <c r="B190" s="258"/>
      <c r="C190" s="258"/>
      <c r="D190" s="258"/>
      <c r="E190" s="263"/>
      <c r="F190" s="258"/>
      <c r="G190" s="263"/>
      <c r="H190" s="262"/>
      <c r="I190" s="262"/>
      <c r="J190" s="262"/>
      <c r="K190" s="262"/>
      <c r="L190" s="262"/>
      <c r="M190" s="264"/>
      <c r="N190" s="262"/>
      <c r="O190" s="262"/>
      <c r="P190" s="262"/>
      <c r="Q190" s="263"/>
      <c r="R190" s="263"/>
      <c r="S190" s="292"/>
      <c r="T190" s="261"/>
      <c r="U190" s="261"/>
      <c r="V190" s="268"/>
      <c r="W190" s="268"/>
      <c r="X190" s="268"/>
      <c r="Y190" s="268"/>
      <c r="Z190" s="471">
        <f>SUMIF(TAB_CS[Reference],TAB_Offres[[#This Row],[Reference]],TAB_CS[Commited days])</f>
        <v>0</v>
      </c>
      <c r="AA190" s="269">
        <f>SUMIF(TAB_CS[Reference],TAB_Offres[[#This Row],[Reference]],TAB_CS[Commited amount])</f>
        <v>0</v>
      </c>
      <c r="AB190" s="275"/>
      <c r="AC190" s="270"/>
      <c r="AD190" s="270"/>
      <c r="AE190" s="264"/>
      <c r="AF190" s="271"/>
      <c r="AG190" s="278"/>
      <c r="AH190" s="277" t="str">
        <f>CONCATENATE(YEAR(TAB_Offres[[#This Row],[Request date ]]),"-",MONTH(TAB_Offres[[#This Row],[Request date ]]))</f>
        <v>1900-1</v>
      </c>
      <c r="AI190" s="274" t="e">
        <f>IF(#REF!,1,0)</f>
        <v>#REF!</v>
      </c>
      <c r="AJ190" s="4"/>
      <c r="AK190" s="4"/>
      <c r="AL190" s="4"/>
      <c r="AN190" s="150"/>
      <c r="AQ190" s="4"/>
    </row>
    <row r="191" spans="1:43" x14ac:dyDescent="0.25">
      <c r="A191" s="258">
        <f>ROW(TAB_Offres[[#This Row],[Reference]])-ROW(TAB_Offres[[#Headers],[ID]])</f>
        <v>190</v>
      </c>
      <c r="B191" s="258"/>
      <c r="C191" s="258"/>
      <c r="D191" s="258"/>
      <c r="E191" s="263"/>
      <c r="F191" s="258"/>
      <c r="G191" s="263"/>
      <c r="H191" s="262"/>
      <c r="I191" s="262"/>
      <c r="J191" s="262"/>
      <c r="K191" s="262"/>
      <c r="L191" s="262"/>
      <c r="M191" s="264"/>
      <c r="N191" s="262"/>
      <c r="O191" s="262"/>
      <c r="P191" s="262"/>
      <c r="Q191" s="263"/>
      <c r="R191" s="263"/>
      <c r="S191" s="292"/>
      <c r="T191" s="261"/>
      <c r="U191" s="261"/>
      <c r="V191" s="268"/>
      <c r="W191" s="268"/>
      <c r="X191" s="268"/>
      <c r="Y191" s="268"/>
      <c r="Z191" s="471">
        <f>SUMIF(TAB_CS[Reference],TAB_Offres[[#This Row],[Reference]],TAB_CS[Commited days])</f>
        <v>0</v>
      </c>
      <c r="AA191" s="269">
        <f>SUMIF(TAB_CS[Reference],TAB_Offres[[#This Row],[Reference]],TAB_CS[Commited amount])</f>
        <v>0</v>
      </c>
      <c r="AB191" s="275"/>
      <c r="AC191" s="270"/>
      <c r="AD191" s="270"/>
      <c r="AE191" s="264"/>
      <c r="AF191" s="271"/>
      <c r="AG191" s="278"/>
      <c r="AH191" s="277" t="str">
        <f>CONCATENATE(YEAR(TAB_Offres[[#This Row],[Request date ]]),"-",MONTH(TAB_Offres[[#This Row],[Request date ]]))</f>
        <v>1900-1</v>
      </c>
      <c r="AI191" s="274" t="e">
        <f>IF(#REF!,1,0)</f>
        <v>#REF!</v>
      </c>
      <c r="AJ191" s="4"/>
      <c r="AK191" s="4"/>
      <c r="AL191" s="4"/>
      <c r="AN191" s="150"/>
      <c r="AQ191" s="4"/>
    </row>
    <row r="192" spans="1:43" x14ac:dyDescent="0.25">
      <c r="A192" s="258">
        <f>ROW(TAB_Offres[[#This Row],[Reference]])-ROW(TAB_Offres[[#Headers],[ID]])</f>
        <v>191</v>
      </c>
      <c r="B192" s="258"/>
      <c r="C192" s="258"/>
      <c r="D192" s="258"/>
      <c r="E192" s="263"/>
      <c r="F192" s="258"/>
      <c r="G192" s="263"/>
      <c r="H192" s="262"/>
      <c r="I192" s="262"/>
      <c r="J192" s="262"/>
      <c r="K192" s="262"/>
      <c r="L192" s="262"/>
      <c r="M192" s="264"/>
      <c r="N192" s="262"/>
      <c r="O192" s="262"/>
      <c r="P192" s="262"/>
      <c r="Q192" s="263"/>
      <c r="R192" s="263"/>
      <c r="S192" s="292"/>
      <c r="T192" s="261"/>
      <c r="U192" s="261"/>
      <c r="V192" s="268"/>
      <c r="W192" s="268"/>
      <c r="X192" s="268"/>
      <c r="Y192" s="268"/>
      <c r="Z192" s="471">
        <f>SUMIF(TAB_CS[Reference],TAB_Offres[[#This Row],[Reference]],TAB_CS[Commited days])</f>
        <v>0</v>
      </c>
      <c r="AA192" s="269">
        <f>SUMIF(TAB_CS[Reference],TAB_Offres[[#This Row],[Reference]],TAB_CS[Commited amount])</f>
        <v>0</v>
      </c>
      <c r="AB192" s="275"/>
      <c r="AC192" s="270"/>
      <c r="AD192" s="270"/>
      <c r="AE192" s="264"/>
      <c r="AF192" s="271"/>
      <c r="AG192" s="278"/>
      <c r="AH192" s="277" t="str">
        <f>CONCATENATE(YEAR(TAB_Offres[[#This Row],[Request date ]]),"-",MONTH(TAB_Offres[[#This Row],[Request date ]]))</f>
        <v>1900-1</v>
      </c>
      <c r="AI192" s="274" t="e">
        <f>IF(#REF!,1,0)</f>
        <v>#REF!</v>
      </c>
      <c r="AJ192" s="4"/>
      <c r="AK192" s="4"/>
      <c r="AL192" s="4"/>
      <c r="AN192" s="150"/>
      <c r="AQ192" s="4"/>
    </row>
    <row r="193" spans="1:43" x14ac:dyDescent="0.25">
      <c r="A193" s="258">
        <f>ROW(TAB_Offres[[#This Row],[Reference]])-ROW(TAB_Offres[[#Headers],[ID]])</f>
        <v>192</v>
      </c>
      <c r="B193" s="258"/>
      <c r="C193" s="258"/>
      <c r="D193" s="258"/>
      <c r="E193" s="263"/>
      <c r="F193" s="258"/>
      <c r="G193" s="263"/>
      <c r="H193" s="262"/>
      <c r="I193" s="262"/>
      <c r="J193" s="262"/>
      <c r="K193" s="262"/>
      <c r="L193" s="262"/>
      <c r="M193" s="264"/>
      <c r="N193" s="262"/>
      <c r="O193" s="262"/>
      <c r="P193" s="262"/>
      <c r="Q193" s="263"/>
      <c r="R193" s="263"/>
      <c r="S193" s="292"/>
      <c r="T193" s="261"/>
      <c r="U193" s="261"/>
      <c r="V193" s="268"/>
      <c r="W193" s="268"/>
      <c r="X193" s="268"/>
      <c r="Y193" s="268"/>
      <c r="Z193" s="471">
        <f>SUMIF(TAB_CS[Reference],TAB_Offres[[#This Row],[Reference]],TAB_CS[Commited days])</f>
        <v>0</v>
      </c>
      <c r="AA193" s="269">
        <f>SUMIF(TAB_CS[Reference],TAB_Offres[[#This Row],[Reference]],TAB_CS[Commited amount])</f>
        <v>0</v>
      </c>
      <c r="AB193" s="275"/>
      <c r="AC193" s="270"/>
      <c r="AD193" s="270"/>
      <c r="AE193" s="264"/>
      <c r="AF193" s="271"/>
      <c r="AG193" s="278"/>
      <c r="AH193" s="277" t="str">
        <f>CONCATENATE(YEAR(TAB_Offres[[#This Row],[Request date ]]),"-",MONTH(TAB_Offres[[#This Row],[Request date ]]))</f>
        <v>1900-1</v>
      </c>
      <c r="AI193" s="274" t="e">
        <f>IF(#REF!,1,0)</f>
        <v>#REF!</v>
      </c>
      <c r="AJ193" s="4"/>
      <c r="AK193" s="4"/>
      <c r="AL193" s="4"/>
      <c r="AN193" s="150"/>
      <c r="AQ193" s="4"/>
    </row>
    <row r="194" spans="1:43" x14ac:dyDescent="0.25">
      <c r="A194" s="258">
        <f>ROW(TAB_Offres[[#This Row],[Reference]])-ROW(TAB_Offres[[#Headers],[ID]])</f>
        <v>193</v>
      </c>
      <c r="B194" s="258"/>
      <c r="C194" s="258"/>
      <c r="D194" s="258"/>
      <c r="E194" s="263"/>
      <c r="F194" s="258"/>
      <c r="G194" s="263"/>
      <c r="H194" s="262"/>
      <c r="I194" s="262"/>
      <c r="J194" s="262"/>
      <c r="K194" s="262"/>
      <c r="L194" s="262"/>
      <c r="M194" s="264"/>
      <c r="N194" s="262"/>
      <c r="O194" s="262"/>
      <c r="P194" s="262"/>
      <c r="Q194" s="263"/>
      <c r="R194" s="263"/>
      <c r="S194" s="292"/>
      <c r="T194" s="261"/>
      <c r="U194" s="261"/>
      <c r="V194" s="268"/>
      <c r="W194" s="268"/>
      <c r="X194" s="268"/>
      <c r="Y194" s="268"/>
      <c r="Z194" s="471">
        <f>SUMIF(TAB_CS[Reference],TAB_Offres[[#This Row],[Reference]],TAB_CS[Commited days])</f>
        <v>0</v>
      </c>
      <c r="AA194" s="269">
        <f>SUMIF(TAB_CS[Reference],TAB_Offres[[#This Row],[Reference]],TAB_CS[Commited amount])</f>
        <v>0</v>
      </c>
      <c r="AB194" s="275"/>
      <c r="AC194" s="270"/>
      <c r="AD194" s="270"/>
      <c r="AE194" s="264"/>
      <c r="AF194" s="271"/>
      <c r="AG194" s="278"/>
      <c r="AH194" s="277" t="str">
        <f>CONCATENATE(YEAR(TAB_Offres[[#This Row],[Request date ]]),"-",MONTH(TAB_Offres[[#This Row],[Request date ]]))</f>
        <v>1900-1</v>
      </c>
      <c r="AI194" s="274" t="e">
        <f>IF(#REF!,1,0)</f>
        <v>#REF!</v>
      </c>
      <c r="AJ194" s="4"/>
      <c r="AK194" s="4"/>
      <c r="AL194" s="4"/>
      <c r="AN194" s="150"/>
      <c r="AQ194" s="4"/>
    </row>
    <row r="195" spans="1:43" x14ac:dyDescent="0.25">
      <c r="A195" s="258">
        <f>ROW(TAB_Offres[[#This Row],[Reference]])-ROW(TAB_Offres[[#Headers],[ID]])</f>
        <v>194</v>
      </c>
      <c r="B195" s="258"/>
      <c r="C195" s="258"/>
      <c r="D195" s="258"/>
      <c r="E195" s="263"/>
      <c r="F195" s="258"/>
      <c r="G195" s="263"/>
      <c r="H195" s="262"/>
      <c r="I195" s="262"/>
      <c r="J195" s="262"/>
      <c r="K195" s="262"/>
      <c r="L195" s="262"/>
      <c r="M195" s="264"/>
      <c r="N195" s="262"/>
      <c r="O195" s="262"/>
      <c r="P195" s="262"/>
      <c r="Q195" s="263"/>
      <c r="R195" s="263"/>
      <c r="S195" s="292"/>
      <c r="T195" s="261"/>
      <c r="U195" s="261"/>
      <c r="V195" s="268"/>
      <c r="W195" s="268"/>
      <c r="X195" s="268"/>
      <c r="Y195" s="268"/>
      <c r="Z195" s="471">
        <f>SUMIF(TAB_CS[Reference],TAB_Offres[[#This Row],[Reference]],TAB_CS[Commited days])</f>
        <v>0</v>
      </c>
      <c r="AA195" s="269">
        <f>SUMIF(TAB_CS[Reference],TAB_Offres[[#This Row],[Reference]],TAB_CS[Commited amount])</f>
        <v>0</v>
      </c>
      <c r="AB195" s="275"/>
      <c r="AC195" s="270"/>
      <c r="AD195" s="270"/>
      <c r="AE195" s="264"/>
      <c r="AF195" s="271"/>
      <c r="AG195" s="278"/>
      <c r="AH195" s="277" t="str">
        <f>CONCATENATE(YEAR(TAB_Offres[[#This Row],[Request date ]]),"-",MONTH(TAB_Offres[[#This Row],[Request date ]]))</f>
        <v>1900-1</v>
      </c>
      <c r="AI195" s="274" t="e">
        <f>IF(#REF!,1,0)</f>
        <v>#REF!</v>
      </c>
      <c r="AJ195" s="4"/>
      <c r="AK195" s="4"/>
      <c r="AL195" s="4"/>
      <c r="AN195" s="150"/>
      <c r="AQ195" s="4"/>
    </row>
    <row r="196" spans="1:43" x14ac:dyDescent="0.25">
      <c r="A196" s="258">
        <f>ROW(TAB_Offres[[#This Row],[Reference]])-ROW(TAB_Offres[[#Headers],[ID]])</f>
        <v>195</v>
      </c>
      <c r="B196" s="258"/>
      <c r="C196" s="258"/>
      <c r="D196" s="258"/>
      <c r="E196" s="263"/>
      <c r="F196" s="258"/>
      <c r="G196" s="263"/>
      <c r="H196" s="262"/>
      <c r="I196" s="262"/>
      <c r="J196" s="262"/>
      <c r="K196" s="262"/>
      <c r="L196" s="262"/>
      <c r="M196" s="264"/>
      <c r="N196" s="262"/>
      <c r="O196" s="262"/>
      <c r="P196" s="262"/>
      <c r="Q196" s="263"/>
      <c r="R196" s="263"/>
      <c r="S196" s="292"/>
      <c r="T196" s="261"/>
      <c r="U196" s="261"/>
      <c r="V196" s="268"/>
      <c r="W196" s="268"/>
      <c r="X196" s="268"/>
      <c r="Y196" s="268"/>
      <c r="Z196" s="471">
        <f>SUMIF(TAB_CS[Reference],TAB_Offres[[#This Row],[Reference]],TAB_CS[Commited days])</f>
        <v>0</v>
      </c>
      <c r="AA196" s="269">
        <f>SUMIF(TAB_CS[Reference],TAB_Offres[[#This Row],[Reference]],TAB_CS[Commited amount])</f>
        <v>0</v>
      </c>
      <c r="AB196" s="275"/>
      <c r="AC196" s="270"/>
      <c r="AD196" s="270"/>
      <c r="AE196" s="264"/>
      <c r="AF196" s="271"/>
      <c r="AG196" s="278"/>
      <c r="AH196" s="277" t="str">
        <f>CONCATENATE(YEAR(TAB_Offres[[#This Row],[Request date ]]),"-",MONTH(TAB_Offres[[#This Row],[Request date ]]))</f>
        <v>1900-1</v>
      </c>
      <c r="AI196" s="274" t="e">
        <f>IF(#REF!,1,0)</f>
        <v>#REF!</v>
      </c>
      <c r="AJ196" s="4"/>
      <c r="AK196" s="4"/>
      <c r="AL196" s="4"/>
      <c r="AN196" s="150"/>
      <c r="AQ196" s="4"/>
    </row>
    <row r="197" spans="1:43" x14ac:dyDescent="0.25">
      <c r="A197" s="258">
        <f>ROW(TAB_Offres[[#This Row],[Reference]])-ROW(TAB_Offres[[#Headers],[ID]])</f>
        <v>196</v>
      </c>
      <c r="B197" s="258"/>
      <c r="C197" s="258"/>
      <c r="D197" s="258"/>
      <c r="E197" s="263"/>
      <c r="F197" s="258"/>
      <c r="G197" s="263"/>
      <c r="H197" s="262"/>
      <c r="I197" s="262"/>
      <c r="J197" s="262"/>
      <c r="K197" s="262"/>
      <c r="L197" s="262"/>
      <c r="M197" s="264"/>
      <c r="N197" s="262"/>
      <c r="O197" s="262"/>
      <c r="P197" s="262"/>
      <c r="Q197" s="263"/>
      <c r="R197" s="263"/>
      <c r="S197" s="292"/>
      <c r="T197" s="261"/>
      <c r="U197" s="261"/>
      <c r="V197" s="268"/>
      <c r="W197" s="268"/>
      <c r="X197" s="268"/>
      <c r="Y197" s="268"/>
      <c r="Z197" s="471">
        <f>SUMIF(TAB_CS[Reference],TAB_Offres[[#This Row],[Reference]],TAB_CS[Commited days])</f>
        <v>0</v>
      </c>
      <c r="AA197" s="269">
        <f>SUMIF(TAB_CS[Reference],TAB_Offres[[#This Row],[Reference]],TAB_CS[Commited amount])</f>
        <v>0</v>
      </c>
      <c r="AB197" s="275"/>
      <c r="AC197" s="270"/>
      <c r="AD197" s="270"/>
      <c r="AE197" s="264"/>
      <c r="AF197" s="271"/>
      <c r="AG197" s="278"/>
      <c r="AH197" s="277" t="str">
        <f>CONCATENATE(YEAR(TAB_Offres[[#This Row],[Request date ]]),"-",MONTH(TAB_Offres[[#This Row],[Request date ]]))</f>
        <v>1900-1</v>
      </c>
      <c r="AI197" s="274" t="e">
        <f>IF(#REF!,1,0)</f>
        <v>#REF!</v>
      </c>
      <c r="AJ197" s="4"/>
      <c r="AK197" s="4"/>
      <c r="AL197" s="4"/>
      <c r="AN197" s="150"/>
      <c r="AQ197" s="4"/>
    </row>
    <row r="198" spans="1:43" x14ac:dyDescent="0.25">
      <c r="A198" s="258">
        <f>ROW(TAB_Offres[[#This Row],[Reference]])-ROW(TAB_Offres[[#Headers],[ID]])</f>
        <v>197</v>
      </c>
      <c r="B198" s="258"/>
      <c r="C198" s="258"/>
      <c r="D198" s="258"/>
      <c r="E198" s="263"/>
      <c r="F198" s="258"/>
      <c r="G198" s="263"/>
      <c r="H198" s="262"/>
      <c r="I198" s="262"/>
      <c r="J198" s="262"/>
      <c r="K198" s="262"/>
      <c r="L198" s="262"/>
      <c r="M198" s="264"/>
      <c r="N198" s="262"/>
      <c r="O198" s="262"/>
      <c r="P198" s="262"/>
      <c r="Q198" s="263"/>
      <c r="R198" s="263"/>
      <c r="S198" s="292"/>
      <c r="T198" s="261"/>
      <c r="U198" s="261"/>
      <c r="V198" s="268"/>
      <c r="W198" s="268"/>
      <c r="X198" s="268"/>
      <c r="Y198" s="268"/>
      <c r="Z198" s="471">
        <f>SUMIF(TAB_CS[Reference],TAB_Offres[[#This Row],[Reference]],TAB_CS[Commited days])</f>
        <v>0</v>
      </c>
      <c r="AA198" s="269">
        <f>SUMIF(TAB_CS[Reference],TAB_Offres[[#This Row],[Reference]],TAB_CS[Commited amount])</f>
        <v>0</v>
      </c>
      <c r="AB198" s="275"/>
      <c r="AC198" s="270"/>
      <c r="AD198" s="270"/>
      <c r="AE198" s="264"/>
      <c r="AF198" s="271"/>
      <c r="AG198" s="278"/>
      <c r="AH198" s="277" t="str">
        <f>CONCATENATE(YEAR(TAB_Offres[[#This Row],[Request date ]]),"-",MONTH(TAB_Offres[[#This Row],[Request date ]]))</f>
        <v>1900-1</v>
      </c>
      <c r="AI198" s="274" t="e">
        <f>IF(#REF!,1,0)</f>
        <v>#REF!</v>
      </c>
      <c r="AJ198" s="4"/>
      <c r="AK198" s="4"/>
      <c r="AL198" s="4"/>
      <c r="AN198" s="150"/>
      <c r="AQ198" s="4"/>
    </row>
    <row r="199" spans="1:43" x14ac:dyDescent="0.25">
      <c r="A199" s="258">
        <f>ROW(TAB_Offres[[#This Row],[Reference]])-ROW(TAB_Offres[[#Headers],[ID]])</f>
        <v>198</v>
      </c>
      <c r="B199" s="258"/>
      <c r="C199" s="258"/>
      <c r="D199" s="258"/>
      <c r="E199" s="263"/>
      <c r="F199" s="258"/>
      <c r="G199" s="263"/>
      <c r="H199" s="262"/>
      <c r="I199" s="262"/>
      <c r="J199" s="262"/>
      <c r="K199" s="262"/>
      <c r="L199" s="262"/>
      <c r="M199" s="264"/>
      <c r="N199" s="262"/>
      <c r="O199" s="262"/>
      <c r="P199" s="262"/>
      <c r="Q199" s="263"/>
      <c r="R199" s="263"/>
      <c r="S199" s="292"/>
      <c r="T199" s="261"/>
      <c r="U199" s="261"/>
      <c r="V199" s="268"/>
      <c r="W199" s="268"/>
      <c r="X199" s="268"/>
      <c r="Y199" s="268"/>
      <c r="Z199" s="471">
        <f>SUMIF(TAB_CS[Reference],TAB_Offres[[#This Row],[Reference]],TAB_CS[Commited days])</f>
        <v>0</v>
      </c>
      <c r="AA199" s="269">
        <f>SUMIF(TAB_CS[Reference],TAB_Offres[[#This Row],[Reference]],TAB_CS[Commited amount])</f>
        <v>0</v>
      </c>
      <c r="AB199" s="275"/>
      <c r="AC199" s="270"/>
      <c r="AD199" s="270"/>
      <c r="AE199" s="264"/>
      <c r="AF199" s="271"/>
      <c r="AG199" s="278"/>
      <c r="AH199" s="277" t="str">
        <f>CONCATENATE(YEAR(TAB_Offres[[#This Row],[Request date ]]),"-",MONTH(TAB_Offres[[#This Row],[Request date ]]))</f>
        <v>1900-1</v>
      </c>
      <c r="AI199" s="274" t="e">
        <f>IF(#REF!,1,0)</f>
        <v>#REF!</v>
      </c>
      <c r="AJ199" s="4"/>
      <c r="AK199" s="4"/>
      <c r="AL199" s="4"/>
      <c r="AN199" s="150"/>
      <c r="AQ199" s="4"/>
    </row>
    <row r="200" spans="1:43" x14ac:dyDescent="0.25">
      <c r="A200" s="258">
        <f>ROW(TAB_Offres[[#This Row],[Reference]])-ROW(TAB_Offres[[#Headers],[ID]])</f>
        <v>199</v>
      </c>
      <c r="B200" s="258"/>
      <c r="C200" s="258"/>
      <c r="D200" s="258"/>
      <c r="E200" s="263"/>
      <c r="F200" s="258"/>
      <c r="G200" s="263"/>
      <c r="H200" s="262"/>
      <c r="I200" s="262"/>
      <c r="J200" s="262"/>
      <c r="K200" s="262"/>
      <c r="L200" s="262"/>
      <c r="M200" s="264"/>
      <c r="N200" s="262"/>
      <c r="O200" s="262"/>
      <c r="P200" s="262"/>
      <c r="Q200" s="263"/>
      <c r="R200" s="263"/>
      <c r="S200" s="292"/>
      <c r="T200" s="261"/>
      <c r="U200" s="261"/>
      <c r="V200" s="268"/>
      <c r="W200" s="268"/>
      <c r="X200" s="268"/>
      <c r="Y200" s="268"/>
      <c r="Z200" s="471">
        <f>SUMIF(TAB_CS[Reference],TAB_Offres[[#This Row],[Reference]],TAB_CS[Commited days])</f>
        <v>0</v>
      </c>
      <c r="AA200" s="269">
        <f>SUMIF(TAB_CS[Reference],TAB_Offres[[#This Row],[Reference]],TAB_CS[Commited amount])</f>
        <v>0</v>
      </c>
      <c r="AB200" s="275"/>
      <c r="AC200" s="270"/>
      <c r="AD200" s="270"/>
      <c r="AE200" s="264"/>
      <c r="AF200" s="271"/>
      <c r="AG200" s="278"/>
      <c r="AH200" s="277" t="str">
        <f>CONCATENATE(YEAR(TAB_Offres[[#This Row],[Request date ]]),"-",MONTH(TAB_Offres[[#This Row],[Request date ]]))</f>
        <v>1900-1</v>
      </c>
      <c r="AI200" s="274" t="e">
        <f>IF(#REF!,1,0)</f>
        <v>#REF!</v>
      </c>
      <c r="AJ200" s="4"/>
      <c r="AK200" s="4"/>
      <c r="AL200" s="4"/>
      <c r="AN200" s="150"/>
      <c r="AQ200" s="4"/>
    </row>
    <row r="201" spans="1:43" x14ac:dyDescent="0.25">
      <c r="A201" s="258">
        <f>ROW(TAB_Offres[[#This Row],[Reference]])-ROW(TAB_Offres[[#Headers],[ID]])</f>
        <v>200</v>
      </c>
      <c r="B201" s="258"/>
      <c r="C201" s="258"/>
      <c r="D201" s="258"/>
      <c r="E201" s="263"/>
      <c r="F201" s="258"/>
      <c r="G201" s="263"/>
      <c r="H201" s="262"/>
      <c r="I201" s="262"/>
      <c r="J201" s="262"/>
      <c r="K201" s="262"/>
      <c r="L201" s="262"/>
      <c r="M201" s="264"/>
      <c r="N201" s="262"/>
      <c r="O201" s="262"/>
      <c r="P201" s="262"/>
      <c r="Q201" s="263"/>
      <c r="R201" s="263"/>
      <c r="S201" s="292"/>
      <c r="T201" s="261"/>
      <c r="U201" s="261"/>
      <c r="V201" s="268"/>
      <c r="W201" s="268"/>
      <c r="X201" s="268"/>
      <c r="Y201" s="268"/>
      <c r="Z201" s="471">
        <f>SUMIF(TAB_CS[Reference],TAB_Offres[[#This Row],[Reference]],TAB_CS[Commited days])</f>
        <v>0</v>
      </c>
      <c r="AA201" s="269">
        <f>SUMIF(TAB_CS[Reference],TAB_Offres[[#This Row],[Reference]],TAB_CS[Commited amount])</f>
        <v>0</v>
      </c>
      <c r="AB201" s="275"/>
      <c r="AC201" s="270"/>
      <c r="AD201" s="270"/>
      <c r="AE201" s="264"/>
      <c r="AF201" s="271"/>
      <c r="AG201" s="278"/>
      <c r="AH201" s="277" t="str">
        <f>CONCATENATE(YEAR(TAB_Offres[[#This Row],[Request date ]]),"-",MONTH(TAB_Offres[[#This Row],[Request date ]]))</f>
        <v>1900-1</v>
      </c>
      <c r="AI201" s="274" t="e">
        <f>IF(#REF!,1,0)</f>
        <v>#REF!</v>
      </c>
      <c r="AJ201" s="4"/>
      <c r="AK201" s="4"/>
      <c r="AL201" s="4"/>
      <c r="AN201" s="150"/>
      <c r="AQ201" s="4"/>
    </row>
    <row r="202" spans="1:43" x14ac:dyDescent="0.25">
      <c r="A202" s="258">
        <f>ROW(TAB_Offres[[#This Row],[Reference]])-ROW(TAB_Offres[[#Headers],[ID]])</f>
        <v>201</v>
      </c>
      <c r="B202" s="258"/>
      <c r="C202" s="258"/>
      <c r="D202" s="258"/>
      <c r="E202" s="263"/>
      <c r="F202" s="258"/>
      <c r="G202" s="263"/>
      <c r="H202" s="262"/>
      <c r="I202" s="262"/>
      <c r="J202" s="262"/>
      <c r="K202" s="262"/>
      <c r="L202" s="262"/>
      <c r="M202" s="264"/>
      <c r="N202" s="262"/>
      <c r="O202" s="262"/>
      <c r="P202" s="262"/>
      <c r="Q202" s="263"/>
      <c r="R202" s="263"/>
      <c r="S202" s="292"/>
      <c r="T202" s="261"/>
      <c r="U202" s="261"/>
      <c r="V202" s="268"/>
      <c r="W202" s="268"/>
      <c r="X202" s="268"/>
      <c r="Y202" s="268"/>
      <c r="Z202" s="471">
        <f>SUMIF(TAB_CS[Reference],TAB_Offres[[#This Row],[Reference]],TAB_CS[Commited days])</f>
        <v>0</v>
      </c>
      <c r="AA202" s="269">
        <f>SUMIF(TAB_CS[Reference],TAB_Offres[[#This Row],[Reference]],TAB_CS[Commited amount])</f>
        <v>0</v>
      </c>
      <c r="AB202" s="275"/>
      <c r="AC202" s="270"/>
      <c r="AD202" s="270"/>
      <c r="AE202" s="264"/>
      <c r="AF202" s="271"/>
      <c r="AG202" s="278"/>
      <c r="AH202" s="277" t="str">
        <f>CONCATENATE(YEAR(TAB_Offres[[#This Row],[Request date ]]),"-",MONTH(TAB_Offres[[#This Row],[Request date ]]))</f>
        <v>1900-1</v>
      </c>
      <c r="AI202" s="274" t="e">
        <f>IF(#REF!,1,0)</f>
        <v>#REF!</v>
      </c>
      <c r="AJ202" s="4"/>
      <c r="AK202" s="4"/>
      <c r="AL202" s="4"/>
      <c r="AN202" s="150"/>
      <c r="AQ202" s="4"/>
    </row>
    <row r="203" spans="1:43" x14ac:dyDescent="0.25">
      <c r="A203" s="258">
        <f>ROW(TAB_Offres[[#This Row],[Reference]])-ROW(TAB_Offres[[#Headers],[ID]])</f>
        <v>202</v>
      </c>
      <c r="B203" s="258"/>
      <c r="C203" s="258"/>
      <c r="D203" s="258"/>
      <c r="E203" s="263"/>
      <c r="F203" s="258"/>
      <c r="G203" s="263"/>
      <c r="H203" s="262"/>
      <c r="I203" s="262"/>
      <c r="J203" s="262"/>
      <c r="K203" s="262"/>
      <c r="L203" s="262"/>
      <c r="M203" s="264"/>
      <c r="N203" s="262"/>
      <c r="O203" s="262"/>
      <c r="P203" s="262"/>
      <c r="Q203" s="263"/>
      <c r="R203" s="263"/>
      <c r="S203" s="292"/>
      <c r="T203" s="261"/>
      <c r="U203" s="261"/>
      <c r="V203" s="268"/>
      <c r="W203" s="268"/>
      <c r="X203" s="268"/>
      <c r="Y203" s="268"/>
      <c r="Z203" s="471">
        <f>SUMIF(TAB_CS[Reference],TAB_Offres[[#This Row],[Reference]],TAB_CS[Commited days])</f>
        <v>0</v>
      </c>
      <c r="AA203" s="269">
        <f>SUMIF(TAB_CS[Reference],TAB_Offres[[#This Row],[Reference]],TAB_CS[Commited amount])</f>
        <v>0</v>
      </c>
      <c r="AB203" s="275"/>
      <c r="AC203" s="270"/>
      <c r="AD203" s="270"/>
      <c r="AE203" s="264"/>
      <c r="AF203" s="271"/>
      <c r="AG203" s="278"/>
      <c r="AH203" s="277" t="str">
        <f>CONCATENATE(YEAR(TAB_Offres[[#This Row],[Request date ]]),"-",MONTH(TAB_Offres[[#This Row],[Request date ]]))</f>
        <v>1900-1</v>
      </c>
      <c r="AI203" s="274" t="e">
        <f>IF(#REF!,1,0)</f>
        <v>#REF!</v>
      </c>
      <c r="AJ203" s="4"/>
      <c r="AK203" s="4"/>
      <c r="AL203" s="4"/>
      <c r="AN203" s="150"/>
      <c r="AQ203" s="4"/>
    </row>
    <row r="204" spans="1:43" x14ac:dyDescent="0.25">
      <c r="A204" s="258">
        <f>ROW(TAB_Offres[[#This Row],[Reference]])-ROW(TAB_Offres[[#Headers],[ID]])</f>
        <v>203</v>
      </c>
      <c r="B204" s="258"/>
      <c r="C204" s="258"/>
      <c r="D204" s="258"/>
      <c r="E204" s="263"/>
      <c r="F204" s="258"/>
      <c r="G204" s="263"/>
      <c r="H204" s="262"/>
      <c r="I204" s="262"/>
      <c r="J204" s="262"/>
      <c r="K204" s="262"/>
      <c r="L204" s="262"/>
      <c r="M204" s="264"/>
      <c r="N204" s="262"/>
      <c r="O204" s="262"/>
      <c r="P204" s="262"/>
      <c r="Q204" s="263"/>
      <c r="R204" s="263"/>
      <c r="S204" s="292"/>
      <c r="T204" s="261"/>
      <c r="U204" s="261"/>
      <c r="V204" s="268"/>
      <c r="W204" s="268"/>
      <c r="X204" s="268"/>
      <c r="Y204" s="268"/>
      <c r="Z204" s="471">
        <f>SUMIF(TAB_CS[Reference],TAB_Offres[[#This Row],[Reference]],TAB_CS[Commited days])</f>
        <v>0</v>
      </c>
      <c r="AA204" s="269">
        <f>SUMIF(TAB_CS[Reference],TAB_Offres[[#This Row],[Reference]],TAB_CS[Commited amount])</f>
        <v>0</v>
      </c>
      <c r="AB204" s="275"/>
      <c r="AC204" s="270"/>
      <c r="AD204" s="270"/>
      <c r="AE204" s="264"/>
      <c r="AF204" s="271"/>
      <c r="AG204" s="278"/>
      <c r="AH204" s="277" t="str">
        <f>CONCATENATE(YEAR(TAB_Offres[[#This Row],[Request date ]]),"-",MONTH(TAB_Offres[[#This Row],[Request date ]]))</f>
        <v>1900-1</v>
      </c>
      <c r="AI204" s="274" t="e">
        <f>IF(#REF!,1,0)</f>
        <v>#REF!</v>
      </c>
      <c r="AJ204" s="4"/>
      <c r="AK204" s="4"/>
      <c r="AL204" s="4"/>
      <c r="AN204" s="150"/>
      <c r="AQ204" s="4"/>
    </row>
    <row r="205" spans="1:43" x14ac:dyDescent="0.25">
      <c r="A205" s="258">
        <f>ROW(TAB_Offres[[#This Row],[Reference]])-ROW(TAB_Offres[[#Headers],[ID]])</f>
        <v>204</v>
      </c>
      <c r="B205" s="258"/>
      <c r="C205" s="258"/>
      <c r="D205" s="258"/>
      <c r="E205" s="263"/>
      <c r="F205" s="258"/>
      <c r="G205" s="263"/>
      <c r="H205" s="262"/>
      <c r="I205" s="262"/>
      <c r="J205" s="262"/>
      <c r="K205" s="262"/>
      <c r="L205" s="262"/>
      <c r="M205" s="264"/>
      <c r="N205" s="262"/>
      <c r="O205" s="262"/>
      <c r="P205" s="262"/>
      <c r="Q205" s="263"/>
      <c r="R205" s="263"/>
      <c r="S205" s="292"/>
      <c r="T205" s="261"/>
      <c r="U205" s="261"/>
      <c r="V205" s="268"/>
      <c r="W205" s="268"/>
      <c r="X205" s="268"/>
      <c r="Y205" s="268"/>
      <c r="Z205" s="471">
        <f>SUMIF(TAB_CS[Reference],TAB_Offres[[#This Row],[Reference]],TAB_CS[Commited days])</f>
        <v>0</v>
      </c>
      <c r="AA205" s="269">
        <f>SUMIF(TAB_CS[Reference],TAB_Offres[[#This Row],[Reference]],TAB_CS[Commited amount])</f>
        <v>0</v>
      </c>
      <c r="AB205" s="275"/>
      <c r="AC205" s="270"/>
      <c r="AD205" s="270"/>
      <c r="AE205" s="264"/>
      <c r="AF205" s="271"/>
      <c r="AG205" s="278"/>
      <c r="AH205" s="277" t="str">
        <f>CONCATENATE(YEAR(TAB_Offres[[#This Row],[Request date ]]),"-",MONTH(TAB_Offres[[#This Row],[Request date ]]))</f>
        <v>1900-1</v>
      </c>
      <c r="AI205" s="274" t="e">
        <f>IF(#REF!,1,0)</f>
        <v>#REF!</v>
      </c>
      <c r="AJ205" s="4"/>
      <c r="AK205" s="4"/>
      <c r="AL205" s="4"/>
      <c r="AN205" s="150"/>
      <c r="AQ205" s="4"/>
    </row>
    <row r="206" spans="1:43" x14ac:dyDescent="0.25">
      <c r="A206" s="258">
        <f>ROW(TAB_Offres[[#This Row],[Reference]])-ROW(TAB_Offres[[#Headers],[ID]])</f>
        <v>205</v>
      </c>
      <c r="B206" s="258"/>
      <c r="C206" s="258"/>
      <c r="D206" s="258"/>
      <c r="E206" s="263"/>
      <c r="F206" s="258"/>
      <c r="G206" s="263"/>
      <c r="H206" s="262"/>
      <c r="I206" s="262"/>
      <c r="J206" s="262"/>
      <c r="K206" s="262"/>
      <c r="L206" s="262"/>
      <c r="M206" s="264"/>
      <c r="N206" s="262"/>
      <c r="O206" s="262"/>
      <c r="P206" s="262"/>
      <c r="Q206" s="263"/>
      <c r="R206" s="263"/>
      <c r="S206" s="292"/>
      <c r="T206" s="261"/>
      <c r="U206" s="261"/>
      <c r="V206" s="268"/>
      <c r="W206" s="268"/>
      <c r="X206" s="268"/>
      <c r="Y206" s="268"/>
      <c r="Z206" s="471">
        <f>SUMIF(TAB_CS[Reference],TAB_Offres[[#This Row],[Reference]],TAB_CS[Commited days])</f>
        <v>0</v>
      </c>
      <c r="AA206" s="269">
        <f>SUMIF(TAB_CS[Reference],TAB_Offres[[#This Row],[Reference]],TAB_CS[Commited amount])</f>
        <v>0</v>
      </c>
      <c r="AB206" s="275"/>
      <c r="AC206" s="270"/>
      <c r="AD206" s="270"/>
      <c r="AE206" s="264"/>
      <c r="AF206" s="271"/>
      <c r="AG206" s="278"/>
      <c r="AH206" s="277" t="str">
        <f>CONCATENATE(YEAR(TAB_Offres[[#This Row],[Request date ]]),"-",MONTH(TAB_Offres[[#This Row],[Request date ]]))</f>
        <v>1900-1</v>
      </c>
      <c r="AI206" s="274" t="e">
        <f>IF(#REF!,1,0)</f>
        <v>#REF!</v>
      </c>
      <c r="AJ206" s="4"/>
      <c r="AK206" s="4"/>
      <c r="AL206" s="4"/>
      <c r="AN206" s="150"/>
      <c r="AQ206" s="4"/>
    </row>
    <row r="207" spans="1:43" x14ac:dyDescent="0.25">
      <c r="A207" s="258">
        <f>ROW(TAB_Offres[[#This Row],[Reference]])-ROW(TAB_Offres[[#Headers],[ID]])</f>
        <v>206</v>
      </c>
      <c r="B207" s="258"/>
      <c r="C207" s="258"/>
      <c r="D207" s="258"/>
      <c r="E207" s="263"/>
      <c r="F207" s="258"/>
      <c r="G207" s="263"/>
      <c r="H207" s="262"/>
      <c r="I207" s="262"/>
      <c r="J207" s="262"/>
      <c r="K207" s="262"/>
      <c r="L207" s="262"/>
      <c r="M207" s="264"/>
      <c r="N207" s="262"/>
      <c r="O207" s="262"/>
      <c r="P207" s="262"/>
      <c r="Q207" s="263"/>
      <c r="R207" s="263"/>
      <c r="S207" s="292"/>
      <c r="T207" s="261"/>
      <c r="U207" s="261"/>
      <c r="V207" s="268"/>
      <c r="W207" s="268"/>
      <c r="X207" s="268"/>
      <c r="Y207" s="268"/>
      <c r="Z207" s="471">
        <f>SUMIF(TAB_CS[Reference],TAB_Offres[[#This Row],[Reference]],TAB_CS[Commited days])</f>
        <v>0</v>
      </c>
      <c r="AA207" s="269">
        <f>SUMIF(TAB_CS[Reference],TAB_Offres[[#This Row],[Reference]],TAB_CS[Commited amount])</f>
        <v>0</v>
      </c>
      <c r="AB207" s="275"/>
      <c r="AC207" s="270"/>
      <c r="AD207" s="270"/>
      <c r="AE207" s="264"/>
      <c r="AF207" s="271"/>
      <c r="AG207" s="278"/>
      <c r="AH207" s="277" t="str">
        <f>CONCATENATE(YEAR(TAB_Offres[[#This Row],[Request date ]]),"-",MONTH(TAB_Offres[[#This Row],[Request date ]]))</f>
        <v>1900-1</v>
      </c>
      <c r="AI207" s="274" t="e">
        <f>IF(#REF!,1,0)</f>
        <v>#REF!</v>
      </c>
      <c r="AJ207" s="4"/>
      <c r="AK207" s="4"/>
      <c r="AL207" s="4"/>
      <c r="AN207" s="150"/>
      <c r="AQ207" s="4"/>
    </row>
    <row r="208" spans="1:43" x14ac:dyDescent="0.25">
      <c r="A208" s="258">
        <f>ROW(TAB_Offres[[#This Row],[Reference]])-ROW(TAB_Offres[[#Headers],[ID]])</f>
        <v>207</v>
      </c>
      <c r="B208" s="258"/>
      <c r="C208" s="258"/>
      <c r="D208" s="258"/>
      <c r="E208" s="263"/>
      <c r="F208" s="258"/>
      <c r="G208" s="263"/>
      <c r="H208" s="262"/>
      <c r="I208" s="262"/>
      <c r="J208" s="262"/>
      <c r="K208" s="262"/>
      <c r="L208" s="262"/>
      <c r="M208" s="264"/>
      <c r="N208" s="262"/>
      <c r="O208" s="262"/>
      <c r="P208" s="262"/>
      <c r="Q208" s="263"/>
      <c r="R208" s="263"/>
      <c r="S208" s="292"/>
      <c r="T208" s="261"/>
      <c r="U208" s="261"/>
      <c r="V208" s="268"/>
      <c r="W208" s="268"/>
      <c r="X208" s="268"/>
      <c r="Y208" s="268"/>
      <c r="Z208" s="471">
        <f>SUMIF(TAB_CS[Reference],TAB_Offres[[#This Row],[Reference]],TAB_CS[Commited days])</f>
        <v>0</v>
      </c>
      <c r="AA208" s="269">
        <f>SUMIF(TAB_CS[Reference],TAB_Offres[[#This Row],[Reference]],TAB_CS[Commited amount])</f>
        <v>0</v>
      </c>
      <c r="AB208" s="275"/>
      <c r="AC208" s="270"/>
      <c r="AD208" s="270"/>
      <c r="AE208" s="264"/>
      <c r="AF208" s="271"/>
      <c r="AG208" s="278"/>
      <c r="AH208" s="277" t="str">
        <f>CONCATENATE(YEAR(TAB_Offres[[#This Row],[Request date ]]),"-",MONTH(TAB_Offres[[#This Row],[Request date ]]))</f>
        <v>1900-1</v>
      </c>
      <c r="AI208" s="274" t="e">
        <f>IF(#REF!,1,0)</f>
        <v>#REF!</v>
      </c>
      <c r="AJ208" s="4"/>
      <c r="AK208" s="4"/>
      <c r="AL208" s="4"/>
      <c r="AN208" s="150"/>
      <c r="AQ208" s="4"/>
    </row>
    <row r="209" spans="1:43" x14ac:dyDescent="0.25">
      <c r="A209" s="258">
        <f>ROW(TAB_Offres[[#This Row],[Reference]])-ROW(TAB_Offres[[#Headers],[ID]])</f>
        <v>208</v>
      </c>
      <c r="B209" s="258"/>
      <c r="C209" s="258"/>
      <c r="D209" s="258"/>
      <c r="E209" s="263"/>
      <c r="F209" s="258"/>
      <c r="G209" s="263"/>
      <c r="H209" s="262"/>
      <c r="I209" s="262"/>
      <c r="J209" s="262"/>
      <c r="K209" s="262"/>
      <c r="L209" s="262"/>
      <c r="M209" s="264"/>
      <c r="N209" s="262"/>
      <c r="O209" s="262"/>
      <c r="P209" s="262"/>
      <c r="Q209" s="263"/>
      <c r="R209" s="263"/>
      <c r="S209" s="292"/>
      <c r="T209" s="261"/>
      <c r="U209" s="261"/>
      <c r="V209" s="268"/>
      <c r="W209" s="268"/>
      <c r="X209" s="268"/>
      <c r="Y209" s="268"/>
      <c r="Z209" s="471">
        <f>SUMIF(TAB_CS[Reference],TAB_Offres[[#This Row],[Reference]],TAB_CS[Commited days])</f>
        <v>0</v>
      </c>
      <c r="AA209" s="269">
        <f>SUMIF(TAB_CS[Reference],TAB_Offres[[#This Row],[Reference]],TAB_CS[Commited amount])</f>
        <v>0</v>
      </c>
      <c r="AB209" s="275"/>
      <c r="AC209" s="270"/>
      <c r="AD209" s="270"/>
      <c r="AE209" s="264"/>
      <c r="AF209" s="271"/>
      <c r="AG209" s="278"/>
      <c r="AH209" s="277" t="str">
        <f>CONCATENATE(YEAR(TAB_Offres[[#This Row],[Request date ]]),"-",MONTH(TAB_Offres[[#This Row],[Request date ]]))</f>
        <v>1900-1</v>
      </c>
      <c r="AI209" s="274" t="e">
        <f>IF(#REF!,1,0)</f>
        <v>#REF!</v>
      </c>
      <c r="AJ209" s="4"/>
      <c r="AK209" s="4"/>
      <c r="AL209" s="4"/>
      <c r="AN209" s="150"/>
      <c r="AQ209" s="4"/>
    </row>
    <row r="210" spans="1:43" x14ac:dyDescent="0.25">
      <c r="A210" s="258">
        <f>ROW(TAB_Offres[[#This Row],[Reference]])-ROW(TAB_Offres[[#Headers],[ID]])</f>
        <v>209</v>
      </c>
      <c r="B210" s="258"/>
      <c r="C210" s="258"/>
      <c r="D210" s="258"/>
      <c r="E210" s="263"/>
      <c r="F210" s="258"/>
      <c r="G210" s="263"/>
      <c r="H210" s="262"/>
      <c r="I210" s="262"/>
      <c r="J210" s="262"/>
      <c r="K210" s="262"/>
      <c r="L210" s="262"/>
      <c r="M210" s="264"/>
      <c r="N210" s="262"/>
      <c r="O210" s="262"/>
      <c r="P210" s="262"/>
      <c r="Q210" s="263"/>
      <c r="R210" s="263"/>
      <c r="S210" s="292"/>
      <c r="T210" s="261"/>
      <c r="U210" s="261"/>
      <c r="V210" s="268"/>
      <c r="W210" s="268"/>
      <c r="X210" s="268"/>
      <c r="Y210" s="268"/>
      <c r="Z210" s="471">
        <f>SUMIF(TAB_CS[Reference],TAB_Offres[[#This Row],[Reference]],TAB_CS[Commited days])</f>
        <v>0</v>
      </c>
      <c r="AA210" s="269">
        <f>SUMIF(TAB_CS[Reference],TAB_Offres[[#This Row],[Reference]],TAB_CS[Commited amount])</f>
        <v>0</v>
      </c>
      <c r="AB210" s="275"/>
      <c r="AC210" s="270"/>
      <c r="AD210" s="270"/>
      <c r="AE210" s="264"/>
      <c r="AF210" s="271"/>
      <c r="AG210" s="278"/>
      <c r="AH210" s="277" t="str">
        <f>CONCATENATE(YEAR(TAB_Offres[[#This Row],[Request date ]]),"-",MONTH(TAB_Offres[[#This Row],[Request date ]]))</f>
        <v>1900-1</v>
      </c>
      <c r="AI210" s="274" t="e">
        <f>IF(#REF!,1,0)</f>
        <v>#REF!</v>
      </c>
      <c r="AJ210" s="4"/>
      <c r="AK210" s="4"/>
      <c r="AL210" s="4"/>
      <c r="AN210" s="150"/>
      <c r="AQ210" s="4"/>
    </row>
    <row r="211" spans="1:43" x14ac:dyDescent="0.25">
      <c r="A211" s="258">
        <f>ROW(TAB_Offres[[#This Row],[Reference]])-ROW(TAB_Offres[[#Headers],[ID]])</f>
        <v>210</v>
      </c>
      <c r="B211" s="258"/>
      <c r="C211" s="258"/>
      <c r="D211" s="258"/>
      <c r="E211" s="263"/>
      <c r="F211" s="258"/>
      <c r="G211" s="263"/>
      <c r="H211" s="262"/>
      <c r="I211" s="262"/>
      <c r="J211" s="262"/>
      <c r="K211" s="262"/>
      <c r="L211" s="262"/>
      <c r="M211" s="264"/>
      <c r="N211" s="262"/>
      <c r="O211" s="262"/>
      <c r="P211" s="262"/>
      <c r="Q211" s="263"/>
      <c r="R211" s="263"/>
      <c r="S211" s="292"/>
      <c r="T211" s="261"/>
      <c r="U211" s="261"/>
      <c r="V211" s="268"/>
      <c r="W211" s="268"/>
      <c r="X211" s="268"/>
      <c r="Y211" s="268"/>
      <c r="Z211" s="471">
        <f>SUMIF(TAB_CS[Reference],TAB_Offres[[#This Row],[Reference]],TAB_CS[Commited days])</f>
        <v>0</v>
      </c>
      <c r="AA211" s="269">
        <f>SUMIF(TAB_CS[Reference],TAB_Offres[[#This Row],[Reference]],TAB_CS[Commited amount])</f>
        <v>0</v>
      </c>
      <c r="AB211" s="275"/>
      <c r="AC211" s="270"/>
      <c r="AD211" s="270"/>
      <c r="AE211" s="264"/>
      <c r="AF211" s="271"/>
      <c r="AG211" s="278"/>
      <c r="AH211" s="277" t="str">
        <f>CONCATENATE(YEAR(TAB_Offres[[#This Row],[Request date ]]),"-",MONTH(TAB_Offres[[#This Row],[Request date ]]))</f>
        <v>1900-1</v>
      </c>
      <c r="AI211" s="274" t="e">
        <f>IF(#REF!,1,0)</f>
        <v>#REF!</v>
      </c>
      <c r="AJ211" s="4"/>
      <c r="AK211" s="4"/>
      <c r="AL211" s="4"/>
      <c r="AN211" s="150"/>
      <c r="AQ211" s="4"/>
    </row>
    <row r="212" spans="1:43" x14ac:dyDescent="0.25">
      <c r="A212" s="258">
        <f>ROW(TAB_Offres[[#This Row],[Reference]])-ROW(TAB_Offres[[#Headers],[ID]])</f>
        <v>211</v>
      </c>
      <c r="B212" s="258"/>
      <c r="C212" s="258"/>
      <c r="D212" s="258"/>
      <c r="E212" s="263"/>
      <c r="F212" s="258"/>
      <c r="G212" s="263"/>
      <c r="H212" s="262"/>
      <c r="I212" s="262"/>
      <c r="J212" s="262"/>
      <c r="K212" s="262"/>
      <c r="L212" s="262"/>
      <c r="M212" s="264"/>
      <c r="N212" s="262"/>
      <c r="O212" s="262"/>
      <c r="P212" s="262"/>
      <c r="Q212" s="263"/>
      <c r="R212" s="263"/>
      <c r="S212" s="292"/>
      <c r="T212" s="261"/>
      <c r="U212" s="261"/>
      <c r="V212" s="268"/>
      <c r="W212" s="268"/>
      <c r="X212" s="268"/>
      <c r="Y212" s="268"/>
      <c r="Z212" s="471">
        <f>SUMIF(TAB_CS[Reference],TAB_Offres[[#This Row],[Reference]],TAB_CS[Commited days])</f>
        <v>0</v>
      </c>
      <c r="AA212" s="269">
        <f>SUMIF(TAB_CS[Reference],TAB_Offres[[#This Row],[Reference]],TAB_CS[Commited amount])</f>
        <v>0</v>
      </c>
      <c r="AB212" s="275"/>
      <c r="AC212" s="270"/>
      <c r="AD212" s="270"/>
      <c r="AE212" s="264"/>
      <c r="AF212" s="271"/>
      <c r="AG212" s="278"/>
      <c r="AH212" s="277" t="str">
        <f>CONCATENATE(YEAR(TAB_Offres[[#This Row],[Request date ]]),"-",MONTH(TAB_Offres[[#This Row],[Request date ]]))</f>
        <v>1900-1</v>
      </c>
      <c r="AI212" s="274" t="e">
        <f>IF(#REF!,1,0)</f>
        <v>#REF!</v>
      </c>
      <c r="AJ212" s="4"/>
      <c r="AK212" s="4"/>
      <c r="AL212" s="4"/>
      <c r="AN212" s="150"/>
      <c r="AQ212" s="4"/>
    </row>
    <row r="213" spans="1:43" x14ac:dyDescent="0.25">
      <c r="A213" s="258">
        <f>ROW(TAB_Offres[[#This Row],[Reference]])-ROW(TAB_Offres[[#Headers],[ID]])</f>
        <v>212</v>
      </c>
      <c r="B213" s="258"/>
      <c r="C213" s="258"/>
      <c r="D213" s="258"/>
      <c r="E213" s="263"/>
      <c r="F213" s="258"/>
      <c r="G213" s="263"/>
      <c r="H213" s="262"/>
      <c r="I213" s="262"/>
      <c r="J213" s="262"/>
      <c r="K213" s="262"/>
      <c r="L213" s="262"/>
      <c r="M213" s="264"/>
      <c r="N213" s="262"/>
      <c r="O213" s="262"/>
      <c r="P213" s="262"/>
      <c r="Q213" s="263"/>
      <c r="R213" s="263"/>
      <c r="S213" s="292"/>
      <c r="T213" s="261"/>
      <c r="U213" s="261"/>
      <c r="V213" s="268"/>
      <c r="W213" s="268"/>
      <c r="X213" s="268"/>
      <c r="Y213" s="268"/>
      <c r="Z213" s="471">
        <f>SUMIF(TAB_CS[Reference],TAB_Offres[[#This Row],[Reference]],TAB_CS[Commited days])</f>
        <v>0</v>
      </c>
      <c r="AA213" s="269">
        <f>SUMIF(TAB_CS[Reference],TAB_Offres[[#This Row],[Reference]],TAB_CS[Commited amount])</f>
        <v>0</v>
      </c>
      <c r="AB213" s="275"/>
      <c r="AC213" s="270"/>
      <c r="AD213" s="270"/>
      <c r="AE213" s="264"/>
      <c r="AF213" s="271"/>
      <c r="AG213" s="278"/>
      <c r="AH213" s="277" t="str">
        <f>CONCATENATE(YEAR(TAB_Offres[[#This Row],[Request date ]]),"-",MONTH(TAB_Offres[[#This Row],[Request date ]]))</f>
        <v>1900-1</v>
      </c>
      <c r="AI213" s="274" t="e">
        <f>IF(#REF!,1,0)</f>
        <v>#REF!</v>
      </c>
      <c r="AJ213" s="4"/>
      <c r="AK213" s="4"/>
      <c r="AL213" s="4"/>
      <c r="AN213" s="150"/>
      <c r="AQ213" s="4"/>
    </row>
    <row r="214" spans="1:43" x14ac:dyDescent="0.25">
      <c r="A214" s="258">
        <f>ROW(TAB_Offres[[#This Row],[Reference]])-ROW(TAB_Offres[[#Headers],[ID]])</f>
        <v>213</v>
      </c>
      <c r="B214" s="258"/>
      <c r="C214" s="258"/>
      <c r="D214" s="258"/>
      <c r="E214" s="263"/>
      <c r="F214" s="258"/>
      <c r="G214" s="263"/>
      <c r="H214" s="262"/>
      <c r="I214" s="262"/>
      <c r="J214" s="262"/>
      <c r="K214" s="262"/>
      <c r="L214" s="262"/>
      <c r="M214" s="264"/>
      <c r="N214" s="262"/>
      <c r="O214" s="262"/>
      <c r="P214" s="262"/>
      <c r="Q214" s="263"/>
      <c r="R214" s="263"/>
      <c r="S214" s="292"/>
      <c r="T214" s="261"/>
      <c r="U214" s="261"/>
      <c r="V214" s="268"/>
      <c r="W214" s="268"/>
      <c r="X214" s="268"/>
      <c r="Y214" s="268"/>
      <c r="Z214" s="471">
        <f>SUMIF(TAB_CS[Reference],TAB_Offres[[#This Row],[Reference]],TAB_CS[Commited days])</f>
        <v>0</v>
      </c>
      <c r="AA214" s="269">
        <f>SUMIF(TAB_CS[Reference],TAB_Offres[[#This Row],[Reference]],TAB_CS[Commited amount])</f>
        <v>0</v>
      </c>
      <c r="AB214" s="275"/>
      <c r="AC214" s="270"/>
      <c r="AD214" s="270"/>
      <c r="AE214" s="264"/>
      <c r="AF214" s="271"/>
      <c r="AG214" s="278"/>
      <c r="AH214" s="277" t="str">
        <f>CONCATENATE(YEAR(TAB_Offres[[#This Row],[Request date ]]),"-",MONTH(TAB_Offres[[#This Row],[Request date ]]))</f>
        <v>1900-1</v>
      </c>
      <c r="AI214" s="274" t="e">
        <f>IF(#REF!,1,0)</f>
        <v>#REF!</v>
      </c>
      <c r="AJ214" s="4"/>
      <c r="AK214" s="4"/>
      <c r="AL214" s="4"/>
      <c r="AN214" s="150"/>
      <c r="AQ214" s="4"/>
    </row>
    <row r="215" spans="1:43" x14ac:dyDescent="0.25">
      <c r="A215" s="258">
        <f>ROW(TAB_Offres[[#This Row],[Reference]])-ROW(TAB_Offres[[#Headers],[ID]])</f>
        <v>214</v>
      </c>
      <c r="B215" s="258"/>
      <c r="C215" s="258"/>
      <c r="D215" s="258"/>
      <c r="E215" s="263"/>
      <c r="F215" s="258"/>
      <c r="G215" s="263"/>
      <c r="H215" s="262"/>
      <c r="I215" s="262"/>
      <c r="J215" s="262"/>
      <c r="K215" s="262"/>
      <c r="L215" s="262"/>
      <c r="M215" s="264"/>
      <c r="N215" s="262"/>
      <c r="O215" s="262"/>
      <c r="P215" s="262"/>
      <c r="Q215" s="263"/>
      <c r="R215" s="263"/>
      <c r="S215" s="292"/>
      <c r="T215" s="261"/>
      <c r="U215" s="261"/>
      <c r="V215" s="268"/>
      <c r="W215" s="268"/>
      <c r="X215" s="268"/>
      <c r="Y215" s="268"/>
      <c r="Z215" s="471">
        <f>SUMIF(TAB_CS[Reference],TAB_Offres[[#This Row],[Reference]],TAB_CS[Commited days])</f>
        <v>0</v>
      </c>
      <c r="AA215" s="269">
        <f>SUMIF(TAB_CS[Reference],TAB_Offres[[#This Row],[Reference]],TAB_CS[Commited amount])</f>
        <v>0</v>
      </c>
      <c r="AB215" s="275"/>
      <c r="AC215" s="270"/>
      <c r="AD215" s="270"/>
      <c r="AE215" s="264"/>
      <c r="AF215" s="271"/>
      <c r="AG215" s="278"/>
      <c r="AH215" s="277" t="str">
        <f>CONCATENATE(YEAR(TAB_Offres[[#This Row],[Request date ]]),"-",MONTH(TAB_Offres[[#This Row],[Request date ]]))</f>
        <v>1900-1</v>
      </c>
      <c r="AI215" s="274" t="e">
        <f>IF(#REF!,1,0)</f>
        <v>#REF!</v>
      </c>
      <c r="AJ215" s="4"/>
      <c r="AK215" s="4"/>
      <c r="AL215" s="4"/>
      <c r="AN215" s="150"/>
      <c r="AQ215" s="4"/>
    </row>
    <row r="216" spans="1:43" x14ac:dyDescent="0.25">
      <c r="A216" s="258">
        <f>ROW(TAB_Offres[[#This Row],[Reference]])-ROW(TAB_Offres[[#Headers],[ID]])</f>
        <v>215</v>
      </c>
      <c r="B216" s="258"/>
      <c r="C216" s="258"/>
      <c r="D216" s="258"/>
      <c r="E216" s="263"/>
      <c r="F216" s="258"/>
      <c r="G216" s="263"/>
      <c r="H216" s="262"/>
      <c r="I216" s="262"/>
      <c r="J216" s="262"/>
      <c r="K216" s="262"/>
      <c r="L216" s="262"/>
      <c r="M216" s="264"/>
      <c r="N216" s="262"/>
      <c r="O216" s="262"/>
      <c r="P216" s="262"/>
      <c r="Q216" s="263"/>
      <c r="R216" s="263"/>
      <c r="S216" s="292"/>
      <c r="T216" s="261"/>
      <c r="U216" s="261"/>
      <c r="V216" s="268"/>
      <c r="W216" s="268"/>
      <c r="X216" s="268"/>
      <c r="Y216" s="268"/>
      <c r="Z216" s="471">
        <f>SUMIF(TAB_CS[Reference],TAB_Offres[[#This Row],[Reference]],TAB_CS[Commited days])</f>
        <v>0</v>
      </c>
      <c r="AA216" s="269">
        <f>SUMIF(TAB_CS[Reference],TAB_Offres[[#This Row],[Reference]],TAB_CS[Commited amount])</f>
        <v>0</v>
      </c>
      <c r="AB216" s="275"/>
      <c r="AC216" s="270"/>
      <c r="AD216" s="270"/>
      <c r="AE216" s="264"/>
      <c r="AF216" s="271"/>
      <c r="AG216" s="278"/>
      <c r="AH216" s="277" t="str">
        <f>CONCATENATE(YEAR(TAB_Offres[[#This Row],[Request date ]]),"-",MONTH(TAB_Offres[[#This Row],[Request date ]]))</f>
        <v>1900-1</v>
      </c>
      <c r="AI216" s="274" t="e">
        <f>IF(#REF!,1,0)</f>
        <v>#REF!</v>
      </c>
      <c r="AJ216" s="4"/>
      <c r="AK216" s="4"/>
      <c r="AL216" s="4"/>
      <c r="AN216" s="150"/>
      <c r="AQ216" s="4"/>
    </row>
    <row r="217" spans="1:43" x14ac:dyDescent="0.25">
      <c r="A217" s="258">
        <f>ROW(TAB_Offres[[#This Row],[Reference]])-ROW(TAB_Offres[[#Headers],[ID]])</f>
        <v>216</v>
      </c>
      <c r="B217" s="258"/>
      <c r="C217" s="258"/>
      <c r="D217" s="258"/>
      <c r="E217" s="263"/>
      <c r="F217" s="258"/>
      <c r="G217" s="263"/>
      <c r="H217" s="262"/>
      <c r="I217" s="262"/>
      <c r="J217" s="262"/>
      <c r="K217" s="262"/>
      <c r="L217" s="262"/>
      <c r="M217" s="264"/>
      <c r="N217" s="262"/>
      <c r="O217" s="262"/>
      <c r="P217" s="262"/>
      <c r="Q217" s="263"/>
      <c r="R217" s="263"/>
      <c r="S217" s="292"/>
      <c r="T217" s="261"/>
      <c r="U217" s="261"/>
      <c r="V217" s="268"/>
      <c r="W217" s="268"/>
      <c r="X217" s="268"/>
      <c r="Y217" s="268"/>
      <c r="Z217" s="471">
        <f>SUMIF(TAB_CS[Reference],TAB_Offres[[#This Row],[Reference]],TAB_CS[Commited days])</f>
        <v>0</v>
      </c>
      <c r="AA217" s="269">
        <f>SUMIF(TAB_CS[Reference],TAB_Offres[[#This Row],[Reference]],TAB_CS[Commited amount])</f>
        <v>0</v>
      </c>
      <c r="AB217" s="275"/>
      <c r="AC217" s="270"/>
      <c r="AD217" s="270"/>
      <c r="AE217" s="264"/>
      <c r="AF217" s="271"/>
      <c r="AG217" s="278"/>
      <c r="AH217" s="277" t="str">
        <f>CONCATENATE(YEAR(TAB_Offres[[#This Row],[Request date ]]),"-",MONTH(TAB_Offres[[#This Row],[Request date ]]))</f>
        <v>1900-1</v>
      </c>
      <c r="AI217" s="274" t="e">
        <f>IF(#REF!,1,0)</f>
        <v>#REF!</v>
      </c>
      <c r="AJ217" s="4"/>
      <c r="AK217" s="4"/>
      <c r="AL217" s="4"/>
      <c r="AN217" s="150"/>
      <c r="AQ217" s="4"/>
    </row>
    <row r="218" spans="1:43" x14ac:dyDescent="0.25">
      <c r="A218" s="258">
        <f>ROW(TAB_Offres[[#This Row],[Reference]])-ROW(TAB_Offres[[#Headers],[ID]])</f>
        <v>217</v>
      </c>
      <c r="B218" s="258"/>
      <c r="C218" s="258"/>
      <c r="D218" s="258"/>
      <c r="E218" s="263"/>
      <c r="F218" s="258"/>
      <c r="G218" s="263"/>
      <c r="H218" s="262"/>
      <c r="I218" s="262"/>
      <c r="J218" s="262"/>
      <c r="K218" s="262"/>
      <c r="L218" s="262"/>
      <c r="M218" s="264"/>
      <c r="N218" s="262"/>
      <c r="O218" s="262"/>
      <c r="P218" s="262"/>
      <c r="Q218" s="263"/>
      <c r="R218" s="263"/>
      <c r="S218" s="292"/>
      <c r="T218" s="261"/>
      <c r="U218" s="261"/>
      <c r="V218" s="268"/>
      <c r="W218" s="268"/>
      <c r="X218" s="268"/>
      <c r="Y218" s="268"/>
      <c r="Z218" s="471">
        <f>SUMIF(TAB_CS[Reference],TAB_Offres[[#This Row],[Reference]],TAB_CS[Commited days])</f>
        <v>0</v>
      </c>
      <c r="AA218" s="269">
        <f>SUMIF(TAB_CS[Reference],TAB_Offres[[#This Row],[Reference]],TAB_CS[Commited amount])</f>
        <v>0</v>
      </c>
      <c r="AB218" s="275"/>
      <c r="AC218" s="270"/>
      <c r="AD218" s="270"/>
      <c r="AE218" s="264"/>
      <c r="AF218" s="271"/>
      <c r="AG218" s="278"/>
      <c r="AH218" s="277" t="str">
        <f>CONCATENATE(YEAR(TAB_Offres[[#This Row],[Request date ]]),"-",MONTH(TAB_Offres[[#This Row],[Request date ]]))</f>
        <v>1900-1</v>
      </c>
      <c r="AI218" s="274" t="e">
        <f>IF(#REF!,1,0)</f>
        <v>#REF!</v>
      </c>
      <c r="AJ218" s="4"/>
      <c r="AK218" s="4"/>
      <c r="AL218" s="4"/>
      <c r="AN218" s="150"/>
      <c r="AQ218" s="4"/>
    </row>
    <row r="219" spans="1:43" x14ac:dyDescent="0.25">
      <c r="A219" s="258">
        <f>ROW(TAB_Offres[[#This Row],[Reference]])-ROW(TAB_Offres[[#Headers],[ID]])</f>
        <v>218</v>
      </c>
      <c r="B219" s="258"/>
      <c r="C219" s="258"/>
      <c r="D219" s="258"/>
      <c r="E219" s="263"/>
      <c r="F219" s="258"/>
      <c r="G219" s="263"/>
      <c r="H219" s="262"/>
      <c r="I219" s="262"/>
      <c r="J219" s="262"/>
      <c r="K219" s="262"/>
      <c r="L219" s="262"/>
      <c r="M219" s="264"/>
      <c r="N219" s="262"/>
      <c r="O219" s="262"/>
      <c r="P219" s="262"/>
      <c r="Q219" s="263"/>
      <c r="R219" s="263"/>
      <c r="S219" s="292"/>
      <c r="T219" s="261"/>
      <c r="U219" s="261"/>
      <c r="V219" s="268"/>
      <c r="W219" s="268"/>
      <c r="X219" s="268"/>
      <c r="Y219" s="268"/>
      <c r="Z219" s="471">
        <f>SUMIF(TAB_CS[Reference],TAB_Offres[[#This Row],[Reference]],TAB_CS[Commited days])</f>
        <v>0</v>
      </c>
      <c r="AA219" s="269">
        <f>SUMIF(TAB_CS[Reference],TAB_Offres[[#This Row],[Reference]],TAB_CS[Commited amount])</f>
        <v>0</v>
      </c>
      <c r="AB219" s="275"/>
      <c r="AC219" s="270"/>
      <c r="AD219" s="270"/>
      <c r="AE219" s="264"/>
      <c r="AF219" s="271"/>
      <c r="AG219" s="278"/>
      <c r="AH219" s="277" t="str">
        <f>CONCATENATE(YEAR(TAB_Offres[[#This Row],[Request date ]]),"-",MONTH(TAB_Offres[[#This Row],[Request date ]]))</f>
        <v>1900-1</v>
      </c>
      <c r="AI219" s="274" t="e">
        <f>IF(#REF!,1,0)</f>
        <v>#REF!</v>
      </c>
      <c r="AJ219" s="4"/>
      <c r="AK219" s="4"/>
      <c r="AL219" s="4"/>
      <c r="AN219" s="150"/>
      <c r="AQ219" s="4"/>
    </row>
    <row r="220" spans="1:43" x14ac:dyDescent="0.25">
      <c r="A220" s="258">
        <f>ROW(TAB_Offres[[#This Row],[Reference]])-ROW(TAB_Offres[[#Headers],[ID]])</f>
        <v>219</v>
      </c>
      <c r="B220" s="258"/>
      <c r="C220" s="258"/>
      <c r="D220" s="258"/>
      <c r="E220" s="263"/>
      <c r="F220" s="258"/>
      <c r="G220" s="263"/>
      <c r="H220" s="262"/>
      <c r="I220" s="262"/>
      <c r="J220" s="262"/>
      <c r="K220" s="262"/>
      <c r="L220" s="262"/>
      <c r="M220" s="264"/>
      <c r="N220" s="262"/>
      <c r="O220" s="262"/>
      <c r="P220" s="262"/>
      <c r="Q220" s="263"/>
      <c r="R220" s="263"/>
      <c r="S220" s="292"/>
      <c r="T220" s="261"/>
      <c r="U220" s="261"/>
      <c r="V220" s="268"/>
      <c r="W220" s="268"/>
      <c r="X220" s="268"/>
      <c r="Y220" s="268"/>
      <c r="Z220" s="471">
        <f>SUMIF(TAB_CS[Reference],TAB_Offres[[#This Row],[Reference]],TAB_CS[Commited days])</f>
        <v>0</v>
      </c>
      <c r="AA220" s="269">
        <f>SUMIF(TAB_CS[Reference],TAB_Offres[[#This Row],[Reference]],TAB_CS[Commited amount])</f>
        <v>0</v>
      </c>
      <c r="AB220" s="275"/>
      <c r="AC220" s="270"/>
      <c r="AD220" s="270"/>
      <c r="AE220" s="264"/>
      <c r="AF220" s="271"/>
      <c r="AG220" s="278"/>
      <c r="AH220" s="277" t="str">
        <f>CONCATENATE(YEAR(TAB_Offres[[#This Row],[Request date ]]),"-",MONTH(TAB_Offres[[#This Row],[Request date ]]))</f>
        <v>1900-1</v>
      </c>
      <c r="AI220" s="274" t="e">
        <f>IF(#REF!,1,0)</f>
        <v>#REF!</v>
      </c>
      <c r="AJ220" s="4"/>
      <c r="AK220" s="4"/>
      <c r="AL220" s="4"/>
      <c r="AN220" s="150"/>
      <c r="AQ220" s="4"/>
    </row>
    <row r="221" spans="1:43" x14ac:dyDescent="0.25">
      <c r="A221" s="258">
        <f>ROW(TAB_Offres[[#This Row],[Reference]])-ROW(TAB_Offres[[#Headers],[ID]])</f>
        <v>220</v>
      </c>
      <c r="B221" s="258"/>
      <c r="C221" s="258"/>
      <c r="D221" s="258"/>
      <c r="E221" s="263"/>
      <c r="F221" s="258"/>
      <c r="G221" s="263"/>
      <c r="H221" s="262"/>
      <c r="I221" s="262"/>
      <c r="J221" s="262"/>
      <c r="K221" s="262"/>
      <c r="L221" s="262"/>
      <c r="M221" s="264"/>
      <c r="N221" s="262"/>
      <c r="O221" s="262"/>
      <c r="P221" s="262"/>
      <c r="Q221" s="263"/>
      <c r="R221" s="263"/>
      <c r="S221" s="292"/>
      <c r="T221" s="261"/>
      <c r="U221" s="261"/>
      <c r="V221" s="268"/>
      <c r="W221" s="268"/>
      <c r="X221" s="268"/>
      <c r="Y221" s="268"/>
      <c r="Z221" s="471">
        <f>SUMIF(TAB_CS[Reference],TAB_Offres[[#This Row],[Reference]],TAB_CS[Commited days])</f>
        <v>0</v>
      </c>
      <c r="AA221" s="269">
        <f>SUMIF(TAB_CS[Reference],TAB_Offres[[#This Row],[Reference]],TAB_CS[Commited amount])</f>
        <v>0</v>
      </c>
      <c r="AB221" s="275"/>
      <c r="AC221" s="270"/>
      <c r="AD221" s="270"/>
      <c r="AE221" s="264"/>
      <c r="AF221" s="271"/>
      <c r="AG221" s="278"/>
      <c r="AH221" s="277" t="str">
        <f>CONCATENATE(YEAR(TAB_Offres[[#This Row],[Request date ]]),"-",MONTH(TAB_Offres[[#This Row],[Request date ]]))</f>
        <v>1900-1</v>
      </c>
      <c r="AI221" s="274" t="e">
        <f>IF(#REF!,1,0)</f>
        <v>#REF!</v>
      </c>
      <c r="AJ221" s="4"/>
      <c r="AK221" s="4"/>
      <c r="AL221" s="4"/>
      <c r="AN221" s="150"/>
      <c r="AQ221" s="4"/>
    </row>
    <row r="222" spans="1:43" x14ac:dyDescent="0.25">
      <c r="A222" s="258">
        <f>ROW(TAB_Offres[[#This Row],[Reference]])-ROW(TAB_Offres[[#Headers],[ID]])</f>
        <v>221</v>
      </c>
      <c r="B222" s="258"/>
      <c r="C222" s="258"/>
      <c r="D222" s="258"/>
      <c r="E222" s="263"/>
      <c r="F222" s="258"/>
      <c r="G222" s="263"/>
      <c r="H222" s="262"/>
      <c r="I222" s="262"/>
      <c r="J222" s="262"/>
      <c r="K222" s="262"/>
      <c r="L222" s="262"/>
      <c r="M222" s="264"/>
      <c r="N222" s="262"/>
      <c r="O222" s="262"/>
      <c r="P222" s="262"/>
      <c r="Q222" s="263"/>
      <c r="R222" s="263"/>
      <c r="S222" s="292"/>
      <c r="T222" s="261"/>
      <c r="U222" s="261"/>
      <c r="V222" s="268"/>
      <c r="W222" s="268"/>
      <c r="X222" s="268"/>
      <c r="Y222" s="268"/>
      <c r="Z222" s="471">
        <f>SUMIF(TAB_CS[Reference],TAB_Offres[[#This Row],[Reference]],TAB_CS[Commited days])</f>
        <v>0</v>
      </c>
      <c r="AA222" s="269">
        <f>SUMIF(TAB_CS[Reference],TAB_Offres[[#This Row],[Reference]],TAB_CS[Commited amount])</f>
        <v>0</v>
      </c>
      <c r="AB222" s="275"/>
      <c r="AC222" s="270"/>
      <c r="AD222" s="270"/>
      <c r="AE222" s="264"/>
      <c r="AF222" s="271"/>
      <c r="AG222" s="278"/>
      <c r="AH222" s="277" t="str">
        <f>CONCATENATE(YEAR(TAB_Offres[[#This Row],[Request date ]]),"-",MONTH(TAB_Offres[[#This Row],[Request date ]]))</f>
        <v>1900-1</v>
      </c>
      <c r="AI222" s="274" t="e">
        <f>IF(#REF!,1,0)</f>
        <v>#REF!</v>
      </c>
      <c r="AJ222" s="4"/>
      <c r="AK222" s="4"/>
      <c r="AL222" s="4"/>
      <c r="AN222" s="150"/>
      <c r="AQ222" s="4"/>
    </row>
    <row r="223" spans="1:43" x14ac:dyDescent="0.25">
      <c r="A223" s="258">
        <f>ROW(TAB_Offres[[#This Row],[Reference]])-ROW(TAB_Offres[[#Headers],[ID]])</f>
        <v>222</v>
      </c>
      <c r="B223" s="258"/>
      <c r="C223" s="258"/>
      <c r="D223" s="258"/>
      <c r="E223" s="263"/>
      <c r="F223" s="258"/>
      <c r="G223" s="263"/>
      <c r="H223" s="262"/>
      <c r="I223" s="262"/>
      <c r="J223" s="262"/>
      <c r="K223" s="262"/>
      <c r="L223" s="262"/>
      <c r="M223" s="264"/>
      <c r="N223" s="262"/>
      <c r="O223" s="262"/>
      <c r="P223" s="262"/>
      <c r="Q223" s="263"/>
      <c r="R223" s="263"/>
      <c r="S223" s="292"/>
      <c r="T223" s="261"/>
      <c r="U223" s="261"/>
      <c r="V223" s="268"/>
      <c r="W223" s="268"/>
      <c r="X223" s="268"/>
      <c r="Y223" s="268"/>
      <c r="Z223" s="471">
        <f>SUMIF(TAB_CS[Reference],TAB_Offres[[#This Row],[Reference]],TAB_CS[Commited days])</f>
        <v>0</v>
      </c>
      <c r="AA223" s="269">
        <f>SUMIF(TAB_CS[Reference],TAB_Offres[[#This Row],[Reference]],TAB_CS[Commited amount])</f>
        <v>0</v>
      </c>
      <c r="AB223" s="275"/>
      <c r="AC223" s="270"/>
      <c r="AD223" s="270"/>
      <c r="AE223" s="264"/>
      <c r="AF223" s="271"/>
      <c r="AG223" s="278"/>
      <c r="AH223" s="277" t="str">
        <f>CONCATENATE(YEAR(TAB_Offres[[#This Row],[Request date ]]),"-",MONTH(TAB_Offres[[#This Row],[Request date ]]))</f>
        <v>1900-1</v>
      </c>
      <c r="AI223" s="274" t="e">
        <f>IF(#REF!,1,0)</f>
        <v>#REF!</v>
      </c>
      <c r="AJ223" s="4"/>
      <c r="AK223" s="4"/>
      <c r="AL223" s="4"/>
      <c r="AN223" s="150"/>
      <c r="AQ223" s="4"/>
    </row>
    <row r="224" spans="1:43" x14ac:dyDescent="0.25">
      <c r="A224" s="258">
        <f>ROW(TAB_Offres[[#This Row],[Reference]])-ROW(TAB_Offres[[#Headers],[ID]])</f>
        <v>223</v>
      </c>
      <c r="B224" s="258"/>
      <c r="C224" s="258"/>
      <c r="D224" s="258"/>
      <c r="E224" s="263"/>
      <c r="F224" s="258"/>
      <c r="G224" s="263"/>
      <c r="H224" s="262"/>
      <c r="I224" s="262"/>
      <c r="J224" s="262"/>
      <c r="K224" s="262"/>
      <c r="L224" s="262"/>
      <c r="M224" s="264"/>
      <c r="N224" s="262"/>
      <c r="O224" s="262"/>
      <c r="P224" s="262"/>
      <c r="Q224" s="263"/>
      <c r="R224" s="263"/>
      <c r="S224" s="292"/>
      <c r="T224" s="261"/>
      <c r="U224" s="261"/>
      <c r="V224" s="268"/>
      <c r="W224" s="268"/>
      <c r="X224" s="268"/>
      <c r="Y224" s="268"/>
      <c r="Z224" s="471">
        <f>SUMIF(TAB_CS[Reference],TAB_Offres[[#This Row],[Reference]],TAB_CS[Commited days])</f>
        <v>0</v>
      </c>
      <c r="AA224" s="269">
        <f>SUMIF(TAB_CS[Reference],TAB_Offres[[#This Row],[Reference]],TAB_CS[Commited amount])</f>
        <v>0</v>
      </c>
      <c r="AB224" s="275"/>
      <c r="AC224" s="270"/>
      <c r="AD224" s="270"/>
      <c r="AE224" s="264"/>
      <c r="AF224" s="271"/>
      <c r="AG224" s="278"/>
      <c r="AH224" s="277" t="str">
        <f>CONCATENATE(YEAR(TAB_Offres[[#This Row],[Request date ]]),"-",MONTH(TAB_Offres[[#This Row],[Request date ]]))</f>
        <v>1900-1</v>
      </c>
      <c r="AI224" s="274" t="e">
        <f>IF(#REF!,1,0)</f>
        <v>#REF!</v>
      </c>
      <c r="AJ224" s="4"/>
      <c r="AK224" s="4"/>
      <c r="AL224" s="4"/>
      <c r="AN224" s="150"/>
      <c r="AQ224" s="4"/>
    </row>
    <row r="225" spans="1:43" x14ac:dyDescent="0.25">
      <c r="A225" s="258">
        <f>ROW(TAB_Offres[[#This Row],[Reference]])-ROW(TAB_Offres[[#Headers],[ID]])</f>
        <v>224</v>
      </c>
      <c r="B225" s="258"/>
      <c r="C225" s="258"/>
      <c r="D225" s="258"/>
      <c r="E225" s="263"/>
      <c r="F225" s="258"/>
      <c r="G225" s="263"/>
      <c r="H225" s="262"/>
      <c r="I225" s="262"/>
      <c r="J225" s="262"/>
      <c r="K225" s="262"/>
      <c r="L225" s="262"/>
      <c r="M225" s="264"/>
      <c r="N225" s="262"/>
      <c r="O225" s="262"/>
      <c r="P225" s="262"/>
      <c r="Q225" s="263"/>
      <c r="R225" s="263"/>
      <c r="S225" s="292"/>
      <c r="T225" s="261"/>
      <c r="U225" s="261"/>
      <c r="V225" s="268"/>
      <c r="W225" s="268"/>
      <c r="X225" s="268"/>
      <c r="Y225" s="268"/>
      <c r="Z225" s="471">
        <f>SUMIF(TAB_CS[Reference],TAB_Offres[[#This Row],[Reference]],TAB_CS[Commited days])</f>
        <v>0</v>
      </c>
      <c r="AA225" s="269">
        <f>SUMIF(TAB_CS[Reference],TAB_Offres[[#This Row],[Reference]],TAB_CS[Commited amount])</f>
        <v>0</v>
      </c>
      <c r="AB225" s="275"/>
      <c r="AC225" s="270"/>
      <c r="AD225" s="270"/>
      <c r="AE225" s="264"/>
      <c r="AF225" s="271"/>
      <c r="AG225" s="278"/>
      <c r="AH225" s="277" t="str">
        <f>CONCATENATE(YEAR(TAB_Offres[[#This Row],[Request date ]]),"-",MONTH(TAB_Offres[[#This Row],[Request date ]]))</f>
        <v>1900-1</v>
      </c>
      <c r="AI225" s="274" t="e">
        <f>IF(#REF!,1,0)</f>
        <v>#REF!</v>
      </c>
      <c r="AJ225" s="4"/>
      <c r="AK225" s="4"/>
      <c r="AL225" s="4"/>
      <c r="AN225" s="150"/>
      <c r="AQ225" s="4"/>
    </row>
    <row r="226" spans="1:43" x14ac:dyDescent="0.25">
      <c r="A226" s="258">
        <f>ROW(TAB_Offres[[#This Row],[Reference]])-ROW(TAB_Offres[[#Headers],[ID]])</f>
        <v>225</v>
      </c>
      <c r="B226" s="258"/>
      <c r="C226" s="258"/>
      <c r="D226" s="258"/>
      <c r="E226" s="263"/>
      <c r="F226" s="258"/>
      <c r="G226" s="263"/>
      <c r="H226" s="262"/>
      <c r="I226" s="262"/>
      <c r="J226" s="262"/>
      <c r="K226" s="262"/>
      <c r="L226" s="262"/>
      <c r="M226" s="264"/>
      <c r="N226" s="262"/>
      <c r="O226" s="262"/>
      <c r="P226" s="262"/>
      <c r="Q226" s="263"/>
      <c r="R226" s="263"/>
      <c r="S226" s="292"/>
      <c r="T226" s="261"/>
      <c r="U226" s="261"/>
      <c r="V226" s="268"/>
      <c r="W226" s="268"/>
      <c r="X226" s="268"/>
      <c r="Y226" s="268"/>
      <c r="Z226" s="471">
        <f>SUMIF(TAB_CS[Reference],TAB_Offres[[#This Row],[Reference]],TAB_CS[Commited days])</f>
        <v>0</v>
      </c>
      <c r="AA226" s="269">
        <f>SUMIF(TAB_CS[Reference],TAB_Offres[[#This Row],[Reference]],TAB_CS[Commited amount])</f>
        <v>0</v>
      </c>
      <c r="AB226" s="275"/>
      <c r="AC226" s="270"/>
      <c r="AD226" s="270"/>
      <c r="AE226" s="264"/>
      <c r="AF226" s="271"/>
      <c r="AG226" s="278"/>
      <c r="AH226" s="277" t="str">
        <f>CONCATENATE(YEAR(TAB_Offres[[#This Row],[Request date ]]),"-",MONTH(TAB_Offres[[#This Row],[Request date ]]))</f>
        <v>1900-1</v>
      </c>
      <c r="AI226" s="274" t="e">
        <f>IF(#REF!,1,0)</f>
        <v>#REF!</v>
      </c>
      <c r="AJ226" s="4"/>
      <c r="AK226" s="4"/>
      <c r="AL226" s="4"/>
      <c r="AN226" s="150"/>
      <c r="AQ226" s="4"/>
    </row>
    <row r="227" spans="1:43" x14ac:dyDescent="0.25">
      <c r="A227" s="258">
        <f>ROW(TAB_Offres[[#This Row],[Reference]])-ROW(TAB_Offres[[#Headers],[ID]])</f>
        <v>226</v>
      </c>
      <c r="B227" s="258"/>
      <c r="C227" s="258"/>
      <c r="D227" s="258"/>
      <c r="E227" s="263"/>
      <c r="F227" s="258"/>
      <c r="G227" s="263"/>
      <c r="H227" s="262"/>
      <c r="I227" s="262"/>
      <c r="J227" s="262"/>
      <c r="K227" s="262"/>
      <c r="L227" s="262"/>
      <c r="M227" s="264"/>
      <c r="N227" s="262"/>
      <c r="O227" s="262"/>
      <c r="P227" s="262"/>
      <c r="Q227" s="263"/>
      <c r="R227" s="263"/>
      <c r="S227" s="292"/>
      <c r="T227" s="261"/>
      <c r="U227" s="261"/>
      <c r="V227" s="268"/>
      <c r="W227" s="268"/>
      <c r="X227" s="268"/>
      <c r="Y227" s="268"/>
      <c r="Z227" s="471">
        <f>SUMIF(TAB_CS[Reference],TAB_Offres[[#This Row],[Reference]],TAB_CS[Commited days])</f>
        <v>0</v>
      </c>
      <c r="AA227" s="269">
        <f>SUMIF(TAB_CS[Reference],TAB_Offres[[#This Row],[Reference]],TAB_CS[Commited amount])</f>
        <v>0</v>
      </c>
      <c r="AB227" s="275"/>
      <c r="AC227" s="270"/>
      <c r="AD227" s="270"/>
      <c r="AE227" s="264"/>
      <c r="AF227" s="271"/>
      <c r="AG227" s="278"/>
      <c r="AH227" s="277" t="str">
        <f>CONCATENATE(YEAR(TAB_Offres[[#This Row],[Request date ]]),"-",MONTH(TAB_Offres[[#This Row],[Request date ]]))</f>
        <v>1900-1</v>
      </c>
      <c r="AI227" s="274" t="e">
        <f>IF(#REF!,1,0)</f>
        <v>#REF!</v>
      </c>
      <c r="AJ227" s="4"/>
      <c r="AK227" s="4"/>
      <c r="AL227" s="4"/>
      <c r="AN227" s="150"/>
      <c r="AQ227" s="4"/>
    </row>
    <row r="228" spans="1:43" x14ac:dyDescent="0.25">
      <c r="A228" s="258">
        <f>ROW(TAB_Offres[[#This Row],[Reference]])-ROW(TAB_Offres[[#Headers],[ID]])</f>
        <v>227</v>
      </c>
      <c r="B228" s="258"/>
      <c r="C228" s="258"/>
      <c r="D228" s="258"/>
      <c r="E228" s="263"/>
      <c r="F228" s="258"/>
      <c r="G228" s="263"/>
      <c r="H228" s="262"/>
      <c r="I228" s="262"/>
      <c r="J228" s="262"/>
      <c r="K228" s="262"/>
      <c r="L228" s="262"/>
      <c r="M228" s="264"/>
      <c r="N228" s="262"/>
      <c r="O228" s="262"/>
      <c r="P228" s="262"/>
      <c r="Q228" s="263"/>
      <c r="R228" s="263"/>
      <c r="S228" s="292"/>
      <c r="T228" s="261"/>
      <c r="U228" s="261"/>
      <c r="V228" s="268"/>
      <c r="W228" s="268"/>
      <c r="X228" s="268"/>
      <c r="Y228" s="268"/>
      <c r="Z228" s="471">
        <f>SUMIF(TAB_CS[Reference],TAB_Offres[[#This Row],[Reference]],TAB_CS[Commited days])</f>
        <v>0</v>
      </c>
      <c r="AA228" s="269">
        <f>SUMIF(TAB_CS[Reference],TAB_Offres[[#This Row],[Reference]],TAB_CS[Commited amount])</f>
        <v>0</v>
      </c>
      <c r="AB228" s="275"/>
      <c r="AC228" s="270"/>
      <c r="AD228" s="270"/>
      <c r="AE228" s="264"/>
      <c r="AF228" s="271"/>
      <c r="AG228" s="278"/>
      <c r="AH228" s="277" t="str">
        <f>CONCATENATE(YEAR(TAB_Offres[[#This Row],[Request date ]]),"-",MONTH(TAB_Offres[[#This Row],[Request date ]]))</f>
        <v>1900-1</v>
      </c>
      <c r="AI228" s="274" t="e">
        <f>IF(#REF!,1,0)</f>
        <v>#REF!</v>
      </c>
      <c r="AJ228" s="4"/>
      <c r="AK228" s="4"/>
      <c r="AL228" s="4"/>
      <c r="AN228" s="150"/>
      <c r="AQ228" s="4"/>
    </row>
    <row r="229" spans="1:43" x14ac:dyDescent="0.25">
      <c r="A229" s="258">
        <f>ROW(TAB_Offres[[#This Row],[Reference]])-ROW(TAB_Offres[[#Headers],[ID]])</f>
        <v>228</v>
      </c>
      <c r="B229" s="258"/>
      <c r="C229" s="258"/>
      <c r="D229" s="258"/>
      <c r="E229" s="263"/>
      <c r="F229" s="258"/>
      <c r="G229" s="263"/>
      <c r="H229" s="262"/>
      <c r="I229" s="262"/>
      <c r="J229" s="262"/>
      <c r="K229" s="262"/>
      <c r="L229" s="262"/>
      <c r="M229" s="264"/>
      <c r="N229" s="262"/>
      <c r="O229" s="262"/>
      <c r="P229" s="262"/>
      <c r="Q229" s="263"/>
      <c r="R229" s="263"/>
      <c r="S229" s="292"/>
      <c r="T229" s="261"/>
      <c r="U229" s="261"/>
      <c r="V229" s="268"/>
      <c r="W229" s="268"/>
      <c r="X229" s="268"/>
      <c r="Y229" s="268"/>
      <c r="Z229" s="471">
        <f>SUMIF(TAB_CS[Reference],TAB_Offres[[#This Row],[Reference]],TAB_CS[Commited days])</f>
        <v>0</v>
      </c>
      <c r="AA229" s="269">
        <f>SUMIF(TAB_CS[Reference],TAB_Offres[[#This Row],[Reference]],TAB_CS[Commited amount])</f>
        <v>0</v>
      </c>
      <c r="AB229" s="275"/>
      <c r="AC229" s="270"/>
      <c r="AD229" s="270"/>
      <c r="AE229" s="264"/>
      <c r="AF229" s="271"/>
      <c r="AG229" s="278"/>
      <c r="AH229" s="277" t="str">
        <f>CONCATENATE(YEAR(TAB_Offres[[#This Row],[Request date ]]),"-",MONTH(TAB_Offres[[#This Row],[Request date ]]))</f>
        <v>1900-1</v>
      </c>
      <c r="AI229" s="274" t="e">
        <f>IF(#REF!,1,0)</f>
        <v>#REF!</v>
      </c>
      <c r="AJ229" s="4"/>
      <c r="AK229" s="4"/>
      <c r="AL229" s="4"/>
      <c r="AN229" s="150"/>
      <c r="AQ229" s="4"/>
    </row>
    <row r="230" spans="1:43" x14ac:dyDescent="0.25">
      <c r="A230" s="258">
        <f>ROW(TAB_Offres[[#This Row],[Reference]])-ROW(TAB_Offres[[#Headers],[ID]])</f>
        <v>229</v>
      </c>
      <c r="B230" s="258"/>
      <c r="C230" s="258"/>
      <c r="D230" s="258"/>
      <c r="E230" s="263"/>
      <c r="F230" s="258"/>
      <c r="G230" s="263"/>
      <c r="H230" s="262"/>
      <c r="I230" s="262"/>
      <c r="J230" s="262"/>
      <c r="K230" s="262"/>
      <c r="L230" s="262"/>
      <c r="M230" s="264"/>
      <c r="N230" s="262"/>
      <c r="O230" s="262"/>
      <c r="P230" s="262"/>
      <c r="Q230" s="263"/>
      <c r="R230" s="263"/>
      <c r="S230" s="292"/>
      <c r="T230" s="261"/>
      <c r="U230" s="261"/>
      <c r="V230" s="268"/>
      <c r="W230" s="268"/>
      <c r="X230" s="268"/>
      <c r="Y230" s="268"/>
      <c r="Z230" s="471">
        <f>SUMIF(TAB_CS[Reference],TAB_Offres[[#This Row],[Reference]],TAB_CS[Commited days])</f>
        <v>0</v>
      </c>
      <c r="AA230" s="269">
        <f>SUMIF(TAB_CS[Reference],TAB_Offres[[#This Row],[Reference]],TAB_CS[Commited amount])</f>
        <v>0</v>
      </c>
      <c r="AB230" s="275"/>
      <c r="AC230" s="270"/>
      <c r="AD230" s="270"/>
      <c r="AE230" s="264"/>
      <c r="AF230" s="271"/>
      <c r="AG230" s="278"/>
      <c r="AH230" s="277" t="str">
        <f>CONCATENATE(YEAR(TAB_Offres[[#This Row],[Request date ]]),"-",MONTH(TAB_Offres[[#This Row],[Request date ]]))</f>
        <v>1900-1</v>
      </c>
      <c r="AI230" s="274" t="e">
        <f>IF(#REF!,1,0)</f>
        <v>#REF!</v>
      </c>
      <c r="AJ230" s="4"/>
      <c r="AK230" s="4"/>
      <c r="AL230" s="4"/>
      <c r="AN230" s="150"/>
      <c r="AQ230" s="4"/>
    </row>
    <row r="231" spans="1:43" x14ac:dyDescent="0.25">
      <c r="A231" s="258">
        <f>ROW(TAB_Offres[[#This Row],[Reference]])-ROW(TAB_Offres[[#Headers],[ID]])</f>
        <v>230</v>
      </c>
      <c r="B231" s="258"/>
      <c r="C231" s="258"/>
      <c r="D231" s="258"/>
      <c r="E231" s="263"/>
      <c r="F231" s="258"/>
      <c r="G231" s="263"/>
      <c r="H231" s="262"/>
      <c r="I231" s="262"/>
      <c r="J231" s="262"/>
      <c r="K231" s="262"/>
      <c r="L231" s="262"/>
      <c r="M231" s="264"/>
      <c r="N231" s="262"/>
      <c r="O231" s="262"/>
      <c r="P231" s="262"/>
      <c r="Q231" s="263"/>
      <c r="R231" s="263"/>
      <c r="S231" s="292"/>
      <c r="T231" s="261"/>
      <c r="U231" s="261"/>
      <c r="V231" s="268"/>
      <c r="W231" s="268"/>
      <c r="X231" s="268"/>
      <c r="Y231" s="268"/>
      <c r="Z231" s="471">
        <f>SUMIF(TAB_CS[Reference],TAB_Offres[[#This Row],[Reference]],TAB_CS[Commited days])</f>
        <v>0</v>
      </c>
      <c r="AA231" s="269">
        <f>SUMIF(TAB_CS[Reference],TAB_Offres[[#This Row],[Reference]],TAB_CS[Commited amount])</f>
        <v>0</v>
      </c>
      <c r="AB231" s="275"/>
      <c r="AC231" s="270"/>
      <c r="AD231" s="270"/>
      <c r="AE231" s="264"/>
      <c r="AF231" s="271"/>
      <c r="AG231" s="278"/>
      <c r="AH231" s="277" t="str">
        <f>CONCATENATE(YEAR(TAB_Offres[[#This Row],[Request date ]]),"-",MONTH(TAB_Offres[[#This Row],[Request date ]]))</f>
        <v>1900-1</v>
      </c>
      <c r="AI231" s="274" t="e">
        <f>IF(#REF!,1,0)</f>
        <v>#REF!</v>
      </c>
      <c r="AJ231" s="4"/>
      <c r="AK231" s="4"/>
      <c r="AL231" s="4"/>
      <c r="AN231" s="150"/>
      <c r="AQ231" s="4"/>
    </row>
    <row r="232" spans="1:43" x14ac:dyDescent="0.25">
      <c r="A232" s="258">
        <f>ROW(TAB_Offres[[#This Row],[Reference]])-ROW(TAB_Offres[[#Headers],[ID]])</f>
        <v>231</v>
      </c>
      <c r="B232" s="258"/>
      <c r="C232" s="258"/>
      <c r="D232" s="258"/>
      <c r="E232" s="263"/>
      <c r="F232" s="258"/>
      <c r="G232" s="263"/>
      <c r="H232" s="262"/>
      <c r="I232" s="262"/>
      <c r="J232" s="262"/>
      <c r="K232" s="262"/>
      <c r="L232" s="262"/>
      <c r="M232" s="264"/>
      <c r="N232" s="262"/>
      <c r="O232" s="262"/>
      <c r="P232" s="262"/>
      <c r="Q232" s="263"/>
      <c r="R232" s="263"/>
      <c r="S232" s="292"/>
      <c r="T232" s="261"/>
      <c r="U232" s="261"/>
      <c r="V232" s="268"/>
      <c r="W232" s="268"/>
      <c r="X232" s="268"/>
      <c r="Y232" s="268"/>
      <c r="Z232" s="471">
        <f>SUMIF(TAB_CS[Reference],TAB_Offres[[#This Row],[Reference]],TAB_CS[Commited days])</f>
        <v>0</v>
      </c>
      <c r="AA232" s="269">
        <f>SUMIF(TAB_CS[Reference],TAB_Offres[[#This Row],[Reference]],TAB_CS[Commited amount])</f>
        <v>0</v>
      </c>
      <c r="AB232" s="275"/>
      <c r="AC232" s="270"/>
      <c r="AD232" s="270"/>
      <c r="AE232" s="264"/>
      <c r="AF232" s="271"/>
      <c r="AG232" s="278"/>
      <c r="AH232" s="277" t="str">
        <f>CONCATENATE(YEAR(TAB_Offres[[#This Row],[Request date ]]),"-",MONTH(TAB_Offres[[#This Row],[Request date ]]))</f>
        <v>1900-1</v>
      </c>
      <c r="AI232" s="274" t="e">
        <f>IF(#REF!,1,0)</f>
        <v>#REF!</v>
      </c>
      <c r="AJ232" s="4"/>
      <c r="AK232" s="4"/>
      <c r="AL232" s="4"/>
      <c r="AN232" s="150"/>
      <c r="AQ232" s="4"/>
    </row>
    <row r="233" spans="1:43" x14ac:dyDescent="0.25">
      <c r="A233" s="258">
        <f>ROW(TAB_Offres[[#This Row],[Reference]])-ROW(TAB_Offres[[#Headers],[ID]])</f>
        <v>232</v>
      </c>
      <c r="B233" s="258"/>
      <c r="C233" s="258"/>
      <c r="D233" s="258"/>
      <c r="E233" s="263"/>
      <c r="F233" s="258"/>
      <c r="G233" s="263"/>
      <c r="H233" s="262"/>
      <c r="I233" s="262"/>
      <c r="J233" s="262"/>
      <c r="K233" s="262"/>
      <c r="L233" s="262"/>
      <c r="M233" s="264"/>
      <c r="N233" s="262"/>
      <c r="O233" s="262"/>
      <c r="P233" s="262"/>
      <c r="Q233" s="263"/>
      <c r="R233" s="263"/>
      <c r="S233" s="292"/>
      <c r="T233" s="261"/>
      <c r="U233" s="261"/>
      <c r="V233" s="268"/>
      <c r="W233" s="268"/>
      <c r="X233" s="268"/>
      <c r="Y233" s="268"/>
      <c r="Z233" s="471">
        <f>SUMIF(TAB_CS[Reference],TAB_Offres[[#This Row],[Reference]],TAB_CS[Commited days])</f>
        <v>0</v>
      </c>
      <c r="AA233" s="269">
        <f>SUMIF(TAB_CS[Reference],TAB_Offres[[#This Row],[Reference]],TAB_CS[Commited amount])</f>
        <v>0</v>
      </c>
      <c r="AB233" s="275"/>
      <c r="AC233" s="270"/>
      <c r="AD233" s="270"/>
      <c r="AE233" s="264"/>
      <c r="AF233" s="271"/>
      <c r="AG233" s="278"/>
      <c r="AH233" s="277" t="str">
        <f>CONCATENATE(YEAR(TAB_Offres[[#This Row],[Request date ]]),"-",MONTH(TAB_Offres[[#This Row],[Request date ]]))</f>
        <v>1900-1</v>
      </c>
      <c r="AI233" s="274" t="e">
        <f>IF(#REF!,1,0)</f>
        <v>#REF!</v>
      </c>
      <c r="AJ233" s="4"/>
      <c r="AK233" s="4"/>
      <c r="AL233" s="4"/>
      <c r="AN233" s="150"/>
      <c r="AQ233" s="4"/>
    </row>
    <row r="234" spans="1:43" x14ac:dyDescent="0.25">
      <c r="A234" s="258">
        <f>ROW(TAB_Offres[[#This Row],[Reference]])-ROW(TAB_Offres[[#Headers],[ID]])</f>
        <v>233</v>
      </c>
      <c r="B234" s="258"/>
      <c r="C234" s="258"/>
      <c r="D234" s="258"/>
      <c r="E234" s="263"/>
      <c r="F234" s="258"/>
      <c r="G234" s="263"/>
      <c r="H234" s="262"/>
      <c r="I234" s="262"/>
      <c r="J234" s="262"/>
      <c r="K234" s="262"/>
      <c r="L234" s="262"/>
      <c r="M234" s="264"/>
      <c r="N234" s="262"/>
      <c r="O234" s="262"/>
      <c r="P234" s="262"/>
      <c r="Q234" s="263"/>
      <c r="R234" s="263"/>
      <c r="S234" s="292"/>
      <c r="T234" s="261"/>
      <c r="U234" s="261"/>
      <c r="V234" s="268"/>
      <c r="W234" s="268"/>
      <c r="X234" s="268"/>
      <c r="Y234" s="268"/>
      <c r="Z234" s="471">
        <f>SUMIF(TAB_CS[Reference],TAB_Offres[[#This Row],[Reference]],TAB_CS[Commited days])</f>
        <v>0</v>
      </c>
      <c r="AA234" s="269">
        <f>SUMIF(TAB_CS[Reference],TAB_Offres[[#This Row],[Reference]],TAB_CS[Commited amount])</f>
        <v>0</v>
      </c>
      <c r="AB234" s="275"/>
      <c r="AC234" s="270"/>
      <c r="AD234" s="270"/>
      <c r="AE234" s="264"/>
      <c r="AF234" s="271"/>
      <c r="AG234" s="278"/>
      <c r="AH234" s="277" t="str">
        <f>CONCATENATE(YEAR(TAB_Offres[[#This Row],[Request date ]]),"-",MONTH(TAB_Offres[[#This Row],[Request date ]]))</f>
        <v>1900-1</v>
      </c>
      <c r="AI234" s="274" t="e">
        <f>IF(#REF!,1,0)</f>
        <v>#REF!</v>
      </c>
      <c r="AJ234" s="4"/>
      <c r="AK234" s="4"/>
      <c r="AL234" s="4"/>
      <c r="AN234" s="150"/>
      <c r="AQ234" s="4"/>
    </row>
    <row r="235" spans="1:43" x14ac:dyDescent="0.25">
      <c r="A235" s="258">
        <f>ROW(TAB_Offres[[#This Row],[Reference]])-ROW(TAB_Offres[[#Headers],[ID]])</f>
        <v>234</v>
      </c>
      <c r="B235" s="258"/>
      <c r="C235" s="258"/>
      <c r="D235" s="258"/>
      <c r="E235" s="263"/>
      <c r="F235" s="258"/>
      <c r="G235" s="263"/>
      <c r="H235" s="262"/>
      <c r="I235" s="262"/>
      <c r="J235" s="262"/>
      <c r="K235" s="262"/>
      <c r="L235" s="262"/>
      <c r="M235" s="264"/>
      <c r="N235" s="262"/>
      <c r="O235" s="262"/>
      <c r="P235" s="262"/>
      <c r="Q235" s="263"/>
      <c r="R235" s="263"/>
      <c r="S235" s="292"/>
      <c r="T235" s="261"/>
      <c r="U235" s="261"/>
      <c r="V235" s="268"/>
      <c r="W235" s="268"/>
      <c r="X235" s="268"/>
      <c r="Y235" s="268"/>
      <c r="Z235" s="471">
        <f>SUMIF(TAB_CS[Reference],TAB_Offres[[#This Row],[Reference]],TAB_CS[Commited days])</f>
        <v>0</v>
      </c>
      <c r="AA235" s="269">
        <f>SUMIF(TAB_CS[Reference],TAB_Offres[[#This Row],[Reference]],TAB_CS[Commited amount])</f>
        <v>0</v>
      </c>
      <c r="AB235" s="275"/>
      <c r="AC235" s="270"/>
      <c r="AD235" s="270"/>
      <c r="AE235" s="264"/>
      <c r="AF235" s="271"/>
      <c r="AG235" s="278"/>
      <c r="AH235" s="277" t="str">
        <f>CONCATENATE(YEAR(TAB_Offres[[#This Row],[Request date ]]),"-",MONTH(TAB_Offres[[#This Row],[Request date ]]))</f>
        <v>1900-1</v>
      </c>
      <c r="AI235" s="274" t="e">
        <f>IF(#REF!,1,0)</f>
        <v>#REF!</v>
      </c>
      <c r="AJ235" s="4"/>
      <c r="AK235" s="4"/>
      <c r="AL235" s="4"/>
      <c r="AN235" s="150"/>
      <c r="AQ235" s="4"/>
    </row>
    <row r="236" spans="1:43" x14ac:dyDescent="0.25">
      <c r="A236" s="258">
        <f>ROW(TAB_Offres[[#This Row],[Reference]])-ROW(TAB_Offres[[#Headers],[ID]])</f>
        <v>235</v>
      </c>
      <c r="B236" s="258"/>
      <c r="C236" s="258"/>
      <c r="D236" s="258"/>
      <c r="E236" s="263"/>
      <c r="F236" s="258"/>
      <c r="G236" s="263"/>
      <c r="H236" s="262"/>
      <c r="I236" s="262"/>
      <c r="J236" s="262"/>
      <c r="K236" s="262"/>
      <c r="L236" s="262"/>
      <c r="M236" s="264"/>
      <c r="N236" s="262"/>
      <c r="O236" s="262"/>
      <c r="P236" s="262"/>
      <c r="Q236" s="263"/>
      <c r="R236" s="263"/>
      <c r="S236" s="292"/>
      <c r="T236" s="261"/>
      <c r="U236" s="261"/>
      <c r="V236" s="268"/>
      <c r="W236" s="268"/>
      <c r="X236" s="268"/>
      <c r="Y236" s="268"/>
      <c r="Z236" s="471">
        <f>SUMIF(TAB_CS[Reference],TAB_Offres[[#This Row],[Reference]],TAB_CS[Commited days])</f>
        <v>0</v>
      </c>
      <c r="AA236" s="269">
        <f>SUMIF(TAB_CS[Reference],TAB_Offres[[#This Row],[Reference]],TAB_CS[Commited amount])</f>
        <v>0</v>
      </c>
      <c r="AB236" s="275"/>
      <c r="AC236" s="270"/>
      <c r="AD236" s="270"/>
      <c r="AE236" s="264"/>
      <c r="AF236" s="271"/>
      <c r="AG236" s="278"/>
      <c r="AH236" s="277" t="str">
        <f>CONCATENATE(YEAR(TAB_Offres[[#This Row],[Request date ]]),"-",MONTH(TAB_Offres[[#This Row],[Request date ]]))</f>
        <v>1900-1</v>
      </c>
      <c r="AI236" s="274" t="e">
        <f>IF(#REF!,1,0)</f>
        <v>#REF!</v>
      </c>
      <c r="AJ236" s="4"/>
      <c r="AK236" s="4"/>
      <c r="AL236" s="4"/>
      <c r="AN236" s="150"/>
      <c r="AQ236" s="4"/>
    </row>
    <row r="237" spans="1:43" x14ac:dyDescent="0.25">
      <c r="A237" s="258">
        <f>ROW(TAB_Offres[[#This Row],[Reference]])-ROW(TAB_Offres[[#Headers],[ID]])</f>
        <v>236</v>
      </c>
      <c r="B237" s="258"/>
      <c r="C237" s="258"/>
      <c r="D237" s="258"/>
      <c r="E237" s="263"/>
      <c r="F237" s="258"/>
      <c r="G237" s="263"/>
      <c r="H237" s="262"/>
      <c r="I237" s="262"/>
      <c r="J237" s="262"/>
      <c r="K237" s="262"/>
      <c r="L237" s="262"/>
      <c r="M237" s="264"/>
      <c r="N237" s="262"/>
      <c r="O237" s="262"/>
      <c r="P237" s="262"/>
      <c r="Q237" s="263"/>
      <c r="R237" s="263"/>
      <c r="S237" s="292"/>
      <c r="T237" s="261"/>
      <c r="U237" s="261"/>
      <c r="V237" s="268"/>
      <c r="W237" s="268"/>
      <c r="X237" s="268"/>
      <c r="Y237" s="268"/>
      <c r="Z237" s="471">
        <f>SUMIF(TAB_CS[Reference],TAB_Offres[[#This Row],[Reference]],TAB_CS[Commited days])</f>
        <v>0</v>
      </c>
      <c r="AA237" s="269">
        <f>SUMIF(TAB_CS[Reference],TAB_Offres[[#This Row],[Reference]],TAB_CS[Commited amount])</f>
        <v>0</v>
      </c>
      <c r="AB237" s="275"/>
      <c r="AC237" s="270"/>
      <c r="AD237" s="270"/>
      <c r="AE237" s="264"/>
      <c r="AF237" s="271"/>
      <c r="AG237" s="278"/>
      <c r="AH237" s="277" t="str">
        <f>CONCATENATE(YEAR(TAB_Offres[[#This Row],[Request date ]]),"-",MONTH(TAB_Offres[[#This Row],[Request date ]]))</f>
        <v>1900-1</v>
      </c>
      <c r="AI237" s="274" t="e">
        <f>IF(#REF!,1,0)</f>
        <v>#REF!</v>
      </c>
      <c r="AJ237" s="4"/>
      <c r="AK237" s="4"/>
      <c r="AL237" s="4"/>
      <c r="AN237" s="150"/>
      <c r="AQ237" s="4"/>
    </row>
    <row r="238" spans="1:43" x14ac:dyDescent="0.25">
      <c r="A238" s="258">
        <f>ROW(TAB_Offres[[#This Row],[Reference]])-ROW(TAB_Offres[[#Headers],[ID]])</f>
        <v>237</v>
      </c>
      <c r="B238" s="258"/>
      <c r="C238" s="258"/>
      <c r="D238" s="258"/>
      <c r="E238" s="263"/>
      <c r="F238" s="258"/>
      <c r="G238" s="263"/>
      <c r="H238" s="262"/>
      <c r="I238" s="262"/>
      <c r="J238" s="262"/>
      <c r="K238" s="262"/>
      <c r="L238" s="262"/>
      <c r="M238" s="264"/>
      <c r="N238" s="262"/>
      <c r="O238" s="262"/>
      <c r="P238" s="262"/>
      <c r="Q238" s="263"/>
      <c r="R238" s="263"/>
      <c r="S238" s="292"/>
      <c r="T238" s="261"/>
      <c r="U238" s="261"/>
      <c r="V238" s="268"/>
      <c r="W238" s="268"/>
      <c r="X238" s="268"/>
      <c r="Y238" s="268"/>
      <c r="Z238" s="471">
        <f>SUMIF(TAB_CS[Reference],TAB_Offres[[#This Row],[Reference]],TAB_CS[Commited days])</f>
        <v>0</v>
      </c>
      <c r="AA238" s="269">
        <f>SUMIF(TAB_CS[Reference],TAB_Offres[[#This Row],[Reference]],TAB_CS[Commited amount])</f>
        <v>0</v>
      </c>
      <c r="AB238" s="275"/>
      <c r="AC238" s="270"/>
      <c r="AD238" s="270"/>
      <c r="AE238" s="264"/>
      <c r="AF238" s="271"/>
      <c r="AG238" s="278"/>
      <c r="AH238" s="277" t="str">
        <f>CONCATENATE(YEAR(TAB_Offres[[#This Row],[Request date ]]),"-",MONTH(TAB_Offres[[#This Row],[Request date ]]))</f>
        <v>1900-1</v>
      </c>
      <c r="AI238" s="274" t="e">
        <f>IF(#REF!,1,0)</f>
        <v>#REF!</v>
      </c>
      <c r="AJ238" s="4"/>
      <c r="AK238" s="4"/>
      <c r="AL238" s="4"/>
      <c r="AN238" s="150"/>
      <c r="AQ238" s="4"/>
    </row>
    <row r="239" spans="1:43" x14ac:dyDescent="0.25">
      <c r="A239" s="258">
        <f>ROW(TAB_Offres[[#This Row],[Reference]])-ROW(TAB_Offres[[#Headers],[ID]])</f>
        <v>238</v>
      </c>
      <c r="B239" s="258"/>
      <c r="C239" s="258"/>
      <c r="D239" s="258"/>
      <c r="E239" s="263"/>
      <c r="F239" s="258"/>
      <c r="G239" s="263"/>
      <c r="H239" s="262"/>
      <c r="I239" s="262"/>
      <c r="J239" s="262"/>
      <c r="K239" s="262"/>
      <c r="L239" s="262"/>
      <c r="M239" s="264"/>
      <c r="N239" s="262"/>
      <c r="O239" s="262"/>
      <c r="P239" s="262"/>
      <c r="Q239" s="263"/>
      <c r="R239" s="263"/>
      <c r="S239" s="292"/>
      <c r="T239" s="261"/>
      <c r="U239" s="261"/>
      <c r="V239" s="268"/>
      <c r="W239" s="268"/>
      <c r="X239" s="268"/>
      <c r="Y239" s="268"/>
      <c r="Z239" s="471">
        <f>SUMIF(TAB_CS[Reference],TAB_Offres[[#This Row],[Reference]],TAB_CS[Commited days])</f>
        <v>0</v>
      </c>
      <c r="AA239" s="269">
        <f>SUMIF(TAB_CS[Reference],TAB_Offres[[#This Row],[Reference]],TAB_CS[Commited amount])</f>
        <v>0</v>
      </c>
      <c r="AB239" s="275"/>
      <c r="AC239" s="270"/>
      <c r="AD239" s="270"/>
      <c r="AE239" s="264"/>
      <c r="AF239" s="271"/>
      <c r="AG239" s="278"/>
      <c r="AH239" s="277" t="str">
        <f>CONCATENATE(YEAR(TAB_Offres[[#This Row],[Request date ]]),"-",MONTH(TAB_Offres[[#This Row],[Request date ]]))</f>
        <v>1900-1</v>
      </c>
      <c r="AI239" s="274" t="e">
        <f>IF(#REF!,1,0)</f>
        <v>#REF!</v>
      </c>
      <c r="AJ239" s="4"/>
      <c r="AK239" s="4"/>
      <c r="AL239" s="4"/>
      <c r="AN239" s="150"/>
      <c r="AQ239" s="4"/>
    </row>
    <row r="240" spans="1:43" x14ac:dyDescent="0.25">
      <c r="A240" s="258">
        <f>ROW(TAB_Offres[[#This Row],[Reference]])-ROW(TAB_Offres[[#Headers],[ID]])</f>
        <v>239</v>
      </c>
      <c r="B240" s="258"/>
      <c r="C240" s="258"/>
      <c r="D240" s="258"/>
      <c r="E240" s="263"/>
      <c r="F240" s="258"/>
      <c r="G240" s="263"/>
      <c r="H240" s="262"/>
      <c r="I240" s="262"/>
      <c r="J240" s="262"/>
      <c r="K240" s="262"/>
      <c r="L240" s="262"/>
      <c r="M240" s="264"/>
      <c r="N240" s="262"/>
      <c r="O240" s="262"/>
      <c r="P240" s="262"/>
      <c r="Q240" s="263"/>
      <c r="R240" s="263"/>
      <c r="S240" s="292"/>
      <c r="T240" s="261"/>
      <c r="U240" s="261"/>
      <c r="V240" s="268"/>
      <c r="W240" s="268"/>
      <c r="X240" s="268"/>
      <c r="Y240" s="268"/>
      <c r="Z240" s="471">
        <f>SUMIF(TAB_CS[Reference],TAB_Offres[[#This Row],[Reference]],TAB_CS[Commited days])</f>
        <v>0</v>
      </c>
      <c r="AA240" s="269">
        <f>SUMIF(TAB_CS[Reference],TAB_Offres[[#This Row],[Reference]],TAB_CS[Commited amount])</f>
        <v>0</v>
      </c>
      <c r="AB240" s="275"/>
      <c r="AC240" s="270"/>
      <c r="AD240" s="270"/>
      <c r="AE240" s="264"/>
      <c r="AF240" s="271"/>
      <c r="AG240" s="278"/>
      <c r="AH240" s="277" t="str">
        <f>CONCATENATE(YEAR(TAB_Offres[[#This Row],[Request date ]]),"-",MONTH(TAB_Offres[[#This Row],[Request date ]]))</f>
        <v>1900-1</v>
      </c>
      <c r="AI240" s="274" t="e">
        <f>IF(#REF!,1,0)</f>
        <v>#REF!</v>
      </c>
      <c r="AJ240" s="4"/>
      <c r="AK240" s="4"/>
      <c r="AL240" s="4"/>
      <c r="AN240" s="150"/>
      <c r="AQ240" s="4"/>
    </row>
    <row r="241" spans="1:43" x14ac:dyDescent="0.25">
      <c r="A241" s="258">
        <f>ROW(TAB_Offres[[#This Row],[Reference]])-ROW(TAB_Offres[[#Headers],[ID]])</f>
        <v>240</v>
      </c>
      <c r="B241" s="258"/>
      <c r="C241" s="258"/>
      <c r="D241" s="258"/>
      <c r="E241" s="263"/>
      <c r="F241" s="258"/>
      <c r="G241" s="263"/>
      <c r="H241" s="262"/>
      <c r="I241" s="262"/>
      <c r="J241" s="262"/>
      <c r="K241" s="262"/>
      <c r="L241" s="262"/>
      <c r="M241" s="264"/>
      <c r="N241" s="262"/>
      <c r="O241" s="262"/>
      <c r="P241" s="262"/>
      <c r="Q241" s="263"/>
      <c r="R241" s="263"/>
      <c r="S241" s="292"/>
      <c r="T241" s="261"/>
      <c r="U241" s="261"/>
      <c r="V241" s="268"/>
      <c r="W241" s="268"/>
      <c r="X241" s="268"/>
      <c r="Y241" s="268"/>
      <c r="Z241" s="471">
        <f>SUMIF(TAB_CS[Reference],TAB_Offres[[#This Row],[Reference]],TAB_CS[Commited days])</f>
        <v>0</v>
      </c>
      <c r="AA241" s="269">
        <f>SUMIF(TAB_CS[Reference],TAB_Offres[[#This Row],[Reference]],TAB_CS[Commited amount])</f>
        <v>0</v>
      </c>
      <c r="AB241" s="275"/>
      <c r="AC241" s="270"/>
      <c r="AD241" s="270"/>
      <c r="AE241" s="264"/>
      <c r="AF241" s="271"/>
      <c r="AG241" s="278"/>
      <c r="AH241" s="277" t="str">
        <f>CONCATENATE(YEAR(TAB_Offres[[#This Row],[Request date ]]),"-",MONTH(TAB_Offres[[#This Row],[Request date ]]))</f>
        <v>1900-1</v>
      </c>
      <c r="AI241" s="274" t="e">
        <f>IF(#REF!,1,0)</f>
        <v>#REF!</v>
      </c>
      <c r="AJ241" s="4"/>
      <c r="AK241" s="4"/>
      <c r="AL241" s="4"/>
      <c r="AN241" s="150"/>
      <c r="AQ241" s="4"/>
    </row>
    <row r="242" spans="1:43" x14ac:dyDescent="0.25">
      <c r="A242" s="258">
        <f>ROW(TAB_Offres[[#This Row],[Reference]])-ROW(TAB_Offres[[#Headers],[ID]])</f>
        <v>241</v>
      </c>
      <c r="B242" s="258"/>
      <c r="C242" s="258"/>
      <c r="D242" s="258"/>
      <c r="E242" s="263"/>
      <c r="F242" s="258"/>
      <c r="G242" s="263"/>
      <c r="H242" s="262"/>
      <c r="I242" s="262"/>
      <c r="J242" s="262"/>
      <c r="K242" s="262"/>
      <c r="L242" s="262"/>
      <c r="M242" s="264"/>
      <c r="N242" s="262"/>
      <c r="O242" s="262"/>
      <c r="P242" s="262"/>
      <c r="Q242" s="263"/>
      <c r="R242" s="263"/>
      <c r="S242" s="292"/>
      <c r="T242" s="261"/>
      <c r="U242" s="261"/>
      <c r="V242" s="268"/>
      <c r="W242" s="268"/>
      <c r="X242" s="268"/>
      <c r="Y242" s="268"/>
      <c r="Z242" s="471">
        <f>SUMIF(TAB_CS[Reference],TAB_Offres[[#This Row],[Reference]],TAB_CS[Commited days])</f>
        <v>0</v>
      </c>
      <c r="AA242" s="269">
        <f>SUMIF(TAB_CS[Reference],TAB_Offres[[#This Row],[Reference]],TAB_CS[Commited amount])</f>
        <v>0</v>
      </c>
      <c r="AB242" s="275"/>
      <c r="AC242" s="270"/>
      <c r="AD242" s="270"/>
      <c r="AE242" s="264"/>
      <c r="AF242" s="271"/>
      <c r="AG242" s="278"/>
      <c r="AH242" s="277" t="str">
        <f>CONCATENATE(YEAR(TAB_Offres[[#This Row],[Request date ]]),"-",MONTH(TAB_Offres[[#This Row],[Request date ]]))</f>
        <v>1900-1</v>
      </c>
      <c r="AI242" s="274" t="e">
        <f>IF(#REF!,1,0)</f>
        <v>#REF!</v>
      </c>
      <c r="AJ242" s="4"/>
      <c r="AK242" s="4"/>
      <c r="AL242" s="4"/>
      <c r="AN242" s="150"/>
      <c r="AQ242" s="4"/>
    </row>
    <row r="243" spans="1:43" x14ac:dyDescent="0.25">
      <c r="A243" s="258">
        <f>ROW(TAB_Offres[[#This Row],[Reference]])-ROW(TAB_Offres[[#Headers],[ID]])</f>
        <v>242</v>
      </c>
      <c r="B243" s="258"/>
      <c r="C243" s="258"/>
      <c r="D243" s="258"/>
      <c r="E243" s="263"/>
      <c r="F243" s="258"/>
      <c r="G243" s="263"/>
      <c r="H243" s="262"/>
      <c r="I243" s="262"/>
      <c r="J243" s="262"/>
      <c r="K243" s="262"/>
      <c r="L243" s="262"/>
      <c r="M243" s="264"/>
      <c r="N243" s="262"/>
      <c r="O243" s="262"/>
      <c r="P243" s="262"/>
      <c r="Q243" s="263"/>
      <c r="R243" s="263"/>
      <c r="S243" s="292"/>
      <c r="T243" s="261"/>
      <c r="U243" s="261"/>
      <c r="V243" s="268"/>
      <c r="W243" s="268"/>
      <c r="X243" s="268"/>
      <c r="Y243" s="268"/>
      <c r="Z243" s="471">
        <f>SUMIF(TAB_CS[Reference],TAB_Offres[[#This Row],[Reference]],TAB_CS[Commited days])</f>
        <v>0</v>
      </c>
      <c r="AA243" s="269">
        <f>SUMIF(TAB_CS[Reference],TAB_Offres[[#This Row],[Reference]],TAB_CS[Commited amount])</f>
        <v>0</v>
      </c>
      <c r="AB243" s="275"/>
      <c r="AC243" s="270"/>
      <c r="AD243" s="270"/>
      <c r="AE243" s="264"/>
      <c r="AF243" s="271"/>
      <c r="AG243" s="278"/>
      <c r="AH243" s="277" t="str">
        <f>CONCATENATE(YEAR(TAB_Offres[[#This Row],[Request date ]]),"-",MONTH(TAB_Offres[[#This Row],[Request date ]]))</f>
        <v>1900-1</v>
      </c>
      <c r="AI243" s="274" t="e">
        <f>IF(#REF!,1,0)</f>
        <v>#REF!</v>
      </c>
      <c r="AJ243" s="4"/>
      <c r="AK243" s="4"/>
      <c r="AL243" s="4"/>
      <c r="AN243" s="150"/>
      <c r="AQ243" s="4"/>
    </row>
    <row r="244" spans="1:43" x14ac:dyDescent="0.25">
      <c r="A244" s="258">
        <f>ROW(TAB_Offres[[#This Row],[Reference]])-ROW(TAB_Offres[[#Headers],[ID]])</f>
        <v>243</v>
      </c>
      <c r="B244" s="258"/>
      <c r="C244" s="258"/>
      <c r="D244" s="258"/>
      <c r="E244" s="263"/>
      <c r="F244" s="258"/>
      <c r="G244" s="263"/>
      <c r="H244" s="262"/>
      <c r="I244" s="262"/>
      <c r="J244" s="262"/>
      <c r="K244" s="262"/>
      <c r="L244" s="262"/>
      <c r="M244" s="264"/>
      <c r="N244" s="262"/>
      <c r="O244" s="262"/>
      <c r="P244" s="262"/>
      <c r="Q244" s="263"/>
      <c r="R244" s="263"/>
      <c r="S244" s="292"/>
      <c r="T244" s="261"/>
      <c r="U244" s="261"/>
      <c r="V244" s="268"/>
      <c r="W244" s="268"/>
      <c r="X244" s="268"/>
      <c r="Y244" s="268"/>
      <c r="Z244" s="471">
        <f>SUMIF(TAB_CS[Reference],TAB_Offres[[#This Row],[Reference]],TAB_CS[Commited days])</f>
        <v>0</v>
      </c>
      <c r="AA244" s="269">
        <f>SUMIF(TAB_CS[Reference],TAB_Offres[[#This Row],[Reference]],TAB_CS[Commited amount])</f>
        <v>0</v>
      </c>
      <c r="AB244" s="275"/>
      <c r="AC244" s="270"/>
      <c r="AD244" s="270"/>
      <c r="AE244" s="264"/>
      <c r="AF244" s="271"/>
      <c r="AG244" s="278"/>
      <c r="AH244" s="277" t="str">
        <f>CONCATENATE(YEAR(TAB_Offres[[#This Row],[Request date ]]),"-",MONTH(TAB_Offres[[#This Row],[Request date ]]))</f>
        <v>1900-1</v>
      </c>
      <c r="AI244" s="274" t="e">
        <f>IF(#REF!,1,0)</f>
        <v>#REF!</v>
      </c>
      <c r="AJ244" s="4"/>
      <c r="AK244" s="4"/>
      <c r="AL244" s="4"/>
      <c r="AN244" s="150"/>
      <c r="AQ244" s="4"/>
    </row>
    <row r="245" spans="1:43" x14ac:dyDescent="0.25">
      <c r="A245" s="258">
        <f>ROW(TAB_Offres[[#This Row],[Reference]])-ROW(TAB_Offres[[#Headers],[ID]])</f>
        <v>244</v>
      </c>
      <c r="B245" s="258"/>
      <c r="C245" s="258"/>
      <c r="D245" s="258"/>
      <c r="E245" s="263"/>
      <c r="F245" s="258"/>
      <c r="G245" s="263"/>
      <c r="H245" s="262"/>
      <c r="I245" s="262"/>
      <c r="J245" s="262"/>
      <c r="K245" s="262"/>
      <c r="L245" s="262"/>
      <c r="M245" s="264"/>
      <c r="N245" s="262"/>
      <c r="O245" s="262"/>
      <c r="P245" s="262"/>
      <c r="Q245" s="263"/>
      <c r="R245" s="263"/>
      <c r="S245" s="292"/>
      <c r="T245" s="261"/>
      <c r="U245" s="261"/>
      <c r="V245" s="268"/>
      <c r="W245" s="268"/>
      <c r="X245" s="268"/>
      <c r="Y245" s="268"/>
      <c r="Z245" s="471">
        <f>SUMIF(TAB_CS[Reference],TAB_Offres[[#This Row],[Reference]],TAB_CS[Commited days])</f>
        <v>0</v>
      </c>
      <c r="AA245" s="269">
        <f>SUMIF(TAB_CS[Reference],TAB_Offres[[#This Row],[Reference]],TAB_CS[Commited amount])</f>
        <v>0</v>
      </c>
      <c r="AB245" s="275"/>
      <c r="AC245" s="270"/>
      <c r="AD245" s="270"/>
      <c r="AE245" s="264"/>
      <c r="AF245" s="271"/>
      <c r="AG245" s="278"/>
      <c r="AH245" s="277" t="str">
        <f>CONCATENATE(YEAR(TAB_Offres[[#This Row],[Request date ]]),"-",MONTH(TAB_Offres[[#This Row],[Request date ]]))</f>
        <v>1900-1</v>
      </c>
      <c r="AI245" s="274" t="e">
        <f>IF(#REF!,1,0)</f>
        <v>#REF!</v>
      </c>
      <c r="AJ245" s="4"/>
      <c r="AK245" s="4"/>
      <c r="AL245" s="4"/>
      <c r="AN245" s="150"/>
      <c r="AQ245" s="4"/>
    </row>
    <row r="246" spans="1:43" x14ac:dyDescent="0.25">
      <c r="A246" s="258">
        <f>ROW(TAB_Offres[[#This Row],[Reference]])-ROW(TAB_Offres[[#Headers],[ID]])</f>
        <v>245</v>
      </c>
      <c r="B246" s="258"/>
      <c r="C246" s="258"/>
      <c r="D246" s="258"/>
      <c r="E246" s="263"/>
      <c r="F246" s="258"/>
      <c r="G246" s="263"/>
      <c r="H246" s="262"/>
      <c r="I246" s="262"/>
      <c r="J246" s="262"/>
      <c r="K246" s="262"/>
      <c r="L246" s="262"/>
      <c r="M246" s="264"/>
      <c r="N246" s="262"/>
      <c r="O246" s="262"/>
      <c r="P246" s="262"/>
      <c r="Q246" s="263"/>
      <c r="R246" s="263"/>
      <c r="S246" s="292"/>
      <c r="T246" s="261"/>
      <c r="U246" s="261"/>
      <c r="V246" s="268"/>
      <c r="W246" s="268"/>
      <c r="X246" s="268"/>
      <c r="Y246" s="268"/>
      <c r="Z246" s="471">
        <f>SUMIF(TAB_CS[Reference],TAB_Offres[[#This Row],[Reference]],TAB_CS[Commited days])</f>
        <v>0</v>
      </c>
      <c r="AA246" s="269">
        <f>SUMIF(TAB_CS[Reference],TAB_Offres[[#This Row],[Reference]],TAB_CS[Commited amount])</f>
        <v>0</v>
      </c>
      <c r="AB246" s="275"/>
      <c r="AC246" s="270"/>
      <c r="AD246" s="270"/>
      <c r="AE246" s="264"/>
      <c r="AF246" s="271"/>
      <c r="AG246" s="278"/>
      <c r="AH246" s="277" t="str">
        <f>CONCATENATE(YEAR(TAB_Offres[[#This Row],[Request date ]]),"-",MONTH(TAB_Offres[[#This Row],[Request date ]]))</f>
        <v>1900-1</v>
      </c>
      <c r="AI246" s="274" t="e">
        <f>IF(#REF!,1,0)</f>
        <v>#REF!</v>
      </c>
      <c r="AJ246" s="4"/>
      <c r="AK246" s="4"/>
      <c r="AL246" s="4"/>
      <c r="AN246" s="150"/>
      <c r="AQ246" s="4"/>
    </row>
    <row r="247" spans="1:43" x14ac:dyDescent="0.25">
      <c r="A247" s="258">
        <f>ROW(TAB_Offres[[#This Row],[Reference]])-ROW(TAB_Offres[[#Headers],[ID]])</f>
        <v>246</v>
      </c>
      <c r="B247" s="258"/>
      <c r="C247" s="258"/>
      <c r="D247" s="258"/>
      <c r="E247" s="263"/>
      <c r="F247" s="258"/>
      <c r="G247" s="263"/>
      <c r="H247" s="262"/>
      <c r="I247" s="262"/>
      <c r="J247" s="262"/>
      <c r="K247" s="262"/>
      <c r="L247" s="262"/>
      <c r="M247" s="264"/>
      <c r="N247" s="262"/>
      <c r="O247" s="262"/>
      <c r="P247" s="262"/>
      <c r="Q247" s="263"/>
      <c r="R247" s="263"/>
      <c r="S247" s="292"/>
      <c r="T247" s="261"/>
      <c r="U247" s="261"/>
      <c r="V247" s="268"/>
      <c r="W247" s="268"/>
      <c r="X247" s="268"/>
      <c r="Y247" s="268"/>
      <c r="Z247" s="471">
        <f>SUMIF(TAB_CS[Reference],TAB_Offres[[#This Row],[Reference]],TAB_CS[Commited days])</f>
        <v>0</v>
      </c>
      <c r="AA247" s="269">
        <f>SUMIF(TAB_CS[Reference],TAB_Offres[[#This Row],[Reference]],TAB_CS[Commited amount])</f>
        <v>0</v>
      </c>
      <c r="AB247" s="275"/>
      <c r="AC247" s="270"/>
      <c r="AD247" s="270"/>
      <c r="AE247" s="264"/>
      <c r="AF247" s="271"/>
      <c r="AG247" s="278"/>
      <c r="AH247" s="277" t="str">
        <f>CONCATENATE(YEAR(TAB_Offres[[#This Row],[Request date ]]),"-",MONTH(TAB_Offres[[#This Row],[Request date ]]))</f>
        <v>1900-1</v>
      </c>
      <c r="AI247" s="274" t="e">
        <f>IF(#REF!,1,0)</f>
        <v>#REF!</v>
      </c>
      <c r="AJ247" s="4"/>
      <c r="AK247" s="4"/>
      <c r="AL247" s="4"/>
      <c r="AN247" s="150"/>
      <c r="AQ247" s="4"/>
    </row>
    <row r="248" spans="1:43" x14ac:dyDescent="0.25">
      <c r="A248" s="258">
        <f>ROW(TAB_Offres[[#This Row],[Reference]])-ROW(TAB_Offres[[#Headers],[ID]])</f>
        <v>247</v>
      </c>
      <c r="B248" s="258"/>
      <c r="C248" s="258"/>
      <c r="D248" s="258"/>
      <c r="E248" s="263"/>
      <c r="F248" s="258"/>
      <c r="G248" s="263"/>
      <c r="H248" s="262"/>
      <c r="I248" s="262"/>
      <c r="J248" s="262"/>
      <c r="K248" s="262"/>
      <c r="L248" s="262"/>
      <c r="M248" s="264"/>
      <c r="N248" s="262"/>
      <c r="O248" s="262"/>
      <c r="P248" s="262"/>
      <c r="Q248" s="263"/>
      <c r="R248" s="263"/>
      <c r="S248" s="292"/>
      <c r="T248" s="261"/>
      <c r="U248" s="261"/>
      <c r="V248" s="268"/>
      <c r="W248" s="268"/>
      <c r="X248" s="268"/>
      <c r="Y248" s="268"/>
      <c r="Z248" s="471">
        <f>SUMIF(TAB_CS[Reference],TAB_Offres[[#This Row],[Reference]],TAB_CS[Commited days])</f>
        <v>0</v>
      </c>
      <c r="AA248" s="269">
        <f>SUMIF(TAB_CS[Reference],TAB_Offres[[#This Row],[Reference]],TAB_CS[Commited amount])</f>
        <v>0</v>
      </c>
      <c r="AB248" s="275"/>
      <c r="AC248" s="270"/>
      <c r="AD248" s="270"/>
      <c r="AE248" s="264"/>
      <c r="AF248" s="271"/>
      <c r="AG248" s="278"/>
      <c r="AH248" s="277" t="str">
        <f>CONCATENATE(YEAR(TAB_Offres[[#This Row],[Request date ]]),"-",MONTH(TAB_Offres[[#This Row],[Request date ]]))</f>
        <v>1900-1</v>
      </c>
      <c r="AI248" s="274" t="e">
        <f>IF(#REF!,1,0)</f>
        <v>#REF!</v>
      </c>
      <c r="AJ248" s="4"/>
      <c r="AK248" s="4"/>
      <c r="AL248" s="4"/>
      <c r="AN248" s="150"/>
      <c r="AQ248" s="4"/>
    </row>
    <row r="249" spans="1:43" x14ac:dyDescent="0.25">
      <c r="A249" s="258">
        <f>ROW(TAB_Offres[[#This Row],[Reference]])-ROW(TAB_Offres[[#Headers],[ID]])</f>
        <v>248</v>
      </c>
      <c r="B249" s="258"/>
      <c r="C249" s="258"/>
      <c r="D249" s="258"/>
      <c r="E249" s="263"/>
      <c r="F249" s="258"/>
      <c r="G249" s="263"/>
      <c r="H249" s="262"/>
      <c r="I249" s="262"/>
      <c r="J249" s="262"/>
      <c r="K249" s="262"/>
      <c r="L249" s="262"/>
      <c r="M249" s="264"/>
      <c r="N249" s="262"/>
      <c r="O249" s="262"/>
      <c r="P249" s="262"/>
      <c r="Q249" s="263"/>
      <c r="R249" s="263"/>
      <c r="S249" s="292"/>
      <c r="T249" s="261"/>
      <c r="U249" s="261"/>
      <c r="V249" s="268"/>
      <c r="W249" s="268"/>
      <c r="X249" s="268"/>
      <c r="Y249" s="268"/>
      <c r="Z249" s="471">
        <f>SUMIF(TAB_CS[Reference],TAB_Offres[[#This Row],[Reference]],TAB_CS[Commited days])</f>
        <v>0</v>
      </c>
      <c r="AA249" s="269">
        <f>SUMIF(TAB_CS[Reference],TAB_Offres[[#This Row],[Reference]],TAB_CS[Commited amount])</f>
        <v>0</v>
      </c>
      <c r="AB249" s="275"/>
      <c r="AC249" s="270"/>
      <c r="AD249" s="270"/>
      <c r="AE249" s="264"/>
      <c r="AF249" s="271"/>
      <c r="AG249" s="278"/>
      <c r="AH249" s="277" t="str">
        <f>CONCATENATE(YEAR(TAB_Offres[[#This Row],[Request date ]]),"-",MONTH(TAB_Offres[[#This Row],[Request date ]]))</f>
        <v>1900-1</v>
      </c>
      <c r="AI249" s="274" t="e">
        <f>IF(#REF!,1,0)</f>
        <v>#REF!</v>
      </c>
      <c r="AJ249" s="4"/>
      <c r="AK249" s="4"/>
      <c r="AL249" s="4"/>
      <c r="AN249" s="150"/>
      <c r="AQ249" s="4"/>
    </row>
    <row r="250" spans="1:43" x14ac:dyDescent="0.25">
      <c r="A250" s="258">
        <f>ROW(TAB_Offres[[#This Row],[Reference]])-ROW(TAB_Offres[[#Headers],[ID]])</f>
        <v>249</v>
      </c>
      <c r="B250" s="258"/>
      <c r="C250" s="258"/>
      <c r="D250" s="258"/>
      <c r="E250" s="263"/>
      <c r="F250" s="258"/>
      <c r="G250" s="263"/>
      <c r="H250" s="262"/>
      <c r="I250" s="262"/>
      <c r="J250" s="262"/>
      <c r="K250" s="262"/>
      <c r="L250" s="262"/>
      <c r="M250" s="264"/>
      <c r="N250" s="262"/>
      <c r="O250" s="262"/>
      <c r="P250" s="262"/>
      <c r="Q250" s="263"/>
      <c r="R250" s="263"/>
      <c r="S250" s="292"/>
      <c r="T250" s="261"/>
      <c r="U250" s="261"/>
      <c r="V250" s="268"/>
      <c r="W250" s="268"/>
      <c r="X250" s="268"/>
      <c r="Y250" s="268"/>
      <c r="Z250" s="471">
        <f>SUMIF(TAB_CS[Reference],TAB_Offres[[#This Row],[Reference]],TAB_CS[Commited days])</f>
        <v>0</v>
      </c>
      <c r="AA250" s="269">
        <f>SUMIF(TAB_CS[Reference],TAB_Offres[[#This Row],[Reference]],TAB_CS[Commited amount])</f>
        <v>0</v>
      </c>
      <c r="AB250" s="275"/>
      <c r="AC250" s="270"/>
      <c r="AD250" s="270"/>
      <c r="AE250" s="264"/>
      <c r="AF250" s="271"/>
      <c r="AG250" s="278"/>
      <c r="AH250" s="277" t="str">
        <f>CONCATENATE(YEAR(TAB_Offres[[#This Row],[Request date ]]),"-",MONTH(TAB_Offres[[#This Row],[Request date ]]))</f>
        <v>1900-1</v>
      </c>
      <c r="AI250" s="274" t="e">
        <f>IF(#REF!,1,0)</f>
        <v>#REF!</v>
      </c>
      <c r="AJ250" s="4"/>
      <c r="AK250" s="4"/>
      <c r="AL250" s="4"/>
      <c r="AN250" s="150"/>
      <c r="AQ250" s="4"/>
    </row>
    <row r="251" spans="1:43" x14ac:dyDescent="0.25">
      <c r="A251" s="258">
        <f>ROW(TAB_Offres[[#This Row],[Reference]])-ROW(TAB_Offres[[#Headers],[ID]])</f>
        <v>250</v>
      </c>
      <c r="B251" s="258"/>
      <c r="C251" s="258"/>
      <c r="D251" s="258"/>
      <c r="E251" s="263"/>
      <c r="F251" s="258"/>
      <c r="G251" s="263"/>
      <c r="H251" s="262"/>
      <c r="I251" s="262"/>
      <c r="J251" s="262"/>
      <c r="K251" s="262"/>
      <c r="L251" s="262"/>
      <c r="M251" s="264"/>
      <c r="N251" s="262"/>
      <c r="O251" s="262"/>
      <c r="P251" s="262"/>
      <c r="Q251" s="263"/>
      <c r="R251" s="263"/>
      <c r="S251" s="292"/>
      <c r="T251" s="261"/>
      <c r="U251" s="261"/>
      <c r="V251" s="268"/>
      <c r="W251" s="268"/>
      <c r="X251" s="268"/>
      <c r="Y251" s="268"/>
      <c r="Z251" s="471">
        <f>SUMIF(TAB_CS[Reference],TAB_Offres[[#This Row],[Reference]],TAB_CS[Commited days])</f>
        <v>0</v>
      </c>
      <c r="AA251" s="269">
        <f>SUMIF(TAB_CS[Reference],TAB_Offres[[#This Row],[Reference]],TAB_CS[Commited amount])</f>
        <v>0</v>
      </c>
      <c r="AB251" s="275"/>
      <c r="AC251" s="270"/>
      <c r="AD251" s="270"/>
      <c r="AE251" s="264"/>
      <c r="AF251" s="271"/>
      <c r="AG251" s="278"/>
      <c r="AH251" s="277" t="str">
        <f>CONCATENATE(YEAR(TAB_Offres[[#This Row],[Request date ]]),"-",MONTH(TAB_Offres[[#This Row],[Request date ]]))</f>
        <v>1900-1</v>
      </c>
      <c r="AI251" s="274" t="e">
        <f>IF(#REF!,1,0)</f>
        <v>#REF!</v>
      </c>
      <c r="AJ251" s="4"/>
      <c r="AK251" s="4"/>
      <c r="AL251" s="4"/>
      <c r="AN251" s="150"/>
      <c r="AQ251" s="4"/>
    </row>
    <row r="252" spans="1:43" x14ac:dyDescent="0.25">
      <c r="A252" s="258">
        <f>ROW(TAB_Offres[[#This Row],[Reference]])-ROW(TAB_Offres[[#Headers],[ID]])</f>
        <v>251</v>
      </c>
      <c r="B252" s="258"/>
      <c r="C252" s="258"/>
      <c r="D252" s="258"/>
      <c r="E252" s="263"/>
      <c r="F252" s="258"/>
      <c r="G252" s="263"/>
      <c r="H252" s="262"/>
      <c r="I252" s="262"/>
      <c r="J252" s="262"/>
      <c r="K252" s="262"/>
      <c r="L252" s="262"/>
      <c r="M252" s="264"/>
      <c r="N252" s="262"/>
      <c r="O252" s="262"/>
      <c r="P252" s="262"/>
      <c r="Q252" s="263"/>
      <c r="R252" s="263"/>
      <c r="S252" s="292"/>
      <c r="T252" s="261"/>
      <c r="U252" s="261"/>
      <c r="V252" s="268"/>
      <c r="W252" s="268"/>
      <c r="X252" s="268"/>
      <c r="Y252" s="268"/>
      <c r="Z252" s="471">
        <f>SUMIF(TAB_CS[Reference],TAB_Offres[[#This Row],[Reference]],TAB_CS[Commited days])</f>
        <v>0</v>
      </c>
      <c r="AA252" s="269">
        <f>SUMIF(TAB_CS[Reference],TAB_Offres[[#This Row],[Reference]],TAB_CS[Commited amount])</f>
        <v>0</v>
      </c>
      <c r="AB252" s="275"/>
      <c r="AC252" s="270"/>
      <c r="AD252" s="270"/>
      <c r="AE252" s="264"/>
      <c r="AF252" s="271"/>
      <c r="AG252" s="278"/>
      <c r="AH252" s="277" t="str">
        <f>CONCATENATE(YEAR(TAB_Offres[[#This Row],[Request date ]]),"-",MONTH(TAB_Offres[[#This Row],[Request date ]]))</f>
        <v>1900-1</v>
      </c>
      <c r="AI252" s="274" t="e">
        <f>IF(#REF!,1,0)</f>
        <v>#REF!</v>
      </c>
      <c r="AJ252" s="4"/>
      <c r="AK252" s="4"/>
      <c r="AL252" s="4"/>
      <c r="AN252" s="150"/>
      <c r="AQ252" s="4"/>
    </row>
    <row r="253" spans="1:43" x14ac:dyDescent="0.25">
      <c r="A253" s="258">
        <f>ROW(TAB_Offres[[#This Row],[Reference]])-ROW(TAB_Offres[[#Headers],[ID]])</f>
        <v>252</v>
      </c>
      <c r="B253" s="258"/>
      <c r="C253" s="258"/>
      <c r="D253" s="258"/>
      <c r="E253" s="263"/>
      <c r="F253" s="258"/>
      <c r="G253" s="263"/>
      <c r="H253" s="262"/>
      <c r="I253" s="262"/>
      <c r="J253" s="262"/>
      <c r="K253" s="262"/>
      <c r="L253" s="262"/>
      <c r="M253" s="264"/>
      <c r="N253" s="262"/>
      <c r="O253" s="262"/>
      <c r="P253" s="262"/>
      <c r="Q253" s="263"/>
      <c r="R253" s="263"/>
      <c r="S253" s="292"/>
      <c r="T253" s="261"/>
      <c r="U253" s="261"/>
      <c r="V253" s="268"/>
      <c r="W253" s="268"/>
      <c r="X253" s="268"/>
      <c r="Y253" s="268"/>
      <c r="Z253" s="471">
        <f>SUMIF(TAB_CS[Reference],TAB_Offres[[#This Row],[Reference]],TAB_CS[Commited days])</f>
        <v>0</v>
      </c>
      <c r="AA253" s="269">
        <f>SUMIF(TAB_CS[Reference],TAB_Offres[[#This Row],[Reference]],TAB_CS[Commited amount])</f>
        <v>0</v>
      </c>
      <c r="AB253" s="275"/>
      <c r="AC253" s="270"/>
      <c r="AD253" s="270"/>
      <c r="AE253" s="264"/>
      <c r="AF253" s="271"/>
      <c r="AG253" s="278"/>
      <c r="AH253" s="277" t="str">
        <f>CONCATENATE(YEAR(TAB_Offres[[#This Row],[Request date ]]),"-",MONTH(TAB_Offres[[#This Row],[Request date ]]))</f>
        <v>1900-1</v>
      </c>
      <c r="AI253" s="274" t="e">
        <f>IF(#REF!,1,0)</f>
        <v>#REF!</v>
      </c>
      <c r="AJ253" s="4"/>
      <c r="AK253" s="4"/>
      <c r="AL253" s="4"/>
      <c r="AN253" s="150"/>
      <c r="AQ253" s="4"/>
    </row>
    <row r="254" spans="1:43" x14ac:dyDescent="0.25">
      <c r="A254" s="258">
        <f>ROW(TAB_Offres[[#This Row],[Reference]])-ROW(TAB_Offres[[#Headers],[ID]])</f>
        <v>253</v>
      </c>
      <c r="B254" s="258"/>
      <c r="C254" s="258"/>
      <c r="D254" s="258"/>
      <c r="E254" s="263"/>
      <c r="F254" s="258"/>
      <c r="G254" s="263"/>
      <c r="H254" s="262"/>
      <c r="I254" s="262"/>
      <c r="J254" s="262"/>
      <c r="K254" s="262"/>
      <c r="L254" s="262"/>
      <c r="M254" s="264"/>
      <c r="N254" s="262"/>
      <c r="O254" s="262"/>
      <c r="P254" s="262"/>
      <c r="Q254" s="263"/>
      <c r="R254" s="263"/>
      <c r="S254" s="292"/>
      <c r="T254" s="261"/>
      <c r="U254" s="261"/>
      <c r="V254" s="268"/>
      <c r="W254" s="268"/>
      <c r="X254" s="268"/>
      <c r="Y254" s="268"/>
      <c r="Z254" s="471">
        <f>SUMIF(TAB_CS[Reference],TAB_Offres[[#This Row],[Reference]],TAB_CS[Commited days])</f>
        <v>0</v>
      </c>
      <c r="AA254" s="269">
        <f>SUMIF(TAB_CS[Reference],TAB_Offres[[#This Row],[Reference]],TAB_CS[Commited amount])</f>
        <v>0</v>
      </c>
      <c r="AB254" s="275"/>
      <c r="AC254" s="270"/>
      <c r="AD254" s="270"/>
      <c r="AE254" s="264"/>
      <c r="AF254" s="271"/>
      <c r="AG254" s="278"/>
      <c r="AH254" s="277" t="str">
        <f>CONCATENATE(YEAR(TAB_Offres[[#This Row],[Request date ]]),"-",MONTH(TAB_Offres[[#This Row],[Request date ]]))</f>
        <v>1900-1</v>
      </c>
      <c r="AI254" s="274" t="e">
        <f>IF(#REF!,1,0)</f>
        <v>#REF!</v>
      </c>
      <c r="AJ254" s="4"/>
      <c r="AK254" s="4"/>
      <c r="AL254" s="4"/>
      <c r="AN254" s="150"/>
      <c r="AQ254" s="4"/>
    </row>
    <row r="255" spans="1:43" x14ac:dyDescent="0.25">
      <c r="A255" s="258">
        <f>ROW(TAB_Offres[[#This Row],[Reference]])-ROW(TAB_Offres[[#Headers],[ID]])</f>
        <v>254</v>
      </c>
      <c r="B255" s="258"/>
      <c r="C255" s="258"/>
      <c r="D255" s="258"/>
      <c r="E255" s="263"/>
      <c r="F255" s="258"/>
      <c r="G255" s="263"/>
      <c r="H255" s="262"/>
      <c r="I255" s="262"/>
      <c r="J255" s="262"/>
      <c r="K255" s="262"/>
      <c r="L255" s="262"/>
      <c r="M255" s="264"/>
      <c r="N255" s="262"/>
      <c r="O255" s="262"/>
      <c r="P255" s="262"/>
      <c r="Q255" s="263"/>
      <c r="R255" s="263"/>
      <c r="S255" s="292"/>
      <c r="T255" s="261"/>
      <c r="U255" s="261"/>
      <c r="V255" s="268"/>
      <c r="W255" s="268"/>
      <c r="X255" s="268"/>
      <c r="Y255" s="268"/>
      <c r="Z255" s="471">
        <f>SUMIF(TAB_CS[Reference],TAB_Offres[[#This Row],[Reference]],TAB_CS[Commited days])</f>
        <v>0</v>
      </c>
      <c r="AA255" s="269">
        <f>SUMIF(TAB_CS[Reference],TAB_Offres[[#This Row],[Reference]],TAB_CS[Commited amount])</f>
        <v>0</v>
      </c>
      <c r="AB255" s="275"/>
      <c r="AC255" s="270"/>
      <c r="AD255" s="270"/>
      <c r="AE255" s="264"/>
      <c r="AF255" s="271"/>
      <c r="AG255" s="278"/>
      <c r="AH255" s="277" t="str">
        <f>CONCATENATE(YEAR(TAB_Offres[[#This Row],[Request date ]]),"-",MONTH(TAB_Offres[[#This Row],[Request date ]]))</f>
        <v>1900-1</v>
      </c>
      <c r="AI255" s="274" t="e">
        <f>IF(#REF!,1,0)</f>
        <v>#REF!</v>
      </c>
      <c r="AJ255" s="4"/>
      <c r="AK255" s="4"/>
      <c r="AL255" s="4"/>
      <c r="AN255" s="150"/>
      <c r="AQ255" s="4"/>
    </row>
    <row r="256" spans="1:43" x14ac:dyDescent="0.25">
      <c r="A256" s="258">
        <f>ROW(TAB_Offres[[#This Row],[Reference]])-ROW(TAB_Offres[[#Headers],[ID]])</f>
        <v>255</v>
      </c>
      <c r="B256" s="258"/>
      <c r="C256" s="258"/>
      <c r="D256" s="258"/>
      <c r="E256" s="263"/>
      <c r="F256" s="258"/>
      <c r="G256" s="263"/>
      <c r="H256" s="262"/>
      <c r="I256" s="262"/>
      <c r="J256" s="262"/>
      <c r="K256" s="262"/>
      <c r="L256" s="262"/>
      <c r="M256" s="264"/>
      <c r="N256" s="262"/>
      <c r="O256" s="262"/>
      <c r="P256" s="262"/>
      <c r="Q256" s="263"/>
      <c r="R256" s="263"/>
      <c r="S256" s="292"/>
      <c r="T256" s="261"/>
      <c r="U256" s="261"/>
      <c r="V256" s="268"/>
      <c r="W256" s="268"/>
      <c r="X256" s="268"/>
      <c r="Y256" s="268"/>
      <c r="Z256" s="471">
        <f>SUMIF(TAB_CS[Reference],TAB_Offres[[#This Row],[Reference]],TAB_CS[Commited days])</f>
        <v>0</v>
      </c>
      <c r="AA256" s="269">
        <f>SUMIF(TAB_CS[Reference],TAB_Offres[[#This Row],[Reference]],TAB_CS[Commited amount])</f>
        <v>0</v>
      </c>
      <c r="AB256" s="275"/>
      <c r="AC256" s="270"/>
      <c r="AD256" s="270"/>
      <c r="AE256" s="264"/>
      <c r="AF256" s="271"/>
      <c r="AG256" s="278"/>
      <c r="AH256" s="277" t="str">
        <f>CONCATENATE(YEAR(TAB_Offres[[#This Row],[Request date ]]),"-",MONTH(TAB_Offres[[#This Row],[Request date ]]))</f>
        <v>1900-1</v>
      </c>
      <c r="AI256" s="274" t="e">
        <f>IF(#REF!,1,0)</f>
        <v>#REF!</v>
      </c>
      <c r="AJ256" s="4"/>
      <c r="AK256" s="4"/>
      <c r="AL256" s="4"/>
      <c r="AN256" s="150"/>
      <c r="AQ256" s="4"/>
    </row>
    <row r="257" spans="1:43" x14ac:dyDescent="0.25">
      <c r="A257" s="258">
        <f>ROW(TAB_Offres[[#This Row],[Reference]])-ROW(TAB_Offres[[#Headers],[ID]])</f>
        <v>256</v>
      </c>
      <c r="B257" s="258"/>
      <c r="C257" s="258"/>
      <c r="D257" s="258"/>
      <c r="E257" s="263"/>
      <c r="F257" s="258"/>
      <c r="G257" s="263"/>
      <c r="H257" s="262"/>
      <c r="I257" s="262"/>
      <c r="J257" s="262"/>
      <c r="K257" s="262"/>
      <c r="L257" s="262"/>
      <c r="M257" s="264"/>
      <c r="N257" s="262"/>
      <c r="O257" s="262"/>
      <c r="P257" s="262"/>
      <c r="Q257" s="263"/>
      <c r="R257" s="263"/>
      <c r="S257" s="292"/>
      <c r="T257" s="261"/>
      <c r="U257" s="261"/>
      <c r="V257" s="268"/>
      <c r="W257" s="268"/>
      <c r="X257" s="268"/>
      <c r="Y257" s="268"/>
      <c r="Z257" s="471">
        <f>SUMIF(TAB_CS[Reference],TAB_Offres[[#This Row],[Reference]],TAB_CS[Commited days])</f>
        <v>0</v>
      </c>
      <c r="AA257" s="269">
        <f>SUMIF(TAB_CS[Reference],TAB_Offres[[#This Row],[Reference]],TAB_CS[Commited amount])</f>
        <v>0</v>
      </c>
      <c r="AB257" s="275"/>
      <c r="AC257" s="270"/>
      <c r="AD257" s="270"/>
      <c r="AE257" s="264"/>
      <c r="AF257" s="271"/>
      <c r="AG257" s="278"/>
      <c r="AH257" s="277" t="str">
        <f>CONCATENATE(YEAR(TAB_Offres[[#This Row],[Request date ]]),"-",MONTH(TAB_Offres[[#This Row],[Request date ]]))</f>
        <v>1900-1</v>
      </c>
      <c r="AI257" s="274" t="e">
        <f>IF(#REF!,1,0)</f>
        <v>#REF!</v>
      </c>
      <c r="AJ257" s="4"/>
      <c r="AK257" s="4"/>
      <c r="AL257" s="4"/>
      <c r="AN257" s="150"/>
      <c r="AQ257" s="4"/>
    </row>
    <row r="258" spans="1:43" x14ac:dyDescent="0.25">
      <c r="A258" s="258">
        <f>ROW(TAB_Offres[[#This Row],[Reference]])-ROW(TAB_Offres[[#Headers],[ID]])</f>
        <v>257</v>
      </c>
      <c r="B258" s="258"/>
      <c r="C258" s="258"/>
      <c r="D258" s="258"/>
      <c r="E258" s="263"/>
      <c r="F258" s="258"/>
      <c r="G258" s="263"/>
      <c r="H258" s="262"/>
      <c r="I258" s="262"/>
      <c r="J258" s="262"/>
      <c r="K258" s="262"/>
      <c r="L258" s="262"/>
      <c r="M258" s="264"/>
      <c r="N258" s="262"/>
      <c r="O258" s="262"/>
      <c r="P258" s="262"/>
      <c r="Q258" s="263"/>
      <c r="R258" s="263"/>
      <c r="S258" s="292"/>
      <c r="T258" s="261"/>
      <c r="U258" s="261"/>
      <c r="V258" s="268"/>
      <c r="W258" s="268"/>
      <c r="X258" s="268"/>
      <c r="Y258" s="268"/>
      <c r="Z258" s="471">
        <f>SUMIF(TAB_CS[Reference],TAB_Offres[[#This Row],[Reference]],TAB_CS[Commited days])</f>
        <v>0</v>
      </c>
      <c r="AA258" s="269">
        <f>SUMIF(TAB_CS[Reference],TAB_Offres[[#This Row],[Reference]],TAB_CS[Commited amount])</f>
        <v>0</v>
      </c>
      <c r="AB258" s="275"/>
      <c r="AC258" s="270"/>
      <c r="AD258" s="270"/>
      <c r="AE258" s="264"/>
      <c r="AF258" s="271"/>
      <c r="AG258" s="278"/>
      <c r="AH258" s="277" t="str">
        <f>CONCATENATE(YEAR(TAB_Offres[[#This Row],[Request date ]]),"-",MONTH(TAB_Offres[[#This Row],[Request date ]]))</f>
        <v>1900-1</v>
      </c>
      <c r="AI258" s="274" t="e">
        <f>IF(#REF!,1,0)</f>
        <v>#REF!</v>
      </c>
      <c r="AJ258" s="4"/>
      <c r="AK258" s="4"/>
      <c r="AL258" s="4"/>
      <c r="AN258" s="150"/>
      <c r="AQ258" s="4"/>
    </row>
    <row r="259" spans="1:43" x14ac:dyDescent="0.25">
      <c r="A259" s="258">
        <f>ROW(TAB_Offres[[#This Row],[Reference]])-ROW(TAB_Offres[[#Headers],[ID]])</f>
        <v>258</v>
      </c>
      <c r="B259" s="258"/>
      <c r="C259" s="258"/>
      <c r="D259" s="258"/>
      <c r="E259" s="263"/>
      <c r="F259" s="258"/>
      <c r="G259" s="263"/>
      <c r="H259" s="262"/>
      <c r="I259" s="262"/>
      <c r="J259" s="262"/>
      <c r="K259" s="262"/>
      <c r="L259" s="262"/>
      <c r="M259" s="264"/>
      <c r="N259" s="262"/>
      <c r="O259" s="262"/>
      <c r="P259" s="262"/>
      <c r="Q259" s="263"/>
      <c r="R259" s="263"/>
      <c r="S259" s="292"/>
      <c r="T259" s="261"/>
      <c r="U259" s="261"/>
      <c r="V259" s="268"/>
      <c r="W259" s="268"/>
      <c r="X259" s="268"/>
      <c r="Y259" s="268"/>
      <c r="Z259" s="471">
        <f>SUMIF(TAB_CS[Reference],TAB_Offres[[#This Row],[Reference]],TAB_CS[Commited days])</f>
        <v>0</v>
      </c>
      <c r="AA259" s="269">
        <f>SUMIF(TAB_CS[Reference],TAB_Offres[[#This Row],[Reference]],TAB_CS[Commited amount])</f>
        <v>0</v>
      </c>
      <c r="AB259" s="275"/>
      <c r="AC259" s="270"/>
      <c r="AD259" s="270"/>
      <c r="AE259" s="264"/>
      <c r="AF259" s="271"/>
      <c r="AG259" s="278"/>
      <c r="AH259" s="277" t="str">
        <f>CONCATENATE(YEAR(TAB_Offres[[#This Row],[Request date ]]),"-",MONTH(TAB_Offres[[#This Row],[Request date ]]))</f>
        <v>1900-1</v>
      </c>
      <c r="AI259" s="274" t="e">
        <f>IF(#REF!,1,0)</f>
        <v>#REF!</v>
      </c>
      <c r="AJ259" s="4"/>
      <c r="AK259" s="4"/>
      <c r="AL259" s="4"/>
      <c r="AN259" s="150"/>
      <c r="AQ259" s="4"/>
    </row>
    <row r="260" spans="1:43" x14ac:dyDescent="0.25">
      <c r="A260" s="258">
        <f>ROW(TAB_Offres[[#This Row],[Reference]])-ROW(TAB_Offres[[#Headers],[ID]])</f>
        <v>259</v>
      </c>
      <c r="B260" s="258"/>
      <c r="C260" s="258"/>
      <c r="D260" s="258"/>
      <c r="E260" s="263"/>
      <c r="F260" s="258"/>
      <c r="G260" s="263"/>
      <c r="H260" s="262"/>
      <c r="I260" s="262"/>
      <c r="J260" s="262"/>
      <c r="K260" s="262"/>
      <c r="L260" s="262"/>
      <c r="M260" s="264"/>
      <c r="N260" s="262"/>
      <c r="O260" s="262"/>
      <c r="P260" s="262"/>
      <c r="Q260" s="263"/>
      <c r="R260" s="263"/>
      <c r="S260" s="292"/>
      <c r="T260" s="261"/>
      <c r="U260" s="261"/>
      <c r="V260" s="268"/>
      <c r="W260" s="268"/>
      <c r="X260" s="268"/>
      <c r="Y260" s="268"/>
      <c r="Z260" s="471">
        <f>SUMIF(TAB_CS[Reference],TAB_Offres[[#This Row],[Reference]],TAB_CS[Commited days])</f>
        <v>0</v>
      </c>
      <c r="AA260" s="269">
        <f>SUMIF(TAB_CS[Reference],TAB_Offres[[#This Row],[Reference]],TAB_CS[Commited amount])</f>
        <v>0</v>
      </c>
      <c r="AB260" s="275"/>
      <c r="AC260" s="270"/>
      <c r="AD260" s="270"/>
      <c r="AE260" s="264"/>
      <c r="AF260" s="271"/>
      <c r="AG260" s="278"/>
      <c r="AH260" s="277" t="str">
        <f>CONCATENATE(YEAR(TAB_Offres[[#This Row],[Request date ]]),"-",MONTH(TAB_Offres[[#This Row],[Request date ]]))</f>
        <v>1900-1</v>
      </c>
      <c r="AI260" s="274" t="e">
        <f>IF(#REF!,1,0)</f>
        <v>#REF!</v>
      </c>
      <c r="AJ260" s="4"/>
      <c r="AK260" s="4"/>
      <c r="AL260" s="4"/>
      <c r="AN260" s="150"/>
      <c r="AQ260" s="4"/>
    </row>
    <row r="261" spans="1:43" x14ac:dyDescent="0.25">
      <c r="A261" s="258">
        <f>ROW(TAB_Offres[[#This Row],[Reference]])-ROW(TAB_Offres[[#Headers],[ID]])</f>
        <v>260</v>
      </c>
      <c r="B261" s="258"/>
      <c r="C261" s="258"/>
      <c r="D261" s="258"/>
      <c r="E261" s="263"/>
      <c r="F261" s="258"/>
      <c r="G261" s="263"/>
      <c r="H261" s="262"/>
      <c r="I261" s="262"/>
      <c r="J261" s="262"/>
      <c r="K261" s="262"/>
      <c r="L261" s="262"/>
      <c r="M261" s="264"/>
      <c r="N261" s="262"/>
      <c r="O261" s="262"/>
      <c r="P261" s="262"/>
      <c r="Q261" s="263"/>
      <c r="R261" s="263"/>
      <c r="S261" s="292"/>
      <c r="T261" s="261"/>
      <c r="U261" s="261"/>
      <c r="V261" s="268"/>
      <c r="W261" s="268"/>
      <c r="X261" s="268"/>
      <c r="Y261" s="268"/>
      <c r="Z261" s="471">
        <f>SUMIF(TAB_CS[Reference],TAB_Offres[[#This Row],[Reference]],TAB_CS[Commited days])</f>
        <v>0</v>
      </c>
      <c r="AA261" s="269">
        <f>SUMIF(TAB_CS[Reference],TAB_Offres[[#This Row],[Reference]],TAB_CS[Commited amount])</f>
        <v>0</v>
      </c>
      <c r="AB261" s="275"/>
      <c r="AC261" s="270"/>
      <c r="AD261" s="270"/>
      <c r="AE261" s="264"/>
      <c r="AF261" s="271"/>
      <c r="AG261" s="278"/>
      <c r="AH261" s="277" t="str">
        <f>CONCATENATE(YEAR(TAB_Offres[[#This Row],[Request date ]]),"-",MONTH(TAB_Offres[[#This Row],[Request date ]]))</f>
        <v>1900-1</v>
      </c>
      <c r="AI261" s="274" t="e">
        <f>IF(#REF!,1,0)</f>
        <v>#REF!</v>
      </c>
      <c r="AJ261" s="4"/>
      <c r="AK261" s="4"/>
      <c r="AL261" s="4"/>
      <c r="AN261" s="150"/>
      <c r="AQ261" s="4"/>
    </row>
    <row r="262" spans="1:43" x14ac:dyDescent="0.25">
      <c r="A262" s="258">
        <f>ROW(TAB_Offres[[#This Row],[Reference]])-ROW(TAB_Offres[[#Headers],[ID]])</f>
        <v>261</v>
      </c>
      <c r="B262" s="258"/>
      <c r="C262" s="258"/>
      <c r="D262" s="258"/>
      <c r="E262" s="263"/>
      <c r="F262" s="258"/>
      <c r="G262" s="263"/>
      <c r="H262" s="262"/>
      <c r="I262" s="262"/>
      <c r="J262" s="262"/>
      <c r="K262" s="262"/>
      <c r="L262" s="262"/>
      <c r="M262" s="264"/>
      <c r="N262" s="262"/>
      <c r="O262" s="262"/>
      <c r="P262" s="262"/>
      <c r="Q262" s="263"/>
      <c r="R262" s="263"/>
      <c r="S262" s="292"/>
      <c r="T262" s="261"/>
      <c r="U262" s="261"/>
      <c r="V262" s="268"/>
      <c r="W262" s="268"/>
      <c r="X262" s="268"/>
      <c r="Y262" s="268"/>
      <c r="Z262" s="471">
        <f>SUMIF(TAB_CS[Reference],TAB_Offres[[#This Row],[Reference]],TAB_CS[Commited days])</f>
        <v>0</v>
      </c>
      <c r="AA262" s="269">
        <f>SUMIF(TAB_CS[Reference],TAB_Offres[[#This Row],[Reference]],TAB_CS[Commited amount])</f>
        <v>0</v>
      </c>
      <c r="AB262" s="275"/>
      <c r="AC262" s="270"/>
      <c r="AD262" s="270"/>
      <c r="AE262" s="264"/>
      <c r="AF262" s="271"/>
      <c r="AG262" s="278"/>
      <c r="AH262" s="277" t="str">
        <f>CONCATENATE(YEAR(TAB_Offres[[#This Row],[Request date ]]),"-",MONTH(TAB_Offres[[#This Row],[Request date ]]))</f>
        <v>1900-1</v>
      </c>
      <c r="AI262" s="274" t="e">
        <f>IF(#REF!,1,0)</f>
        <v>#REF!</v>
      </c>
      <c r="AJ262" s="4"/>
      <c r="AK262" s="4"/>
      <c r="AL262" s="4"/>
      <c r="AN262" s="150"/>
      <c r="AQ262" s="4"/>
    </row>
    <row r="263" spans="1:43" x14ac:dyDescent="0.25">
      <c r="A263" s="258">
        <f>ROW(TAB_Offres[[#This Row],[Reference]])-ROW(TAB_Offres[[#Headers],[ID]])</f>
        <v>262</v>
      </c>
      <c r="B263" s="258"/>
      <c r="C263" s="258"/>
      <c r="D263" s="258"/>
      <c r="E263" s="263"/>
      <c r="F263" s="258"/>
      <c r="G263" s="263"/>
      <c r="H263" s="262"/>
      <c r="I263" s="262"/>
      <c r="J263" s="262"/>
      <c r="K263" s="262"/>
      <c r="L263" s="262"/>
      <c r="M263" s="264"/>
      <c r="N263" s="262"/>
      <c r="O263" s="262"/>
      <c r="P263" s="262"/>
      <c r="Q263" s="263"/>
      <c r="R263" s="263"/>
      <c r="S263" s="292"/>
      <c r="T263" s="261"/>
      <c r="U263" s="261"/>
      <c r="V263" s="268"/>
      <c r="W263" s="268"/>
      <c r="X263" s="268"/>
      <c r="Y263" s="268"/>
      <c r="Z263" s="471">
        <f>SUMIF(TAB_CS[Reference],TAB_Offres[[#This Row],[Reference]],TAB_CS[Commited days])</f>
        <v>0</v>
      </c>
      <c r="AA263" s="269">
        <f>SUMIF(TAB_CS[Reference],TAB_Offres[[#This Row],[Reference]],TAB_CS[Commited amount])</f>
        <v>0</v>
      </c>
      <c r="AB263" s="275"/>
      <c r="AC263" s="270"/>
      <c r="AD263" s="270"/>
      <c r="AE263" s="264"/>
      <c r="AF263" s="271"/>
      <c r="AG263" s="278"/>
      <c r="AH263" s="277" t="str">
        <f>CONCATENATE(YEAR(TAB_Offres[[#This Row],[Request date ]]),"-",MONTH(TAB_Offres[[#This Row],[Request date ]]))</f>
        <v>1900-1</v>
      </c>
      <c r="AI263" s="274" t="e">
        <f>IF(#REF!,1,0)</f>
        <v>#REF!</v>
      </c>
      <c r="AJ263" s="4"/>
      <c r="AK263" s="4"/>
      <c r="AL263" s="4"/>
      <c r="AN263" s="150"/>
      <c r="AQ263" s="4"/>
    </row>
    <row r="264" spans="1:43" x14ac:dyDescent="0.25">
      <c r="A264" s="258">
        <f>ROW(TAB_Offres[[#This Row],[Reference]])-ROW(TAB_Offres[[#Headers],[ID]])</f>
        <v>263</v>
      </c>
      <c r="B264" s="258"/>
      <c r="C264" s="258"/>
      <c r="D264" s="258"/>
      <c r="E264" s="263"/>
      <c r="F264" s="258"/>
      <c r="G264" s="263"/>
      <c r="H264" s="262"/>
      <c r="I264" s="262"/>
      <c r="J264" s="262"/>
      <c r="K264" s="262"/>
      <c r="L264" s="262"/>
      <c r="M264" s="264"/>
      <c r="N264" s="262"/>
      <c r="O264" s="262"/>
      <c r="P264" s="262"/>
      <c r="Q264" s="263"/>
      <c r="R264" s="263"/>
      <c r="S264" s="292"/>
      <c r="T264" s="261"/>
      <c r="U264" s="261"/>
      <c r="V264" s="268"/>
      <c r="W264" s="268"/>
      <c r="X264" s="268"/>
      <c r="Y264" s="268"/>
      <c r="Z264" s="471">
        <f>SUMIF(TAB_CS[Reference],TAB_Offres[[#This Row],[Reference]],TAB_CS[Commited days])</f>
        <v>0</v>
      </c>
      <c r="AA264" s="269">
        <f>SUMIF(TAB_CS[Reference],TAB_Offres[[#This Row],[Reference]],TAB_CS[Commited amount])</f>
        <v>0</v>
      </c>
      <c r="AB264" s="275"/>
      <c r="AC264" s="270"/>
      <c r="AD264" s="270"/>
      <c r="AE264" s="264"/>
      <c r="AF264" s="271"/>
      <c r="AG264" s="278"/>
      <c r="AH264" s="277" t="str">
        <f>CONCATENATE(YEAR(TAB_Offres[[#This Row],[Request date ]]),"-",MONTH(TAB_Offres[[#This Row],[Request date ]]))</f>
        <v>1900-1</v>
      </c>
      <c r="AI264" s="274" t="e">
        <f>IF(#REF!,1,0)</f>
        <v>#REF!</v>
      </c>
      <c r="AJ264" s="4"/>
      <c r="AK264" s="4"/>
      <c r="AL264" s="4"/>
      <c r="AN264" s="150"/>
      <c r="AQ264" s="4"/>
    </row>
    <row r="265" spans="1:43" x14ac:dyDescent="0.25">
      <c r="A265" s="258">
        <f>ROW(TAB_Offres[[#This Row],[Reference]])-ROW(TAB_Offres[[#Headers],[ID]])</f>
        <v>264</v>
      </c>
      <c r="B265" s="258"/>
      <c r="C265" s="258"/>
      <c r="D265" s="258"/>
      <c r="E265" s="263"/>
      <c r="F265" s="258"/>
      <c r="G265" s="263"/>
      <c r="H265" s="262"/>
      <c r="I265" s="262"/>
      <c r="J265" s="262"/>
      <c r="K265" s="262"/>
      <c r="L265" s="262"/>
      <c r="M265" s="264"/>
      <c r="N265" s="262"/>
      <c r="O265" s="262"/>
      <c r="P265" s="262"/>
      <c r="Q265" s="263"/>
      <c r="R265" s="263"/>
      <c r="S265" s="292"/>
      <c r="T265" s="261"/>
      <c r="U265" s="261"/>
      <c r="V265" s="268"/>
      <c r="W265" s="268"/>
      <c r="X265" s="268"/>
      <c r="Y265" s="268"/>
      <c r="Z265" s="471">
        <f>SUMIF(TAB_CS[Reference],TAB_Offres[[#This Row],[Reference]],TAB_CS[Commited days])</f>
        <v>0</v>
      </c>
      <c r="AA265" s="269">
        <f>SUMIF(TAB_CS[Reference],TAB_Offres[[#This Row],[Reference]],TAB_CS[Commited amount])</f>
        <v>0</v>
      </c>
      <c r="AB265" s="275"/>
      <c r="AC265" s="270"/>
      <c r="AD265" s="270"/>
      <c r="AE265" s="264"/>
      <c r="AF265" s="271"/>
      <c r="AG265" s="278"/>
      <c r="AH265" s="277" t="str">
        <f>CONCATENATE(YEAR(TAB_Offres[[#This Row],[Request date ]]),"-",MONTH(TAB_Offres[[#This Row],[Request date ]]))</f>
        <v>1900-1</v>
      </c>
      <c r="AI265" s="274" t="e">
        <f>IF(#REF!,1,0)</f>
        <v>#REF!</v>
      </c>
      <c r="AJ265" s="4"/>
      <c r="AK265" s="4"/>
      <c r="AL265" s="4"/>
      <c r="AN265" s="150"/>
      <c r="AQ265" s="4"/>
    </row>
    <row r="266" spans="1:43" x14ac:dyDescent="0.25">
      <c r="A266" s="258">
        <f>ROW(TAB_Offres[[#This Row],[Reference]])-ROW(TAB_Offres[[#Headers],[ID]])</f>
        <v>265</v>
      </c>
      <c r="B266" s="258"/>
      <c r="C266" s="258"/>
      <c r="D266" s="258"/>
      <c r="E266" s="263"/>
      <c r="F266" s="258"/>
      <c r="G266" s="263"/>
      <c r="H266" s="262"/>
      <c r="I266" s="262"/>
      <c r="J266" s="262"/>
      <c r="K266" s="262"/>
      <c r="L266" s="262"/>
      <c r="M266" s="264"/>
      <c r="N266" s="262"/>
      <c r="O266" s="262"/>
      <c r="P266" s="262"/>
      <c r="Q266" s="263"/>
      <c r="R266" s="263"/>
      <c r="S266" s="292"/>
      <c r="T266" s="261"/>
      <c r="U266" s="261"/>
      <c r="V266" s="268"/>
      <c r="W266" s="268"/>
      <c r="X266" s="268"/>
      <c r="Y266" s="268"/>
      <c r="Z266" s="471">
        <f>SUMIF(TAB_CS[Reference],TAB_Offres[[#This Row],[Reference]],TAB_CS[Commited days])</f>
        <v>0</v>
      </c>
      <c r="AA266" s="269">
        <f>SUMIF(TAB_CS[Reference],TAB_Offres[[#This Row],[Reference]],TAB_CS[Commited amount])</f>
        <v>0</v>
      </c>
      <c r="AB266" s="275"/>
      <c r="AC266" s="270"/>
      <c r="AD266" s="270"/>
      <c r="AE266" s="264"/>
      <c r="AF266" s="271"/>
      <c r="AG266" s="278"/>
      <c r="AH266" s="277" t="str">
        <f>CONCATENATE(YEAR(TAB_Offres[[#This Row],[Request date ]]),"-",MONTH(TAB_Offres[[#This Row],[Request date ]]))</f>
        <v>1900-1</v>
      </c>
      <c r="AI266" s="274" t="e">
        <f>IF(#REF!,1,0)</f>
        <v>#REF!</v>
      </c>
      <c r="AJ266" s="4"/>
      <c r="AK266" s="4"/>
      <c r="AL266" s="4"/>
      <c r="AN266" s="150"/>
      <c r="AQ266" s="4"/>
    </row>
    <row r="267" spans="1:43" x14ac:dyDescent="0.25">
      <c r="A267" s="258">
        <f>ROW(TAB_Offres[[#This Row],[Reference]])-ROW(TAB_Offres[[#Headers],[ID]])</f>
        <v>266</v>
      </c>
      <c r="B267" s="258"/>
      <c r="C267" s="258"/>
      <c r="D267" s="258"/>
      <c r="E267" s="263"/>
      <c r="F267" s="258"/>
      <c r="G267" s="263"/>
      <c r="H267" s="262"/>
      <c r="I267" s="262"/>
      <c r="J267" s="262"/>
      <c r="K267" s="262"/>
      <c r="L267" s="262"/>
      <c r="M267" s="264"/>
      <c r="N267" s="262"/>
      <c r="O267" s="262"/>
      <c r="P267" s="262"/>
      <c r="Q267" s="263"/>
      <c r="R267" s="263"/>
      <c r="S267" s="292"/>
      <c r="T267" s="261"/>
      <c r="U267" s="261"/>
      <c r="V267" s="268"/>
      <c r="W267" s="268"/>
      <c r="X267" s="268"/>
      <c r="Y267" s="268"/>
      <c r="Z267" s="471">
        <f>SUMIF(TAB_CS[Reference],TAB_Offres[[#This Row],[Reference]],TAB_CS[Commited days])</f>
        <v>0</v>
      </c>
      <c r="AA267" s="269">
        <f>SUMIF(TAB_CS[Reference],TAB_Offres[[#This Row],[Reference]],TAB_CS[Commited amount])</f>
        <v>0</v>
      </c>
      <c r="AB267" s="275"/>
      <c r="AC267" s="270"/>
      <c r="AD267" s="270"/>
      <c r="AE267" s="264"/>
      <c r="AF267" s="271"/>
      <c r="AG267" s="278"/>
      <c r="AH267" s="277" t="str">
        <f>CONCATENATE(YEAR(TAB_Offres[[#This Row],[Request date ]]),"-",MONTH(TAB_Offres[[#This Row],[Request date ]]))</f>
        <v>1900-1</v>
      </c>
      <c r="AI267" s="274" t="e">
        <f>IF(#REF!,1,0)</f>
        <v>#REF!</v>
      </c>
      <c r="AJ267" s="4"/>
      <c r="AK267" s="4"/>
      <c r="AL267" s="4"/>
      <c r="AN267" s="150"/>
      <c r="AQ267" s="4"/>
    </row>
    <row r="268" spans="1:43" x14ac:dyDescent="0.25">
      <c r="A268" s="258">
        <f>ROW(TAB_Offres[[#This Row],[Reference]])-ROW(TAB_Offres[[#Headers],[ID]])</f>
        <v>267</v>
      </c>
      <c r="B268" s="258"/>
      <c r="C268" s="258"/>
      <c r="D268" s="258"/>
      <c r="E268" s="263"/>
      <c r="F268" s="258"/>
      <c r="G268" s="263"/>
      <c r="H268" s="262"/>
      <c r="I268" s="262"/>
      <c r="J268" s="262"/>
      <c r="K268" s="262"/>
      <c r="L268" s="262"/>
      <c r="M268" s="264"/>
      <c r="N268" s="262"/>
      <c r="O268" s="262"/>
      <c r="P268" s="262"/>
      <c r="Q268" s="263"/>
      <c r="R268" s="263"/>
      <c r="S268" s="292"/>
      <c r="T268" s="261"/>
      <c r="U268" s="261"/>
      <c r="V268" s="268"/>
      <c r="W268" s="268"/>
      <c r="X268" s="268"/>
      <c r="Y268" s="268"/>
      <c r="Z268" s="471">
        <f>SUMIF(TAB_CS[Reference],TAB_Offres[[#This Row],[Reference]],TAB_CS[Commited days])</f>
        <v>0</v>
      </c>
      <c r="AA268" s="269">
        <f>SUMIF(TAB_CS[Reference],TAB_Offres[[#This Row],[Reference]],TAB_CS[Commited amount])</f>
        <v>0</v>
      </c>
      <c r="AB268" s="275"/>
      <c r="AC268" s="270"/>
      <c r="AD268" s="270"/>
      <c r="AE268" s="264"/>
      <c r="AF268" s="271"/>
      <c r="AG268" s="278"/>
      <c r="AH268" s="277" t="str">
        <f>CONCATENATE(YEAR(TAB_Offres[[#This Row],[Request date ]]),"-",MONTH(TAB_Offres[[#This Row],[Request date ]]))</f>
        <v>1900-1</v>
      </c>
      <c r="AI268" s="274" t="e">
        <f>IF(#REF!,1,0)</f>
        <v>#REF!</v>
      </c>
      <c r="AJ268" s="4"/>
      <c r="AK268" s="4"/>
      <c r="AL268" s="4"/>
      <c r="AN268" s="150"/>
      <c r="AQ268" s="4"/>
    </row>
    <row r="269" spans="1:43" x14ac:dyDescent="0.25">
      <c r="A269" s="258">
        <f>ROW(TAB_Offres[[#This Row],[Reference]])-ROW(TAB_Offres[[#Headers],[ID]])</f>
        <v>268</v>
      </c>
      <c r="B269" s="258"/>
      <c r="C269" s="258"/>
      <c r="D269" s="258"/>
      <c r="E269" s="263"/>
      <c r="F269" s="258"/>
      <c r="G269" s="263"/>
      <c r="H269" s="262"/>
      <c r="I269" s="262"/>
      <c r="J269" s="262"/>
      <c r="K269" s="262"/>
      <c r="L269" s="262"/>
      <c r="M269" s="264"/>
      <c r="N269" s="262"/>
      <c r="O269" s="262"/>
      <c r="P269" s="262"/>
      <c r="Q269" s="263"/>
      <c r="R269" s="263"/>
      <c r="S269" s="292"/>
      <c r="T269" s="261"/>
      <c r="U269" s="261"/>
      <c r="V269" s="268"/>
      <c r="W269" s="268"/>
      <c r="X269" s="268"/>
      <c r="Y269" s="268"/>
      <c r="Z269" s="471">
        <f>SUMIF(TAB_CS[Reference],TAB_Offres[[#This Row],[Reference]],TAB_CS[Commited days])</f>
        <v>0</v>
      </c>
      <c r="AA269" s="269">
        <f>SUMIF(TAB_CS[Reference],TAB_Offres[[#This Row],[Reference]],TAB_CS[Commited amount])</f>
        <v>0</v>
      </c>
      <c r="AB269" s="275"/>
      <c r="AC269" s="270"/>
      <c r="AD269" s="270"/>
      <c r="AE269" s="264"/>
      <c r="AF269" s="271"/>
      <c r="AG269" s="278"/>
      <c r="AH269" s="277" t="str">
        <f>CONCATENATE(YEAR(TAB_Offres[[#This Row],[Request date ]]),"-",MONTH(TAB_Offres[[#This Row],[Request date ]]))</f>
        <v>1900-1</v>
      </c>
      <c r="AI269" s="274" t="e">
        <f>IF(#REF!,1,0)</f>
        <v>#REF!</v>
      </c>
      <c r="AJ269" s="4"/>
      <c r="AK269" s="4"/>
      <c r="AL269" s="4"/>
      <c r="AN269" s="150"/>
      <c r="AQ269" s="4"/>
    </row>
    <row r="270" spans="1:43" x14ac:dyDescent="0.25">
      <c r="A270" s="258">
        <f>ROW(TAB_Offres[[#This Row],[Reference]])-ROW(TAB_Offres[[#Headers],[ID]])</f>
        <v>269</v>
      </c>
      <c r="B270" s="258"/>
      <c r="C270" s="258"/>
      <c r="D270" s="258"/>
      <c r="E270" s="263"/>
      <c r="F270" s="258"/>
      <c r="G270" s="263"/>
      <c r="H270" s="262"/>
      <c r="I270" s="262"/>
      <c r="J270" s="262"/>
      <c r="K270" s="262"/>
      <c r="L270" s="262"/>
      <c r="M270" s="264"/>
      <c r="N270" s="262"/>
      <c r="O270" s="262"/>
      <c r="P270" s="262"/>
      <c r="Q270" s="263"/>
      <c r="R270" s="263"/>
      <c r="S270" s="292"/>
      <c r="T270" s="261"/>
      <c r="U270" s="261"/>
      <c r="V270" s="268"/>
      <c r="W270" s="268"/>
      <c r="X270" s="268"/>
      <c r="Y270" s="268"/>
      <c r="Z270" s="471">
        <f>SUMIF(TAB_CS[Reference],TAB_Offres[[#This Row],[Reference]],TAB_CS[Commited days])</f>
        <v>0</v>
      </c>
      <c r="AA270" s="269">
        <f>SUMIF(TAB_CS[Reference],TAB_Offres[[#This Row],[Reference]],TAB_CS[Commited amount])</f>
        <v>0</v>
      </c>
      <c r="AB270" s="275"/>
      <c r="AC270" s="270"/>
      <c r="AD270" s="270"/>
      <c r="AE270" s="264"/>
      <c r="AF270" s="271"/>
      <c r="AG270" s="278"/>
      <c r="AH270" s="277" t="str">
        <f>CONCATENATE(YEAR(TAB_Offres[[#This Row],[Request date ]]),"-",MONTH(TAB_Offres[[#This Row],[Request date ]]))</f>
        <v>1900-1</v>
      </c>
      <c r="AI270" s="274" t="e">
        <f>IF(#REF!,1,0)</f>
        <v>#REF!</v>
      </c>
      <c r="AJ270" s="4"/>
      <c r="AK270" s="4"/>
      <c r="AL270" s="4"/>
      <c r="AN270" s="150"/>
      <c r="AQ270" s="4"/>
    </row>
    <row r="271" spans="1:43" x14ac:dyDescent="0.25">
      <c r="A271" s="258">
        <f>ROW(TAB_Offres[[#This Row],[Reference]])-ROW(TAB_Offres[[#Headers],[ID]])</f>
        <v>270</v>
      </c>
      <c r="B271" s="258"/>
      <c r="C271" s="258"/>
      <c r="D271" s="258"/>
      <c r="E271" s="263"/>
      <c r="F271" s="258"/>
      <c r="G271" s="263"/>
      <c r="H271" s="262"/>
      <c r="I271" s="262"/>
      <c r="J271" s="262"/>
      <c r="K271" s="262"/>
      <c r="L271" s="262"/>
      <c r="M271" s="264"/>
      <c r="N271" s="262"/>
      <c r="O271" s="262"/>
      <c r="P271" s="262"/>
      <c r="Q271" s="263"/>
      <c r="R271" s="263"/>
      <c r="S271" s="292"/>
      <c r="T271" s="261"/>
      <c r="U271" s="261"/>
      <c r="V271" s="268"/>
      <c r="W271" s="268"/>
      <c r="X271" s="268"/>
      <c r="Y271" s="268"/>
      <c r="Z271" s="471">
        <f>SUMIF(TAB_CS[Reference],TAB_Offres[[#This Row],[Reference]],TAB_CS[Commited days])</f>
        <v>0</v>
      </c>
      <c r="AA271" s="269">
        <f>SUMIF(TAB_CS[Reference],TAB_Offres[[#This Row],[Reference]],TAB_CS[Commited amount])</f>
        <v>0</v>
      </c>
      <c r="AB271" s="275"/>
      <c r="AC271" s="270"/>
      <c r="AD271" s="270"/>
      <c r="AE271" s="264"/>
      <c r="AF271" s="271"/>
      <c r="AG271" s="278"/>
      <c r="AH271" s="277" t="str">
        <f>CONCATENATE(YEAR(TAB_Offres[[#This Row],[Request date ]]),"-",MONTH(TAB_Offres[[#This Row],[Request date ]]))</f>
        <v>1900-1</v>
      </c>
      <c r="AI271" s="274" t="e">
        <f>IF(#REF!,1,0)</f>
        <v>#REF!</v>
      </c>
      <c r="AJ271" s="4"/>
      <c r="AK271" s="4"/>
      <c r="AL271" s="4"/>
      <c r="AN271" s="150"/>
      <c r="AQ271" s="4"/>
    </row>
    <row r="272" spans="1:43" x14ac:dyDescent="0.25">
      <c r="A272" s="258">
        <f>ROW(TAB_Offres[[#This Row],[Reference]])-ROW(TAB_Offres[[#Headers],[ID]])</f>
        <v>271</v>
      </c>
      <c r="B272" s="258"/>
      <c r="C272" s="258"/>
      <c r="D272" s="258"/>
      <c r="E272" s="263"/>
      <c r="F272" s="258"/>
      <c r="G272" s="263"/>
      <c r="H272" s="262"/>
      <c r="I272" s="262"/>
      <c r="J272" s="262"/>
      <c r="K272" s="262"/>
      <c r="L272" s="262"/>
      <c r="M272" s="264"/>
      <c r="N272" s="262"/>
      <c r="O272" s="262"/>
      <c r="P272" s="262"/>
      <c r="Q272" s="263"/>
      <c r="R272" s="263"/>
      <c r="S272" s="292"/>
      <c r="T272" s="261"/>
      <c r="U272" s="261"/>
      <c r="V272" s="268"/>
      <c r="W272" s="268"/>
      <c r="X272" s="268"/>
      <c r="Y272" s="268"/>
      <c r="Z272" s="471">
        <f>SUMIF(TAB_CS[Reference],TAB_Offres[[#This Row],[Reference]],TAB_CS[Commited days])</f>
        <v>0</v>
      </c>
      <c r="AA272" s="269">
        <f>SUMIF(TAB_CS[Reference],TAB_Offres[[#This Row],[Reference]],TAB_CS[Commited amount])</f>
        <v>0</v>
      </c>
      <c r="AB272" s="275"/>
      <c r="AC272" s="270"/>
      <c r="AD272" s="270"/>
      <c r="AE272" s="264"/>
      <c r="AF272" s="271"/>
      <c r="AG272" s="278"/>
      <c r="AH272" s="277" t="str">
        <f>CONCATENATE(YEAR(TAB_Offres[[#This Row],[Request date ]]),"-",MONTH(TAB_Offres[[#This Row],[Request date ]]))</f>
        <v>1900-1</v>
      </c>
      <c r="AI272" s="274" t="e">
        <f>IF(#REF!,1,0)</f>
        <v>#REF!</v>
      </c>
      <c r="AJ272" s="4"/>
      <c r="AK272" s="4"/>
      <c r="AL272" s="4"/>
      <c r="AN272" s="150"/>
      <c r="AQ272" s="4"/>
    </row>
    <row r="273" spans="1:43" x14ac:dyDescent="0.25">
      <c r="A273" s="258">
        <f>ROW(TAB_Offres[[#This Row],[Reference]])-ROW(TAB_Offres[[#Headers],[ID]])</f>
        <v>272</v>
      </c>
      <c r="B273" s="258"/>
      <c r="C273" s="258"/>
      <c r="D273" s="258"/>
      <c r="E273" s="263"/>
      <c r="F273" s="258"/>
      <c r="G273" s="263"/>
      <c r="H273" s="262"/>
      <c r="I273" s="262"/>
      <c r="J273" s="262"/>
      <c r="K273" s="262"/>
      <c r="L273" s="262"/>
      <c r="M273" s="264"/>
      <c r="N273" s="262"/>
      <c r="O273" s="262"/>
      <c r="P273" s="262"/>
      <c r="Q273" s="263"/>
      <c r="R273" s="263"/>
      <c r="S273" s="292"/>
      <c r="T273" s="261"/>
      <c r="U273" s="261"/>
      <c r="V273" s="268"/>
      <c r="W273" s="268"/>
      <c r="X273" s="268"/>
      <c r="Y273" s="268"/>
      <c r="Z273" s="471">
        <f>SUMIF(TAB_CS[Reference],TAB_Offres[[#This Row],[Reference]],TAB_CS[Commited days])</f>
        <v>0</v>
      </c>
      <c r="AA273" s="269">
        <f>SUMIF(TAB_CS[Reference],TAB_Offres[[#This Row],[Reference]],TAB_CS[Commited amount])</f>
        <v>0</v>
      </c>
      <c r="AB273" s="275"/>
      <c r="AC273" s="270"/>
      <c r="AD273" s="270"/>
      <c r="AE273" s="264"/>
      <c r="AF273" s="271"/>
      <c r="AG273" s="278"/>
      <c r="AH273" s="277" t="str">
        <f>CONCATENATE(YEAR(TAB_Offres[[#This Row],[Request date ]]),"-",MONTH(TAB_Offres[[#This Row],[Request date ]]))</f>
        <v>1900-1</v>
      </c>
      <c r="AI273" s="274" t="e">
        <f>IF(#REF!,1,0)</f>
        <v>#REF!</v>
      </c>
      <c r="AJ273" s="4"/>
      <c r="AK273" s="4"/>
      <c r="AL273" s="4"/>
      <c r="AN273" s="150"/>
      <c r="AQ273" s="4"/>
    </row>
    <row r="274" spans="1:43" x14ac:dyDescent="0.25">
      <c r="A274" s="258">
        <f>ROW(TAB_Offres[[#This Row],[Reference]])-ROW(TAB_Offres[[#Headers],[ID]])</f>
        <v>273</v>
      </c>
      <c r="B274" s="258"/>
      <c r="C274" s="258"/>
      <c r="D274" s="258"/>
      <c r="E274" s="263"/>
      <c r="F274" s="258"/>
      <c r="G274" s="263"/>
      <c r="H274" s="262"/>
      <c r="I274" s="262"/>
      <c r="J274" s="262"/>
      <c r="K274" s="262"/>
      <c r="L274" s="262"/>
      <c r="M274" s="264"/>
      <c r="N274" s="262"/>
      <c r="O274" s="262"/>
      <c r="P274" s="262"/>
      <c r="Q274" s="263"/>
      <c r="R274" s="263"/>
      <c r="S274" s="292"/>
      <c r="T274" s="261"/>
      <c r="U274" s="261"/>
      <c r="V274" s="268"/>
      <c r="W274" s="268"/>
      <c r="X274" s="268"/>
      <c r="Y274" s="268"/>
      <c r="Z274" s="471">
        <f>SUMIF(TAB_CS[Reference],TAB_Offres[[#This Row],[Reference]],TAB_CS[Commited days])</f>
        <v>0</v>
      </c>
      <c r="AA274" s="269">
        <f>SUMIF(TAB_CS[Reference],TAB_Offres[[#This Row],[Reference]],TAB_CS[Commited amount])</f>
        <v>0</v>
      </c>
      <c r="AB274" s="275"/>
      <c r="AC274" s="270"/>
      <c r="AD274" s="270"/>
      <c r="AE274" s="264"/>
      <c r="AF274" s="271"/>
      <c r="AG274" s="278"/>
      <c r="AH274" s="277" t="str">
        <f>CONCATENATE(YEAR(TAB_Offres[[#This Row],[Request date ]]),"-",MONTH(TAB_Offres[[#This Row],[Request date ]]))</f>
        <v>1900-1</v>
      </c>
      <c r="AI274" s="274" t="e">
        <f>IF(#REF!,1,0)</f>
        <v>#REF!</v>
      </c>
      <c r="AJ274" s="4"/>
      <c r="AK274" s="4"/>
      <c r="AL274" s="4"/>
      <c r="AN274" s="150"/>
      <c r="AQ274" s="4"/>
    </row>
    <row r="275" spans="1:43" x14ac:dyDescent="0.25">
      <c r="A275" s="258">
        <f>ROW(TAB_Offres[[#This Row],[Reference]])-ROW(TAB_Offres[[#Headers],[ID]])</f>
        <v>274</v>
      </c>
      <c r="B275" s="258"/>
      <c r="C275" s="258"/>
      <c r="D275" s="258"/>
      <c r="E275" s="263"/>
      <c r="F275" s="258"/>
      <c r="G275" s="263"/>
      <c r="H275" s="262"/>
      <c r="I275" s="262"/>
      <c r="J275" s="262"/>
      <c r="K275" s="262"/>
      <c r="L275" s="262"/>
      <c r="M275" s="264"/>
      <c r="N275" s="262"/>
      <c r="O275" s="262"/>
      <c r="P275" s="262"/>
      <c r="Q275" s="263"/>
      <c r="R275" s="263"/>
      <c r="S275" s="292"/>
      <c r="T275" s="261"/>
      <c r="U275" s="261"/>
      <c r="V275" s="268"/>
      <c r="W275" s="268"/>
      <c r="X275" s="268"/>
      <c r="Y275" s="268"/>
      <c r="Z275" s="471">
        <f>SUMIF(TAB_CS[Reference],TAB_Offres[[#This Row],[Reference]],TAB_CS[Commited days])</f>
        <v>0</v>
      </c>
      <c r="AA275" s="269">
        <f>SUMIF(TAB_CS[Reference],TAB_Offres[[#This Row],[Reference]],TAB_CS[Commited amount])</f>
        <v>0</v>
      </c>
      <c r="AB275" s="275"/>
      <c r="AC275" s="270"/>
      <c r="AD275" s="270"/>
      <c r="AE275" s="264"/>
      <c r="AF275" s="271"/>
      <c r="AG275" s="278"/>
      <c r="AH275" s="277" t="str">
        <f>CONCATENATE(YEAR(TAB_Offres[[#This Row],[Request date ]]),"-",MONTH(TAB_Offres[[#This Row],[Request date ]]))</f>
        <v>1900-1</v>
      </c>
      <c r="AI275" s="274" t="e">
        <f>IF(#REF!,1,0)</f>
        <v>#REF!</v>
      </c>
      <c r="AJ275" s="4"/>
      <c r="AK275" s="4"/>
      <c r="AL275" s="4"/>
      <c r="AN275" s="150"/>
      <c r="AQ275" s="4"/>
    </row>
    <row r="276" spans="1:43" x14ac:dyDescent="0.25">
      <c r="A276" s="258">
        <f>ROW(TAB_Offres[[#This Row],[Reference]])-ROW(TAB_Offres[[#Headers],[ID]])</f>
        <v>275</v>
      </c>
      <c r="B276" s="258"/>
      <c r="C276" s="258"/>
      <c r="D276" s="258"/>
      <c r="E276" s="263"/>
      <c r="F276" s="258"/>
      <c r="G276" s="263"/>
      <c r="H276" s="262"/>
      <c r="I276" s="262"/>
      <c r="J276" s="262"/>
      <c r="K276" s="262"/>
      <c r="L276" s="262"/>
      <c r="M276" s="264"/>
      <c r="N276" s="262"/>
      <c r="O276" s="262"/>
      <c r="P276" s="262"/>
      <c r="Q276" s="263"/>
      <c r="R276" s="263"/>
      <c r="S276" s="292"/>
      <c r="T276" s="261"/>
      <c r="U276" s="261"/>
      <c r="V276" s="268"/>
      <c r="W276" s="268"/>
      <c r="X276" s="268"/>
      <c r="Y276" s="268"/>
      <c r="Z276" s="471">
        <f>SUMIF(TAB_CS[Reference],TAB_Offres[[#This Row],[Reference]],TAB_CS[Commited days])</f>
        <v>0</v>
      </c>
      <c r="AA276" s="269">
        <f>SUMIF(TAB_CS[Reference],TAB_Offres[[#This Row],[Reference]],TAB_CS[Commited amount])</f>
        <v>0</v>
      </c>
      <c r="AB276" s="275"/>
      <c r="AC276" s="270"/>
      <c r="AD276" s="270"/>
      <c r="AE276" s="264"/>
      <c r="AF276" s="271"/>
      <c r="AG276" s="278"/>
      <c r="AH276" s="277" t="str">
        <f>CONCATENATE(YEAR(TAB_Offres[[#This Row],[Request date ]]),"-",MONTH(TAB_Offres[[#This Row],[Request date ]]))</f>
        <v>1900-1</v>
      </c>
      <c r="AI276" s="274" t="e">
        <f>IF(#REF!,1,0)</f>
        <v>#REF!</v>
      </c>
      <c r="AJ276" s="4"/>
      <c r="AK276" s="4"/>
      <c r="AL276" s="4"/>
      <c r="AN276" s="150"/>
      <c r="AQ276" s="4"/>
    </row>
    <row r="277" spans="1:43" x14ac:dyDescent="0.25">
      <c r="A277" s="258">
        <f>ROW(TAB_Offres[[#This Row],[Reference]])-ROW(TAB_Offres[[#Headers],[ID]])</f>
        <v>276</v>
      </c>
      <c r="B277" s="258"/>
      <c r="C277" s="258"/>
      <c r="D277" s="258"/>
      <c r="E277" s="263"/>
      <c r="F277" s="258"/>
      <c r="G277" s="263"/>
      <c r="H277" s="262"/>
      <c r="I277" s="262"/>
      <c r="J277" s="262"/>
      <c r="K277" s="262"/>
      <c r="L277" s="262"/>
      <c r="M277" s="264"/>
      <c r="N277" s="262"/>
      <c r="O277" s="262"/>
      <c r="P277" s="262"/>
      <c r="Q277" s="263"/>
      <c r="R277" s="263"/>
      <c r="S277" s="292"/>
      <c r="T277" s="261"/>
      <c r="U277" s="261"/>
      <c r="V277" s="268"/>
      <c r="W277" s="268"/>
      <c r="X277" s="268"/>
      <c r="Y277" s="268"/>
      <c r="Z277" s="471">
        <f>SUMIF(TAB_CS[Reference],TAB_Offres[[#This Row],[Reference]],TAB_CS[Commited days])</f>
        <v>0</v>
      </c>
      <c r="AA277" s="269">
        <f>SUMIF(TAB_CS[Reference],TAB_Offres[[#This Row],[Reference]],TAB_CS[Commited amount])</f>
        <v>0</v>
      </c>
      <c r="AB277" s="275"/>
      <c r="AC277" s="270"/>
      <c r="AD277" s="270"/>
      <c r="AE277" s="264"/>
      <c r="AF277" s="271"/>
      <c r="AG277" s="278"/>
      <c r="AH277" s="277" t="str">
        <f>CONCATENATE(YEAR(TAB_Offres[[#This Row],[Request date ]]),"-",MONTH(TAB_Offres[[#This Row],[Request date ]]))</f>
        <v>1900-1</v>
      </c>
      <c r="AI277" s="274" t="e">
        <f>IF(#REF!,1,0)</f>
        <v>#REF!</v>
      </c>
      <c r="AJ277" s="4"/>
      <c r="AK277" s="4"/>
      <c r="AL277" s="4"/>
      <c r="AN277" s="150"/>
      <c r="AQ277" s="4"/>
    </row>
    <row r="278" spans="1:43" x14ac:dyDescent="0.25">
      <c r="A278" s="258">
        <f>ROW(TAB_Offres[[#This Row],[Reference]])-ROW(TAB_Offres[[#Headers],[ID]])</f>
        <v>277</v>
      </c>
      <c r="B278" s="258"/>
      <c r="C278" s="258"/>
      <c r="D278" s="258"/>
      <c r="E278" s="263"/>
      <c r="F278" s="258"/>
      <c r="G278" s="263"/>
      <c r="H278" s="262"/>
      <c r="I278" s="262"/>
      <c r="J278" s="262"/>
      <c r="K278" s="262"/>
      <c r="L278" s="262"/>
      <c r="M278" s="264"/>
      <c r="N278" s="262"/>
      <c r="O278" s="262"/>
      <c r="P278" s="262"/>
      <c r="Q278" s="263"/>
      <c r="R278" s="263"/>
      <c r="S278" s="292"/>
      <c r="T278" s="261"/>
      <c r="U278" s="261"/>
      <c r="V278" s="268"/>
      <c r="W278" s="268"/>
      <c r="X278" s="268"/>
      <c r="Y278" s="268"/>
      <c r="Z278" s="471">
        <f>SUMIF(TAB_CS[Reference],TAB_Offres[[#This Row],[Reference]],TAB_CS[Commited days])</f>
        <v>0</v>
      </c>
      <c r="AA278" s="269">
        <f>SUMIF(TAB_CS[Reference],TAB_Offres[[#This Row],[Reference]],TAB_CS[Commited amount])</f>
        <v>0</v>
      </c>
      <c r="AB278" s="275"/>
      <c r="AC278" s="270"/>
      <c r="AD278" s="270"/>
      <c r="AE278" s="264"/>
      <c r="AF278" s="271"/>
      <c r="AG278" s="278"/>
      <c r="AH278" s="277" t="str">
        <f>CONCATENATE(YEAR(TAB_Offres[[#This Row],[Request date ]]),"-",MONTH(TAB_Offres[[#This Row],[Request date ]]))</f>
        <v>1900-1</v>
      </c>
      <c r="AI278" s="274" t="e">
        <f>IF(#REF!,1,0)</f>
        <v>#REF!</v>
      </c>
      <c r="AJ278" s="4"/>
      <c r="AK278" s="4"/>
      <c r="AL278" s="4"/>
      <c r="AN278" s="150"/>
      <c r="AQ278" s="4"/>
    </row>
    <row r="279" spans="1:43" x14ac:dyDescent="0.25">
      <c r="A279" s="258">
        <f>ROW(TAB_Offres[[#This Row],[Reference]])-ROW(TAB_Offres[[#Headers],[ID]])</f>
        <v>278</v>
      </c>
      <c r="B279" s="258"/>
      <c r="C279" s="258"/>
      <c r="D279" s="258"/>
      <c r="E279" s="263"/>
      <c r="F279" s="258"/>
      <c r="G279" s="263"/>
      <c r="H279" s="262"/>
      <c r="I279" s="262"/>
      <c r="J279" s="262"/>
      <c r="K279" s="262"/>
      <c r="L279" s="262"/>
      <c r="M279" s="264"/>
      <c r="N279" s="262"/>
      <c r="O279" s="262"/>
      <c r="P279" s="262"/>
      <c r="Q279" s="263"/>
      <c r="R279" s="263"/>
      <c r="S279" s="292"/>
      <c r="T279" s="261"/>
      <c r="U279" s="261"/>
      <c r="V279" s="268"/>
      <c r="W279" s="268"/>
      <c r="X279" s="268"/>
      <c r="Y279" s="268"/>
      <c r="Z279" s="471">
        <f>SUMIF(TAB_CS[Reference],TAB_Offres[[#This Row],[Reference]],TAB_CS[Commited days])</f>
        <v>0</v>
      </c>
      <c r="AA279" s="269">
        <f>SUMIF(TAB_CS[Reference],TAB_Offres[[#This Row],[Reference]],TAB_CS[Commited amount])</f>
        <v>0</v>
      </c>
      <c r="AB279" s="275"/>
      <c r="AC279" s="270"/>
      <c r="AD279" s="270"/>
      <c r="AE279" s="264"/>
      <c r="AF279" s="271"/>
      <c r="AG279" s="278"/>
      <c r="AH279" s="277" t="str">
        <f>CONCATENATE(YEAR(TAB_Offres[[#This Row],[Request date ]]),"-",MONTH(TAB_Offres[[#This Row],[Request date ]]))</f>
        <v>1900-1</v>
      </c>
      <c r="AI279" s="274" t="e">
        <f>IF(#REF!,1,0)</f>
        <v>#REF!</v>
      </c>
      <c r="AJ279" s="4"/>
      <c r="AK279" s="4"/>
      <c r="AL279" s="4"/>
      <c r="AN279" s="150"/>
      <c r="AQ279" s="4"/>
    </row>
    <row r="280" spans="1:43" x14ac:dyDescent="0.25">
      <c r="A280" s="258">
        <f>ROW(TAB_Offres[[#This Row],[Reference]])-ROW(TAB_Offres[[#Headers],[ID]])</f>
        <v>279</v>
      </c>
      <c r="B280" s="258"/>
      <c r="C280" s="258"/>
      <c r="D280" s="258"/>
      <c r="E280" s="263"/>
      <c r="F280" s="258"/>
      <c r="G280" s="263"/>
      <c r="H280" s="262"/>
      <c r="I280" s="262"/>
      <c r="J280" s="262"/>
      <c r="K280" s="262"/>
      <c r="L280" s="262"/>
      <c r="M280" s="264"/>
      <c r="N280" s="262"/>
      <c r="O280" s="262"/>
      <c r="P280" s="262"/>
      <c r="Q280" s="263"/>
      <c r="R280" s="263"/>
      <c r="S280" s="292"/>
      <c r="T280" s="261"/>
      <c r="U280" s="261"/>
      <c r="V280" s="268"/>
      <c r="W280" s="268"/>
      <c r="X280" s="268"/>
      <c r="Y280" s="268"/>
      <c r="Z280" s="471">
        <f>SUMIF(TAB_CS[Reference],TAB_Offres[[#This Row],[Reference]],TAB_CS[Commited days])</f>
        <v>0</v>
      </c>
      <c r="AA280" s="269">
        <f>SUMIF(TAB_CS[Reference],TAB_Offres[[#This Row],[Reference]],TAB_CS[Commited amount])</f>
        <v>0</v>
      </c>
      <c r="AB280" s="275"/>
      <c r="AC280" s="270"/>
      <c r="AD280" s="270"/>
      <c r="AE280" s="264"/>
      <c r="AF280" s="271"/>
      <c r="AG280" s="278"/>
      <c r="AH280" s="277" t="str">
        <f>CONCATENATE(YEAR(TAB_Offres[[#This Row],[Request date ]]),"-",MONTH(TAB_Offres[[#This Row],[Request date ]]))</f>
        <v>1900-1</v>
      </c>
      <c r="AI280" s="274" t="e">
        <f>IF(#REF!,1,0)</f>
        <v>#REF!</v>
      </c>
      <c r="AJ280" s="4"/>
      <c r="AK280" s="4"/>
      <c r="AL280" s="4"/>
      <c r="AN280" s="150"/>
      <c r="AQ280" s="4"/>
    </row>
    <row r="281" spans="1:43" x14ac:dyDescent="0.25">
      <c r="A281" s="258">
        <f>ROW(TAB_Offres[[#This Row],[Reference]])-ROW(TAB_Offres[[#Headers],[ID]])</f>
        <v>280</v>
      </c>
      <c r="B281" s="258"/>
      <c r="C281" s="258"/>
      <c r="D281" s="258"/>
      <c r="E281" s="263"/>
      <c r="F281" s="258"/>
      <c r="G281" s="263"/>
      <c r="H281" s="262"/>
      <c r="I281" s="262"/>
      <c r="J281" s="262"/>
      <c r="K281" s="262"/>
      <c r="L281" s="262"/>
      <c r="M281" s="264"/>
      <c r="N281" s="262"/>
      <c r="O281" s="262"/>
      <c r="P281" s="262"/>
      <c r="Q281" s="263"/>
      <c r="R281" s="263"/>
      <c r="S281" s="292"/>
      <c r="T281" s="261"/>
      <c r="U281" s="261"/>
      <c r="V281" s="268"/>
      <c r="W281" s="268"/>
      <c r="X281" s="268"/>
      <c r="Y281" s="268"/>
      <c r="Z281" s="471">
        <f>SUMIF(TAB_CS[Reference],TAB_Offres[[#This Row],[Reference]],TAB_CS[Commited days])</f>
        <v>0</v>
      </c>
      <c r="AA281" s="269">
        <f>SUMIF(TAB_CS[Reference],TAB_Offres[[#This Row],[Reference]],TAB_CS[Commited amount])</f>
        <v>0</v>
      </c>
      <c r="AB281" s="275"/>
      <c r="AC281" s="270"/>
      <c r="AD281" s="270"/>
      <c r="AE281" s="264"/>
      <c r="AF281" s="271"/>
      <c r="AG281" s="278"/>
      <c r="AH281" s="277" t="str">
        <f>CONCATENATE(YEAR(TAB_Offres[[#This Row],[Request date ]]),"-",MONTH(TAB_Offres[[#This Row],[Request date ]]))</f>
        <v>1900-1</v>
      </c>
      <c r="AI281" s="274" t="e">
        <f>IF(#REF!,1,0)</f>
        <v>#REF!</v>
      </c>
      <c r="AJ281" s="4"/>
      <c r="AK281" s="4"/>
      <c r="AL281" s="4"/>
      <c r="AN281" s="150"/>
      <c r="AQ281" s="4"/>
    </row>
    <row r="282" spans="1:43" x14ac:dyDescent="0.25">
      <c r="A282" s="258">
        <f>ROW(TAB_Offres[[#This Row],[Reference]])-ROW(TAB_Offres[[#Headers],[ID]])</f>
        <v>281</v>
      </c>
      <c r="B282" s="258"/>
      <c r="C282" s="258"/>
      <c r="D282" s="258"/>
      <c r="E282" s="263"/>
      <c r="F282" s="258"/>
      <c r="G282" s="263"/>
      <c r="H282" s="262"/>
      <c r="I282" s="262"/>
      <c r="J282" s="262"/>
      <c r="K282" s="262"/>
      <c r="L282" s="262"/>
      <c r="M282" s="264"/>
      <c r="N282" s="262"/>
      <c r="O282" s="262"/>
      <c r="P282" s="262"/>
      <c r="Q282" s="263"/>
      <c r="R282" s="263"/>
      <c r="S282" s="292"/>
      <c r="T282" s="261"/>
      <c r="U282" s="261"/>
      <c r="V282" s="268"/>
      <c r="W282" s="268"/>
      <c r="X282" s="268"/>
      <c r="Y282" s="268"/>
      <c r="Z282" s="471">
        <f>SUMIF(TAB_CS[Reference],TAB_Offres[[#This Row],[Reference]],TAB_CS[Commited days])</f>
        <v>0</v>
      </c>
      <c r="AA282" s="269">
        <f>SUMIF(TAB_CS[Reference],TAB_Offres[[#This Row],[Reference]],TAB_CS[Commited amount])</f>
        <v>0</v>
      </c>
      <c r="AB282" s="275"/>
      <c r="AC282" s="270"/>
      <c r="AD282" s="270"/>
      <c r="AE282" s="264"/>
      <c r="AF282" s="271"/>
      <c r="AG282" s="278"/>
      <c r="AH282" s="277" t="str">
        <f>CONCATENATE(YEAR(TAB_Offres[[#This Row],[Request date ]]),"-",MONTH(TAB_Offres[[#This Row],[Request date ]]))</f>
        <v>1900-1</v>
      </c>
      <c r="AI282" s="274" t="e">
        <f>IF(#REF!,1,0)</f>
        <v>#REF!</v>
      </c>
      <c r="AJ282" s="4"/>
      <c r="AK282" s="4"/>
      <c r="AL282" s="4"/>
      <c r="AN282" s="150"/>
      <c r="AQ282" s="4"/>
    </row>
    <row r="283" spans="1:43" x14ac:dyDescent="0.25">
      <c r="A283" s="258">
        <f>ROW(TAB_Offres[[#This Row],[Reference]])-ROW(TAB_Offres[[#Headers],[ID]])</f>
        <v>282</v>
      </c>
      <c r="B283" s="258"/>
      <c r="C283" s="258"/>
      <c r="D283" s="258"/>
      <c r="E283" s="263"/>
      <c r="F283" s="258"/>
      <c r="G283" s="263"/>
      <c r="H283" s="262"/>
      <c r="I283" s="262"/>
      <c r="J283" s="262"/>
      <c r="K283" s="262"/>
      <c r="L283" s="262"/>
      <c r="M283" s="264"/>
      <c r="N283" s="262"/>
      <c r="O283" s="262"/>
      <c r="P283" s="262"/>
      <c r="Q283" s="263"/>
      <c r="R283" s="263"/>
      <c r="S283" s="292"/>
      <c r="T283" s="261"/>
      <c r="U283" s="261"/>
      <c r="V283" s="268"/>
      <c r="W283" s="268"/>
      <c r="X283" s="268"/>
      <c r="Y283" s="268"/>
      <c r="Z283" s="471">
        <f>SUMIF(TAB_CS[Reference],TAB_Offres[[#This Row],[Reference]],TAB_CS[Commited days])</f>
        <v>0</v>
      </c>
      <c r="AA283" s="269">
        <f>SUMIF(TAB_CS[Reference],TAB_Offres[[#This Row],[Reference]],TAB_CS[Commited amount])</f>
        <v>0</v>
      </c>
      <c r="AB283" s="275"/>
      <c r="AC283" s="270"/>
      <c r="AD283" s="270"/>
      <c r="AE283" s="264"/>
      <c r="AF283" s="271"/>
      <c r="AG283" s="278"/>
      <c r="AH283" s="277" t="str">
        <f>CONCATENATE(YEAR(TAB_Offres[[#This Row],[Request date ]]),"-",MONTH(TAB_Offres[[#This Row],[Request date ]]))</f>
        <v>1900-1</v>
      </c>
      <c r="AI283" s="274" t="e">
        <f>IF(#REF!,1,0)</f>
        <v>#REF!</v>
      </c>
      <c r="AJ283" s="4"/>
      <c r="AK283" s="4"/>
      <c r="AL283" s="4"/>
      <c r="AN283" s="150"/>
      <c r="AQ283" s="4"/>
    </row>
    <row r="284" spans="1:43" x14ac:dyDescent="0.25">
      <c r="A284" s="258">
        <f>ROW(TAB_Offres[[#This Row],[Reference]])-ROW(TAB_Offres[[#Headers],[ID]])</f>
        <v>283</v>
      </c>
      <c r="B284" s="258"/>
      <c r="C284" s="258"/>
      <c r="D284" s="258"/>
      <c r="E284" s="263"/>
      <c r="F284" s="258"/>
      <c r="G284" s="263"/>
      <c r="H284" s="262"/>
      <c r="I284" s="262"/>
      <c r="J284" s="262"/>
      <c r="K284" s="262"/>
      <c r="L284" s="262"/>
      <c r="M284" s="264"/>
      <c r="N284" s="262"/>
      <c r="O284" s="262"/>
      <c r="P284" s="262"/>
      <c r="Q284" s="263"/>
      <c r="R284" s="263"/>
      <c r="S284" s="292"/>
      <c r="T284" s="261"/>
      <c r="U284" s="261"/>
      <c r="V284" s="268"/>
      <c r="W284" s="268"/>
      <c r="X284" s="268"/>
      <c r="Y284" s="268"/>
      <c r="Z284" s="471">
        <f>SUMIF(TAB_CS[Reference],TAB_Offres[[#This Row],[Reference]],TAB_CS[Commited days])</f>
        <v>0</v>
      </c>
      <c r="AA284" s="269">
        <f>SUMIF(TAB_CS[Reference],TAB_Offres[[#This Row],[Reference]],TAB_CS[Commited amount])</f>
        <v>0</v>
      </c>
      <c r="AB284" s="275"/>
      <c r="AC284" s="270"/>
      <c r="AD284" s="270"/>
      <c r="AE284" s="264"/>
      <c r="AF284" s="271"/>
      <c r="AG284" s="278"/>
      <c r="AH284" s="277" t="str">
        <f>CONCATENATE(YEAR(TAB_Offres[[#This Row],[Request date ]]),"-",MONTH(TAB_Offres[[#This Row],[Request date ]]))</f>
        <v>1900-1</v>
      </c>
      <c r="AI284" s="274" t="e">
        <f>IF(#REF!,1,0)</f>
        <v>#REF!</v>
      </c>
      <c r="AJ284" s="4"/>
      <c r="AK284" s="4"/>
      <c r="AL284" s="4"/>
      <c r="AN284" s="150"/>
      <c r="AQ284" s="4"/>
    </row>
    <row r="285" spans="1:43" x14ac:dyDescent="0.25">
      <c r="A285" s="258">
        <f>ROW(TAB_Offres[[#This Row],[Reference]])-ROW(TAB_Offres[[#Headers],[ID]])</f>
        <v>284</v>
      </c>
      <c r="B285" s="258"/>
      <c r="C285" s="258"/>
      <c r="D285" s="258"/>
      <c r="E285" s="263"/>
      <c r="F285" s="258"/>
      <c r="G285" s="263"/>
      <c r="H285" s="262"/>
      <c r="I285" s="262"/>
      <c r="J285" s="262"/>
      <c r="K285" s="262"/>
      <c r="L285" s="262"/>
      <c r="M285" s="264"/>
      <c r="N285" s="262"/>
      <c r="O285" s="262"/>
      <c r="P285" s="262"/>
      <c r="Q285" s="263"/>
      <c r="R285" s="263"/>
      <c r="S285" s="292"/>
      <c r="T285" s="261"/>
      <c r="U285" s="261"/>
      <c r="V285" s="268"/>
      <c r="W285" s="268"/>
      <c r="X285" s="268"/>
      <c r="Y285" s="268"/>
      <c r="Z285" s="471">
        <f>SUMIF(TAB_CS[Reference],TAB_Offres[[#This Row],[Reference]],TAB_CS[Commited days])</f>
        <v>0</v>
      </c>
      <c r="AA285" s="269">
        <f>SUMIF(TAB_CS[Reference],TAB_Offres[[#This Row],[Reference]],TAB_CS[Commited amount])</f>
        <v>0</v>
      </c>
      <c r="AB285" s="275"/>
      <c r="AC285" s="270"/>
      <c r="AD285" s="270"/>
      <c r="AE285" s="264"/>
      <c r="AF285" s="271"/>
      <c r="AG285" s="278"/>
      <c r="AH285" s="277" t="str">
        <f>CONCATENATE(YEAR(TAB_Offres[[#This Row],[Request date ]]),"-",MONTH(TAB_Offres[[#This Row],[Request date ]]))</f>
        <v>1900-1</v>
      </c>
      <c r="AI285" s="274" t="e">
        <f>IF(#REF!,1,0)</f>
        <v>#REF!</v>
      </c>
      <c r="AJ285" s="4"/>
      <c r="AK285" s="4"/>
      <c r="AL285" s="4"/>
      <c r="AN285" s="150"/>
      <c r="AQ285" s="4"/>
    </row>
    <row r="286" spans="1:43" x14ac:dyDescent="0.25">
      <c r="A286" s="258">
        <f>ROW(TAB_Offres[[#This Row],[Reference]])-ROW(TAB_Offres[[#Headers],[ID]])</f>
        <v>285</v>
      </c>
      <c r="B286" s="258"/>
      <c r="C286" s="258"/>
      <c r="D286" s="258"/>
      <c r="E286" s="263"/>
      <c r="F286" s="258"/>
      <c r="G286" s="263"/>
      <c r="H286" s="262"/>
      <c r="I286" s="262"/>
      <c r="J286" s="262"/>
      <c r="K286" s="262"/>
      <c r="L286" s="262"/>
      <c r="M286" s="264"/>
      <c r="N286" s="262"/>
      <c r="O286" s="262"/>
      <c r="P286" s="262"/>
      <c r="Q286" s="263"/>
      <c r="R286" s="263"/>
      <c r="S286" s="292"/>
      <c r="T286" s="261"/>
      <c r="U286" s="261"/>
      <c r="V286" s="268"/>
      <c r="W286" s="268"/>
      <c r="X286" s="268"/>
      <c r="Y286" s="268"/>
      <c r="Z286" s="471">
        <f>SUMIF(TAB_CS[Reference],TAB_Offres[[#This Row],[Reference]],TAB_CS[Commited days])</f>
        <v>0</v>
      </c>
      <c r="AA286" s="269">
        <f>SUMIF(TAB_CS[Reference],TAB_Offres[[#This Row],[Reference]],TAB_CS[Commited amount])</f>
        <v>0</v>
      </c>
      <c r="AB286" s="275"/>
      <c r="AC286" s="270"/>
      <c r="AD286" s="270"/>
      <c r="AE286" s="264"/>
      <c r="AF286" s="271"/>
      <c r="AG286" s="278"/>
      <c r="AH286" s="277" t="str">
        <f>CONCATENATE(YEAR(TAB_Offres[[#This Row],[Request date ]]),"-",MONTH(TAB_Offres[[#This Row],[Request date ]]))</f>
        <v>1900-1</v>
      </c>
      <c r="AI286" s="274" t="e">
        <f>IF(#REF!,1,0)</f>
        <v>#REF!</v>
      </c>
      <c r="AJ286" s="4"/>
      <c r="AK286" s="4"/>
      <c r="AL286" s="4"/>
      <c r="AN286" s="150"/>
      <c r="AQ286" s="4"/>
    </row>
    <row r="287" spans="1:43" x14ac:dyDescent="0.25">
      <c r="A287" s="258">
        <f>ROW(TAB_Offres[[#This Row],[Reference]])-ROW(TAB_Offres[[#Headers],[ID]])</f>
        <v>286</v>
      </c>
      <c r="B287" s="258"/>
      <c r="C287" s="258"/>
      <c r="D287" s="258"/>
      <c r="E287" s="263"/>
      <c r="F287" s="258"/>
      <c r="G287" s="263"/>
      <c r="H287" s="262"/>
      <c r="I287" s="262"/>
      <c r="J287" s="262"/>
      <c r="K287" s="262"/>
      <c r="L287" s="262"/>
      <c r="M287" s="264"/>
      <c r="N287" s="262"/>
      <c r="O287" s="262"/>
      <c r="P287" s="262"/>
      <c r="Q287" s="263"/>
      <c r="R287" s="263"/>
      <c r="S287" s="292"/>
      <c r="T287" s="261"/>
      <c r="U287" s="261"/>
      <c r="V287" s="268"/>
      <c r="W287" s="268"/>
      <c r="X287" s="268"/>
      <c r="Y287" s="268"/>
      <c r="Z287" s="471">
        <f>SUMIF(TAB_CS[Reference],TAB_Offres[[#This Row],[Reference]],TAB_CS[Commited days])</f>
        <v>0</v>
      </c>
      <c r="AA287" s="269">
        <f>SUMIF(TAB_CS[Reference],TAB_Offres[[#This Row],[Reference]],TAB_CS[Commited amount])</f>
        <v>0</v>
      </c>
      <c r="AB287" s="275"/>
      <c r="AC287" s="270"/>
      <c r="AD287" s="270"/>
      <c r="AE287" s="264"/>
      <c r="AF287" s="271"/>
      <c r="AG287" s="278"/>
      <c r="AH287" s="277" t="str">
        <f>CONCATENATE(YEAR(TAB_Offres[[#This Row],[Request date ]]),"-",MONTH(TAB_Offres[[#This Row],[Request date ]]))</f>
        <v>1900-1</v>
      </c>
      <c r="AI287" s="274" t="e">
        <f>IF(#REF!,1,0)</f>
        <v>#REF!</v>
      </c>
      <c r="AJ287" s="4"/>
      <c r="AK287" s="4"/>
      <c r="AL287" s="4"/>
      <c r="AN287" s="150"/>
      <c r="AQ287" s="4"/>
    </row>
    <row r="288" spans="1:43" x14ac:dyDescent="0.25">
      <c r="A288" s="258">
        <f>ROW(TAB_Offres[[#This Row],[Reference]])-ROW(TAB_Offres[[#Headers],[ID]])</f>
        <v>287</v>
      </c>
      <c r="B288" s="258"/>
      <c r="C288" s="258"/>
      <c r="D288" s="258"/>
      <c r="E288" s="263"/>
      <c r="F288" s="258"/>
      <c r="G288" s="263"/>
      <c r="H288" s="262"/>
      <c r="I288" s="262"/>
      <c r="J288" s="262"/>
      <c r="K288" s="262"/>
      <c r="L288" s="262"/>
      <c r="M288" s="264"/>
      <c r="N288" s="262"/>
      <c r="O288" s="262"/>
      <c r="P288" s="262"/>
      <c r="Q288" s="263"/>
      <c r="R288" s="263"/>
      <c r="S288" s="292"/>
      <c r="T288" s="261"/>
      <c r="U288" s="261"/>
      <c r="V288" s="268"/>
      <c r="W288" s="268"/>
      <c r="X288" s="268"/>
      <c r="Y288" s="268"/>
      <c r="Z288" s="471">
        <f>SUMIF(TAB_CS[Reference],TAB_Offres[[#This Row],[Reference]],TAB_CS[Commited days])</f>
        <v>0</v>
      </c>
      <c r="AA288" s="269">
        <f>SUMIF(TAB_CS[Reference],TAB_Offres[[#This Row],[Reference]],TAB_CS[Commited amount])</f>
        <v>0</v>
      </c>
      <c r="AB288" s="275"/>
      <c r="AC288" s="270"/>
      <c r="AD288" s="270"/>
      <c r="AE288" s="264"/>
      <c r="AF288" s="271"/>
      <c r="AG288" s="278"/>
      <c r="AH288" s="277" t="str">
        <f>CONCATENATE(YEAR(TAB_Offres[[#This Row],[Request date ]]),"-",MONTH(TAB_Offres[[#This Row],[Request date ]]))</f>
        <v>1900-1</v>
      </c>
      <c r="AI288" s="274" t="e">
        <f>IF(#REF!,1,0)</f>
        <v>#REF!</v>
      </c>
      <c r="AJ288" s="4"/>
      <c r="AK288" s="4"/>
      <c r="AL288" s="4"/>
      <c r="AN288" s="150"/>
      <c r="AQ288" s="4"/>
    </row>
    <row r="289" spans="1:43" x14ac:dyDescent="0.25">
      <c r="A289" s="258">
        <f>ROW(TAB_Offres[[#This Row],[Reference]])-ROW(TAB_Offres[[#Headers],[ID]])</f>
        <v>288</v>
      </c>
      <c r="B289" s="258"/>
      <c r="C289" s="258"/>
      <c r="D289" s="258"/>
      <c r="E289" s="263"/>
      <c r="F289" s="258"/>
      <c r="G289" s="263"/>
      <c r="H289" s="262"/>
      <c r="I289" s="262"/>
      <c r="J289" s="262"/>
      <c r="K289" s="262"/>
      <c r="L289" s="262"/>
      <c r="M289" s="264"/>
      <c r="N289" s="262"/>
      <c r="O289" s="262"/>
      <c r="P289" s="262"/>
      <c r="Q289" s="263"/>
      <c r="R289" s="263"/>
      <c r="S289" s="292"/>
      <c r="T289" s="261"/>
      <c r="U289" s="261"/>
      <c r="V289" s="268"/>
      <c r="W289" s="268"/>
      <c r="X289" s="268"/>
      <c r="Y289" s="268"/>
      <c r="Z289" s="471">
        <f>SUMIF(TAB_CS[Reference],TAB_Offres[[#This Row],[Reference]],TAB_CS[Commited days])</f>
        <v>0</v>
      </c>
      <c r="AA289" s="269">
        <f>SUMIF(TAB_CS[Reference],TAB_Offres[[#This Row],[Reference]],TAB_CS[Commited amount])</f>
        <v>0</v>
      </c>
      <c r="AB289" s="275"/>
      <c r="AC289" s="270"/>
      <c r="AD289" s="270"/>
      <c r="AE289" s="264"/>
      <c r="AF289" s="271"/>
      <c r="AG289" s="278"/>
      <c r="AH289" s="277" t="str">
        <f>CONCATENATE(YEAR(TAB_Offres[[#This Row],[Request date ]]),"-",MONTH(TAB_Offres[[#This Row],[Request date ]]))</f>
        <v>1900-1</v>
      </c>
      <c r="AI289" s="274" t="e">
        <f>IF(#REF!,1,0)</f>
        <v>#REF!</v>
      </c>
      <c r="AJ289" s="4"/>
      <c r="AK289" s="4"/>
      <c r="AL289" s="4"/>
      <c r="AN289" s="150"/>
      <c r="AQ289" s="4"/>
    </row>
    <row r="290" spans="1:43" x14ac:dyDescent="0.25">
      <c r="A290" s="258">
        <f>ROW(TAB_Offres[[#This Row],[Reference]])-ROW(TAB_Offres[[#Headers],[ID]])</f>
        <v>289</v>
      </c>
      <c r="B290" s="258"/>
      <c r="C290" s="258"/>
      <c r="D290" s="258"/>
      <c r="E290" s="263"/>
      <c r="F290" s="258"/>
      <c r="G290" s="263"/>
      <c r="H290" s="262"/>
      <c r="I290" s="262"/>
      <c r="J290" s="262"/>
      <c r="K290" s="262"/>
      <c r="L290" s="262"/>
      <c r="M290" s="264"/>
      <c r="N290" s="262"/>
      <c r="O290" s="262"/>
      <c r="P290" s="262"/>
      <c r="Q290" s="263"/>
      <c r="R290" s="263"/>
      <c r="S290" s="292"/>
      <c r="T290" s="261"/>
      <c r="U290" s="261"/>
      <c r="V290" s="268"/>
      <c r="W290" s="268"/>
      <c r="X290" s="268"/>
      <c r="Y290" s="268"/>
      <c r="Z290" s="471">
        <f>SUMIF(TAB_CS[Reference],TAB_Offres[[#This Row],[Reference]],TAB_CS[Commited days])</f>
        <v>0</v>
      </c>
      <c r="AA290" s="269">
        <f>SUMIF(TAB_CS[Reference],TAB_Offres[[#This Row],[Reference]],TAB_CS[Commited amount])</f>
        <v>0</v>
      </c>
      <c r="AB290" s="275"/>
      <c r="AC290" s="270"/>
      <c r="AD290" s="270"/>
      <c r="AE290" s="264"/>
      <c r="AF290" s="271"/>
      <c r="AG290" s="278"/>
      <c r="AH290" s="277" t="str">
        <f>CONCATENATE(YEAR(TAB_Offres[[#This Row],[Request date ]]),"-",MONTH(TAB_Offres[[#This Row],[Request date ]]))</f>
        <v>1900-1</v>
      </c>
      <c r="AI290" s="274" t="e">
        <f>IF(#REF!,1,0)</f>
        <v>#REF!</v>
      </c>
      <c r="AJ290" s="4"/>
      <c r="AK290" s="4"/>
      <c r="AL290" s="4"/>
      <c r="AN290" s="150"/>
      <c r="AQ290" s="4"/>
    </row>
    <row r="291" spans="1:43" x14ac:dyDescent="0.25">
      <c r="A291" s="258">
        <f>ROW(TAB_Offres[[#This Row],[Reference]])-ROW(TAB_Offres[[#Headers],[ID]])</f>
        <v>290</v>
      </c>
      <c r="B291" s="258"/>
      <c r="C291" s="258"/>
      <c r="D291" s="258"/>
      <c r="E291" s="263"/>
      <c r="F291" s="258"/>
      <c r="G291" s="263"/>
      <c r="H291" s="262"/>
      <c r="I291" s="262"/>
      <c r="J291" s="262"/>
      <c r="K291" s="262"/>
      <c r="L291" s="262"/>
      <c r="M291" s="264"/>
      <c r="N291" s="262"/>
      <c r="O291" s="262"/>
      <c r="P291" s="262"/>
      <c r="Q291" s="263"/>
      <c r="R291" s="263"/>
      <c r="S291" s="292"/>
      <c r="T291" s="261"/>
      <c r="U291" s="261"/>
      <c r="V291" s="268"/>
      <c r="W291" s="268"/>
      <c r="X291" s="268"/>
      <c r="Y291" s="268"/>
      <c r="Z291" s="471">
        <f>SUMIF(TAB_CS[Reference],TAB_Offres[[#This Row],[Reference]],TAB_CS[Commited days])</f>
        <v>0</v>
      </c>
      <c r="AA291" s="269">
        <f>SUMIF(TAB_CS[Reference],TAB_Offres[[#This Row],[Reference]],TAB_CS[Commited amount])</f>
        <v>0</v>
      </c>
      <c r="AB291" s="275"/>
      <c r="AC291" s="270"/>
      <c r="AD291" s="270"/>
      <c r="AE291" s="264"/>
      <c r="AF291" s="271"/>
      <c r="AG291" s="278"/>
      <c r="AH291" s="277" t="str">
        <f>CONCATENATE(YEAR(TAB_Offres[[#This Row],[Request date ]]),"-",MONTH(TAB_Offres[[#This Row],[Request date ]]))</f>
        <v>1900-1</v>
      </c>
      <c r="AI291" s="274" t="e">
        <f>IF(#REF!,1,0)</f>
        <v>#REF!</v>
      </c>
      <c r="AJ291" s="4"/>
      <c r="AK291" s="4"/>
      <c r="AL291" s="4"/>
      <c r="AN291" s="150"/>
      <c r="AQ291" s="4"/>
    </row>
    <row r="292" spans="1:43" x14ac:dyDescent="0.25">
      <c r="A292" s="258">
        <f>ROW(TAB_Offres[[#This Row],[Reference]])-ROW(TAB_Offres[[#Headers],[ID]])</f>
        <v>291</v>
      </c>
      <c r="B292" s="258"/>
      <c r="C292" s="258"/>
      <c r="D292" s="258"/>
      <c r="E292" s="263"/>
      <c r="F292" s="258"/>
      <c r="G292" s="263"/>
      <c r="H292" s="262"/>
      <c r="I292" s="262"/>
      <c r="J292" s="262"/>
      <c r="K292" s="262"/>
      <c r="L292" s="262"/>
      <c r="M292" s="264"/>
      <c r="N292" s="262"/>
      <c r="O292" s="262"/>
      <c r="P292" s="262"/>
      <c r="Q292" s="263"/>
      <c r="R292" s="263"/>
      <c r="S292" s="292"/>
      <c r="T292" s="261"/>
      <c r="U292" s="261"/>
      <c r="V292" s="268"/>
      <c r="W292" s="268"/>
      <c r="X292" s="268"/>
      <c r="Y292" s="268"/>
      <c r="Z292" s="471">
        <f>SUMIF(TAB_CS[Reference],TAB_Offres[[#This Row],[Reference]],TAB_CS[Commited days])</f>
        <v>0</v>
      </c>
      <c r="AA292" s="269">
        <f>SUMIF(TAB_CS[Reference],TAB_Offres[[#This Row],[Reference]],TAB_CS[Commited amount])</f>
        <v>0</v>
      </c>
      <c r="AB292" s="275"/>
      <c r="AC292" s="270"/>
      <c r="AD292" s="270"/>
      <c r="AE292" s="264"/>
      <c r="AF292" s="271"/>
      <c r="AG292" s="278"/>
      <c r="AH292" s="277" t="str">
        <f>CONCATENATE(YEAR(TAB_Offres[[#This Row],[Request date ]]),"-",MONTH(TAB_Offres[[#This Row],[Request date ]]))</f>
        <v>1900-1</v>
      </c>
      <c r="AI292" s="274" t="e">
        <f>IF(#REF!,1,0)</f>
        <v>#REF!</v>
      </c>
      <c r="AJ292" s="4"/>
      <c r="AK292" s="4"/>
      <c r="AL292" s="4"/>
      <c r="AN292" s="150"/>
      <c r="AQ292" s="4"/>
    </row>
    <row r="293" spans="1:43" x14ac:dyDescent="0.25">
      <c r="A293" s="258">
        <f>ROW(TAB_Offres[[#This Row],[Reference]])-ROW(TAB_Offres[[#Headers],[ID]])</f>
        <v>292</v>
      </c>
      <c r="B293" s="258"/>
      <c r="C293" s="258"/>
      <c r="D293" s="258"/>
      <c r="E293" s="263"/>
      <c r="F293" s="258"/>
      <c r="G293" s="263"/>
      <c r="H293" s="262"/>
      <c r="I293" s="262"/>
      <c r="J293" s="262"/>
      <c r="K293" s="262"/>
      <c r="L293" s="262"/>
      <c r="M293" s="264"/>
      <c r="N293" s="262"/>
      <c r="O293" s="262"/>
      <c r="P293" s="262"/>
      <c r="Q293" s="263"/>
      <c r="R293" s="263"/>
      <c r="S293" s="292"/>
      <c r="T293" s="261"/>
      <c r="U293" s="261"/>
      <c r="V293" s="268"/>
      <c r="W293" s="268"/>
      <c r="X293" s="268"/>
      <c r="Y293" s="268"/>
      <c r="Z293" s="471">
        <f>SUMIF(TAB_CS[Reference],TAB_Offres[[#This Row],[Reference]],TAB_CS[Commited days])</f>
        <v>0</v>
      </c>
      <c r="AA293" s="269">
        <f>SUMIF(TAB_CS[Reference],TAB_Offres[[#This Row],[Reference]],TAB_CS[Commited amount])</f>
        <v>0</v>
      </c>
      <c r="AB293" s="275"/>
      <c r="AC293" s="270"/>
      <c r="AD293" s="270"/>
      <c r="AE293" s="264"/>
      <c r="AF293" s="271"/>
      <c r="AG293" s="278"/>
      <c r="AH293" s="277" t="str">
        <f>CONCATENATE(YEAR(TAB_Offres[[#This Row],[Request date ]]),"-",MONTH(TAB_Offres[[#This Row],[Request date ]]))</f>
        <v>1900-1</v>
      </c>
      <c r="AI293" s="274" t="e">
        <f>IF(#REF!,1,0)</f>
        <v>#REF!</v>
      </c>
      <c r="AJ293" s="4"/>
      <c r="AK293" s="4"/>
      <c r="AL293" s="4"/>
      <c r="AN293" s="150"/>
      <c r="AQ293" s="4"/>
    </row>
    <row r="294" spans="1:43" x14ac:dyDescent="0.25">
      <c r="A294" s="258">
        <f>ROW(TAB_Offres[[#This Row],[Reference]])-ROW(TAB_Offres[[#Headers],[ID]])</f>
        <v>293</v>
      </c>
      <c r="B294" s="258"/>
      <c r="C294" s="258"/>
      <c r="D294" s="258"/>
      <c r="E294" s="263"/>
      <c r="F294" s="258"/>
      <c r="G294" s="263"/>
      <c r="H294" s="262"/>
      <c r="I294" s="262"/>
      <c r="J294" s="262"/>
      <c r="K294" s="262"/>
      <c r="L294" s="262"/>
      <c r="M294" s="264"/>
      <c r="N294" s="262"/>
      <c r="O294" s="262"/>
      <c r="P294" s="262"/>
      <c r="Q294" s="263"/>
      <c r="R294" s="263"/>
      <c r="S294" s="292"/>
      <c r="T294" s="261"/>
      <c r="U294" s="261"/>
      <c r="V294" s="268"/>
      <c r="W294" s="268"/>
      <c r="X294" s="268"/>
      <c r="Y294" s="268"/>
      <c r="Z294" s="471">
        <f>SUMIF(TAB_CS[Reference],TAB_Offres[[#This Row],[Reference]],TAB_CS[Commited days])</f>
        <v>0</v>
      </c>
      <c r="AA294" s="269">
        <f>SUMIF(TAB_CS[Reference],TAB_Offres[[#This Row],[Reference]],TAB_CS[Commited amount])</f>
        <v>0</v>
      </c>
      <c r="AB294" s="275"/>
      <c r="AC294" s="270"/>
      <c r="AD294" s="270"/>
      <c r="AE294" s="264"/>
      <c r="AF294" s="271"/>
      <c r="AG294" s="278"/>
      <c r="AH294" s="277" t="str">
        <f>CONCATENATE(YEAR(TAB_Offres[[#This Row],[Request date ]]),"-",MONTH(TAB_Offres[[#This Row],[Request date ]]))</f>
        <v>1900-1</v>
      </c>
      <c r="AI294" s="274" t="e">
        <f>IF(#REF!,1,0)</f>
        <v>#REF!</v>
      </c>
      <c r="AJ294" s="4"/>
      <c r="AK294" s="4"/>
      <c r="AL294" s="4"/>
      <c r="AN294" s="150"/>
      <c r="AQ294" s="4"/>
    </row>
    <row r="295" spans="1:43" x14ac:dyDescent="0.25">
      <c r="A295" s="258">
        <f>ROW(TAB_Offres[[#This Row],[Reference]])-ROW(TAB_Offres[[#Headers],[ID]])</f>
        <v>294</v>
      </c>
      <c r="B295" s="258"/>
      <c r="C295" s="258"/>
      <c r="D295" s="258"/>
      <c r="E295" s="263"/>
      <c r="F295" s="258"/>
      <c r="G295" s="263"/>
      <c r="H295" s="262"/>
      <c r="I295" s="262"/>
      <c r="J295" s="262"/>
      <c r="K295" s="262"/>
      <c r="L295" s="262"/>
      <c r="M295" s="264"/>
      <c r="N295" s="262"/>
      <c r="O295" s="262"/>
      <c r="P295" s="262"/>
      <c r="Q295" s="263"/>
      <c r="R295" s="263"/>
      <c r="S295" s="292"/>
      <c r="T295" s="261"/>
      <c r="U295" s="261"/>
      <c r="V295" s="268"/>
      <c r="W295" s="268"/>
      <c r="X295" s="268"/>
      <c r="Y295" s="268"/>
      <c r="Z295" s="471">
        <f>SUMIF(TAB_CS[Reference],TAB_Offres[[#This Row],[Reference]],TAB_CS[Commited days])</f>
        <v>0</v>
      </c>
      <c r="AA295" s="269">
        <f>SUMIF(TAB_CS[Reference],TAB_Offres[[#This Row],[Reference]],TAB_CS[Commited amount])</f>
        <v>0</v>
      </c>
      <c r="AB295" s="275"/>
      <c r="AC295" s="270"/>
      <c r="AD295" s="270"/>
      <c r="AE295" s="264"/>
      <c r="AF295" s="271"/>
      <c r="AG295" s="278"/>
      <c r="AH295" s="277" t="str">
        <f>CONCATENATE(YEAR(TAB_Offres[[#This Row],[Request date ]]),"-",MONTH(TAB_Offres[[#This Row],[Request date ]]))</f>
        <v>1900-1</v>
      </c>
      <c r="AI295" s="274" t="e">
        <f>IF(#REF!,1,0)</f>
        <v>#REF!</v>
      </c>
      <c r="AJ295" s="4"/>
      <c r="AK295" s="4"/>
      <c r="AL295" s="4"/>
      <c r="AN295" s="150"/>
      <c r="AQ295" s="4"/>
    </row>
    <row r="296" spans="1:43" x14ac:dyDescent="0.25">
      <c r="A296" s="258">
        <f>ROW(TAB_Offres[[#This Row],[Reference]])-ROW(TAB_Offres[[#Headers],[ID]])</f>
        <v>295</v>
      </c>
      <c r="B296" s="258"/>
      <c r="C296" s="258"/>
      <c r="D296" s="258"/>
      <c r="E296" s="263"/>
      <c r="F296" s="258"/>
      <c r="G296" s="263"/>
      <c r="H296" s="262"/>
      <c r="I296" s="262"/>
      <c r="J296" s="262"/>
      <c r="K296" s="262"/>
      <c r="L296" s="262"/>
      <c r="M296" s="264"/>
      <c r="N296" s="262"/>
      <c r="O296" s="262"/>
      <c r="P296" s="262"/>
      <c r="Q296" s="263"/>
      <c r="R296" s="263"/>
      <c r="S296" s="292"/>
      <c r="T296" s="261"/>
      <c r="U296" s="261"/>
      <c r="V296" s="268"/>
      <c r="W296" s="268"/>
      <c r="X296" s="268"/>
      <c r="Y296" s="268"/>
      <c r="Z296" s="471">
        <f>SUMIF(TAB_CS[Reference],TAB_Offres[[#This Row],[Reference]],TAB_CS[Commited days])</f>
        <v>0</v>
      </c>
      <c r="AA296" s="269">
        <f>SUMIF(TAB_CS[Reference],TAB_Offres[[#This Row],[Reference]],TAB_CS[Commited amount])</f>
        <v>0</v>
      </c>
      <c r="AB296" s="275"/>
      <c r="AC296" s="270"/>
      <c r="AD296" s="270"/>
      <c r="AE296" s="264"/>
      <c r="AF296" s="271"/>
      <c r="AG296" s="278"/>
      <c r="AH296" s="277" t="str">
        <f>CONCATENATE(YEAR(TAB_Offres[[#This Row],[Request date ]]),"-",MONTH(TAB_Offres[[#This Row],[Request date ]]))</f>
        <v>1900-1</v>
      </c>
      <c r="AI296" s="274" t="e">
        <f>IF(#REF!,1,0)</f>
        <v>#REF!</v>
      </c>
      <c r="AJ296" s="4"/>
      <c r="AK296" s="4"/>
      <c r="AL296" s="4"/>
      <c r="AN296" s="150"/>
      <c r="AQ296" s="4"/>
    </row>
    <row r="297" spans="1:43" x14ac:dyDescent="0.25">
      <c r="A297" s="258">
        <f>ROW(TAB_Offres[[#This Row],[Reference]])-ROW(TAB_Offres[[#Headers],[ID]])</f>
        <v>296</v>
      </c>
      <c r="B297" s="258"/>
      <c r="C297" s="258"/>
      <c r="D297" s="258"/>
      <c r="E297" s="263"/>
      <c r="F297" s="258"/>
      <c r="G297" s="263"/>
      <c r="H297" s="262"/>
      <c r="I297" s="262"/>
      <c r="J297" s="262"/>
      <c r="K297" s="262"/>
      <c r="L297" s="262"/>
      <c r="M297" s="264"/>
      <c r="N297" s="262"/>
      <c r="O297" s="262"/>
      <c r="P297" s="262"/>
      <c r="Q297" s="263"/>
      <c r="R297" s="263"/>
      <c r="S297" s="292"/>
      <c r="T297" s="261"/>
      <c r="U297" s="261"/>
      <c r="V297" s="268"/>
      <c r="W297" s="268"/>
      <c r="X297" s="268"/>
      <c r="Y297" s="268"/>
      <c r="Z297" s="471">
        <f>SUMIF(TAB_CS[Reference],TAB_Offres[[#This Row],[Reference]],TAB_CS[Commited days])</f>
        <v>0</v>
      </c>
      <c r="AA297" s="269">
        <f>SUMIF(TAB_CS[Reference],TAB_Offres[[#This Row],[Reference]],TAB_CS[Commited amount])</f>
        <v>0</v>
      </c>
      <c r="AB297" s="275"/>
      <c r="AC297" s="270"/>
      <c r="AD297" s="270"/>
      <c r="AE297" s="264"/>
      <c r="AF297" s="271"/>
      <c r="AG297" s="278"/>
      <c r="AH297" s="277" t="str">
        <f>CONCATENATE(YEAR(TAB_Offres[[#This Row],[Request date ]]),"-",MONTH(TAB_Offres[[#This Row],[Request date ]]))</f>
        <v>1900-1</v>
      </c>
      <c r="AI297" s="274" t="e">
        <f>IF(#REF!,1,0)</f>
        <v>#REF!</v>
      </c>
      <c r="AJ297" s="4"/>
      <c r="AK297" s="4"/>
      <c r="AL297" s="4"/>
      <c r="AN297" s="150"/>
      <c r="AQ297" s="4"/>
    </row>
    <row r="298" spans="1:43" x14ac:dyDescent="0.25">
      <c r="A298" s="258">
        <f>ROW(TAB_Offres[[#This Row],[Reference]])-ROW(TAB_Offres[[#Headers],[ID]])</f>
        <v>297</v>
      </c>
      <c r="B298" s="258"/>
      <c r="C298" s="258"/>
      <c r="D298" s="258"/>
      <c r="E298" s="263"/>
      <c r="F298" s="258"/>
      <c r="G298" s="263"/>
      <c r="H298" s="262"/>
      <c r="I298" s="262"/>
      <c r="J298" s="262"/>
      <c r="K298" s="262"/>
      <c r="L298" s="262"/>
      <c r="M298" s="264"/>
      <c r="N298" s="262"/>
      <c r="O298" s="262"/>
      <c r="P298" s="262"/>
      <c r="Q298" s="263"/>
      <c r="R298" s="263"/>
      <c r="S298" s="292"/>
      <c r="T298" s="261"/>
      <c r="U298" s="261"/>
      <c r="V298" s="268"/>
      <c r="W298" s="268"/>
      <c r="X298" s="268"/>
      <c r="Y298" s="268"/>
      <c r="Z298" s="471">
        <f>SUMIF(TAB_CS[Reference],TAB_Offres[[#This Row],[Reference]],TAB_CS[Commited days])</f>
        <v>0</v>
      </c>
      <c r="AA298" s="269">
        <f>SUMIF(TAB_CS[Reference],TAB_Offres[[#This Row],[Reference]],TAB_CS[Commited amount])</f>
        <v>0</v>
      </c>
      <c r="AB298" s="275"/>
      <c r="AC298" s="270"/>
      <c r="AD298" s="270"/>
      <c r="AE298" s="264"/>
      <c r="AF298" s="271"/>
      <c r="AG298" s="278"/>
      <c r="AH298" s="277" t="str">
        <f>CONCATENATE(YEAR(TAB_Offres[[#This Row],[Request date ]]),"-",MONTH(TAB_Offres[[#This Row],[Request date ]]))</f>
        <v>1900-1</v>
      </c>
      <c r="AI298" s="274" t="e">
        <f>IF(#REF!,1,0)</f>
        <v>#REF!</v>
      </c>
      <c r="AJ298" s="4"/>
      <c r="AK298" s="4"/>
      <c r="AL298" s="4"/>
      <c r="AN298" s="150"/>
      <c r="AQ298" s="4"/>
    </row>
    <row r="299" spans="1:43" x14ac:dyDescent="0.25">
      <c r="A299" s="258">
        <f>ROW(TAB_Offres[[#This Row],[Reference]])-ROW(TAB_Offres[[#Headers],[ID]])</f>
        <v>298</v>
      </c>
      <c r="B299" s="258"/>
      <c r="C299" s="258"/>
      <c r="D299" s="258"/>
      <c r="E299" s="263"/>
      <c r="F299" s="258"/>
      <c r="G299" s="263"/>
      <c r="H299" s="262"/>
      <c r="I299" s="262"/>
      <c r="J299" s="262"/>
      <c r="K299" s="262"/>
      <c r="L299" s="262"/>
      <c r="M299" s="264"/>
      <c r="N299" s="262"/>
      <c r="O299" s="262"/>
      <c r="P299" s="262"/>
      <c r="Q299" s="263"/>
      <c r="R299" s="263"/>
      <c r="S299" s="292"/>
      <c r="T299" s="261"/>
      <c r="U299" s="261"/>
      <c r="V299" s="268"/>
      <c r="W299" s="268"/>
      <c r="X299" s="268"/>
      <c r="Y299" s="268"/>
      <c r="Z299" s="471">
        <f>SUMIF(TAB_CS[Reference],TAB_Offres[[#This Row],[Reference]],TAB_CS[Commited days])</f>
        <v>0</v>
      </c>
      <c r="AA299" s="269">
        <f>SUMIF(TAB_CS[Reference],TAB_Offres[[#This Row],[Reference]],TAB_CS[Commited amount])</f>
        <v>0</v>
      </c>
      <c r="AB299" s="275"/>
      <c r="AC299" s="270"/>
      <c r="AD299" s="270"/>
      <c r="AE299" s="264"/>
      <c r="AF299" s="271"/>
      <c r="AG299" s="278"/>
      <c r="AH299" s="277" t="str">
        <f>CONCATENATE(YEAR(TAB_Offres[[#This Row],[Request date ]]),"-",MONTH(TAB_Offres[[#This Row],[Request date ]]))</f>
        <v>1900-1</v>
      </c>
      <c r="AI299" s="274" t="e">
        <f>IF(#REF!,1,0)</f>
        <v>#REF!</v>
      </c>
      <c r="AJ299" s="4"/>
      <c r="AK299" s="4"/>
      <c r="AL299" s="4"/>
      <c r="AN299" s="150"/>
      <c r="AQ299" s="4"/>
    </row>
    <row r="300" spans="1:43" x14ac:dyDescent="0.25">
      <c r="A300" s="258">
        <f>ROW(TAB_Offres[[#This Row],[Reference]])-ROW(TAB_Offres[[#Headers],[ID]])</f>
        <v>299</v>
      </c>
      <c r="B300" s="258"/>
      <c r="C300" s="258"/>
      <c r="D300" s="258"/>
      <c r="E300" s="263"/>
      <c r="F300" s="258"/>
      <c r="G300" s="263"/>
      <c r="H300" s="262"/>
      <c r="I300" s="262"/>
      <c r="J300" s="262"/>
      <c r="K300" s="262"/>
      <c r="L300" s="262"/>
      <c r="M300" s="264"/>
      <c r="N300" s="262"/>
      <c r="O300" s="262"/>
      <c r="P300" s="262"/>
      <c r="Q300" s="263"/>
      <c r="R300" s="263"/>
      <c r="S300" s="292"/>
      <c r="T300" s="261"/>
      <c r="U300" s="261"/>
      <c r="V300" s="268"/>
      <c r="W300" s="268"/>
      <c r="X300" s="268"/>
      <c r="Y300" s="268"/>
      <c r="Z300" s="471">
        <f>SUMIF(TAB_CS[Reference],TAB_Offres[[#This Row],[Reference]],TAB_CS[Commited days])</f>
        <v>0</v>
      </c>
      <c r="AA300" s="269">
        <f>SUMIF(TAB_CS[Reference],TAB_Offres[[#This Row],[Reference]],TAB_CS[Commited amount])</f>
        <v>0</v>
      </c>
      <c r="AB300" s="275"/>
      <c r="AC300" s="270"/>
      <c r="AD300" s="270"/>
      <c r="AE300" s="264"/>
      <c r="AF300" s="271"/>
      <c r="AG300" s="278"/>
      <c r="AH300" s="277" t="str">
        <f>CONCATENATE(YEAR(TAB_Offres[[#This Row],[Request date ]]),"-",MONTH(TAB_Offres[[#This Row],[Request date ]]))</f>
        <v>1900-1</v>
      </c>
      <c r="AI300" s="274" t="e">
        <f>IF(#REF!,1,0)</f>
        <v>#REF!</v>
      </c>
      <c r="AJ300" s="4"/>
      <c r="AK300" s="4"/>
      <c r="AL300" s="4"/>
      <c r="AN300" s="150"/>
      <c r="AQ300" s="4"/>
    </row>
    <row r="301" spans="1:43" x14ac:dyDescent="0.25">
      <c r="A301" s="258">
        <f>ROW(TAB_Offres[[#This Row],[Reference]])-ROW(TAB_Offres[[#Headers],[ID]])</f>
        <v>300</v>
      </c>
      <c r="B301" s="258"/>
      <c r="C301" s="258"/>
      <c r="D301" s="258"/>
      <c r="E301" s="263"/>
      <c r="F301" s="258"/>
      <c r="G301" s="263"/>
      <c r="H301" s="262"/>
      <c r="I301" s="262"/>
      <c r="J301" s="262"/>
      <c r="K301" s="262"/>
      <c r="L301" s="262"/>
      <c r="M301" s="264"/>
      <c r="N301" s="262"/>
      <c r="O301" s="262"/>
      <c r="P301" s="262"/>
      <c r="Q301" s="263"/>
      <c r="R301" s="263"/>
      <c r="S301" s="292"/>
      <c r="T301" s="261"/>
      <c r="U301" s="261"/>
      <c r="V301" s="268"/>
      <c r="W301" s="268"/>
      <c r="X301" s="268"/>
      <c r="Y301" s="268"/>
      <c r="Z301" s="471">
        <f>SUMIF(TAB_CS[Reference],TAB_Offres[[#This Row],[Reference]],TAB_CS[Commited days])</f>
        <v>0</v>
      </c>
      <c r="AA301" s="269">
        <f>SUMIF(TAB_CS[Reference],TAB_Offres[[#This Row],[Reference]],TAB_CS[Commited amount])</f>
        <v>0</v>
      </c>
      <c r="AB301" s="275"/>
      <c r="AC301" s="270"/>
      <c r="AD301" s="270"/>
      <c r="AE301" s="264"/>
      <c r="AF301" s="271"/>
      <c r="AG301" s="278"/>
      <c r="AH301" s="277" t="str">
        <f>CONCATENATE(YEAR(TAB_Offres[[#This Row],[Request date ]]),"-",MONTH(TAB_Offres[[#This Row],[Request date ]]))</f>
        <v>1900-1</v>
      </c>
      <c r="AI301" s="274" t="e">
        <f>IF(#REF!,1,0)</f>
        <v>#REF!</v>
      </c>
      <c r="AJ301" s="4"/>
      <c r="AK301" s="4"/>
      <c r="AL301" s="4"/>
      <c r="AN301" s="150"/>
      <c r="AQ301" s="4"/>
    </row>
    <row r="302" spans="1:43" x14ac:dyDescent="0.25">
      <c r="A302" s="258">
        <f>ROW(TAB_Offres[[#This Row],[Reference]])-ROW(TAB_Offres[[#Headers],[ID]])</f>
        <v>301</v>
      </c>
      <c r="B302" s="258"/>
      <c r="C302" s="258"/>
      <c r="D302" s="258"/>
      <c r="E302" s="263"/>
      <c r="F302" s="258"/>
      <c r="G302" s="263"/>
      <c r="H302" s="262"/>
      <c r="I302" s="262"/>
      <c r="J302" s="262"/>
      <c r="K302" s="262"/>
      <c r="L302" s="262"/>
      <c r="M302" s="264"/>
      <c r="N302" s="262"/>
      <c r="O302" s="262"/>
      <c r="P302" s="262"/>
      <c r="Q302" s="263"/>
      <c r="R302" s="263"/>
      <c r="S302" s="292"/>
      <c r="T302" s="261"/>
      <c r="U302" s="261"/>
      <c r="V302" s="268"/>
      <c r="W302" s="268"/>
      <c r="X302" s="268"/>
      <c r="Y302" s="268"/>
      <c r="Z302" s="471">
        <f>SUMIF(TAB_CS[Reference],TAB_Offres[[#This Row],[Reference]],TAB_CS[Commited days])</f>
        <v>0</v>
      </c>
      <c r="AA302" s="269">
        <f>SUMIF(TAB_CS[Reference],TAB_Offres[[#This Row],[Reference]],TAB_CS[Commited amount])</f>
        <v>0</v>
      </c>
      <c r="AB302" s="275"/>
      <c r="AC302" s="270"/>
      <c r="AD302" s="270"/>
      <c r="AE302" s="264"/>
      <c r="AF302" s="271"/>
      <c r="AG302" s="278"/>
      <c r="AH302" s="277" t="str">
        <f>CONCATENATE(YEAR(TAB_Offres[[#This Row],[Request date ]]),"-",MONTH(TAB_Offres[[#This Row],[Request date ]]))</f>
        <v>1900-1</v>
      </c>
      <c r="AI302" s="274" t="e">
        <f>IF(#REF!,1,0)</f>
        <v>#REF!</v>
      </c>
      <c r="AJ302" s="4"/>
      <c r="AK302" s="4"/>
      <c r="AL302" s="4"/>
      <c r="AN302" s="150"/>
      <c r="AQ302" s="4"/>
    </row>
    <row r="303" spans="1:43" x14ac:dyDescent="0.25">
      <c r="A303" s="258">
        <f>ROW(TAB_Offres[[#This Row],[Reference]])-ROW(TAB_Offres[[#Headers],[ID]])</f>
        <v>302</v>
      </c>
      <c r="B303" s="258"/>
      <c r="C303" s="258"/>
      <c r="D303" s="258"/>
      <c r="E303" s="263"/>
      <c r="F303" s="258"/>
      <c r="G303" s="263"/>
      <c r="H303" s="262"/>
      <c r="I303" s="262"/>
      <c r="J303" s="262"/>
      <c r="K303" s="262"/>
      <c r="L303" s="262"/>
      <c r="M303" s="264"/>
      <c r="N303" s="262"/>
      <c r="O303" s="262"/>
      <c r="P303" s="262"/>
      <c r="Q303" s="263"/>
      <c r="R303" s="263"/>
      <c r="S303" s="292"/>
      <c r="T303" s="261"/>
      <c r="U303" s="261"/>
      <c r="V303" s="268"/>
      <c r="W303" s="268"/>
      <c r="X303" s="268"/>
      <c r="Y303" s="268"/>
      <c r="Z303" s="471">
        <f>SUMIF(TAB_CS[Reference],TAB_Offres[[#This Row],[Reference]],TAB_CS[Commited days])</f>
        <v>0</v>
      </c>
      <c r="AA303" s="269">
        <f>SUMIF(TAB_CS[Reference],TAB_Offres[[#This Row],[Reference]],TAB_CS[Commited amount])</f>
        <v>0</v>
      </c>
      <c r="AB303" s="275"/>
      <c r="AC303" s="270"/>
      <c r="AD303" s="270"/>
      <c r="AE303" s="264"/>
      <c r="AF303" s="271"/>
      <c r="AG303" s="278"/>
      <c r="AH303" s="277" t="str">
        <f>CONCATENATE(YEAR(TAB_Offres[[#This Row],[Request date ]]),"-",MONTH(TAB_Offres[[#This Row],[Request date ]]))</f>
        <v>1900-1</v>
      </c>
      <c r="AI303" s="274" t="e">
        <f>IF(#REF!,1,0)</f>
        <v>#REF!</v>
      </c>
      <c r="AJ303" s="4"/>
      <c r="AK303" s="4"/>
      <c r="AL303" s="4"/>
      <c r="AN303" s="150"/>
      <c r="AQ303" s="4"/>
    </row>
    <row r="304" spans="1:43" x14ac:dyDescent="0.25">
      <c r="A304" s="258">
        <f>ROW(TAB_Offres[[#This Row],[Reference]])-ROW(TAB_Offres[[#Headers],[ID]])</f>
        <v>303</v>
      </c>
      <c r="B304" s="258"/>
      <c r="C304" s="258"/>
      <c r="D304" s="258"/>
      <c r="E304" s="263"/>
      <c r="F304" s="258"/>
      <c r="G304" s="263"/>
      <c r="H304" s="262"/>
      <c r="I304" s="262"/>
      <c r="J304" s="262"/>
      <c r="K304" s="262"/>
      <c r="L304" s="262"/>
      <c r="M304" s="264"/>
      <c r="N304" s="262"/>
      <c r="O304" s="262"/>
      <c r="P304" s="262"/>
      <c r="Q304" s="263"/>
      <c r="R304" s="263"/>
      <c r="S304" s="292"/>
      <c r="T304" s="261"/>
      <c r="U304" s="261"/>
      <c r="V304" s="268"/>
      <c r="W304" s="268"/>
      <c r="X304" s="268"/>
      <c r="Y304" s="268"/>
      <c r="Z304" s="471">
        <f>SUMIF(TAB_CS[Reference],TAB_Offres[[#This Row],[Reference]],TAB_CS[Commited days])</f>
        <v>0</v>
      </c>
      <c r="AA304" s="269">
        <f>SUMIF(TAB_CS[Reference],TAB_Offres[[#This Row],[Reference]],TAB_CS[Commited amount])</f>
        <v>0</v>
      </c>
      <c r="AB304" s="275"/>
      <c r="AC304" s="270"/>
      <c r="AD304" s="270"/>
      <c r="AE304" s="264"/>
      <c r="AF304" s="271"/>
      <c r="AG304" s="278"/>
      <c r="AH304" s="277" t="str">
        <f>CONCATENATE(YEAR(TAB_Offres[[#This Row],[Request date ]]),"-",MONTH(TAB_Offres[[#This Row],[Request date ]]))</f>
        <v>1900-1</v>
      </c>
      <c r="AI304" s="274" t="e">
        <f>IF(#REF!,1,0)</f>
        <v>#REF!</v>
      </c>
      <c r="AJ304" s="4"/>
      <c r="AK304" s="4"/>
      <c r="AL304" s="4"/>
      <c r="AN304" s="150"/>
      <c r="AQ304" s="4"/>
    </row>
    <row r="305" spans="1:43" x14ac:dyDescent="0.25">
      <c r="A305" s="258">
        <f>ROW(TAB_Offres[[#This Row],[Reference]])-ROW(TAB_Offres[[#Headers],[ID]])</f>
        <v>304</v>
      </c>
      <c r="B305" s="258"/>
      <c r="C305" s="258"/>
      <c r="D305" s="258"/>
      <c r="E305" s="263"/>
      <c r="F305" s="258"/>
      <c r="G305" s="263"/>
      <c r="H305" s="262"/>
      <c r="I305" s="262"/>
      <c r="J305" s="262"/>
      <c r="K305" s="262"/>
      <c r="L305" s="262"/>
      <c r="M305" s="264"/>
      <c r="N305" s="262"/>
      <c r="O305" s="262"/>
      <c r="P305" s="262"/>
      <c r="Q305" s="263"/>
      <c r="R305" s="263"/>
      <c r="S305" s="292"/>
      <c r="T305" s="261"/>
      <c r="U305" s="261"/>
      <c r="V305" s="268"/>
      <c r="W305" s="268"/>
      <c r="X305" s="268"/>
      <c r="Y305" s="268"/>
      <c r="Z305" s="471">
        <f>SUMIF(TAB_CS[Reference],TAB_Offres[[#This Row],[Reference]],TAB_CS[Commited days])</f>
        <v>0</v>
      </c>
      <c r="AA305" s="269">
        <f>SUMIF(TAB_CS[Reference],TAB_Offres[[#This Row],[Reference]],TAB_CS[Commited amount])</f>
        <v>0</v>
      </c>
      <c r="AB305" s="275"/>
      <c r="AC305" s="270"/>
      <c r="AD305" s="270"/>
      <c r="AE305" s="264"/>
      <c r="AF305" s="271"/>
      <c r="AG305" s="278"/>
      <c r="AH305" s="277" t="str">
        <f>CONCATENATE(YEAR(TAB_Offres[[#This Row],[Request date ]]),"-",MONTH(TAB_Offres[[#This Row],[Request date ]]))</f>
        <v>1900-1</v>
      </c>
      <c r="AI305" s="274" t="e">
        <f>IF(#REF!,1,0)</f>
        <v>#REF!</v>
      </c>
      <c r="AJ305" s="4"/>
      <c r="AK305" s="4"/>
      <c r="AL305" s="4"/>
      <c r="AN305" s="150"/>
      <c r="AQ305" s="4"/>
    </row>
    <row r="306" spans="1:43" x14ac:dyDescent="0.25">
      <c r="A306" s="258">
        <f>ROW(TAB_Offres[[#This Row],[Reference]])-ROW(TAB_Offres[[#Headers],[ID]])</f>
        <v>305</v>
      </c>
      <c r="B306" s="258"/>
      <c r="C306" s="258"/>
      <c r="D306" s="258"/>
      <c r="E306" s="263"/>
      <c r="F306" s="258"/>
      <c r="G306" s="263"/>
      <c r="H306" s="262"/>
      <c r="I306" s="262"/>
      <c r="J306" s="262"/>
      <c r="K306" s="262"/>
      <c r="L306" s="262"/>
      <c r="M306" s="264"/>
      <c r="N306" s="262"/>
      <c r="O306" s="262"/>
      <c r="P306" s="262"/>
      <c r="Q306" s="263"/>
      <c r="R306" s="263"/>
      <c r="S306" s="292"/>
      <c r="T306" s="261"/>
      <c r="U306" s="261"/>
      <c r="V306" s="268"/>
      <c r="W306" s="268"/>
      <c r="X306" s="268"/>
      <c r="Y306" s="268"/>
      <c r="Z306" s="471">
        <f>SUMIF(TAB_CS[Reference],TAB_Offres[[#This Row],[Reference]],TAB_CS[Commited days])</f>
        <v>0</v>
      </c>
      <c r="AA306" s="269">
        <f>SUMIF(TAB_CS[Reference],TAB_Offres[[#This Row],[Reference]],TAB_CS[Commited amount])</f>
        <v>0</v>
      </c>
      <c r="AB306" s="275"/>
      <c r="AC306" s="270"/>
      <c r="AD306" s="270"/>
      <c r="AE306" s="264"/>
      <c r="AF306" s="271"/>
      <c r="AG306" s="278"/>
      <c r="AH306" s="277" t="str">
        <f>CONCATENATE(YEAR(TAB_Offres[[#This Row],[Request date ]]),"-",MONTH(TAB_Offres[[#This Row],[Request date ]]))</f>
        <v>1900-1</v>
      </c>
      <c r="AI306" s="274" t="e">
        <f>IF(#REF!,1,0)</f>
        <v>#REF!</v>
      </c>
      <c r="AJ306" s="4"/>
      <c r="AK306" s="4"/>
      <c r="AL306" s="4"/>
      <c r="AN306" s="150"/>
      <c r="AQ306" s="4"/>
    </row>
    <row r="307" spans="1:43" x14ac:dyDescent="0.25">
      <c r="A307" s="258">
        <f>ROW(TAB_Offres[[#This Row],[Reference]])-ROW(TAB_Offres[[#Headers],[ID]])</f>
        <v>306</v>
      </c>
      <c r="B307" s="258"/>
      <c r="C307" s="258"/>
      <c r="D307" s="258"/>
      <c r="E307" s="263"/>
      <c r="F307" s="258"/>
      <c r="G307" s="263"/>
      <c r="H307" s="262"/>
      <c r="I307" s="262"/>
      <c r="J307" s="262"/>
      <c r="K307" s="262"/>
      <c r="L307" s="262"/>
      <c r="M307" s="264"/>
      <c r="N307" s="262"/>
      <c r="O307" s="262"/>
      <c r="P307" s="262"/>
      <c r="Q307" s="263"/>
      <c r="R307" s="263"/>
      <c r="S307" s="292"/>
      <c r="T307" s="261"/>
      <c r="U307" s="261"/>
      <c r="V307" s="268"/>
      <c r="W307" s="268"/>
      <c r="X307" s="268"/>
      <c r="Y307" s="268"/>
      <c r="Z307" s="471">
        <f>SUMIF(TAB_CS[Reference],TAB_Offres[[#This Row],[Reference]],TAB_CS[Commited days])</f>
        <v>0</v>
      </c>
      <c r="AA307" s="269">
        <f>SUMIF(TAB_CS[Reference],TAB_Offres[[#This Row],[Reference]],TAB_CS[Commited amount])</f>
        <v>0</v>
      </c>
      <c r="AB307" s="275"/>
      <c r="AC307" s="270"/>
      <c r="AD307" s="270"/>
      <c r="AE307" s="264"/>
      <c r="AF307" s="271"/>
      <c r="AG307" s="278"/>
      <c r="AH307" s="277" t="str">
        <f>CONCATENATE(YEAR(TAB_Offres[[#This Row],[Request date ]]),"-",MONTH(TAB_Offres[[#This Row],[Request date ]]))</f>
        <v>1900-1</v>
      </c>
      <c r="AI307" s="274" t="e">
        <f>IF(#REF!,1,0)</f>
        <v>#REF!</v>
      </c>
      <c r="AJ307" s="4"/>
      <c r="AK307" s="4"/>
      <c r="AL307" s="4"/>
      <c r="AN307" s="150"/>
      <c r="AQ307" s="4"/>
    </row>
    <row r="308" spans="1:43" x14ac:dyDescent="0.25">
      <c r="A308" s="258">
        <f>ROW(TAB_Offres[[#This Row],[Reference]])-ROW(TAB_Offres[[#Headers],[ID]])</f>
        <v>307</v>
      </c>
      <c r="B308" s="258"/>
      <c r="C308" s="258"/>
      <c r="D308" s="258"/>
      <c r="E308" s="263"/>
      <c r="F308" s="258"/>
      <c r="G308" s="263"/>
      <c r="H308" s="262"/>
      <c r="I308" s="262"/>
      <c r="J308" s="262"/>
      <c r="K308" s="262"/>
      <c r="L308" s="262"/>
      <c r="M308" s="264"/>
      <c r="N308" s="262"/>
      <c r="O308" s="262"/>
      <c r="P308" s="262"/>
      <c r="Q308" s="263"/>
      <c r="R308" s="263"/>
      <c r="S308" s="292"/>
      <c r="T308" s="261"/>
      <c r="U308" s="261"/>
      <c r="V308" s="268"/>
      <c r="W308" s="268"/>
      <c r="X308" s="268"/>
      <c r="Y308" s="268"/>
      <c r="Z308" s="471">
        <f>SUMIF(TAB_CS[Reference],TAB_Offres[[#This Row],[Reference]],TAB_CS[Commited days])</f>
        <v>0</v>
      </c>
      <c r="AA308" s="269">
        <f>SUMIF(TAB_CS[Reference],TAB_Offres[[#This Row],[Reference]],TAB_CS[Commited amount])</f>
        <v>0</v>
      </c>
      <c r="AB308" s="275"/>
      <c r="AC308" s="270"/>
      <c r="AD308" s="270"/>
      <c r="AE308" s="264"/>
      <c r="AF308" s="271"/>
      <c r="AG308" s="278"/>
      <c r="AH308" s="277" t="str">
        <f>CONCATENATE(YEAR(TAB_Offres[[#This Row],[Request date ]]),"-",MONTH(TAB_Offres[[#This Row],[Request date ]]))</f>
        <v>1900-1</v>
      </c>
      <c r="AI308" s="274" t="e">
        <f>IF(#REF!,1,0)</f>
        <v>#REF!</v>
      </c>
      <c r="AJ308" s="4"/>
      <c r="AK308" s="4"/>
      <c r="AL308" s="4"/>
      <c r="AN308" s="150"/>
      <c r="AQ308" s="4"/>
    </row>
    <row r="309" spans="1:43" x14ac:dyDescent="0.25">
      <c r="A309" s="258">
        <f>ROW(TAB_Offres[[#This Row],[Reference]])-ROW(TAB_Offres[[#Headers],[ID]])</f>
        <v>308</v>
      </c>
      <c r="B309" s="258"/>
      <c r="C309" s="258"/>
      <c r="D309" s="258"/>
      <c r="E309" s="263"/>
      <c r="F309" s="258"/>
      <c r="G309" s="263"/>
      <c r="H309" s="262"/>
      <c r="I309" s="262"/>
      <c r="J309" s="262"/>
      <c r="K309" s="262"/>
      <c r="L309" s="262"/>
      <c r="M309" s="264"/>
      <c r="N309" s="262"/>
      <c r="O309" s="262"/>
      <c r="P309" s="262"/>
      <c r="Q309" s="263"/>
      <c r="R309" s="263"/>
      <c r="S309" s="292"/>
      <c r="T309" s="261"/>
      <c r="U309" s="261"/>
      <c r="V309" s="268"/>
      <c r="W309" s="268"/>
      <c r="X309" s="268"/>
      <c r="Y309" s="268"/>
      <c r="Z309" s="471">
        <f>SUMIF(TAB_CS[Reference],TAB_Offres[[#This Row],[Reference]],TAB_CS[Commited days])</f>
        <v>0</v>
      </c>
      <c r="AA309" s="269">
        <f>SUMIF(TAB_CS[Reference],TAB_Offres[[#This Row],[Reference]],TAB_CS[Commited amount])</f>
        <v>0</v>
      </c>
      <c r="AB309" s="275"/>
      <c r="AC309" s="270"/>
      <c r="AD309" s="270"/>
      <c r="AE309" s="264"/>
      <c r="AF309" s="271"/>
      <c r="AG309" s="278"/>
      <c r="AH309" s="277" t="str">
        <f>CONCATENATE(YEAR(TAB_Offres[[#This Row],[Request date ]]),"-",MONTH(TAB_Offres[[#This Row],[Request date ]]))</f>
        <v>1900-1</v>
      </c>
      <c r="AI309" s="274" t="e">
        <f>IF(#REF!,1,0)</f>
        <v>#REF!</v>
      </c>
      <c r="AJ309" s="4"/>
      <c r="AK309" s="4"/>
      <c r="AL309" s="4"/>
      <c r="AN309" s="150"/>
      <c r="AQ309" s="4"/>
    </row>
    <row r="310" spans="1:43" x14ac:dyDescent="0.25">
      <c r="A310" s="258">
        <f>ROW(TAB_Offres[[#This Row],[Reference]])-ROW(TAB_Offres[[#Headers],[ID]])</f>
        <v>309</v>
      </c>
      <c r="B310" s="258"/>
      <c r="C310" s="258"/>
      <c r="D310" s="258"/>
      <c r="E310" s="263"/>
      <c r="F310" s="258"/>
      <c r="G310" s="263"/>
      <c r="H310" s="262"/>
      <c r="I310" s="262"/>
      <c r="J310" s="262"/>
      <c r="K310" s="262"/>
      <c r="L310" s="262"/>
      <c r="M310" s="264"/>
      <c r="N310" s="262"/>
      <c r="O310" s="262"/>
      <c r="P310" s="262"/>
      <c r="Q310" s="263"/>
      <c r="R310" s="263"/>
      <c r="S310" s="292"/>
      <c r="T310" s="261"/>
      <c r="U310" s="261"/>
      <c r="V310" s="268"/>
      <c r="W310" s="268"/>
      <c r="X310" s="268"/>
      <c r="Y310" s="268"/>
      <c r="Z310" s="471">
        <f>SUMIF(TAB_CS[Reference],TAB_Offres[[#This Row],[Reference]],TAB_CS[Commited days])</f>
        <v>0</v>
      </c>
      <c r="AA310" s="269">
        <f>SUMIF(TAB_CS[Reference],TAB_Offres[[#This Row],[Reference]],TAB_CS[Commited amount])</f>
        <v>0</v>
      </c>
      <c r="AB310" s="275"/>
      <c r="AC310" s="270"/>
      <c r="AD310" s="270"/>
      <c r="AE310" s="264"/>
      <c r="AF310" s="271"/>
      <c r="AG310" s="278"/>
      <c r="AH310" s="277" t="str">
        <f>CONCATENATE(YEAR(TAB_Offres[[#This Row],[Request date ]]),"-",MONTH(TAB_Offres[[#This Row],[Request date ]]))</f>
        <v>1900-1</v>
      </c>
      <c r="AI310" s="274" t="e">
        <f>IF(#REF!,1,0)</f>
        <v>#REF!</v>
      </c>
      <c r="AJ310" s="4"/>
      <c r="AK310" s="4"/>
      <c r="AL310" s="4"/>
      <c r="AN310" s="150"/>
      <c r="AQ310" s="4"/>
    </row>
    <row r="311" spans="1:43" x14ac:dyDescent="0.25">
      <c r="A311" s="258">
        <f>ROW(TAB_Offres[[#This Row],[Reference]])-ROW(TAB_Offres[[#Headers],[ID]])</f>
        <v>310</v>
      </c>
      <c r="B311" s="258"/>
      <c r="C311" s="258"/>
      <c r="D311" s="258"/>
      <c r="E311" s="263"/>
      <c r="F311" s="258"/>
      <c r="G311" s="263"/>
      <c r="H311" s="262"/>
      <c r="I311" s="262"/>
      <c r="J311" s="262"/>
      <c r="K311" s="262"/>
      <c r="L311" s="262"/>
      <c r="M311" s="264"/>
      <c r="N311" s="262"/>
      <c r="O311" s="262"/>
      <c r="P311" s="262"/>
      <c r="Q311" s="263"/>
      <c r="R311" s="263"/>
      <c r="S311" s="292"/>
      <c r="T311" s="261"/>
      <c r="U311" s="261"/>
      <c r="V311" s="268"/>
      <c r="W311" s="268"/>
      <c r="X311" s="268"/>
      <c r="Y311" s="268"/>
      <c r="Z311" s="471">
        <f>SUMIF(TAB_CS[Reference],TAB_Offres[[#This Row],[Reference]],TAB_CS[Commited days])</f>
        <v>0</v>
      </c>
      <c r="AA311" s="269">
        <f>SUMIF(TAB_CS[Reference],TAB_Offres[[#This Row],[Reference]],TAB_CS[Commited amount])</f>
        <v>0</v>
      </c>
      <c r="AB311" s="275"/>
      <c r="AC311" s="270"/>
      <c r="AD311" s="270"/>
      <c r="AE311" s="264"/>
      <c r="AF311" s="271"/>
      <c r="AG311" s="278"/>
      <c r="AH311" s="277" t="str">
        <f>CONCATENATE(YEAR(TAB_Offres[[#This Row],[Request date ]]),"-",MONTH(TAB_Offres[[#This Row],[Request date ]]))</f>
        <v>1900-1</v>
      </c>
      <c r="AI311" s="274" t="e">
        <f>IF(#REF!,1,0)</f>
        <v>#REF!</v>
      </c>
      <c r="AJ311" s="4"/>
      <c r="AK311" s="4"/>
      <c r="AL311" s="4"/>
      <c r="AN311" s="150"/>
      <c r="AQ311" s="4"/>
    </row>
    <row r="312" spans="1:43" x14ac:dyDescent="0.25">
      <c r="A312" s="258">
        <f>ROW(TAB_Offres[[#This Row],[Reference]])-ROW(TAB_Offres[[#Headers],[ID]])</f>
        <v>311</v>
      </c>
      <c r="B312" s="258"/>
      <c r="C312" s="258"/>
      <c r="D312" s="258"/>
      <c r="E312" s="263"/>
      <c r="F312" s="258"/>
      <c r="G312" s="263"/>
      <c r="H312" s="262"/>
      <c r="I312" s="262"/>
      <c r="J312" s="262"/>
      <c r="K312" s="262"/>
      <c r="L312" s="262"/>
      <c r="M312" s="264"/>
      <c r="N312" s="262"/>
      <c r="O312" s="262"/>
      <c r="P312" s="262"/>
      <c r="Q312" s="263"/>
      <c r="R312" s="263"/>
      <c r="S312" s="292"/>
      <c r="T312" s="261"/>
      <c r="U312" s="261"/>
      <c r="V312" s="268"/>
      <c r="W312" s="268"/>
      <c r="X312" s="268"/>
      <c r="Y312" s="268"/>
      <c r="Z312" s="471">
        <f>SUMIF(TAB_CS[Reference],TAB_Offres[[#This Row],[Reference]],TAB_CS[Commited days])</f>
        <v>0</v>
      </c>
      <c r="AA312" s="269">
        <f>SUMIF(TAB_CS[Reference],TAB_Offres[[#This Row],[Reference]],TAB_CS[Commited amount])</f>
        <v>0</v>
      </c>
      <c r="AB312" s="275"/>
      <c r="AC312" s="270"/>
      <c r="AD312" s="270"/>
      <c r="AE312" s="264"/>
      <c r="AF312" s="271"/>
      <c r="AG312" s="278"/>
      <c r="AH312" s="277" t="str">
        <f>CONCATENATE(YEAR(TAB_Offres[[#This Row],[Request date ]]),"-",MONTH(TAB_Offres[[#This Row],[Request date ]]))</f>
        <v>1900-1</v>
      </c>
      <c r="AI312" s="274" t="e">
        <f>IF(#REF!,1,0)</f>
        <v>#REF!</v>
      </c>
      <c r="AJ312" s="4"/>
      <c r="AK312" s="4"/>
      <c r="AL312" s="4"/>
      <c r="AN312" s="150"/>
      <c r="AQ312" s="4"/>
    </row>
    <row r="313" spans="1:43" x14ac:dyDescent="0.25">
      <c r="A313" s="258">
        <f>ROW(TAB_Offres[[#This Row],[Reference]])-ROW(TAB_Offres[[#Headers],[ID]])</f>
        <v>312</v>
      </c>
      <c r="B313" s="258"/>
      <c r="C313" s="258"/>
      <c r="D313" s="258"/>
      <c r="E313" s="263"/>
      <c r="F313" s="258"/>
      <c r="G313" s="263"/>
      <c r="H313" s="262"/>
      <c r="I313" s="262"/>
      <c r="J313" s="262"/>
      <c r="K313" s="262"/>
      <c r="L313" s="262"/>
      <c r="M313" s="264"/>
      <c r="N313" s="262"/>
      <c r="O313" s="262"/>
      <c r="P313" s="262"/>
      <c r="Q313" s="263"/>
      <c r="R313" s="263"/>
      <c r="S313" s="292"/>
      <c r="T313" s="261"/>
      <c r="U313" s="261"/>
      <c r="V313" s="268"/>
      <c r="W313" s="268"/>
      <c r="X313" s="268"/>
      <c r="Y313" s="268"/>
      <c r="Z313" s="471">
        <f>SUMIF(TAB_CS[Reference],TAB_Offres[[#This Row],[Reference]],TAB_CS[Commited days])</f>
        <v>0</v>
      </c>
      <c r="AA313" s="269">
        <f>SUMIF(TAB_CS[Reference],TAB_Offres[[#This Row],[Reference]],TAB_CS[Commited amount])</f>
        <v>0</v>
      </c>
      <c r="AB313" s="275"/>
      <c r="AC313" s="270"/>
      <c r="AD313" s="270"/>
      <c r="AE313" s="264"/>
      <c r="AF313" s="271"/>
      <c r="AG313" s="278"/>
      <c r="AH313" s="277" t="str">
        <f>CONCATENATE(YEAR(TAB_Offres[[#This Row],[Request date ]]),"-",MONTH(TAB_Offres[[#This Row],[Request date ]]))</f>
        <v>1900-1</v>
      </c>
      <c r="AI313" s="274" t="e">
        <f>IF(#REF!,1,0)</f>
        <v>#REF!</v>
      </c>
      <c r="AJ313" s="4"/>
      <c r="AK313" s="4"/>
      <c r="AL313" s="4"/>
      <c r="AN313" s="150"/>
      <c r="AQ313" s="4"/>
    </row>
    <row r="314" spans="1:43" x14ac:dyDescent="0.25">
      <c r="A314" s="258">
        <f>ROW(TAB_Offres[[#This Row],[Reference]])-ROW(TAB_Offres[[#Headers],[ID]])</f>
        <v>313</v>
      </c>
      <c r="B314" s="258"/>
      <c r="C314" s="258"/>
      <c r="D314" s="258"/>
      <c r="E314" s="263"/>
      <c r="F314" s="258"/>
      <c r="G314" s="263"/>
      <c r="H314" s="262"/>
      <c r="I314" s="262"/>
      <c r="J314" s="262"/>
      <c r="K314" s="262"/>
      <c r="L314" s="262"/>
      <c r="M314" s="264"/>
      <c r="N314" s="262"/>
      <c r="O314" s="262"/>
      <c r="P314" s="262"/>
      <c r="Q314" s="263"/>
      <c r="R314" s="263"/>
      <c r="S314" s="292"/>
      <c r="T314" s="261"/>
      <c r="U314" s="261"/>
      <c r="V314" s="268"/>
      <c r="W314" s="268"/>
      <c r="X314" s="268"/>
      <c r="Y314" s="268"/>
      <c r="Z314" s="471">
        <f>SUMIF(TAB_CS[Reference],TAB_Offres[[#This Row],[Reference]],TAB_CS[Commited days])</f>
        <v>0</v>
      </c>
      <c r="AA314" s="269">
        <f>SUMIF(TAB_CS[Reference],TAB_Offres[[#This Row],[Reference]],TAB_CS[Commited amount])</f>
        <v>0</v>
      </c>
      <c r="AB314" s="275"/>
      <c r="AC314" s="270"/>
      <c r="AD314" s="270"/>
      <c r="AE314" s="264"/>
      <c r="AF314" s="271"/>
      <c r="AG314" s="278"/>
      <c r="AH314" s="277" t="str">
        <f>CONCATENATE(YEAR(TAB_Offres[[#This Row],[Request date ]]),"-",MONTH(TAB_Offres[[#This Row],[Request date ]]))</f>
        <v>1900-1</v>
      </c>
      <c r="AI314" s="274" t="e">
        <f>IF(#REF!,1,0)</f>
        <v>#REF!</v>
      </c>
      <c r="AJ314" s="4"/>
      <c r="AK314" s="4"/>
      <c r="AL314" s="4"/>
      <c r="AN314" s="150"/>
      <c r="AQ314" s="4"/>
    </row>
    <row r="315" spans="1:43" x14ac:dyDescent="0.25">
      <c r="A315" s="258">
        <f>ROW(TAB_Offres[[#This Row],[Reference]])-ROW(TAB_Offres[[#Headers],[ID]])</f>
        <v>314</v>
      </c>
      <c r="B315" s="258"/>
      <c r="C315" s="258"/>
      <c r="D315" s="258"/>
      <c r="E315" s="263"/>
      <c r="F315" s="258"/>
      <c r="G315" s="263"/>
      <c r="H315" s="262"/>
      <c r="I315" s="262"/>
      <c r="J315" s="262"/>
      <c r="K315" s="262"/>
      <c r="L315" s="262"/>
      <c r="M315" s="264"/>
      <c r="N315" s="262"/>
      <c r="O315" s="262"/>
      <c r="P315" s="262"/>
      <c r="Q315" s="263"/>
      <c r="R315" s="263"/>
      <c r="S315" s="292"/>
      <c r="T315" s="261"/>
      <c r="U315" s="261"/>
      <c r="V315" s="268"/>
      <c r="W315" s="268"/>
      <c r="X315" s="268"/>
      <c r="Y315" s="268"/>
      <c r="Z315" s="471">
        <f>SUMIF(TAB_CS[Reference],TAB_Offres[[#This Row],[Reference]],TAB_CS[Commited days])</f>
        <v>0</v>
      </c>
      <c r="AA315" s="269">
        <f>SUMIF(TAB_CS[Reference],TAB_Offres[[#This Row],[Reference]],TAB_CS[Commited amount])</f>
        <v>0</v>
      </c>
      <c r="AB315" s="275"/>
      <c r="AC315" s="270"/>
      <c r="AD315" s="270"/>
      <c r="AE315" s="264"/>
      <c r="AF315" s="271"/>
      <c r="AG315" s="278"/>
      <c r="AH315" s="277" t="str">
        <f>CONCATENATE(YEAR(TAB_Offres[[#This Row],[Request date ]]),"-",MONTH(TAB_Offres[[#This Row],[Request date ]]))</f>
        <v>1900-1</v>
      </c>
      <c r="AI315" s="274" t="e">
        <f>IF(#REF!,1,0)</f>
        <v>#REF!</v>
      </c>
      <c r="AJ315" s="4"/>
      <c r="AK315" s="4"/>
      <c r="AL315" s="4"/>
      <c r="AN315" s="150"/>
      <c r="AQ315" s="4"/>
    </row>
    <row r="316" spans="1:43" x14ac:dyDescent="0.25">
      <c r="A316" s="258">
        <f>ROW(TAB_Offres[[#This Row],[Reference]])-ROW(TAB_Offres[[#Headers],[ID]])</f>
        <v>315</v>
      </c>
      <c r="B316" s="258"/>
      <c r="C316" s="258"/>
      <c r="D316" s="258"/>
      <c r="E316" s="263"/>
      <c r="F316" s="258"/>
      <c r="G316" s="263"/>
      <c r="H316" s="262"/>
      <c r="I316" s="262"/>
      <c r="J316" s="262"/>
      <c r="K316" s="262"/>
      <c r="L316" s="262"/>
      <c r="M316" s="264"/>
      <c r="N316" s="262"/>
      <c r="O316" s="262"/>
      <c r="P316" s="262"/>
      <c r="Q316" s="263"/>
      <c r="R316" s="263"/>
      <c r="S316" s="292"/>
      <c r="T316" s="261"/>
      <c r="U316" s="261"/>
      <c r="V316" s="268"/>
      <c r="W316" s="268"/>
      <c r="X316" s="268"/>
      <c r="Y316" s="268"/>
      <c r="Z316" s="471">
        <f>SUMIF(TAB_CS[Reference],TAB_Offres[[#This Row],[Reference]],TAB_CS[Commited days])</f>
        <v>0</v>
      </c>
      <c r="AA316" s="269">
        <f>SUMIF(TAB_CS[Reference],TAB_Offres[[#This Row],[Reference]],TAB_CS[Commited amount])</f>
        <v>0</v>
      </c>
      <c r="AB316" s="275"/>
      <c r="AC316" s="270"/>
      <c r="AD316" s="270"/>
      <c r="AE316" s="264"/>
      <c r="AF316" s="271"/>
      <c r="AG316" s="278"/>
      <c r="AH316" s="277" t="str">
        <f>CONCATENATE(YEAR(TAB_Offres[[#This Row],[Request date ]]),"-",MONTH(TAB_Offres[[#This Row],[Request date ]]))</f>
        <v>1900-1</v>
      </c>
      <c r="AI316" s="274" t="e">
        <f>IF(#REF!,1,0)</f>
        <v>#REF!</v>
      </c>
      <c r="AJ316" s="4"/>
      <c r="AK316" s="4"/>
      <c r="AL316" s="4"/>
      <c r="AN316" s="150"/>
      <c r="AQ316" s="4"/>
    </row>
    <row r="317" spans="1:43" x14ac:dyDescent="0.25">
      <c r="A317" s="258">
        <f>ROW(TAB_Offres[[#This Row],[Reference]])-ROW(TAB_Offres[[#Headers],[ID]])</f>
        <v>316</v>
      </c>
      <c r="B317" s="258"/>
      <c r="C317" s="258"/>
      <c r="D317" s="258"/>
      <c r="E317" s="263"/>
      <c r="F317" s="258"/>
      <c r="G317" s="263"/>
      <c r="H317" s="262"/>
      <c r="I317" s="262"/>
      <c r="J317" s="262"/>
      <c r="K317" s="262"/>
      <c r="L317" s="262"/>
      <c r="M317" s="264"/>
      <c r="N317" s="262"/>
      <c r="O317" s="262"/>
      <c r="P317" s="262"/>
      <c r="Q317" s="263"/>
      <c r="R317" s="263"/>
      <c r="S317" s="292"/>
      <c r="T317" s="261"/>
      <c r="U317" s="261"/>
      <c r="V317" s="268"/>
      <c r="W317" s="268"/>
      <c r="X317" s="268"/>
      <c r="Y317" s="268"/>
      <c r="Z317" s="471">
        <f>SUMIF(TAB_CS[Reference],TAB_Offres[[#This Row],[Reference]],TAB_CS[Commited days])</f>
        <v>0</v>
      </c>
      <c r="AA317" s="269">
        <f>SUMIF(TAB_CS[Reference],TAB_Offres[[#This Row],[Reference]],TAB_CS[Commited amount])</f>
        <v>0</v>
      </c>
      <c r="AB317" s="275"/>
      <c r="AC317" s="270"/>
      <c r="AD317" s="270"/>
      <c r="AE317" s="264"/>
      <c r="AF317" s="271"/>
      <c r="AG317" s="278"/>
      <c r="AH317" s="277" t="str">
        <f>CONCATENATE(YEAR(TAB_Offres[[#This Row],[Request date ]]),"-",MONTH(TAB_Offres[[#This Row],[Request date ]]))</f>
        <v>1900-1</v>
      </c>
      <c r="AI317" s="274" t="e">
        <f>IF(#REF!,1,0)</f>
        <v>#REF!</v>
      </c>
      <c r="AJ317" s="4"/>
      <c r="AK317" s="4"/>
      <c r="AL317" s="4"/>
      <c r="AN317" s="150"/>
      <c r="AQ317" s="4"/>
    </row>
    <row r="318" spans="1:43" x14ac:dyDescent="0.25">
      <c r="A318" s="258">
        <f>ROW(TAB_Offres[[#This Row],[Reference]])-ROW(TAB_Offres[[#Headers],[ID]])</f>
        <v>317</v>
      </c>
      <c r="B318" s="258"/>
      <c r="C318" s="258"/>
      <c r="D318" s="258"/>
      <c r="E318" s="263"/>
      <c r="F318" s="258"/>
      <c r="G318" s="263"/>
      <c r="H318" s="262"/>
      <c r="I318" s="262"/>
      <c r="J318" s="262"/>
      <c r="K318" s="262"/>
      <c r="L318" s="262"/>
      <c r="M318" s="264"/>
      <c r="N318" s="262"/>
      <c r="O318" s="262"/>
      <c r="P318" s="262"/>
      <c r="Q318" s="263"/>
      <c r="R318" s="263"/>
      <c r="S318" s="292"/>
      <c r="T318" s="261"/>
      <c r="U318" s="261"/>
      <c r="V318" s="268"/>
      <c r="W318" s="268"/>
      <c r="X318" s="268"/>
      <c r="Y318" s="268"/>
      <c r="Z318" s="471">
        <f>SUMIF(TAB_CS[Reference],TAB_Offres[[#This Row],[Reference]],TAB_CS[Commited days])</f>
        <v>0</v>
      </c>
      <c r="AA318" s="269">
        <f>SUMIF(TAB_CS[Reference],TAB_Offres[[#This Row],[Reference]],TAB_CS[Commited amount])</f>
        <v>0</v>
      </c>
      <c r="AB318" s="275"/>
      <c r="AC318" s="270"/>
      <c r="AD318" s="270"/>
      <c r="AE318" s="264"/>
      <c r="AF318" s="271"/>
      <c r="AG318" s="278"/>
      <c r="AH318" s="277" t="str">
        <f>CONCATENATE(YEAR(TAB_Offres[[#This Row],[Request date ]]),"-",MONTH(TAB_Offres[[#This Row],[Request date ]]))</f>
        <v>1900-1</v>
      </c>
      <c r="AI318" s="274" t="e">
        <f>IF(#REF!,1,0)</f>
        <v>#REF!</v>
      </c>
      <c r="AJ318" s="4"/>
      <c r="AK318" s="4"/>
      <c r="AL318" s="4"/>
      <c r="AN318" s="150"/>
      <c r="AQ318" s="4"/>
    </row>
    <row r="319" spans="1:43" x14ac:dyDescent="0.25">
      <c r="A319" s="258">
        <f>ROW(TAB_Offres[[#This Row],[Reference]])-ROW(TAB_Offres[[#Headers],[ID]])</f>
        <v>318</v>
      </c>
      <c r="B319" s="258"/>
      <c r="C319" s="258"/>
      <c r="D319" s="258"/>
      <c r="E319" s="263"/>
      <c r="F319" s="258"/>
      <c r="G319" s="263"/>
      <c r="H319" s="262"/>
      <c r="I319" s="262"/>
      <c r="J319" s="262"/>
      <c r="K319" s="262"/>
      <c r="L319" s="262"/>
      <c r="M319" s="264"/>
      <c r="N319" s="262"/>
      <c r="O319" s="262"/>
      <c r="P319" s="262"/>
      <c r="Q319" s="263"/>
      <c r="R319" s="263"/>
      <c r="S319" s="292"/>
      <c r="T319" s="261"/>
      <c r="U319" s="261"/>
      <c r="V319" s="268"/>
      <c r="W319" s="268"/>
      <c r="X319" s="268"/>
      <c r="Y319" s="268"/>
      <c r="Z319" s="471">
        <f>SUMIF(TAB_CS[Reference],TAB_Offres[[#This Row],[Reference]],TAB_CS[Commited days])</f>
        <v>0</v>
      </c>
      <c r="AA319" s="269">
        <f>SUMIF(TAB_CS[Reference],TAB_Offres[[#This Row],[Reference]],TAB_CS[Commited amount])</f>
        <v>0</v>
      </c>
      <c r="AB319" s="275"/>
      <c r="AC319" s="270"/>
      <c r="AD319" s="270"/>
      <c r="AE319" s="264"/>
      <c r="AF319" s="271"/>
      <c r="AG319" s="278"/>
      <c r="AH319" s="277" t="str">
        <f>CONCATENATE(YEAR(TAB_Offres[[#This Row],[Request date ]]),"-",MONTH(TAB_Offres[[#This Row],[Request date ]]))</f>
        <v>1900-1</v>
      </c>
      <c r="AI319" s="274" t="e">
        <f>IF(#REF!,1,0)</f>
        <v>#REF!</v>
      </c>
      <c r="AJ319" s="4"/>
      <c r="AK319" s="4"/>
      <c r="AL319" s="4"/>
      <c r="AN319" s="150"/>
      <c r="AQ319" s="4"/>
    </row>
    <row r="320" spans="1:43" x14ac:dyDescent="0.25">
      <c r="A320" s="258">
        <f>ROW(TAB_Offres[[#This Row],[Reference]])-ROW(TAB_Offres[[#Headers],[ID]])</f>
        <v>319</v>
      </c>
      <c r="B320" s="258"/>
      <c r="C320" s="258"/>
      <c r="D320" s="258"/>
      <c r="E320" s="263"/>
      <c r="F320" s="258"/>
      <c r="G320" s="263"/>
      <c r="H320" s="262"/>
      <c r="I320" s="262"/>
      <c r="J320" s="262"/>
      <c r="K320" s="262"/>
      <c r="L320" s="262"/>
      <c r="M320" s="264"/>
      <c r="N320" s="262"/>
      <c r="O320" s="262"/>
      <c r="P320" s="262"/>
      <c r="Q320" s="263"/>
      <c r="R320" s="263"/>
      <c r="S320" s="292"/>
      <c r="T320" s="261"/>
      <c r="U320" s="261"/>
      <c r="V320" s="268"/>
      <c r="W320" s="268"/>
      <c r="X320" s="268"/>
      <c r="Y320" s="268"/>
      <c r="Z320" s="471">
        <f>SUMIF(TAB_CS[Reference],TAB_Offres[[#This Row],[Reference]],TAB_CS[Commited days])</f>
        <v>0</v>
      </c>
      <c r="AA320" s="269">
        <f>SUMIF(TAB_CS[Reference],TAB_Offres[[#This Row],[Reference]],TAB_CS[Commited amount])</f>
        <v>0</v>
      </c>
      <c r="AB320" s="275"/>
      <c r="AC320" s="270"/>
      <c r="AD320" s="270"/>
      <c r="AE320" s="264"/>
      <c r="AF320" s="271"/>
      <c r="AG320" s="278"/>
      <c r="AH320" s="277" t="str">
        <f>CONCATENATE(YEAR(TAB_Offres[[#This Row],[Request date ]]),"-",MONTH(TAB_Offres[[#This Row],[Request date ]]))</f>
        <v>1900-1</v>
      </c>
      <c r="AI320" s="274" t="e">
        <f>IF(#REF!,1,0)</f>
        <v>#REF!</v>
      </c>
      <c r="AJ320" s="4"/>
      <c r="AK320" s="4"/>
      <c r="AL320" s="4"/>
      <c r="AN320" s="150"/>
      <c r="AQ320" s="4"/>
    </row>
    <row r="321" spans="1:43" x14ac:dyDescent="0.25">
      <c r="A321" s="258">
        <f>ROW(TAB_Offres[[#This Row],[Reference]])-ROW(TAB_Offres[[#Headers],[ID]])</f>
        <v>320</v>
      </c>
      <c r="B321" s="258"/>
      <c r="C321" s="258"/>
      <c r="D321" s="258"/>
      <c r="E321" s="263"/>
      <c r="F321" s="258"/>
      <c r="G321" s="263"/>
      <c r="H321" s="262"/>
      <c r="I321" s="262"/>
      <c r="J321" s="262"/>
      <c r="K321" s="262"/>
      <c r="L321" s="262"/>
      <c r="M321" s="264"/>
      <c r="N321" s="262"/>
      <c r="O321" s="262"/>
      <c r="P321" s="262"/>
      <c r="Q321" s="263"/>
      <c r="R321" s="263"/>
      <c r="S321" s="292"/>
      <c r="T321" s="261"/>
      <c r="U321" s="261"/>
      <c r="V321" s="268"/>
      <c r="W321" s="268"/>
      <c r="X321" s="268"/>
      <c r="Y321" s="268"/>
      <c r="Z321" s="471">
        <f>SUMIF(TAB_CS[Reference],TAB_Offres[[#This Row],[Reference]],TAB_CS[Commited days])</f>
        <v>0</v>
      </c>
      <c r="AA321" s="269">
        <f>SUMIF(TAB_CS[Reference],TAB_Offres[[#This Row],[Reference]],TAB_CS[Commited amount])</f>
        <v>0</v>
      </c>
      <c r="AB321" s="275"/>
      <c r="AC321" s="270"/>
      <c r="AD321" s="270"/>
      <c r="AE321" s="264"/>
      <c r="AF321" s="271"/>
      <c r="AG321" s="278"/>
      <c r="AH321" s="277" t="str">
        <f>CONCATENATE(YEAR(TAB_Offres[[#This Row],[Request date ]]),"-",MONTH(TAB_Offres[[#This Row],[Request date ]]))</f>
        <v>1900-1</v>
      </c>
      <c r="AI321" s="274" t="e">
        <f>IF(#REF!,1,0)</f>
        <v>#REF!</v>
      </c>
      <c r="AJ321" s="4"/>
      <c r="AK321" s="4"/>
      <c r="AL321" s="4"/>
      <c r="AN321" s="150"/>
      <c r="AQ321" s="4"/>
    </row>
    <row r="322" spans="1:43" x14ac:dyDescent="0.25">
      <c r="A322" s="258">
        <f>ROW(TAB_Offres[[#This Row],[Reference]])-ROW(TAB_Offres[[#Headers],[ID]])</f>
        <v>321</v>
      </c>
      <c r="B322" s="258"/>
      <c r="C322" s="258"/>
      <c r="D322" s="258"/>
      <c r="E322" s="263"/>
      <c r="F322" s="258"/>
      <c r="G322" s="263"/>
      <c r="H322" s="262"/>
      <c r="I322" s="262"/>
      <c r="J322" s="262"/>
      <c r="K322" s="262"/>
      <c r="L322" s="262"/>
      <c r="M322" s="264"/>
      <c r="N322" s="262"/>
      <c r="O322" s="262"/>
      <c r="P322" s="262"/>
      <c r="Q322" s="263"/>
      <c r="R322" s="263"/>
      <c r="S322" s="292"/>
      <c r="T322" s="261"/>
      <c r="U322" s="261"/>
      <c r="V322" s="268"/>
      <c r="W322" s="268"/>
      <c r="X322" s="268"/>
      <c r="Y322" s="268"/>
      <c r="Z322" s="471">
        <f>SUMIF(TAB_CS[Reference],TAB_Offres[[#This Row],[Reference]],TAB_CS[Commited days])</f>
        <v>0</v>
      </c>
      <c r="AA322" s="269">
        <f>SUMIF(TAB_CS[Reference],TAB_Offres[[#This Row],[Reference]],TAB_CS[Commited amount])</f>
        <v>0</v>
      </c>
      <c r="AB322" s="275"/>
      <c r="AC322" s="270"/>
      <c r="AD322" s="270"/>
      <c r="AE322" s="264"/>
      <c r="AF322" s="271"/>
      <c r="AG322" s="278"/>
      <c r="AH322" s="277" t="str">
        <f>CONCATENATE(YEAR(TAB_Offres[[#This Row],[Request date ]]),"-",MONTH(TAB_Offres[[#This Row],[Request date ]]))</f>
        <v>1900-1</v>
      </c>
      <c r="AI322" s="274" t="e">
        <f>IF(#REF!,1,0)</f>
        <v>#REF!</v>
      </c>
      <c r="AJ322" s="4"/>
      <c r="AK322" s="4"/>
      <c r="AL322" s="4"/>
      <c r="AN322" s="150"/>
      <c r="AQ322" s="4"/>
    </row>
    <row r="323" spans="1:43" x14ac:dyDescent="0.25">
      <c r="A323" s="258">
        <f>ROW(TAB_Offres[[#This Row],[Reference]])-ROW(TAB_Offres[[#Headers],[ID]])</f>
        <v>322</v>
      </c>
      <c r="B323" s="258"/>
      <c r="C323" s="258"/>
      <c r="D323" s="258"/>
      <c r="E323" s="263"/>
      <c r="F323" s="258"/>
      <c r="G323" s="263"/>
      <c r="H323" s="262"/>
      <c r="I323" s="262"/>
      <c r="J323" s="262"/>
      <c r="K323" s="262"/>
      <c r="L323" s="262"/>
      <c r="M323" s="264"/>
      <c r="N323" s="262"/>
      <c r="O323" s="262"/>
      <c r="P323" s="262"/>
      <c r="Q323" s="263"/>
      <c r="R323" s="263"/>
      <c r="S323" s="292"/>
      <c r="T323" s="261"/>
      <c r="U323" s="261"/>
      <c r="V323" s="268"/>
      <c r="W323" s="268"/>
      <c r="X323" s="268"/>
      <c r="Y323" s="268"/>
      <c r="Z323" s="471">
        <f>SUMIF(TAB_CS[Reference],TAB_Offres[[#This Row],[Reference]],TAB_CS[Commited days])</f>
        <v>0</v>
      </c>
      <c r="AA323" s="269">
        <f>SUMIF(TAB_CS[Reference],TAB_Offres[[#This Row],[Reference]],TAB_CS[Commited amount])</f>
        <v>0</v>
      </c>
      <c r="AB323" s="275"/>
      <c r="AC323" s="270"/>
      <c r="AD323" s="270"/>
      <c r="AE323" s="264"/>
      <c r="AF323" s="271"/>
      <c r="AG323" s="278"/>
      <c r="AH323" s="277" t="str">
        <f>CONCATENATE(YEAR(TAB_Offres[[#This Row],[Request date ]]),"-",MONTH(TAB_Offres[[#This Row],[Request date ]]))</f>
        <v>1900-1</v>
      </c>
      <c r="AI323" s="274" t="e">
        <f>IF(#REF!,1,0)</f>
        <v>#REF!</v>
      </c>
      <c r="AJ323" s="4"/>
      <c r="AK323" s="4"/>
      <c r="AL323" s="4"/>
      <c r="AN323" s="150"/>
      <c r="AQ323" s="4"/>
    </row>
    <row r="324" spans="1:43" x14ac:dyDescent="0.25">
      <c r="A324" s="258">
        <f>ROW(TAB_Offres[[#This Row],[Reference]])-ROW(TAB_Offres[[#Headers],[ID]])</f>
        <v>323</v>
      </c>
      <c r="B324" s="258"/>
      <c r="C324" s="258"/>
      <c r="D324" s="258"/>
      <c r="E324" s="263"/>
      <c r="F324" s="258"/>
      <c r="G324" s="263"/>
      <c r="H324" s="262"/>
      <c r="I324" s="262"/>
      <c r="J324" s="262"/>
      <c r="K324" s="262"/>
      <c r="L324" s="262"/>
      <c r="M324" s="264"/>
      <c r="N324" s="262"/>
      <c r="O324" s="262"/>
      <c r="P324" s="262"/>
      <c r="Q324" s="263"/>
      <c r="R324" s="263"/>
      <c r="S324" s="292"/>
      <c r="T324" s="261"/>
      <c r="U324" s="261"/>
      <c r="V324" s="268"/>
      <c r="W324" s="268"/>
      <c r="X324" s="268"/>
      <c r="Y324" s="268"/>
      <c r="Z324" s="471">
        <f>SUMIF(TAB_CS[Reference],TAB_Offres[[#This Row],[Reference]],TAB_CS[Commited days])</f>
        <v>0</v>
      </c>
      <c r="AA324" s="269">
        <f>SUMIF(TAB_CS[Reference],TAB_Offres[[#This Row],[Reference]],TAB_CS[Commited amount])</f>
        <v>0</v>
      </c>
      <c r="AB324" s="275"/>
      <c r="AC324" s="270"/>
      <c r="AD324" s="270"/>
      <c r="AE324" s="264"/>
      <c r="AF324" s="271"/>
      <c r="AG324" s="278"/>
      <c r="AH324" s="277" t="str">
        <f>CONCATENATE(YEAR(TAB_Offres[[#This Row],[Request date ]]),"-",MONTH(TAB_Offres[[#This Row],[Request date ]]))</f>
        <v>1900-1</v>
      </c>
      <c r="AI324" s="274" t="e">
        <f>IF(#REF!,1,0)</f>
        <v>#REF!</v>
      </c>
      <c r="AJ324" s="4"/>
      <c r="AK324" s="4"/>
      <c r="AL324" s="4"/>
      <c r="AN324" s="150"/>
      <c r="AQ324" s="4"/>
    </row>
    <row r="325" spans="1:43" x14ac:dyDescent="0.25">
      <c r="A325" s="258">
        <f>ROW(TAB_Offres[[#This Row],[Reference]])-ROW(TAB_Offres[[#Headers],[ID]])</f>
        <v>324</v>
      </c>
      <c r="B325" s="258"/>
      <c r="C325" s="258"/>
      <c r="D325" s="258"/>
      <c r="E325" s="263"/>
      <c r="F325" s="258"/>
      <c r="G325" s="263"/>
      <c r="H325" s="262"/>
      <c r="I325" s="262"/>
      <c r="J325" s="262"/>
      <c r="K325" s="262"/>
      <c r="L325" s="262"/>
      <c r="M325" s="264"/>
      <c r="N325" s="262"/>
      <c r="O325" s="262"/>
      <c r="P325" s="262"/>
      <c r="Q325" s="263"/>
      <c r="R325" s="263"/>
      <c r="S325" s="292"/>
      <c r="T325" s="261"/>
      <c r="U325" s="261"/>
      <c r="V325" s="268"/>
      <c r="W325" s="268"/>
      <c r="X325" s="268"/>
      <c r="Y325" s="268"/>
      <c r="Z325" s="471">
        <f>SUMIF(TAB_CS[Reference],TAB_Offres[[#This Row],[Reference]],TAB_CS[Commited days])</f>
        <v>0</v>
      </c>
      <c r="AA325" s="269">
        <f>SUMIF(TAB_CS[Reference],TAB_Offres[[#This Row],[Reference]],TAB_CS[Commited amount])</f>
        <v>0</v>
      </c>
      <c r="AB325" s="275"/>
      <c r="AC325" s="270"/>
      <c r="AD325" s="270"/>
      <c r="AE325" s="264"/>
      <c r="AF325" s="271"/>
      <c r="AG325" s="278"/>
      <c r="AH325" s="277" t="str">
        <f>CONCATENATE(YEAR(TAB_Offres[[#This Row],[Request date ]]),"-",MONTH(TAB_Offres[[#This Row],[Request date ]]))</f>
        <v>1900-1</v>
      </c>
      <c r="AI325" s="274" t="e">
        <f>IF(#REF!,1,0)</f>
        <v>#REF!</v>
      </c>
      <c r="AJ325" s="4"/>
      <c r="AK325" s="4"/>
      <c r="AL325" s="4"/>
      <c r="AN325" s="150"/>
      <c r="AQ325" s="4"/>
    </row>
    <row r="326" spans="1:43" x14ac:dyDescent="0.25">
      <c r="A326" s="258">
        <f>ROW(TAB_Offres[[#This Row],[Reference]])-ROW(TAB_Offres[[#Headers],[ID]])</f>
        <v>325</v>
      </c>
      <c r="B326" s="258"/>
      <c r="C326" s="258"/>
      <c r="D326" s="258"/>
      <c r="E326" s="263"/>
      <c r="F326" s="258"/>
      <c r="G326" s="263"/>
      <c r="H326" s="262"/>
      <c r="I326" s="262"/>
      <c r="J326" s="262"/>
      <c r="K326" s="262"/>
      <c r="L326" s="262"/>
      <c r="M326" s="264"/>
      <c r="N326" s="262"/>
      <c r="O326" s="262"/>
      <c r="P326" s="262"/>
      <c r="Q326" s="263"/>
      <c r="R326" s="263"/>
      <c r="S326" s="292"/>
      <c r="T326" s="261"/>
      <c r="U326" s="261"/>
      <c r="V326" s="268"/>
      <c r="W326" s="268"/>
      <c r="X326" s="268"/>
      <c r="Y326" s="268"/>
      <c r="Z326" s="471">
        <f>SUMIF(TAB_CS[Reference],TAB_Offres[[#This Row],[Reference]],TAB_CS[Commited days])</f>
        <v>0</v>
      </c>
      <c r="AA326" s="269">
        <f>SUMIF(TAB_CS[Reference],TAB_Offres[[#This Row],[Reference]],TAB_CS[Commited amount])</f>
        <v>0</v>
      </c>
      <c r="AB326" s="275"/>
      <c r="AC326" s="270"/>
      <c r="AD326" s="270"/>
      <c r="AE326" s="264"/>
      <c r="AF326" s="271"/>
      <c r="AG326" s="278"/>
      <c r="AH326" s="277" t="str">
        <f>CONCATENATE(YEAR(TAB_Offres[[#This Row],[Request date ]]),"-",MONTH(TAB_Offres[[#This Row],[Request date ]]))</f>
        <v>1900-1</v>
      </c>
      <c r="AI326" s="274" t="e">
        <f>IF(#REF!,1,0)</f>
        <v>#REF!</v>
      </c>
      <c r="AJ326" s="4"/>
      <c r="AK326" s="4"/>
      <c r="AL326" s="4"/>
      <c r="AN326" s="150"/>
      <c r="AQ326" s="4"/>
    </row>
    <row r="327" spans="1:43" x14ac:dyDescent="0.25">
      <c r="A327" s="258">
        <f>ROW(TAB_Offres[[#This Row],[Reference]])-ROW(TAB_Offres[[#Headers],[ID]])</f>
        <v>326</v>
      </c>
      <c r="B327" s="258"/>
      <c r="C327" s="258"/>
      <c r="D327" s="258"/>
      <c r="E327" s="263"/>
      <c r="F327" s="258"/>
      <c r="G327" s="263"/>
      <c r="H327" s="262"/>
      <c r="I327" s="262"/>
      <c r="J327" s="262"/>
      <c r="K327" s="262"/>
      <c r="L327" s="262"/>
      <c r="M327" s="264"/>
      <c r="N327" s="262"/>
      <c r="O327" s="262"/>
      <c r="P327" s="262"/>
      <c r="Q327" s="263"/>
      <c r="R327" s="263"/>
      <c r="S327" s="292"/>
      <c r="T327" s="261"/>
      <c r="U327" s="261"/>
      <c r="V327" s="268"/>
      <c r="W327" s="268"/>
      <c r="X327" s="268"/>
      <c r="Y327" s="268"/>
      <c r="Z327" s="471">
        <f>SUMIF(TAB_CS[Reference],TAB_Offres[[#This Row],[Reference]],TAB_CS[Commited days])</f>
        <v>0</v>
      </c>
      <c r="AA327" s="269">
        <f>SUMIF(TAB_CS[Reference],TAB_Offres[[#This Row],[Reference]],TAB_CS[Commited amount])</f>
        <v>0</v>
      </c>
      <c r="AB327" s="275"/>
      <c r="AC327" s="270"/>
      <c r="AD327" s="270"/>
      <c r="AE327" s="264"/>
      <c r="AF327" s="271"/>
      <c r="AG327" s="278"/>
      <c r="AH327" s="277" t="str">
        <f>CONCATENATE(YEAR(TAB_Offres[[#This Row],[Request date ]]),"-",MONTH(TAB_Offres[[#This Row],[Request date ]]))</f>
        <v>1900-1</v>
      </c>
      <c r="AI327" s="274" t="e">
        <f>IF(#REF!,1,0)</f>
        <v>#REF!</v>
      </c>
      <c r="AJ327" s="4"/>
      <c r="AK327" s="4"/>
      <c r="AL327" s="4"/>
      <c r="AN327" s="150"/>
      <c r="AQ327" s="4"/>
    </row>
    <row r="328" spans="1:43" x14ac:dyDescent="0.25">
      <c r="A328" s="258">
        <f>ROW(TAB_Offres[[#This Row],[Reference]])-ROW(TAB_Offres[[#Headers],[ID]])</f>
        <v>327</v>
      </c>
      <c r="B328" s="258"/>
      <c r="C328" s="258"/>
      <c r="D328" s="258"/>
      <c r="E328" s="263"/>
      <c r="F328" s="258"/>
      <c r="G328" s="263"/>
      <c r="H328" s="262"/>
      <c r="I328" s="262"/>
      <c r="J328" s="262"/>
      <c r="K328" s="262"/>
      <c r="L328" s="262"/>
      <c r="M328" s="264"/>
      <c r="N328" s="262"/>
      <c r="O328" s="262"/>
      <c r="P328" s="262"/>
      <c r="Q328" s="263"/>
      <c r="R328" s="263"/>
      <c r="S328" s="292"/>
      <c r="T328" s="261"/>
      <c r="U328" s="261"/>
      <c r="V328" s="268"/>
      <c r="W328" s="268"/>
      <c r="X328" s="268"/>
      <c r="Y328" s="268"/>
      <c r="Z328" s="471">
        <f>SUMIF(TAB_CS[Reference],TAB_Offres[[#This Row],[Reference]],TAB_CS[Commited days])</f>
        <v>0</v>
      </c>
      <c r="AA328" s="269">
        <f>SUMIF(TAB_CS[Reference],TAB_Offres[[#This Row],[Reference]],TAB_CS[Commited amount])</f>
        <v>0</v>
      </c>
      <c r="AB328" s="275"/>
      <c r="AC328" s="270"/>
      <c r="AD328" s="270"/>
      <c r="AE328" s="264"/>
      <c r="AF328" s="271"/>
      <c r="AG328" s="278"/>
      <c r="AH328" s="277" t="str">
        <f>CONCATENATE(YEAR(TAB_Offres[[#This Row],[Request date ]]),"-",MONTH(TAB_Offres[[#This Row],[Request date ]]))</f>
        <v>1900-1</v>
      </c>
      <c r="AI328" s="274" t="e">
        <f>IF(#REF!,1,0)</f>
        <v>#REF!</v>
      </c>
      <c r="AJ328" s="4"/>
      <c r="AK328" s="4"/>
      <c r="AL328" s="4"/>
      <c r="AN328" s="150"/>
      <c r="AQ328" s="4"/>
    </row>
    <row r="329" spans="1:43" x14ac:dyDescent="0.25">
      <c r="A329" s="258">
        <f>ROW(TAB_Offres[[#This Row],[Reference]])-ROW(TAB_Offres[[#Headers],[ID]])</f>
        <v>328</v>
      </c>
      <c r="B329" s="258"/>
      <c r="C329" s="258"/>
      <c r="D329" s="258"/>
      <c r="E329" s="263"/>
      <c r="F329" s="258"/>
      <c r="G329" s="263"/>
      <c r="H329" s="262"/>
      <c r="I329" s="262"/>
      <c r="J329" s="262"/>
      <c r="K329" s="262"/>
      <c r="L329" s="262"/>
      <c r="M329" s="264"/>
      <c r="N329" s="262"/>
      <c r="O329" s="262"/>
      <c r="P329" s="262"/>
      <c r="Q329" s="263"/>
      <c r="R329" s="263"/>
      <c r="S329" s="292"/>
      <c r="T329" s="261"/>
      <c r="U329" s="261"/>
      <c r="V329" s="268"/>
      <c r="W329" s="268"/>
      <c r="X329" s="268"/>
      <c r="Y329" s="268"/>
      <c r="Z329" s="471">
        <f>SUMIF(TAB_CS[Reference],TAB_Offres[[#This Row],[Reference]],TAB_CS[Commited days])</f>
        <v>0</v>
      </c>
      <c r="AA329" s="269">
        <f>SUMIF(TAB_CS[Reference],TAB_Offres[[#This Row],[Reference]],TAB_CS[Commited amount])</f>
        <v>0</v>
      </c>
      <c r="AB329" s="275"/>
      <c r="AC329" s="270"/>
      <c r="AD329" s="270"/>
      <c r="AE329" s="264"/>
      <c r="AF329" s="271"/>
      <c r="AG329" s="278"/>
      <c r="AH329" s="277" t="str">
        <f>CONCATENATE(YEAR(TAB_Offres[[#This Row],[Request date ]]),"-",MONTH(TAB_Offres[[#This Row],[Request date ]]))</f>
        <v>1900-1</v>
      </c>
      <c r="AI329" s="274" t="e">
        <f>IF(#REF!,1,0)</f>
        <v>#REF!</v>
      </c>
      <c r="AJ329" s="4"/>
      <c r="AK329" s="4"/>
      <c r="AL329" s="4"/>
      <c r="AN329" s="150"/>
      <c r="AQ329" s="4"/>
    </row>
    <row r="330" spans="1:43" x14ac:dyDescent="0.25">
      <c r="A330" s="258">
        <f>ROW(TAB_Offres[[#This Row],[Reference]])-ROW(TAB_Offres[[#Headers],[ID]])</f>
        <v>329</v>
      </c>
      <c r="B330" s="258"/>
      <c r="C330" s="258"/>
      <c r="D330" s="258"/>
      <c r="E330" s="263"/>
      <c r="F330" s="258"/>
      <c r="G330" s="263"/>
      <c r="H330" s="262"/>
      <c r="I330" s="262"/>
      <c r="J330" s="262"/>
      <c r="K330" s="262"/>
      <c r="L330" s="262"/>
      <c r="M330" s="264"/>
      <c r="N330" s="262"/>
      <c r="O330" s="262"/>
      <c r="P330" s="262"/>
      <c r="Q330" s="263"/>
      <c r="R330" s="263"/>
      <c r="S330" s="292"/>
      <c r="T330" s="261"/>
      <c r="U330" s="261"/>
      <c r="V330" s="268"/>
      <c r="W330" s="268"/>
      <c r="X330" s="268"/>
      <c r="Y330" s="268"/>
      <c r="Z330" s="471">
        <f>SUMIF(TAB_CS[Reference],TAB_Offres[[#This Row],[Reference]],TAB_CS[Commited days])</f>
        <v>0</v>
      </c>
      <c r="AA330" s="269">
        <f>SUMIF(TAB_CS[Reference],TAB_Offres[[#This Row],[Reference]],TAB_CS[Commited amount])</f>
        <v>0</v>
      </c>
      <c r="AB330" s="275"/>
      <c r="AC330" s="270"/>
      <c r="AD330" s="270"/>
      <c r="AE330" s="264"/>
      <c r="AF330" s="271"/>
      <c r="AG330" s="278"/>
      <c r="AH330" s="277" t="str">
        <f>CONCATENATE(YEAR(TAB_Offres[[#This Row],[Request date ]]),"-",MONTH(TAB_Offres[[#This Row],[Request date ]]))</f>
        <v>1900-1</v>
      </c>
      <c r="AI330" s="274" t="e">
        <f>IF(#REF!,1,0)</f>
        <v>#REF!</v>
      </c>
      <c r="AJ330" s="4"/>
      <c r="AK330" s="4"/>
      <c r="AL330" s="4"/>
      <c r="AN330" s="150"/>
      <c r="AQ330" s="4"/>
    </row>
    <row r="331" spans="1:43" x14ac:dyDescent="0.25">
      <c r="A331" s="258">
        <f>ROW(TAB_Offres[[#This Row],[Reference]])-ROW(TAB_Offres[[#Headers],[ID]])</f>
        <v>330</v>
      </c>
      <c r="B331" s="258"/>
      <c r="C331" s="258"/>
      <c r="D331" s="258"/>
      <c r="E331" s="263"/>
      <c r="F331" s="258"/>
      <c r="G331" s="263"/>
      <c r="H331" s="262"/>
      <c r="I331" s="262"/>
      <c r="J331" s="262"/>
      <c r="K331" s="262"/>
      <c r="L331" s="262"/>
      <c r="M331" s="264"/>
      <c r="N331" s="262"/>
      <c r="O331" s="262"/>
      <c r="P331" s="262"/>
      <c r="Q331" s="263"/>
      <c r="R331" s="263"/>
      <c r="S331" s="292"/>
      <c r="T331" s="261"/>
      <c r="U331" s="261"/>
      <c r="V331" s="268"/>
      <c r="W331" s="268"/>
      <c r="X331" s="268"/>
      <c r="Y331" s="268"/>
      <c r="Z331" s="471">
        <f>SUMIF(TAB_CS[Reference],TAB_Offres[[#This Row],[Reference]],TAB_CS[Commited days])</f>
        <v>0</v>
      </c>
      <c r="AA331" s="269">
        <f>SUMIF(TAB_CS[Reference],TAB_Offres[[#This Row],[Reference]],TAB_CS[Commited amount])</f>
        <v>0</v>
      </c>
      <c r="AB331" s="275"/>
      <c r="AC331" s="270"/>
      <c r="AD331" s="270"/>
      <c r="AE331" s="264"/>
      <c r="AF331" s="271"/>
      <c r="AG331" s="278"/>
      <c r="AH331" s="277" t="str">
        <f>CONCATENATE(YEAR(TAB_Offres[[#This Row],[Request date ]]),"-",MONTH(TAB_Offres[[#This Row],[Request date ]]))</f>
        <v>1900-1</v>
      </c>
      <c r="AI331" s="274" t="e">
        <f>IF(#REF!,1,0)</f>
        <v>#REF!</v>
      </c>
      <c r="AJ331" s="4"/>
      <c r="AK331" s="4"/>
      <c r="AL331" s="4"/>
      <c r="AN331" s="150"/>
      <c r="AQ331" s="4"/>
    </row>
    <row r="332" spans="1:43" x14ac:dyDescent="0.25">
      <c r="A332" s="258">
        <f>ROW(TAB_Offres[[#This Row],[Reference]])-ROW(TAB_Offres[[#Headers],[ID]])</f>
        <v>331</v>
      </c>
      <c r="B332" s="258"/>
      <c r="C332" s="258"/>
      <c r="D332" s="258"/>
      <c r="E332" s="263"/>
      <c r="F332" s="258"/>
      <c r="G332" s="263"/>
      <c r="H332" s="262"/>
      <c r="I332" s="262"/>
      <c r="J332" s="262"/>
      <c r="K332" s="262"/>
      <c r="L332" s="262"/>
      <c r="M332" s="264"/>
      <c r="N332" s="262"/>
      <c r="O332" s="262"/>
      <c r="P332" s="262"/>
      <c r="Q332" s="263"/>
      <c r="R332" s="263"/>
      <c r="S332" s="292"/>
      <c r="T332" s="261"/>
      <c r="U332" s="261"/>
      <c r="V332" s="268"/>
      <c r="W332" s="268"/>
      <c r="X332" s="268"/>
      <c r="Y332" s="268"/>
      <c r="Z332" s="471">
        <f>SUMIF(TAB_CS[Reference],TAB_Offres[[#This Row],[Reference]],TAB_CS[Commited days])</f>
        <v>0</v>
      </c>
      <c r="AA332" s="269">
        <f>SUMIF(TAB_CS[Reference],TAB_Offres[[#This Row],[Reference]],TAB_CS[Commited amount])</f>
        <v>0</v>
      </c>
      <c r="AB332" s="275"/>
      <c r="AC332" s="270"/>
      <c r="AD332" s="270"/>
      <c r="AE332" s="264"/>
      <c r="AF332" s="271"/>
      <c r="AG332" s="278"/>
      <c r="AH332" s="277" t="str">
        <f>CONCATENATE(YEAR(TAB_Offres[[#This Row],[Request date ]]),"-",MONTH(TAB_Offres[[#This Row],[Request date ]]))</f>
        <v>1900-1</v>
      </c>
      <c r="AI332" s="274" t="e">
        <f>IF(#REF!,1,0)</f>
        <v>#REF!</v>
      </c>
      <c r="AJ332" s="4"/>
      <c r="AK332" s="4"/>
      <c r="AL332" s="4"/>
      <c r="AN332" s="150"/>
      <c r="AQ332" s="4"/>
    </row>
    <row r="333" spans="1:43" x14ac:dyDescent="0.25">
      <c r="A333" s="258">
        <f>ROW(TAB_Offres[[#This Row],[Reference]])-ROW(TAB_Offres[[#Headers],[ID]])</f>
        <v>332</v>
      </c>
      <c r="B333" s="258"/>
      <c r="C333" s="258"/>
      <c r="D333" s="258"/>
      <c r="E333" s="263"/>
      <c r="F333" s="258"/>
      <c r="G333" s="263"/>
      <c r="H333" s="262"/>
      <c r="I333" s="262"/>
      <c r="J333" s="262"/>
      <c r="K333" s="262"/>
      <c r="L333" s="262"/>
      <c r="M333" s="264"/>
      <c r="N333" s="262"/>
      <c r="O333" s="262"/>
      <c r="P333" s="262"/>
      <c r="Q333" s="263"/>
      <c r="R333" s="263"/>
      <c r="S333" s="292"/>
      <c r="T333" s="261"/>
      <c r="U333" s="261"/>
      <c r="V333" s="268"/>
      <c r="W333" s="268"/>
      <c r="X333" s="268"/>
      <c r="Y333" s="268"/>
      <c r="Z333" s="471">
        <f>SUMIF(TAB_CS[Reference],TAB_Offres[[#This Row],[Reference]],TAB_CS[Commited days])</f>
        <v>0</v>
      </c>
      <c r="AA333" s="269">
        <f>SUMIF(TAB_CS[Reference],TAB_Offres[[#This Row],[Reference]],TAB_CS[Commited amount])</f>
        <v>0</v>
      </c>
      <c r="AB333" s="275"/>
      <c r="AC333" s="270"/>
      <c r="AD333" s="270"/>
      <c r="AE333" s="264"/>
      <c r="AF333" s="271"/>
      <c r="AG333" s="278"/>
      <c r="AH333" s="277" t="str">
        <f>CONCATENATE(YEAR(TAB_Offres[[#This Row],[Request date ]]),"-",MONTH(TAB_Offres[[#This Row],[Request date ]]))</f>
        <v>1900-1</v>
      </c>
      <c r="AI333" s="274" t="e">
        <f>IF(#REF!,1,0)</f>
        <v>#REF!</v>
      </c>
      <c r="AJ333" s="4"/>
      <c r="AK333" s="4"/>
      <c r="AL333" s="4"/>
      <c r="AN333" s="150"/>
      <c r="AQ333" s="4"/>
    </row>
    <row r="334" spans="1:43" x14ac:dyDescent="0.25">
      <c r="A334" s="258">
        <f>ROW(TAB_Offres[[#This Row],[Reference]])-ROW(TAB_Offres[[#Headers],[ID]])</f>
        <v>333</v>
      </c>
      <c r="B334" s="258"/>
      <c r="C334" s="258"/>
      <c r="D334" s="258"/>
      <c r="E334" s="263"/>
      <c r="F334" s="258"/>
      <c r="G334" s="263"/>
      <c r="H334" s="262"/>
      <c r="I334" s="262"/>
      <c r="J334" s="262"/>
      <c r="K334" s="262"/>
      <c r="L334" s="262"/>
      <c r="M334" s="264"/>
      <c r="N334" s="262"/>
      <c r="O334" s="262"/>
      <c r="P334" s="262"/>
      <c r="Q334" s="263"/>
      <c r="R334" s="263"/>
      <c r="S334" s="292"/>
      <c r="T334" s="261"/>
      <c r="U334" s="261"/>
      <c r="V334" s="268"/>
      <c r="W334" s="268"/>
      <c r="X334" s="268"/>
      <c r="Y334" s="268"/>
      <c r="Z334" s="471">
        <f>SUMIF(TAB_CS[Reference],TAB_Offres[[#This Row],[Reference]],TAB_CS[Commited days])</f>
        <v>0</v>
      </c>
      <c r="AA334" s="269">
        <f>SUMIF(TAB_CS[Reference],TAB_Offres[[#This Row],[Reference]],TAB_CS[Commited amount])</f>
        <v>0</v>
      </c>
      <c r="AB334" s="275"/>
      <c r="AC334" s="270"/>
      <c r="AD334" s="270"/>
      <c r="AE334" s="264"/>
      <c r="AF334" s="271"/>
      <c r="AG334" s="278"/>
      <c r="AH334" s="277" t="str">
        <f>CONCATENATE(YEAR(TAB_Offres[[#This Row],[Request date ]]),"-",MONTH(TAB_Offres[[#This Row],[Request date ]]))</f>
        <v>1900-1</v>
      </c>
      <c r="AI334" s="274" t="e">
        <f>IF(#REF!,1,0)</f>
        <v>#REF!</v>
      </c>
      <c r="AJ334" s="4"/>
      <c r="AK334" s="4"/>
      <c r="AL334" s="4"/>
      <c r="AN334" s="150"/>
      <c r="AQ334" s="4"/>
    </row>
    <row r="335" spans="1:43" x14ac:dyDescent="0.25">
      <c r="A335" s="258">
        <f>ROW(TAB_Offres[[#This Row],[Reference]])-ROW(TAB_Offres[[#Headers],[ID]])</f>
        <v>334</v>
      </c>
      <c r="B335" s="258"/>
      <c r="C335" s="258"/>
      <c r="D335" s="258"/>
      <c r="E335" s="263"/>
      <c r="F335" s="258"/>
      <c r="G335" s="263"/>
      <c r="H335" s="262"/>
      <c r="I335" s="262"/>
      <c r="J335" s="262"/>
      <c r="K335" s="262"/>
      <c r="L335" s="262"/>
      <c r="M335" s="264"/>
      <c r="N335" s="262"/>
      <c r="O335" s="262"/>
      <c r="P335" s="262"/>
      <c r="Q335" s="263"/>
      <c r="R335" s="263"/>
      <c r="S335" s="292"/>
      <c r="T335" s="261"/>
      <c r="U335" s="261"/>
      <c r="V335" s="268"/>
      <c r="W335" s="268"/>
      <c r="X335" s="268"/>
      <c r="Y335" s="268"/>
      <c r="Z335" s="471">
        <f>SUMIF(TAB_CS[Reference],TAB_Offres[[#This Row],[Reference]],TAB_CS[Commited days])</f>
        <v>0</v>
      </c>
      <c r="AA335" s="269">
        <f>SUMIF(TAB_CS[Reference],TAB_Offres[[#This Row],[Reference]],TAB_CS[Commited amount])</f>
        <v>0</v>
      </c>
      <c r="AB335" s="275"/>
      <c r="AC335" s="270"/>
      <c r="AD335" s="270"/>
      <c r="AE335" s="264"/>
      <c r="AF335" s="271"/>
      <c r="AG335" s="278"/>
      <c r="AH335" s="277" t="str">
        <f>CONCATENATE(YEAR(TAB_Offres[[#This Row],[Request date ]]),"-",MONTH(TAB_Offres[[#This Row],[Request date ]]))</f>
        <v>1900-1</v>
      </c>
      <c r="AI335" s="274" t="e">
        <f>IF(#REF!,1,0)</f>
        <v>#REF!</v>
      </c>
      <c r="AJ335" s="4"/>
      <c r="AK335" s="4"/>
      <c r="AL335" s="4"/>
      <c r="AN335" s="150"/>
      <c r="AQ335" s="4"/>
    </row>
    <row r="336" spans="1:43" x14ac:dyDescent="0.25">
      <c r="A336" s="258">
        <f>ROW(TAB_Offres[[#This Row],[Reference]])-ROW(TAB_Offres[[#Headers],[ID]])</f>
        <v>335</v>
      </c>
      <c r="B336" s="258"/>
      <c r="C336" s="258"/>
      <c r="D336" s="258"/>
      <c r="E336" s="263"/>
      <c r="F336" s="258"/>
      <c r="G336" s="263"/>
      <c r="H336" s="262"/>
      <c r="I336" s="262"/>
      <c r="J336" s="262"/>
      <c r="K336" s="262"/>
      <c r="L336" s="262"/>
      <c r="M336" s="264"/>
      <c r="N336" s="262"/>
      <c r="O336" s="262"/>
      <c r="P336" s="262"/>
      <c r="Q336" s="263"/>
      <c r="R336" s="263"/>
      <c r="S336" s="292"/>
      <c r="T336" s="261"/>
      <c r="U336" s="261"/>
      <c r="V336" s="268"/>
      <c r="W336" s="268"/>
      <c r="X336" s="268"/>
      <c r="Y336" s="268"/>
      <c r="Z336" s="471">
        <f>SUMIF(TAB_CS[Reference],TAB_Offres[[#This Row],[Reference]],TAB_CS[Commited days])</f>
        <v>0</v>
      </c>
      <c r="AA336" s="269">
        <f>SUMIF(TAB_CS[Reference],TAB_Offres[[#This Row],[Reference]],TAB_CS[Commited amount])</f>
        <v>0</v>
      </c>
      <c r="AB336" s="275"/>
      <c r="AC336" s="270"/>
      <c r="AD336" s="270"/>
      <c r="AE336" s="264"/>
      <c r="AF336" s="271"/>
      <c r="AG336" s="278"/>
      <c r="AH336" s="277" t="str">
        <f>CONCATENATE(YEAR(TAB_Offres[[#This Row],[Request date ]]),"-",MONTH(TAB_Offres[[#This Row],[Request date ]]))</f>
        <v>1900-1</v>
      </c>
      <c r="AI336" s="274" t="e">
        <f>IF(#REF!,1,0)</f>
        <v>#REF!</v>
      </c>
      <c r="AJ336" s="4"/>
      <c r="AK336" s="4"/>
      <c r="AL336" s="4"/>
      <c r="AN336" s="150"/>
      <c r="AQ336" s="4"/>
    </row>
    <row r="337" spans="1:43" x14ac:dyDescent="0.25">
      <c r="A337" s="258">
        <f>ROW(TAB_Offres[[#This Row],[Reference]])-ROW(TAB_Offres[[#Headers],[ID]])</f>
        <v>336</v>
      </c>
      <c r="B337" s="258"/>
      <c r="C337" s="258"/>
      <c r="D337" s="258"/>
      <c r="E337" s="263"/>
      <c r="F337" s="258"/>
      <c r="G337" s="263"/>
      <c r="H337" s="262"/>
      <c r="I337" s="262"/>
      <c r="J337" s="262"/>
      <c r="K337" s="262"/>
      <c r="L337" s="262"/>
      <c r="M337" s="264"/>
      <c r="N337" s="262"/>
      <c r="O337" s="262"/>
      <c r="P337" s="262"/>
      <c r="Q337" s="263"/>
      <c r="R337" s="263"/>
      <c r="S337" s="292"/>
      <c r="T337" s="261"/>
      <c r="U337" s="261"/>
      <c r="V337" s="268"/>
      <c r="W337" s="268"/>
      <c r="X337" s="268"/>
      <c r="Y337" s="268"/>
      <c r="Z337" s="471">
        <f>SUMIF(TAB_CS[Reference],TAB_Offres[[#This Row],[Reference]],TAB_CS[Commited days])</f>
        <v>0</v>
      </c>
      <c r="AA337" s="269">
        <f>SUMIF(TAB_CS[Reference],TAB_Offres[[#This Row],[Reference]],TAB_CS[Commited amount])</f>
        <v>0</v>
      </c>
      <c r="AB337" s="275"/>
      <c r="AC337" s="270"/>
      <c r="AD337" s="270"/>
      <c r="AE337" s="264"/>
      <c r="AF337" s="271"/>
      <c r="AG337" s="278"/>
      <c r="AH337" s="277" t="str">
        <f>CONCATENATE(YEAR(TAB_Offres[[#This Row],[Request date ]]),"-",MONTH(TAB_Offres[[#This Row],[Request date ]]))</f>
        <v>1900-1</v>
      </c>
      <c r="AI337" s="274" t="e">
        <f>IF(#REF!,1,0)</f>
        <v>#REF!</v>
      </c>
      <c r="AJ337" s="4"/>
      <c r="AK337" s="4"/>
      <c r="AL337" s="4"/>
      <c r="AN337" s="150"/>
      <c r="AQ337" s="4"/>
    </row>
    <row r="338" spans="1:43" x14ac:dyDescent="0.25">
      <c r="A338" s="258">
        <f>ROW(TAB_Offres[[#This Row],[Reference]])-ROW(TAB_Offres[[#Headers],[ID]])</f>
        <v>337</v>
      </c>
      <c r="B338" s="258"/>
      <c r="C338" s="258"/>
      <c r="D338" s="258"/>
      <c r="E338" s="263"/>
      <c r="F338" s="258"/>
      <c r="G338" s="263"/>
      <c r="H338" s="262"/>
      <c r="I338" s="262"/>
      <c r="J338" s="262"/>
      <c r="K338" s="262"/>
      <c r="L338" s="262"/>
      <c r="M338" s="264"/>
      <c r="N338" s="262"/>
      <c r="O338" s="262"/>
      <c r="P338" s="262"/>
      <c r="Q338" s="263"/>
      <c r="R338" s="263"/>
      <c r="S338" s="292"/>
      <c r="T338" s="261"/>
      <c r="U338" s="261"/>
      <c r="V338" s="268"/>
      <c r="W338" s="268"/>
      <c r="X338" s="268"/>
      <c r="Y338" s="268"/>
      <c r="Z338" s="471">
        <f>SUMIF(TAB_CS[Reference],TAB_Offres[[#This Row],[Reference]],TAB_CS[Commited days])</f>
        <v>0</v>
      </c>
      <c r="AA338" s="269">
        <f>SUMIF(TAB_CS[Reference],TAB_Offres[[#This Row],[Reference]],TAB_CS[Commited amount])</f>
        <v>0</v>
      </c>
      <c r="AB338" s="275"/>
      <c r="AC338" s="270"/>
      <c r="AD338" s="270"/>
      <c r="AE338" s="264"/>
      <c r="AF338" s="271"/>
      <c r="AG338" s="278"/>
      <c r="AH338" s="277" t="str">
        <f>CONCATENATE(YEAR(TAB_Offres[[#This Row],[Request date ]]),"-",MONTH(TAB_Offres[[#This Row],[Request date ]]))</f>
        <v>1900-1</v>
      </c>
      <c r="AI338" s="274" t="e">
        <f>IF(#REF!,1,0)</f>
        <v>#REF!</v>
      </c>
      <c r="AJ338" s="4"/>
      <c r="AK338" s="4"/>
      <c r="AL338" s="4"/>
      <c r="AN338" s="150"/>
      <c r="AQ338" s="4"/>
    </row>
    <row r="339" spans="1:43" x14ac:dyDescent="0.25">
      <c r="A339" s="258">
        <f>ROW(TAB_Offres[[#This Row],[Reference]])-ROW(TAB_Offres[[#Headers],[ID]])</f>
        <v>338</v>
      </c>
      <c r="B339" s="258"/>
      <c r="C339" s="258"/>
      <c r="D339" s="258"/>
      <c r="E339" s="263"/>
      <c r="F339" s="258"/>
      <c r="G339" s="263"/>
      <c r="H339" s="262"/>
      <c r="I339" s="262"/>
      <c r="J339" s="262"/>
      <c r="K339" s="262"/>
      <c r="L339" s="262"/>
      <c r="M339" s="264"/>
      <c r="N339" s="262"/>
      <c r="O339" s="262"/>
      <c r="P339" s="262"/>
      <c r="Q339" s="263"/>
      <c r="R339" s="263"/>
      <c r="S339" s="292"/>
      <c r="T339" s="261"/>
      <c r="U339" s="261"/>
      <c r="V339" s="268"/>
      <c r="W339" s="268"/>
      <c r="X339" s="268"/>
      <c r="Y339" s="268"/>
      <c r="Z339" s="471">
        <f>SUMIF(TAB_CS[Reference],TAB_Offres[[#This Row],[Reference]],TAB_CS[Commited days])</f>
        <v>0</v>
      </c>
      <c r="AA339" s="269">
        <f>SUMIF(TAB_CS[Reference],TAB_Offres[[#This Row],[Reference]],TAB_CS[Commited amount])</f>
        <v>0</v>
      </c>
      <c r="AB339" s="275"/>
      <c r="AC339" s="270"/>
      <c r="AD339" s="270"/>
      <c r="AE339" s="264"/>
      <c r="AF339" s="271"/>
      <c r="AG339" s="278"/>
      <c r="AH339" s="277" t="str">
        <f>CONCATENATE(YEAR(TAB_Offres[[#This Row],[Request date ]]),"-",MONTH(TAB_Offres[[#This Row],[Request date ]]))</f>
        <v>1900-1</v>
      </c>
      <c r="AI339" s="274" t="e">
        <f>IF(#REF!,1,0)</f>
        <v>#REF!</v>
      </c>
      <c r="AJ339" s="4"/>
      <c r="AK339" s="4"/>
      <c r="AL339" s="4"/>
      <c r="AN339" s="150"/>
      <c r="AQ339" s="4"/>
    </row>
    <row r="340" spans="1:43" x14ac:dyDescent="0.25">
      <c r="A340" s="258">
        <f>ROW(TAB_Offres[[#This Row],[Reference]])-ROW(TAB_Offres[[#Headers],[ID]])</f>
        <v>339</v>
      </c>
      <c r="B340" s="258"/>
      <c r="C340" s="258"/>
      <c r="D340" s="258"/>
      <c r="E340" s="263"/>
      <c r="F340" s="258"/>
      <c r="G340" s="263"/>
      <c r="H340" s="262"/>
      <c r="I340" s="262"/>
      <c r="J340" s="262"/>
      <c r="K340" s="262"/>
      <c r="L340" s="262"/>
      <c r="M340" s="264"/>
      <c r="N340" s="262"/>
      <c r="O340" s="262"/>
      <c r="P340" s="262"/>
      <c r="Q340" s="263"/>
      <c r="R340" s="263"/>
      <c r="S340" s="292"/>
      <c r="T340" s="261"/>
      <c r="U340" s="261"/>
      <c r="V340" s="268"/>
      <c r="W340" s="268"/>
      <c r="X340" s="268"/>
      <c r="Y340" s="268"/>
      <c r="Z340" s="471">
        <f>SUMIF(TAB_CS[Reference],TAB_Offres[[#This Row],[Reference]],TAB_CS[Commited days])</f>
        <v>0</v>
      </c>
      <c r="AA340" s="269">
        <f>SUMIF(TAB_CS[Reference],TAB_Offres[[#This Row],[Reference]],TAB_CS[Commited amount])</f>
        <v>0</v>
      </c>
      <c r="AB340" s="275"/>
      <c r="AC340" s="270"/>
      <c r="AD340" s="270"/>
      <c r="AE340" s="264"/>
      <c r="AF340" s="271"/>
      <c r="AG340" s="278"/>
      <c r="AH340" s="277" t="str">
        <f>CONCATENATE(YEAR(TAB_Offres[[#This Row],[Request date ]]),"-",MONTH(TAB_Offres[[#This Row],[Request date ]]))</f>
        <v>1900-1</v>
      </c>
      <c r="AI340" s="274" t="e">
        <f>IF(#REF!,1,0)</f>
        <v>#REF!</v>
      </c>
      <c r="AJ340" s="4"/>
      <c r="AK340" s="4"/>
      <c r="AL340" s="4"/>
      <c r="AN340" s="150"/>
      <c r="AQ340" s="4"/>
    </row>
    <row r="341" spans="1:43" x14ac:dyDescent="0.25">
      <c r="A341" s="258">
        <f>ROW(TAB_Offres[[#This Row],[Reference]])-ROW(TAB_Offres[[#Headers],[ID]])</f>
        <v>340</v>
      </c>
      <c r="B341" s="258"/>
      <c r="C341" s="258"/>
      <c r="D341" s="258"/>
      <c r="E341" s="263"/>
      <c r="F341" s="258"/>
      <c r="G341" s="263"/>
      <c r="H341" s="262"/>
      <c r="I341" s="262"/>
      <c r="J341" s="262"/>
      <c r="K341" s="262"/>
      <c r="L341" s="262"/>
      <c r="M341" s="264"/>
      <c r="N341" s="262"/>
      <c r="O341" s="262"/>
      <c r="P341" s="262"/>
      <c r="Q341" s="263"/>
      <c r="R341" s="263"/>
      <c r="S341" s="292"/>
      <c r="T341" s="261"/>
      <c r="U341" s="261"/>
      <c r="V341" s="268"/>
      <c r="W341" s="268"/>
      <c r="X341" s="268"/>
      <c r="Y341" s="268"/>
      <c r="Z341" s="471">
        <f>SUMIF(TAB_CS[Reference],TAB_Offres[[#This Row],[Reference]],TAB_CS[Commited days])</f>
        <v>0</v>
      </c>
      <c r="AA341" s="269">
        <f>SUMIF(TAB_CS[Reference],TAB_Offres[[#This Row],[Reference]],TAB_CS[Commited amount])</f>
        <v>0</v>
      </c>
      <c r="AB341" s="275"/>
      <c r="AC341" s="270"/>
      <c r="AD341" s="270"/>
      <c r="AE341" s="264"/>
      <c r="AF341" s="271"/>
      <c r="AG341" s="278"/>
      <c r="AH341" s="277" t="str">
        <f>CONCATENATE(YEAR(TAB_Offres[[#This Row],[Request date ]]),"-",MONTH(TAB_Offres[[#This Row],[Request date ]]))</f>
        <v>1900-1</v>
      </c>
      <c r="AI341" s="274" t="e">
        <f>IF(#REF!,1,0)</f>
        <v>#REF!</v>
      </c>
      <c r="AJ341" s="4"/>
      <c r="AK341" s="4"/>
      <c r="AL341" s="4"/>
      <c r="AN341" s="150"/>
      <c r="AQ341" s="4"/>
    </row>
    <row r="342" spans="1:43" x14ac:dyDescent="0.25">
      <c r="A342" s="258">
        <f>ROW(TAB_Offres[[#This Row],[Reference]])-ROW(TAB_Offres[[#Headers],[ID]])</f>
        <v>341</v>
      </c>
      <c r="B342" s="258"/>
      <c r="C342" s="258"/>
      <c r="D342" s="258"/>
      <c r="E342" s="263"/>
      <c r="F342" s="258"/>
      <c r="G342" s="263"/>
      <c r="H342" s="262"/>
      <c r="I342" s="262"/>
      <c r="J342" s="262"/>
      <c r="K342" s="262"/>
      <c r="L342" s="262"/>
      <c r="M342" s="264"/>
      <c r="N342" s="262"/>
      <c r="O342" s="262"/>
      <c r="P342" s="262"/>
      <c r="Q342" s="263"/>
      <c r="R342" s="263"/>
      <c r="S342" s="292"/>
      <c r="T342" s="261"/>
      <c r="U342" s="261"/>
      <c r="V342" s="268"/>
      <c r="W342" s="268"/>
      <c r="X342" s="268"/>
      <c r="Y342" s="268"/>
      <c r="Z342" s="471">
        <f>SUMIF(TAB_CS[Reference],TAB_Offres[[#This Row],[Reference]],TAB_CS[Commited days])</f>
        <v>0</v>
      </c>
      <c r="AA342" s="269">
        <f>SUMIF(TAB_CS[Reference],TAB_Offres[[#This Row],[Reference]],TAB_CS[Commited amount])</f>
        <v>0</v>
      </c>
      <c r="AB342" s="275"/>
      <c r="AC342" s="270"/>
      <c r="AD342" s="270"/>
      <c r="AE342" s="264"/>
      <c r="AF342" s="271"/>
      <c r="AG342" s="278"/>
      <c r="AH342" s="277" t="str">
        <f>CONCATENATE(YEAR(TAB_Offres[[#This Row],[Request date ]]),"-",MONTH(TAB_Offres[[#This Row],[Request date ]]))</f>
        <v>1900-1</v>
      </c>
      <c r="AI342" s="274" t="e">
        <f>IF(#REF!,1,0)</f>
        <v>#REF!</v>
      </c>
      <c r="AJ342" s="4"/>
      <c r="AK342" s="4"/>
      <c r="AL342" s="4"/>
      <c r="AN342" s="150"/>
      <c r="AQ342" s="4"/>
    </row>
    <row r="343" spans="1:43" x14ac:dyDescent="0.25">
      <c r="A343" s="258">
        <f>ROW(TAB_Offres[[#This Row],[Reference]])-ROW(TAB_Offres[[#Headers],[ID]])</f>
        <v>342</v>
      </c>
      <c r="B343" s="258"/>
      <c r="C343" s="258"/>
      <c r="D343" s="258"/>
      <c r="E343" s="263"/>
      <c r="F343" s="258"/>
      <c r="G343" s="263"/>
      <c r="H343" s="262"/>
      <c r="I343" s="262"/>
      <c r="J343" s="262"/>
      <c r="K343" s="262"/>
      <c r="L343" s="262"/>
      <c r="M343" s="264"/>
      <c r="N343" s="262"/>
      <c r="O343" s="262"/>
      <c r="P343" s="262"/>
      <c r="Q343" s="263"/>
      <c r="R343" s="263"/>
      <c r="S343" s="292"/>
      <c r="T343" s="261"/>
      <c r="U343" s="261"/>
      <c r="V343" s="268"/>
      <c r="W343" s="268"/>
      <c r="X343" s="268"/>
      <c r="Y343" s="268"/>
      <c r="Z343" s="471">
        <f>SUMIF(TAB_CS[Reference],TAB_Offres[[#This Row],[Reference]],TAB_CS[Commited days])</f>
        <v>0</v>
      </c>
      <c r="AA343" s="269">
        <f>SUMIF(TAB_CS[Reference],TAB_Offres[[#This Row],[Reference]],TAB_CS[Commited amount])</f>
        <v>0</v>
      </c>
      <c r="AB343" s="275"/>
      <c r="AC343" s="270"/>
      <c r="AD343" s="270"/>
      <c r="AE343" s="264"/>
      <c r="AF343" s="271"/>
      <c r="AG343" s="278"/>
      <c r="AH343" s="277" t="str">
        <f>CONCATENATE(YEAR(TAB_Offres[[#This Row],[Request date ]]),"-",MONTH(TAB_Offres[[#This Row],[Request date ]]))</f>
        <v>1900-1</v>
      </c>
      <c r="AI343" s="274" t="e">
        <f>IF(#REF!,1,0)</f>
        <v>#REF!</v>
      </c>
      <c r="AJ343" s="4"/>
      <c r="AK343" s="4"/>
      <c r="AL343" s="4"/>
      <c r="AN343" s="150"/>
      <c r="AQ343" s="4"/>
    </row>
    <row r="344" spans="1:43" x14ac:dyDescent="0.25">
      <c r="A344" s="258">
        <f>ROW(TAB_Offres[[#This Row],[Reference]])-ROW(TAB_Offres[[#Headers],[ID]])</f>
        <v>343</v>
      </c>
      <c r="B344" s="258"/>
      <c r="C344" s="258"/>
      <c r="D344" s="258"/>
      <c r="E344" s="263"/>
      <c r="F344" s="258"/>
      <c r="G344" s="263"/>
      <c r="H344" s="262"/>
      <c r="I344" s="262"/>
      <c r="J344" s="262"/>
      <c r="K344" s="262"/>
      <c r="L344" s="262"/>
      <c r="M344" s="264"/>
      <c r="N344" s="262"/>
      <c r="O344" s="262"/>
      <c r="P344" s="262"/>
      <c r="Q344" s="263"/>
      <c r="R344" s="263"/>
      <c r="S344" s="292"/>
      <c r="T344" s="261"/>
      <c r="U344" s="261"/>
      <c r="V344" s="268"/>
      <c r="W344" s="268"/>
      <c r="X344" s="268"/>
      <c r="Y344" s="268"/>
      <c r="Z344" s="471">
        <f>SUMIF(TAB_CS[Reference],TAB_Offres[[#This Row],[Reference]],TAB_CS[Commited days])</f>
        <v>0</v>
      </c>
      <c r="AA344" s="269">
        <f>SUMIF(TAB_CS[Reference],TAB_Offres[[#This Row],[Reference]],TAB_CS[Commited amount])</f>
        <v>0</v>
      </c>
      <c r="AB344" s="275"/>
      <c r="AC344" s="270"/>
      <c r="AD344" s="270"/>
      <c r="AE344" s="264"/>
      <c r="AF344" s="271"/>
      <c r="AG344" s="278"/>
      <c r="AH344" s="277" t="str">
        <f>CONCATENATE(YEAR(TAB_Offres[[#This Row],[Request date ]]),"-",MONTH(TAB_Offres[[#This Row],[Request date ]]))</f>
        <v>1900-1</v>
      </c>
      <c r="AI344" s="274" t="e">
        <f>IF(#REF!,1,0)</f>
        <v>#REF!</v>
      </c>
      <c r="AJ344" s="4"/>
      <c r="AK344" s="4"/>
      <c r="AL344" s="4"/>
      <c r="AN344" s="150"/>
      <c r="AQ344" s="4"/>
    </row>
    <row r="345" spans="1:43" x14ac:dyDescent="0.25">
      <c r="A345" s="258">
        <f>ROW(TAB_Offres[[#This Row],[Reference]])-ROW(TAB_Offres[[#Headers],[ID]])</f>
        <v>344</v>
      </c>
      <c r="B345" s="258"/>
      <c r="C345" s="258"/>
      <c r="D345" s="258"/>
      <c r="E345" s="263"/>
      <c r="F345" s="258"/>
      <c r="G345" s="263"/>
      <c r="H345" s="262"/>
      <c r="I345" s="262"/>
      <c r="J345" s="262"/>
      <c r="K345" s="262"/>
      <c r="L345" s="262"/>
      <c r="M345" s="264"/>
      <c r="N345" s="262"/>
      <c r="O345" s="262"/>
      <c r="P345" s="262"/>
      <c r="Q345" s="263"/>
      <c r="R345" s="263"/>
      <c r="S345" s="292"/>
      <c r="T345" s="261"/>
      <c r="U345" s="261"/>
      <c r="V345" s="268"/>
      <c r="W345" s="268"/>
      <c r="X345" s="268"/>
      <c r="Y345" s="268"/>
      <c r="Z345" s="471">
        <f>SUMIF(TAB_CS[Reference],TAB_Offres[[#This Row],[Reference]],TAB_CS[Commited days])</f>
        <v>0</v>
      </c>
      <c r="AA345" s="269">
        <f>SUMIF(TAB_CS[Reference],TAB_Offres[[#This Row],[Reference]],TAB_CS[Commited amount])</f>
        <v>0</v>
      </c>
      <c r="AB345" s="275"/>
      <c r="AC345" s="270"/>
      <c r="AD345" s="270"/>
      <c r="AE345" s="264"/>
      <c r="AF345" s="271"/>
      <c r="AG345" s="278"/>
      <c r="AH345" s="277" t="str">
        <f>CONCATENATE(YEAR(TAB_Offres[[#This Row],[Request date ]]),"-",MONTH(TAB_Offres[[#This Row],[Request date ]]))</f>
        <v>1900-1</v>
      </c>
      <c r="AI345" s="274" t="e">
        <f>IF(#REF!,1,0)</f>
        <v>#REF!</v>
      </c>
      <c r="AJ345" s="4"/>
      <c r="AK345" s="4"/>
      <c r="AL345" s="4"/>
      <c r="AN345" s="150"/>
      <c r="AQ345" s="4"/>
    </row>
    <row r="346" spans="1:43" x14ac:dyDescent="0.25">
      <c r="A346" s="258">
        <f>ROW(TAB_Offres[[#This Row],[Reference]])-ROW(TAB_Offres[[#Headers],[ID]])</f>
        <v>345</v>
      </c>
      <c r="B346" s="258"/>
      <c r="C346" s="258"/>
      <c r="D346" s="258"/>
      <c r="E346" s="263"/>
      <c r="F346" s="258"/>
      <c r="G346" s="263"/>
      <c r="H346" s="262"/>
      <c r="I346" s="262"/>
      <c r="J346" s="262"/>
      <c r="K346" s="262"/>
      <c r="L346" s="262"/>
      <c r="M346" s="264"/>
      <c r="N346" s="262"/>
      <c r="O346" s="262"/>
      <c r="P346" s="262"/>
      <c r="Q346" s="263"/>
      <c r="R346" s="263"/>
      <c r="S346" s="292"/>
      <c r="T346" s="261"/>
      <c r="U346" s="261"/>
      <c r="V346" s="268"/>
      <c r="W346" s="268"/>
      <c r="X346" s="268"/>
      <c r="Y346" s="268"/>
      <c r="Z346" s="471">
        <f>SUMIF(TAB_CS[Reference],TAB_Offres[[#This Row],[Reference]],TAB_CS[Commited days])</f>
        <v>0</v>
      </c>
      <c r="AA346" s="269">
        <f>SUMIF(TAB_CS[Reference],TAB_Offres[[#This Row],[Reference]],TAB_CS[Commited amount])</f>
        <v>0</v>
      </c>
      <c r="AB346" s="275"/>
      <c r="AC346" s="270"/>
      <c r="AD346" s="270"/>
      <c r="AE346" s="264"/>
      <c r="AF346" s="271"/>
      <c r="AG346" s="278"/>
      <c r="AH346" s="277" t="str">
        <f>CONCATENATE(YEAR(TAB_Offres[[#This Row],[Request date ]]),"-",MONTH(TAB_Offres[[#This Row],[Request date ]]))</f>
        <v>1900-1</v>
      </c>
      <c r="AI346" s="274" t="e">
        <f>IF(#REF!,1,0)</f>
        <v>#REF!</v>
      </c>
      <c r="AJ346" s="4"/>
      <c r="AK346" s="4"/>
      <c r="AL346" s="4"/>
      <c r="AN346" s="150"/>
      <c r="AQ346" s="4"/>
    </row>
    <row r="347" spans="1:43" x14ac:dyDescent="0.25">
      <c r="A347" s="258">
        <f>ROW(TAB_Offres[[#This Row],[Reference]])-ROW(TAB_Offres[[#Headers],[ID]])</f>
        <v>346</v>
      </c>
      <c r="B347" s="258"/>
      <c r="C347" s="258"/>
      <c r="D347" s="258"/>
      <c r="E347" s="263"/>
      <c r="F347" s="258"/>
      <c r="G347" s="263"/>
      <c r="H347" s="262"/>
      <c r="I347" s="262"/>
      <c r="J347" s="262"/>
      <c r="K347" s="262"/>
      <c r="L347" s="262"/>
      <c r="M347" s="264"/>
      <c r="N347" s="262"/>
      <c r="O347" s="262"/>
      <c r="P347" s="262"/>
      <c r="Q347" s="263"/>
      <c r="R347" s="263"/>
      <c r="S347" s="292"/>
      <c r="T347" s="261"/>
      <c r="U347" s="261"/>
      <c r="V347" s="268"/>
      <c r="W347" s="268"/>
      <c r="X347" s="268"/>
      <c r="Y347" s="268"/>
      <c r="Z347" s="471">
        <f>SUMIF(TAB_CS[Reference],TAB_Offres[[#This Row],[Reference]],TAB_CS[Commited days])</f>
        <v>0</v>
      </c>
      <c r="AA347" s="269">
        <f>SUMIF(TAB_CS[Reference],TAB_Offres[[#This Row],[Reference]],TAB_CS[Commited amount])</f>
        <v>0</v>
      </c>
      <c r="AB347" s="275"/>
      <c r="AC347" s="270"/>
      <c r="AD347" s="270"/>
      <c r="AE347" s="264"/>
      <c r="AF347" s="271"/>
      <c r="AG347" s="278"/>
      <c r="AH347" s="277" t="str">
        <f>CONCATENATE(YEAR(TAB_Offres[[#This Row],[Request date ]]),"-",MONTH(TAB_Offres[[#This Row],[Request date ]]))</f>
        <v>1900-1</v>
      </c>
      <c r="AI347" s="274" t="e">
        <f>IF(#REF!,1,0)</f>
        <v>#REF!</v>
      </c>
      <c r="AJ347" s="4"/>
      <c r="AK347" s="4"/>
      <c r="AL347" s="4"/>
      <c r="AN347" s="150"/>
      <c r="AQ347" s="4"/>
    </row>
    <row r="348" spans="1:43" x14ac:dyDescent="0.25">
      <c r="A348" s="258">
        <f>ROW(TAB_Offres[[#This Row],[Reference]])-ROW(TAB_Offres[[#Headers],[ID]])</f>
        <v>347</v>
      </c>
      <c r="B348" s="258"/>
      <c r="C348" s="258"/>
      <c r="D348" s="258"/>
      <c r="E348" s="263"/>
      <c r="F348" s="258"/>
      <c r="G348" s="263"/>
      <c r="H348" s="262"/>
      <c r="I348" s="262"/>
      <c r="J348" s="262"/>
      <c r="K348" s="262"/>
      <c r="L348" s="262"/>
      <c r="M348" s="264"/>
      <c r="N348" s="262"/>
      <c r="O348" s="262"/>
      <c r="P348" s="262"/>
      <c r="Q348" s="263"/>
      <c r="R348" s="263"/>
      <c r="S348" s="292"/>
      <c r="T348" s="261"/>
      <c r="U348" s="261"/>
      <c r="V348" s="268"/>
      <c r="W348" s="268"/>
      <c r="X348" s="268"/>
      <c r="Y348" s="268"/>
      <c r="Z348" s="471">
        <f>SUMIF(TAB_CS[Reference],TAB_Offres[[#This Row],[Reference]],TAB_CS[Commited days])</f>
        <v>0</v>
      </c>
      <c r="AA348" s="269">
        <f>SUMIF(TAB_CS[Reference],TAB_Offres[[#This Row],[Reference]],TAB_CS[Commited amount])</f>
        <v>0</v>
      </c>
      <c r="AB348" s="275"/>
      <c r="AC348" s="270"/>
      <c r="AD348" s="270"/>
      <c r="AE348" s="264"/>
      <c r="AF348" s="271"/>
      <c r="AG348" s="278"/>
      <c r="AH348" s="277" t="str">
        <f>CONCATENATE(YEAR(TAB_Offres[[#This Row],[Request date ]]),"-",MONTH(TAB_Offres[[#This Row],[Request date ]]))</f>
        <v>1900-1</v>
      </c>
      <c r="AI348" s="274" t="e">
        <f>IF(#REF!,1,0)</f>
        <v>#REF!</v>
      </c>
      <c r="AJ348" s="4"/>
      <c r="AK348" s="4"/>
      <c r="AL348" s="4"/>
      <c r="AN348" s="150"/>
      <c r="AQ348" s="4"/>
    </row>
    <row r="349" spans="1:43" x14ac:dyDescent="0.25">
      <c r="A349" s="258">
        <f>ROW(TAB_Offres[[#This Row],[Reference]])-ROW(TAB_Offres[[#Headers],[ID]])</f>
        <v>348</v>
      </c>
      <c r="B349" s="258"/>
      <c r="C349" s="258"/>
      <c r="D349" s="258"/>
      <c r="E349" s="263"/>
      <c r="F349" s="258"/>
      <c r="G349" s="263"/>
      <c r="H349" s="262"/>
      <c r="I349" s="262"/>
      <c r="J349" s="262"/>
      <c r="K349" s="262"/>
      <c r="L349" s="262"/>
      <c r="M349" s="264"/>
      <c r="N349" s="262"/>
      <c r="O349" s="262"/>
      <c r="P349" s="262"/>
      <c r="Q349" s="263"/>
      <c r="R349" s="263"/>
      <c r="S349" s="292"/>
      <c r="T349" s="261"/>
      <c r="U349" s="261"/>
      <c r="V349" s="268"/>
      <c r="W349" s="268"/>
      <c r="X349" s="268"/>
      <c r="Y349" s="268"/>
      <c r="Z349" s="471">
        <f>SUMIF(TAB_CS[Reference],TAB_Offres[[#This Row],[Reference]],TAB_CS[Commited days])</f>
        <v>0</v>
      </c>
      <c r="AA349" s="269">
        <f>SUMIF(TAB_CS[Reference],TAB_Offres[[#This Row],[Reference]],TAB_CS[Commited amount])</f>
        <v>0</v>
      </c>
      <c r="AB349" s="275"/>
      <c r="AC349" s="270"/>
      <c r="AD349" s="270"/>
      <c r="AE349" s="264"/>
      <c r="AF349" s="271"/>
      <c r="AG349" s="278"/>
      <c r="AH349" s="277" t="str">
        <f>CONCATENATE(YEAR(TAB_Offres[[#This Row],[Request date ]]),"-",MONTH(TAB_Offres[[#This Row],[Request date ]]))</f>
        <v>1900-1</v>
      </c>
      <c r="AI349" s="274" t="e">
        <f>IF(#REF!,1,0)</f>
        <v>#REF!</v>
      </c>
      <c r="AJ349" s="4"/>
      <c r="AK349" s="4"/>
      <c r="AL349" s="4"/>
      <c r="AN349" s="150"/>
      <c r="AQ349" s="4"/>
    </row>
    <row r="350" spans="1:43" x14ac:dyDescent="0.25">
      <c r="A350" s="258">
        <f>ROW(TAB_Offres[[#This Row],[Reference]])-ROW(TAB_Offres[[#Headers],[ID]])</f>
        <v>349</v>
      </c>
      <c r="B350" s="258"/>
      <c r="C350" s="258"/>
      <c r="D350" s="258"/>
      <c r="E350" s="263"/>
      <c r="F350" s="258"/>
      <c r="G350" s="263"/>
      <c r="H350" s="262"/>
      <c r="I350" s="262"/>
      <c r="J350" s="262"/>
      <c r="K350" s="262"/>
      <c r="L350" s="262"/>
      <c r="M350" s="264"/>
      <c r="N350" s="262"/>
      <c r="O350" s="262"/>
      <c r="P350" s="262"/>
      <c r="Q350" s="263"/>
      <c r="R350" s="263"/>
      <c r="S350" s="292"/>
      <c r="T350" s="261"/>
      <c r="U350" s="261"/>
      <c r="V350" s="268"/>
      <c r="W350" s="268"/>
      <c r="X350" s="268"/>
      <c r="Y350" s="268"/>
      <c r="Z350" s="471">
        <f>SUMIF(TAB_CS[Reference],TAB_Offres[[#This Row],[Reference]],TAB_CS[Commited days])</f>
        <v>0</v>
      </c>
      <c r="AA350" s="269">
        <f>SUMIF(TAB_CS[Reference],TAB_Offres[[#This Row],[Reference]],TAB_CS[Commited amount])</f>
        <v>0</v>
      </c>
      <c r="AB350" s="275"/>
      <c r="AC350" s="270"/>
      <c r="AD350" s="270"/>
      <c r="AE350" s="264"/>
      <c r="AF350" s="271"/>
      <c r="AG350" s="278"/>
      <c r="AH350" s="277" t="str">
        <f>CONCATENATE(YEAR(TAB_Offres[[#This Row],[Request date ]]),"-",MONTH(TAB_Offres[[#This Row],[Request date ]]))</f>
        <v>1900-1</v>
      </c>
      <c r="AI350" s="274" t="e">
        <f>IF(#REF!,1,0)</f>
        <v>#REF!</v>
      </c>
      <c r="AJ350" s="4"/>
      <c r="AK350" s="4"/>
      <c r="AL350" s="4"/>
      <c r="AN350" s="150"/>
      <c r="AQ350" s="4"/>
    </row>
    <row r="351" spans="1:43" x14ac:dyDescent="0.25">
      <c r="A351" s="258">
        <f>ROW(TAB_Offres[[#This Row],[Reference]])-ROW(TAB_Offres[[#Headers],[ID]])</f>
        <v>350</v>
      </c>
      <c r="B351" s="258"/>
      <c r="C351" s="258"/>
      <c r="D351" s="258"/>
      <c r="E351" s="263"/>
      <c r="F351" s="258"/>
      <c r="G351" s="263"/>
      <c r="H351" s="262"/>
      <c r="I351" s="262"/>
      <c r="J351" s="262"/>
      <c r="K351" s="262"/>
      <c r="L351" s="262"/>
      <c r="M351" s="264"/>
      <c r="N351" s="262"/>
      <c r="O351" s="262"/>
      <c r="P351" s="262"/>
      <c r="Q351" s="263"/>
      <c r="R351" s="263"/>
      <c r="S351" s="292"/>
      <c r="T351" s="261"/>
      <c r="U351" s="261"/>
      <c r="V351" s="268"/>
      <c r="W351" s="268"/>
      <c r="X351" s="268"/>
      <c r="Y351" s="268"/>
      <c r="Z351" s="471">
        <f>SUMIF(TAB_CS[Reference],TAB_Offres[[#This Row],[Reference]],TAB_CS[Commited days])</f>
        <v>0</v>
      </c>
      <c r="AA351" s="269">
        <f>SUMIF(TAB_CS[Reference],TAB_Offres[[#This Row],[Reference]],TAB_CS[Commited amount])</f>
        <v>0</v>
      </c>
      <c r="AB351" s="275"/>
      <c r="AC351" s="270"/>
      <c r="AD351" s="270"/>
      <c r="AE351" s="264"/>
      <c r="AF351" s="271"/>
      <c r="AG351" s="278"/>
      <c r="AH351" s="277" t="str">
        <f>CONCATENATE(YEAR(TAB_Offres[[#This Row],[Request date ]]),"-",MONTH(TAB_Offres[[#This Row],[Request date ]]))</f>
        <v>1900-1</v>
      </c>
      <c r="AI351" s="274" t="e">
        <f>IF(#REF!,1,0)</f>
        <v>#REF!</v>
      </c>
      <c r="AJ351" s="4"/>
      <c r="AK351" s="4"/>
      <c r="AL351" s="4"/>
      <c r="AN351" s="150"/>
      <c r="AQ351" s="4"/>
    </row>
    <row r="352" spans="1:43" x14ac:dyDescent="0.25">
      <c r="A352" s="258">
        <f>ROW(TAB_Offres[[#This Row],[Reference]])-ROW(TAB_Offres[[#Headers],[ID]])</f>
        <v>351</v>
      </c>
      <c r="B352" s="258"/>
      <c r="C352" s="258"/>
      <c r="D352" s="258"/>
      <c r="E352" s="263"/>
      <c r="F352" s="258"/>
      <c r="G352" s="263"/>
      <c r="H352" s="262"/>
      <c r="I352" s="262"/>
      <c r="J352" s="262"/>
      <c r="K352" s="262"/>
      <c r="L352" s="262"/>
      <c r="M352" s="264"/>
      <c r="N352" s="262"/>
      <c r="O352" s="262"/>
      <c r="P352" s="262"/>
      <c r="Q352" s="263"/>
      <c r="R352" s="263"/>
      <c r="S352" s="292"/>
      <c r="T352" s="261"/>
      <c r="U352" s="261"/>
      <c r="V352" s="268"/>
      <c r="W352" s="268"/>
      <c r="X352" s="268"/>
      <c r="Y352" s="268"/>
      <c r="Z352" s="471">
        <f>SUMIF(TAB_CS[Reference],TAB_Offres[[#This Row],[Reference]],TAB_CS[Commited days])</f>
        <v>0</v>
      </c>
      <c r="AA352" s="269">
        <f>SUMIF(TAB_CS[Reference],TAB_Offres[[#This Row],[Reference]],TAB_CS[Commited amount])</f>
        <v>0</v>
      </c>
      <c r="AB352" s="275"/>
      <c r="AC352" s="270"/>
      <c r="AD352" s="270"/>
      <c r="AE352" s="264"/>
      <c r="AF352" s="271"/>
      <c r="AG352" s="278"/>
      <c r="AH352" s="277" t="str">
        <f>CONCATENATE(YEAR(TAB_Offres[[#This Row],[Request date ]]),"-",MONTH(TAB_Offres[[#This Row],[Request date ]]))</f>
        <v>1900-1</v>
      </c>
      <c r="AI352" s="274" t="e">
        <f>IF(#REF!,1,0)</f>
        <v>#REF!</v>
      </c>
      <c r="AJ352" s="4"/>
      <c r="AK352" s="4"/>
      <c r="AL352" s="4"/>
      <c r="AN352" s="150"/>
      <c r="AQ352" s="4"/>
    </row>
    <row r="353" spans="1:43" x14ac:dyDescent="0.25">
      <c r="A353" s="258">
        <f>ROW(TAB_Offres[[#This Row],[Reference]])-ROW(TAB_Offres[[#Headers],[ID]])</f>
        <v>352</v>
      </c>
      <c r="B353" s="258"/>
      <c r="C353" s="258"/>
      <c r="D353" s="258"/>
      <c r="E353" s="263"/>
      <c r="F353" s="258"/>
      <c r="G353" s="263"/>
      <c r="H353" s="262"/>
      <c r="I353" s="262"/>
      <c r="J353" s="262"/>
      <c r="K353" s="262"/>
      <c r="L353" s="262"/>
      <c r="M353" s="264"/>
      <c r="N353" s="262"/>
      <c r="O353" s="262"/>
      <c r="P353" s="262"/>
      <c r="Q353" s="263"/>
      <c r="R353" s="263"/>
      <c r="S353" s="292"/>
      <c r="T353" s="261"/>
      <c r="U353" s="261"/>
      <c r="V353" s="268"/>
      <c r="W353" s="268"/>
      <c r="X353" s="268"/>
      <c r="Y353" s="268"/>
      <c r="Z353" s="471">
        <f>SUMIF(TAB_CS[Reference],TAB_Offres[[#This Row],[Reference]],TAB_CS[Commited days])</f>
        <v>0</v>
      </c>
      <c r="AA353" s="269">
        <f>SUMIF(TAB_CS[Reference],TAB_Offres[[#This Row],[Reference]],TAB_CS[Commited amount])</f>
        <v>0</v>
      </c>
      <c r="AB353" s="275"/>
      <c r="AC353" s="270"/>
      <c r="AD353" s="270"/>
      <c r="AE353" s="264"/>
      <c r="AF353" s="271"/>
      <c r="AG353" s="278"/>
      <c r="AH353" s="277" t="str">
        <f>CONCATENATE(YEAR(TAB_Offres[[#This Row],[Request date ]]),"-",MONTH(TAB_Offres[[#This Row],[Request date ]]))</f>
        <v>1900-1</v>
      </c>
      <c r="AI353" s="274" t="e">
        <f>IF(#REF!,1,0)</f>
        <v>#REF!</v>
      </c>
      <c r="AJ353" s="4"/>
      <c r="AK353" s="4"/>
      <c r="AL353" s="4"/>
      <c r="AN353" s="150"/>
      <c r="AQ353" s="4"/>
    </row>
    <row r="354" spans="1:43" x14ac:dyDescent="0.25">
      <c r="A354" s="258">
        <f>ROW(TAB_Offres[[#This Row],[Reference]])-ROW(TAB_Offres[[#Headers],[ID]])</f>
        <v>353</v>
      </c>
      <c r="B354" s="258"/>
      <c r="C354" s="258"/>
      <c r="D354" s="258"/>
      <c r="E354" s="263"/>
      <c r="F354" s="258"/>
      <c r="G354" s="263"/>
      <c r="H354" s="262"/>
      <c r="I354" s="262"/>
      <c r="J354" s="262"/>
      <c r="K354" s="262"/>
      <c r="L354" s="262"/>
      <c r="M354" s="264"/>
      <c r="N354" s="262"/>
      <c r="O354" s="262"/>
      <c r="P354" s="262"/>
      <c r="Q354" s="263"/>
      <c r="R354" s="263"/>
      <c r="S354" s="292"/>
      <c r="T354" s="261"/>
      <c r="U354" s="261"/>
      <c r="V354" s="268"/>
      <c r="W354" s="268"/>
      <c r="X354" s="268"/>
      <c r="Y354" s="268"/>
      <c r="Z354" s="471">
        <f>SUMIF(TAB_CS[Reference],TAB_Offres[[#This Row],[Reference]],TAB_CS[Commited days])</f>
        <v>0</v>
      </c>
      <c r="AA354" s="269">
        <f>SUMIF(TAB_CS[Reference],TAB_Offres[[#This Row],[Reference]],TAB_CS[Commited amount])</f>
        <v>0</v>
      </c>
      <c r="AB354" s="275"/>
      <c r="AC354" s="270"/>
      <c r="AD354" s="270"/>
      <c r="AE354" s="264"/>
      <c r="AF354" s="271"/>
      <c r="AG354" s="278"/>
      <c r="AH354" s="277" t="str">
        <f>CONCATENATE(YEAR(TAB_Offres[[#This Row],[Request date ]]),"-",MONTH(TAB_Offres[[#This Row],[Request date ]]))</f>
        <v>1900-1</v>
      </c>
      <c r="AI354" s="274" t="e">
        <f>IF(#REF!,1,0)</f>
        <v>#REF!</v>
      </c>
      <c r="AJ354" s="4"/>
      <c r="AK354" s="4"/>
      <c r="AL354" s="4"/>
      <c r="AN354" s="150"/>
      <c r="AQ354" s="4"/>
    </row>
    <row r="355" spans="1:43" x14ac:dyDescent="0.25">
      <c r="A355" s="258">
        <f>ROW(TAB_Offres[[#This Row],[Reference]])-ROW(TAB_Offres[[#Headers],[ID]])</f>
        <v>354</v>
      </c>
      <c r="B355" s="258"/>
      <c r="C355" s="258"/>
      <c r="D355" s="258"/>
      <c r="E355" s="263"/>
      <c r="F355" s="258"/>
      <c r="G355" s="263"/>
      <c r="H355" s="262"/>
      <c r="I355" s="262"/>
      <c r="J355" s="262"/>
      <c r="K355" s="262"/>
      <c r="L355" s="262"/>
      <c r="M355" s="264"/>
      <c r="N355" s="262"/>
      <c r="O355" s="262"/>
      <c r="P355" s="262"/>
      <c r="Q355" s="263"/>
      <c r="R355" s="263"/>
      <c r="S355" s="292"/>
      <c r="T355" s="261"/>
      <c r="U355" s="261"/>
      <c r="V355" s="268"/>
      <c r="W355" s="268"/>
      <c r="X355" s="268"/>
      <c r="Y355" s="268"/>
      <c r="Z355" s="471">
        <f>SUMIF(TAB_CS[Reference],TAB_Offres[[#This Row],[Reference]],TAB_CS[Commited days])</f>
        <v>0</v>
      </c>
      <c r="AA355" s="269">
        <f>SUMIF(TAB_CS[Reference],TAB_Offres[[#This Row],[Reference]],TAB_CS[Commited amount])</f>
        <v>0</v>
      </c>
      <c r="AB355" s="275"/>
      <c r="AC355" s="270"/>
      <c r="AD355" s="270"/>
      <c r="AE355" s="264"/>
      <c r="AF355" s="271"/>
      <c r="AG355" s="278"/>
      <c r="AH355" s="277" t="str">
        <f>CONCATENATE(YEAR(TAB_Offres[[#This Row],[Request date ]]),"-",MONTH(TAB_Offres[[#This Row],[Request date ]]))</f>
        <v>1900-1</v>
      </c>
      <c r="AI355" s="274" t="e">
        <f>IF(#REF!,1,0)</f>
        <v>#REF!</v>
      </c>
      <c r="AJ355" s="4"/>
      <c r="AK355" s="4"/>
      <c r="AL355" s="4"/>
      <c r="AN355" s="150"/>
      <c r="AQ355" s="4"/>
    </row>
    <row r="356" spans="1:43" x14ac:dyDescent="0.25">
      <c r="A356" s="258">
        <f>ROW(TAB_Offres[[#This Row],[Reference]])-ROW(TAB_Offres[[#Headers],[ID]])</f>
        <v>355</v>
      </c>
      <c r="B356" s="258"/>
      <c r="C356" s="258"/>
      <c r="D356" s="258"/>
      <c r="E356" s="263"/>
      <c r="F356" s="258"/>
      <c r="G356" s="263"/>
      <c r="H356" s="262"/>
      <c r="I356" s="262"/>
      <c r="J356" s="262"/>
      <c r="K356" s="262"/>
      <c r="L356" s="262"/>
      <c r="M356" s="264"/>
      <c r="N356" s="262"/>
      <c r="O356" s="262"/>
      <c r="P356" s="262"/>
      <c r="Q356" s="263"/>
      <c r="R356" s="263"/>
      <c r="S356" s="292"/>
      <c r="T356" s="261"/>
      <c r="U356" s="261"/>
      <c r="V356" s="268"/>
      <c r="W356" s="268"/>
      <c r="X356" s="268"/>
      <c r="Y356" s="268"/>
      <c r="Z356" s="471">
        <f>SUMIF(TAB_CS[Reference],TAB_Offres[[#This Row],[Reference]],TAB_CS[Commited days])</f>
        <v>0</v>
      </c>
      <c r="AA356" s="269">
        <f>SUMIF(TAB_CS[Reference],TAB_Offres[[#This Row],[Reference]],TAB_CS[Commited amount])</f>
        <v>0</v>
      </c>
      <c r="AB356" s="275"/>
      <c r="AC356" s="270"/>
      <c r="AD356" s="270"/>
      <c r="AE356" s="264"/>
      <c r="AF356" s="271"/>
      <c r="AG356" s="278"/>
      <c r="AH356" s="277" t="str">
        <f>CONCATENATE(YEAR(TAB_Offres[[#This Row],[Request date ]]),"-",MONTH(TAB_Offres[[#This Row],[Request date ]]))</f>
        <v>1900-1</v>
      </c>
      <c r="AI356" s="274" t="e">
        <f>IF(#REF!,1,0)</f>
        <v>#REF!</v>
      </c>
      <c r="AJ356" s="4"/>
      <c r="AK356" s="4"/>
      <c r="AL356" s="4"/>
      <c r="AN356" s="150"/>
      <c r="AQ356" s="4"/>
    </row>
    <row r="357" spans="1:43" x14ac:dyDescent="0.25">
      <c r="A357" s="258">
        <f>ROW(TAB_Offres[[#This Row],[Reference]])-ROW(TAB_Offres[[#Headers],[ID]])</f>
        <v>356</v>
      </c>
      <c r="B357" s="258"/>
      <c r="C357" s="258"/>
      <c r="D357" s="258"/>
      <c r="E357" s="263"/>
      <c r="F357" s="258"/>
      <c r="G357" s="263"/>
      <c r="H357" s="262"/>
      <c r="I357" s="262"/>
      <c r="J357" s="262"/>
      <c r="K357" s="262"/>
      <c r="L357" s="262"/>
      <c r="M357" s="264"/>
      <c r="N357" s="262"/>
      <c r="O357" s="262"/>
      <c r="P357" s="262"/>
      <c r="Q357" s="263"/>
      <c r="R357" s="263"/>
      <c r="S357" s="292"/>
      <c r="T357" s="261"/>
      <c r="U357" s="261"/>
      <c r="V357" s="268"/>
      <c r="W357" s="268"/>
      <c r="X357" s="268"/>
      <c r="Y357" s="268"/>
      <c r="Z357" s="471">
        <f>SUMIF(TAB_CS[Reference],TAB_Offres[[#This Row],[Reference]],TAB_CS[Commited days])</f>
        <v>0</v>
      </c>
      <c r="AA357" s="269">
        <f>SUMIF(TAB_CS[Reference],TAB_Offres[[#This Row],[Reference]],TAB_CS[Commited amount])</f>
        <v>0</v>
      </c>
      <c r="AB357" s="275"/>
      <c r="AC357" s="270"/>
      <c r="AD357" s="270"/>
      <c r="AE357" s="264"/>
      <c r="AF357" s="271"/>
      <c r="AG357" s="278"/>
      <c r="AH357" s="277" t="str">
        <f>CONCATENATE(YEAR(TAB_Offres[[#This Row],[Request date ]]),"-",MONTH(TAB_Offres[[#This Row],[Request date ]]))</f>
        <v>1900-1</v>
      </c>
      <c r="AI357" s="274" t="e">
        <f>IF(#REF!,1,0)</f>
        <v>#REF!</v>
      </c>
      <c r="AJ357" s="4"/>
      <c r="AK357" s="4"/>
      <c r="AL357" s="4"/>
      <c r="AN357" s="150"/>
      <c r="AQ357" s="4"/>
    </row>
    <row r="358" spans="1:43" x14ac:dyDescent="0.25">
      <c r="A358" s="258">
        <f>ROW(TAB_Offres[[#This Row],[Reference]])-ROW(TAB_Offres[[#Headers],[ID]])</f>
        <v>357</v>
      </c>
      <c r="B358" s="258"/>
      <c r="C358" s="258"/>
      <c r="D358" s="258"/>
      <c r="E358" s="263"/>
      <c r="F358" s="258"/>
      <c r="G358" s="263"/>
      <c r="H358" s="262"/>
      <c r="I358" s="262"/>
      <c r="J358" s="262"/>
      <c r="K358" s="262"/>
      <c r="L358" s="262"/>
      <c r="M358" s="264"/>
      <c r="N358" s="262"/>
      <c r="O358" s="262"/>
      <c r="P358" s="262"/>
      <c r="Q358" s="263"/>
      <c r="R358" s="263"/>
      <c r="S358" s="292"/>
      <c r="T358" s="261"/>
      <c r="U358" s="261"/>
      <c r="V358" s="268"/>
      <c r="W358" s="268"/>
      <c r="X358" s="268"/>
      <c r="Y358" s="268"/>
      <c r="Z358" s="471">
        <f>SUMIF(TAB_CS[Reference],TAB_Offres[[#This Row],[Reference]],TAB_CS[Commited days])</f>
        <v>0</v>
      </c>
      <c r="AA358" s="269">
        <f>SUMIF(TAB_CS[Reference],TAB_Offres[[#This Row],[Reference]],TAB_CS[Commited amount])</f>
        <v>0</v>
      </c>
      <c r="AB358" s="275"/>
      <c r="AC358" s="270"/>
      <c r="AD358" s="270"/>
      <c r="AE358" s="264"/>
      <c r="AF358" s="271"/>
      <c r="AG358" s="278"/>
      <c r="AH358" s="277" t="str">
        <f>CONCATENATE(YEAR(TAB_Offres[[#This Row],[Request date ]]),"-",MONTH(TAB_Offres[[#This Row],[Request date ]]))</f>
        <v>1900-1</v>
      </c>
      <c r="AI358" s="274" t="e">
        <f>IF(#REF!,1,0)</f>
        <v>#REF!</v>
      </c>
      <c r="AJ358" s="4"/>
      <c r="AK358" s="4"/>
      <c r="AL358" s="4"/>
      <c r="AN358" s="150"/>
      <c r="AQ358" s="4"/>
    </row>
    <row r="359" spans="1:43" x14ac:dyDescent="0.25">
      <c r="A359" s="258">
        <f>ROW(TAB_Offres[[#This Row],[Reference]])-ROW(TAB_Offres[[#Headers],[ID]])</f>
        <v>358</v>
      </c>
      <c r="B359" s="258"/>
      <c r="C359" s="258"/>
      <c r="D359" s="258"/>
      <c r="E359" s="263"/>
      <c r="F359" s="258"/>
      <c r="G359" s="263"/>
      <c r="H359" s="262"/>
      <c r="I359" s="262"/>
      <c r="J359" s="262"/>
      <c r="K359" s="262"/>
      <c r="L359" s="262"/>
      <c r="M359" s="264"/>
      <c r="N359" s="262"/>
      <c r="O359" s="262"/>
      <c r="P359" s="262"/>
      <c r="Q359" s="263"/>
      <c r="R359" s="263"/>
      <c r="S359" s="292"/>
      <c r="T359" s="261"/>
      <c r="U359" s="261"/>
      <c r="V359" s="268"/>
      <c r="W359" s="268"/>
      <c r="X359" s="268"/>
      <c r="Y359" s="268"/>
      <c r="Z359" s="471">
        <f>SUMIF(TAB_CS[Reference],TAB_Offres[[#This Row],[Reference]],TAB_CS[Commited days])</f>
        <v>0</v>
      </c>
      <c r="AA359" s="269">
        <f>SUMIF(TAB_CS[Reference],TAB_Offres[[#This Row],[Reference]],TAB_CS[Commited amount])</f>
        <v>0</v>
      </c>
      <c r="AB359" s="275"/>
      <c r="AC359" s="270"/>
      <c r="AD359" s="270"/>
      <c r="AE359" s="264"/>
      <c r="AF359" s="271"/>
      <c r="AG359" s="278"/>
      <c r="AH359" s="277" t="str">
        <f>CONCATENATE(YEAR(TAB_Offres[[#This Row],[Request date ]]),"-",MONTH(TAB_Offres[[#This Row],[Request date ]]))</f>
        <v>1900-1</v>
      </c>
      <c r="AI359" s="274" t="e">
        <f>IF(#REF!,1,0)</f>
        <v>#REF!</v>
      </c>
      <c r="AJ359" s="4"/>
      <c r="AK359" s="4"/>
      <c r="AL359" s="4"/>
      <c r="AN359" s="150"/>
      <c r="AQ359" s="4"/>
    </row>
    <row r="360" spans="1:43" x14ac:dyDescent="0.25">
      <c r="A360" s="258">
        <f>ROW(TAB_Offres[[#This Row],[Reference]])-ROW(TAB_Offres[[#Headers],[ID]])</f>
        <v>359</v>
      </c>
      <c r="B360" s="258"/>
      <c r="C360" s="258"/>
      <c r="D360" s="258"/>
      <c r="E360" s="263"/>
      <c r="F360" s="258"/>
      <c r="G360" s="263"/>
      <c r="H360" s="262"/>
      <c r="I360" s="262"/>
      <c r="J360" s="262"/>
      <c r="K360" s="262"/>
      <c r="L360" s="262"/>
      <c r="M360" s="264"/>
      <c r="N360" s="262"/>
      <c r="O360" s="262"/>
      <c r="P360" s="262"/>
      <c r="Q360" s="263"/>
      <c r="R360" s="263"/>
      <c r="S360" s="292"/>
      <c r="T360" s="261"/>
      <c r="U360" s="261"/>
      <c r="V360" s="268"/>
      <c r="W360" s="268"/>
      <c r="X360" s="268"/>
      <c r="Y360" s="268"/>
      <c r="Z360" s="471">
        <f>SUMIF(TAB_CS[Reference],TAB_Offres[[#This Row],[Reference]],TAB_CS[Commited days])</f>
        <v>0</v>
      </c>
      <c r="AA360" s="269">
        <f>SUMIF(TAB_CS[Reference],TAB_Offres[[#This Row],[Reference]],TAB_CS[Commited amount])</f>
        <v>0</v>
      </c>
      <c r="AB360" s="275"/>
      <c r="AC360" s="270"/>
      <c r="AD360" s="270"/>
      <c r="AE360" s="264"/>
      <c r="AF360" s="271"/>
      <c r="AG360" s="278"/>
      <c r="AH360" s="277" t="str">
        <f>CONCATENATE(YEAR(TAB_Offres[[#This Row],[Request date ]]),"-",MONTH(TAB_Offres[[#This Row],[Request date ]]))</f>
        <v>1900-1</v>
      </c>
      <c r="AI360" s="274" t="e">
        <f>IF(#REF!,1,0)</f>
        <v>#REF!</v>
      </c>
      <c r="AJ360" s="4"/>
      <c r="AK360" s="4"/>
      <c r="AL360" s="4"/>
      <c r="AN360" s="150"/>
      <c r="AQ360" s="4"/>
    </row>
    <row r="361" spans="1:43" x14ac:dyDescent="0.25">
      <c r="A361" s="258">
        <f>ROW(TAB_Offres[[#This Row],[Reference]])-ROW(TAB_Offres[[#Headers],[ID]])</f>
        <v>360</v>
      </c>
      <c r="B361" s="258"/>
      <c r="C361" s="258"/>
      <c r="D361" s="258"/>
      <c r="E361" s="263"/>
      <c r="F361" s="258"/>
      <c r="G361" s="263"/>
      <c r="H361" s="262"/>
      <c r="I361" s="262"/>
      <c r="J361" s="262"/>
      <c r="K361" s="262"/>
      <c r="L361" s="262"/>
      <c r="M361" s="264"/>
      <c r="N361" s="262"/>
      <c r="O361" s="262"/>
      <c r="P361" s="262"/>
      <c r="Q361" s="263"/>
      <c r="R361" s="263"/>
      <c r="S361" s="292"/>
      <c r="T361" s="261"/>
      <c r="U361" s="261"/>
      <c r="V361" s="268"/>
      <c r="W361" s="268"/>
      <c r="X361" s="268"/>
      <c r="Y361" s="268"/>
      <c r="Z361" s="471">
        <f>SUMIF(TAB_CS[Reference],TAB_Offres[[#This Row],[Reference]],TAB_CS[Commited days])</f>
        <v>0</v>
      </c>
      <c r="AA361" s="269">
        <f>SUMIF(TAB_CS[Reference],TAB_Offres[[#This Row],[Reference]],TAB_CS[Commited amount])</f>
        <v>0</v>
      </c>
      <c r="AB361" s="275"/>
      <c r="AC361" s="270"/>
      <c r="AD361" s="270"/>
      <c r="AE361" s="264"/>
      <c r="AF361" s="271"/>
      <c r="AG361" s="278"/>
      <c r="AH361" s="277" t="str">
        <f>CONCATENATE(YEAR(TAB_Offres[[#This Row],[Request date ]]),"-",MONTH(TAB_Offres[[#This Row],[Request date ]]))</f>
        <v>1900-1</v>
      </c>
      <c r="AI361" s="274" t="e">
        <f>IF(#REF!,1,0)</f>
        <v>#REF!</v>
      </c>
      <c r="AJ361" s="4"/>
      <c r="AK361" s="4"/>
      <c r="AL361" s="4"/>
      <c r="AN361" s="150"/>
      <c r="AQ361" s="4"/>
    </row>
    <row r="362" spans="1:43" x14ac:dyDescent="0.25">
      <c r="A362" s="258">
        <f>ROW(TAB_Offres[[#This Row],[Reference]])-ROW(TAB_Offres[[#Headers],[ID]])</f>
        <v>361</v>
      </c>
      <c r="B362" s="258"/>
      <c r="C362" s="258"/>
      <c r="D362" s="258"/>
      <c r="E362" s="263"/>
      <c r="F362" s="258"/>
      <c r="G362" s="263"/>
      <c r="H362" s="262"/>
      <c r="I362" s="262"/>
      <c r="J362" s="262"/>
      <c r="K362" s="262"/>
      <c r="L362" s="262"/>
      <c r="M362" s="264"/>
      <c r="N362" s="262"/>
      <c r="O362" s="262"/>
      <c r="P362" s="262"/>
      <c r="Q362" s="263"/>
      <c r="R362" s="263"/>
      <c r="S362" s="292"/>
      <c r="T362" s="261"/>
      <c r="U362" s="261"/>
      <c r="V362" s="268"/>
      <c r="W362" s="268"/>
      <c r="X362" s="268"/>
      <c r="Y362" s="268"/>
      <c r="Z362" s="471">
        <f>SUMIF(TAB_CS[Reference],TAB_Offres[[#This Row],[Reference]],TAB_CS[Commited days])</f>
        <v>0</v>
      </c>
      <c r="AA362" s="269">
        <f>SUMIF(TAB_CS[Reference],TAB_Offres[[#This Row],[Reference]],TAB_CS[Commited amount])</f>
        <v>0</v>
      </c>
      <c r="AB362" s="275"/>
      <c r="AC362" s="270"/>
      <c r="AD362" s="270"/>
      <c r="AE362" s="264"/>
      <c r="AF362" s="271"/>
      <c r="AG362" s="278"/>
      <c r="AH362" s="277" t="str">
        <f>CONCATENATE(YEAR(TAB_Offres[[#This Row],[Request date ]]),"-",MONTH(TAB_Offres[[#This Row],[Request date ]]))</f>
        <v>1900-1</v>
      </c>
      <c r="AI362" s="274" t="e">
        <f>IF(#REF!,1,0)</f>
        <v>#REF!</v>
      </c>
      <c r="AJ362" s="4"/>
      <c r="AK362" s="4"/>
      <c r="AL362" s="4"/>
      <c r="AN362" s="150"/>
      <c r="AQ362" s="4"/>
    </row>
    <row r="363" spans="1:43" x14ac:dyDescent="0.25">
      <c r="A363" s="258">
        <f>ROW(TAB_Offres[[#This Row],[Reference]])-ROW(TAB_Offres[[#Headers],[ID]])</f>
        <v>362</v>
      </c>
      <c r="B363" s="258"/>
      <c r="C363" s="258"/>
      <c r="D363" s="258"/>
      <c r="E363" s="263"/>
      <c r="F363" s="258"/>
      <c r="G363" s="263"/>
      <c r="H363" s="262"/>
      <c r="I363" s="262"/>
      <c r="J363" s="262"/>
      <c r="K363" s="262"/>
      <c r="L363" s="262"/>
      <c r="M363" s="264"/>
      <c r="N363" s="262"/>
      <c r="O363" s="262"/>
      <c r="P363" s="262"/>
      <c r="Q363" s="263"/>
      <c r="R363" s="263"/>
      <c r="S363" s="292"/>
      <c r="T363" s="261"/>
      <c r="U363" s="261"/>
      <c r="V363" s="268"/>
      <c r="W363" s="268"/>
      <c r="X363" s="268"/>
      <c r="Y363" s="268"/>
      <c r="Z363" s="471">
        <f>SUMIF(TAB_CS[Reference],TAB_Offres[[#This Row],[Reference]],TAB_CS[Commited days])</f>
        <v>0</v>
      </c>
      <c r="AA363" s="269">
        <f>SUMIF(TAB_CS[Reference],TAB_Offres[[#This Row],[Reference]],TAB_CS[Commited amount])</f>
        <v>0</v>
      </c>
      <c r="AB363" s="275"/>
      <c r="AC363" s="270"/>
      <c r="AD363" s="270"/>
      <c r="AE363" s="264"/>
      <c r="AF363" s="271"/>
      <c r="AG363" s="278"/>
      <c r="AH363" s="277" t="str">
        <f>CONCATENATE(YEAR(TAB_Offres[[#This Row],[Request date ]]),"-",MONTH(TAB_Offres[[#This Row],[Request date ]]))</f>
        <v>1900-1</v>
      </c>
      <c r="AI363" s="274" t="e">
        <f>IF(#REF!,1,0)</f>
        <v>#REF!</v>
      </c>
      <c r="AJ363" s="4"/>
      <c r="AK363" s="4"/>
      <c r="AL363" s="4"/>
      <c r="AN363" s="150"/>
      <c r="AQ363" s="4"/>
    </row>
    <row r="364" spans="1:43" x14ac:dyDescent="0.25">
      <c r="A364" s="258">
        <f>ROW(TAB_Offres[[#This Row],[Reference]])-ROW(TAB_Offres[[#Headers],[ID]])</f>
        <v>363</v>
      </c>
      <c r="B364" s="258"/>
      <c r="C364" s="258"/>
      <c r="D364" s="258"/>
      <c r="E364" s="263"/>
      <c r="F364" s="258"/>
      <c r="G364" s="263"/>
      <c r="H364" s="262"/>
      <c r="I364" s="262"/>
      <c r="J364" s="262"/>
      <c r="K364" s="262"/>
      <c r="L364" s="262"/>
      <c r="M364" s="264"/>
      <c r="N364" s="262"/>
      <c r="O364" s="262"/>
      <c r="P364" s="262"/>
      <c r="Q364" s="263"/>
      <c r="R364" s="263"/>
      <c r="S364" s="292"/>
      <c r="T364" s="261"/>
      <c r="U364" s="261"/>
      <c r="V364" s="268"/>
      <c r="W364" s="268"/>
      <c r="X364" s="268"/>
      <c r="Y364" s="268"/>
      <c r="Z364" s="471">
        <f>SUMIF(TAB_CS[Reference],TAB_Offres[[#This Row],[Reference]],TAB_CS[Commited days])</f>
        <v>0</v>
      </c>
      <c r="AA364" s="269">
        <f>SUMIF(TAB_CS[Reference],TAB_Offres[[#This Row],[Reference]],TAB_CS[Commited amount])</f>
        <v>0</v>
      </c>
      <c r="AB364" s="275"/>
      <c r="AC364" s="270"/>
      <c r="AD364" s="270"/>
      <c r="AE364" s="264"/>
      <c r="AF364" s="271"/>
      <c r="AG364" s="278"/>
      <c r="AH364" s="277" t="str">
        <f>CONCATENATE(YEAR(TAB_Offres[[#This Row],[Request date ]]),"-",MONTH(TAB_Offres[[#This Row],[Request date ]]))</f>
        <v>1900-1</v>
      </c>
      <c r="AI364" s="274" t="e">
        <f>IF(#REF!,1,0)</f>
        <v>#REF!</v>
      </c>
      <c r="AJ364" s="4"/>
      <c r="AK364" s="4"/>
      <c r="AL364" s="4"/>
      <c r="AN364" s="150"/>
      <c r="AQ364" s="4"/>
    </row>
    <row r="365" spans="1:43" x14ac:dyDescent="0.25">
      <c r="A365" s="258">
        <f>ROW(TAB_Offres[[#This Row],[Reference]])-ROW(TAB_Offres[[#Headers],[ID]])</f>
        <v>364</v>
      </c>
      <c r="B365" s="258"/>
      <c r="C365" s="258"/>
      <c r="D365" s="258"/>
      <c r="E365" s="263"/>
      <c r="F365" s="258"/>
      <c r="G365" s="263"/>
      <c r="H365" s="262"/>
      <c r="I365" s="262"/>
      <c r="J365" s="262"/>
      <c r="K365" s="262"/>
      <c r="L365" s="262"/>
      <c r="M365" s="264"/>
      <c r="N365" s="262"/>
      <c r="O365" s="262"/>
      <c r="P365" s="262"/>
      <c r="Q365" s="263"/>
      <c r="R365" s="263"/>
      <c r="S365" s="292"/>
      <c r="T365" s="261"/>
      <c r="U365" s="261"/>
      <c r="V365" s="268"/>
      <c r="W365" s="268"/>
      <c r="X365" s="268"/>
      <c r="Y365" s="268"/>
      <c r="Z365" s="471">
        <f>SUMIF(TAB_CS[Reference],TAB_Offres[[#This Row],[Reference]],TAB_CS[Commited days])</f>
        <v>0</v>
      </c>
      <c r="AA365" s="269">
        <f>SUMIF(TAB_CS[Reference],TAB_Offres[[#This Row],[Reference]],TAB_CS[Commited amount])</f>
        <v>0</v>
      </c>
      <c r="AB365" s="275"/>
      <c r="AC365" s="270"/>
      <c r="AD365" s="270"/>
      <c r="AE365" s="264"/>
      <c r="AF365" s="271"/>
      <c r="AG365" s="278"/>
      <c r="AH365" s="277" t="str">
        <f>CONCATENATE(YEAR(TAB_Offres[[#This Row],[Request date ]]),"-",MONTH(TAB_Offres[[#This Row],[Request date ]]))</f>
        <v>1900-1</v>
      </c>
      <c r="AI365" s="274" t="e">
        <f>IF(#REF!,1,0)</f>
        <v>#REF!</v>
      </c>
      <c r="AJ365" s="4"/>
      <c r="AK365" s="4"/>
      <c r="AL365" s="4"/>
      <c r="AN365" s="150"/>
      <c r="AQ365" s="4"/>
    </row>
    <row r="366" spans="1:43" x14ac:dyDescent="0.25">
      <c r="A366" s="258">
        <f>ROW(TAB_Offres[[#This Row],[Reference]])-ROW(TAB_Offres[[#Headers],[ID]])</f>
        <v>365</v>
      </c>
      <c r="B366" s="258"/>
      <c r="C366" s="258"/>
      <c r="D366" s="258"/>
      <c r="E366" s="263"/>
      <c r="F366" s="258"/>
      <c r="G366" s="263"/>
      <c r="H366" s="262"/>
      <c r="I366" s="262"/>
      <c r="J366" s="262"/>
      <c r="K366" s="262"/>
      <c r="L366" s="262"/>
      <c r="M366" s="264"/>
      <c r="N366" s="262"/>
      <c r="O366" s="262"/>
      <c r="P366" s="262"/>
      <c r="Q366" s="263"/>
      <c r="R366" s="263"/>
      <c r="S366" s="292"/>
      <c r="T366" s="261"/>
      <c r="U366" s="261"/>
      <c r="V366" s="268"/>
      <c r="W366" s="268"/>
      <c r="X366" s="268"/>
      <c r="Y366" s="268"/>
      <c r="Z366" s="471">
        <f>SUMIF(TAB_CS[Reference],TAB_Offres[[#This Row],[Reference]],TAB_CS[Commited days])</f>
        <v>0</v>
      </c>
      <c r="AA366" s="269">
        <f>SUMIF(TAB_CS[Reference],TAB_Offres[[#This Row],[Reference]],TAB_CS[Commited amount])</f>
        <v>0</v>
      </c>
      <c r="AB366" s="275"/>
      <c r="AC366" s="270"/>
      <c r="AD366" s="270"/>
      <c r="AE366" s="264"/>
      <c r="AF366" s="271"/>
      <c r="AG366" s="278"/>
      <c r="AH366" s="277" t="str">
        <f>CONCATENATE(YEAR(TAB_Offres[[#This Row],[Request date ]]),"-",MONTH(TAB_Offres[[#This Row],[Request date ]]))</f>
        <v>1900-1</v>
      </c>
      <c r="AI366" s="274" t="e">
        <f>IF(#REF!,1,0)</f>
        <v>#REF!</v>
      </c>
      <c r="AJ366" s="4"/>
      <c r="AK366" s="4"/>
      <c r="AL366" s="4"/>
      <c r="AN366" s="150"/>
      <c r="AQ366" s="4"/>
    </row>
    <row r="367" spans="1:43" x14ac:dyDescent="0.25">
      <c r="A367" s="258">
        <f>ROW(TAB_Offres[[#This Row],[Reference]])-ROW(TAB_Offres[[#Headers],[ID]])</f>
        <v>366</v>
      </c>
      <c r="B367" s="258"/>
      <c r="C367" s="258"/>
      <c r="D367" s="258"/>
      <c r="E367" s="263"/>
      <c r="F367" s="258"/>
      <c r="G367" s="263"/>
      <c r="H367" s="262"/>
      <c r="I367" s="262"/>
      <c r="J367" s="262"/>
      <c r="K367" s="262"/>
      <c r="L367" s="262"/>
      <c r="M367" s="264"/>
      <c r="N367" s="262"/>
      <c r="O367" s="262"/>
      <c r="P367" s="262"/>
      <c r="Q367" s="263"/>
      <c r="R367" s="263"/>
      <c r="S367" s="292"/>
      <c r="T367" s="261"/>
      <c r="U367" s="261"/>
      <c r="V367" s="268"/>
      <c r="W367" s="268"/>
      <c r="X367" s="268"/>
      <c r="Y367" s="268"/>
      <c r="Z367" s="471">
        <f>SUMIF(TAB_CS[Reference],TAB_Offres[[#This Row],[Reference]],TAB_CS[Commited days])</f>
        <v>0</v>
      </c>
      <c r="AA367" s="269">
        <f>SUMIF(TAB_CS[Reference],TAB_Offres[[#This Row],[Reference]],TAB_CS[Commited amount])</f>
        <v>0</v>
      </c>
      <c r="AB367" s="275"/>
      <c r="AC367" s="270"/>
      <c r="AD367" s="270"/>
      <c r="AE367" s="264"/>
      <c r="AF367" s="271"/>
      <c r="AG367" s="278"/>
      <c r="AH367" s="277" t="str">
        <f>CONCATENATE(YEAR(TAB_Offres[[#This Row],[Request date ]]),"-",MONTH(TAB_Offres[[#This Row],[Request date ]]))</f>
        <v>1900-1</v>
      </c>
      <c r="AI367" s="274" t="e">
        <f>IF(#REF!,1,0)</f>
        <v>#REF!</v>
      </c>
      <c r="AJ367" s="4"/>
      <c r="AK367" s="4"/>
      <c r="AL367" s="4"/>
      <c r="AN367" s="150"/>
      <c r="AQ367" s="4"/>
    </row>
    <row r="368" spans="1:43" x14ac:dyDescent="0.25">
      <c r="A368" s="258">
        <f>ROW(TAB_Offres[[#This Row],[Reference]])-ROW(TAB_Offres[[#Headers],[ID]])</f>
        <v>367</v>
      </c>
      <c r="B368" s="258"/>
      <c r="C368" s="258"/>
      <c r="D368" s="258"/>
      <c r="E368" s="263"/>
      <c r="F368" s="258"/>
      <c r="G368" s="263"/>
      <c r="H368" s="262"/>
      <c r="I368" s="262"/>
      <c r="J368" s="262"/>
      <c r="K368" s="262"/>
      <c r="L368" s="262"/>
      <c r="M368" s="264"/>
      <c r="N368" s="262"/>
      <c r="O368" s="262"/>
      <c r="P368" s="262"/>
      <c r="Q368" s="263"/>
      <c r="R368" s="263"/>
      <c r="S368" s="292"/>
      <c r="T368" s="261"/>
      <c r="U368" s="261"/>
      <c r="V368" s="268"/>
      <c r="W368" s="268"/>
      <c r="X368" s="268"/>
      <c r="Y368" s="268"/>
      <c r="Z368" s="471">
        <f>SUMIF(TAB_CS[Reference],TAB_Offres[[#This Row],[Reference]],TAB_CS[Commited days])</f>
        <v>0</v>
      </c>
      <c r="AA368" s="269">
        <f>SUMIF(TAB_CS[Reference],TAB_Offres[[#This Row],[Reference]],TAB_CS[Commited amount])</f>
        <v>0</v>
      </c>
      <c r="AB368" s="275"/>
      <c r="AC368" s="270"/>
      <c r="AD368" s="270"/>
      <c r="AE368" s="264"/>
      <c r="AF368" s="271"/>
      <c r="AG368" s="278"/>
      <c r="AH368" s="277" t="str">
        <f>CONCATENATE(YEAR(TAB_Offres[[#This Row],[Request date ]]),"-",MONTH(TAB_Offres[[#This Row],[Request date ]]))</f>
        <v>1900-1</v>
      </c>
      <c r="AI368" s="274" t="e">
        <f>IF(#REF!,1,0)</f>
        <v>#REF!</v>
      </c>
      <c r="AJ368" s="4"/>
      <c r="AK368" s="4"/>
      <c r="AL368" s="4"/>
      <c r="AN368" s="150"/>
      <c r="AQ368" s="4"/>
    </row>
    <row r="369" spans="1:43" x14ac:dyDescent="0.25">
      <c r="A369" s="258">
        <f>ROW(TAB_Offres[[#This Row],[Reference]])-ROW(TAB_Offres[[#Headers],[ID]])</f>
        <v>368</v>
      </c>
      <c r="B369" s="258"/>
      <c r="C369" s="258"/>
      <c r="D369" s="258"/>
      <c r="E369" s="263"/>
      <c r="F369" s="258"/>
      <c r="G369" s="263"/>
      <c r="H369" s="262"/>
      <c r="I369" s="262"/>
      <c r="J369" s="262"/>
      <c r="K369" s="262"/>
      <c r="L369" s="262"/>
      <c r="M369" s="264"/>
      <c r="N369" s="262"/>
      <c r="O369" s="262"/>
      <c r="P369" s="262"/>
      <c r="Q369" s="263"/>
      <c r="R369" s="263"/>
      <c r="S369" s="292"/>
      <c r="T369" s="261"/>
      <c r="U369" s="261"/>
      <c r="V369" s="268"/>
      <c r="W369" s="268"/>
      <c r="X369" s="268"/>
      <c r="Y369" s="268"/>
      <c r="Z369" s="471">
        <f>SUMIF(TAB_CS[Reference],TAB_Offres[[#This Row],[Reference]],TAB_CS[Commited days])</f>
        <v>0</v>
      </c>
      <c r="AA369" s="269">
        <f>SUMIF(TAB_CS[Reference],TAB_Offres[[#This Row],[Reference]],TAB_CS[Commited amount])</f>
        <v>0</v>
      </c>
      <c r="AB369" s="275"/>
      <c r="AC369" s="270"/>
      <c r="AD369" s="270"/>
      <c r="AE369" s="264"/>
      <c r="AF369" s="271"/>
      <c r="AG369" s="278"/>
      <c r="AH369" s="277" t="str">
        <f>CONCATENATE(YEAR(TAB_Offres[[#This Row],[Request date ]]),"-",MONTH(TAB_Offres[[#This Row],[Request date ]]))</f>
        <v>1900-1</v>
      </c>
      <c r="AI369" s="274" t="e">
        <f>IF(#REF!,1,0)</f>
        <v>#REF!</v>
      </c>
      <c r="AJ369" s="4"/>
      <c r="AK369" s="4"/>
      <c r="AL369" s="4"/>
      <c r="AN369" s="150"/>
      <c r="AQ369" s="4"/>
    </row>
    <row r="370" spans="1:43" x14ac:dyDescent="0.25">
      <c r="A370" s="258">
        <f>ROW(TAB_Offres[[#This Row],[Reference]])-ROW(TAB_Offres[[#Headers],[ID]])</f>
        <v>369</v>
      </c>
      <c r="B370" s="258"/>
      <c r="C370" s="258"/>
      <c r="D370" s="258"/>
      <c r="E370" s="263"/>
      <c r="F370" s="258"/>
      <c r="G370" s="263"/>
      <c r="H370" s="262"/>
      <c r="I370" s="262"/>
      <c r="J370" s="262"/>
      <c r="K370" s="262"/>
      <c r="L370" s="262"/>
      <c r="M370" s="264"/>
      <c r="N370" s="262"/>
      <c r="O370" s="262"/>
      <c r="P370" s="262"/>
      <c r="Q370" s="263"/>
      <c r="R370" s="263"/>
      <c r="S370" s="292"/>
      <c r="T370" s="261"/>
      <c r="U370" s="261"/>
      <c r="V370" s="268"/>
      <c r="W370" s="268"/>
      <c r="X370" s="268"/>
      <c r="Y370" s="268"/>
      <c r="Z370" s="471">
        <f>SUMIF(TAB_CS[Reference],TAB_Offres[[#This Row],[Reference]],TAB_CS[Commited days])</f>
        <v>0</v>
      </c>
      <c r="AA370" s="269">
        <f>SUMIF(TAB_CS[Reference],TAB_Offres[[#This Row],[Reference]],TAB_CS[Commited amount])</f>
        <v>0</v>
      </c>
      <c r="AB370" s="275"/>
      <c r="AC370" s="270"/>
      <c r="AD370" s="270"/>
      <c r="AE370" s="264"/>
      <c r="AF370" s="271"/>
      <c r="AG370" s="278"/>
      <c r="AH370" s="277" t="str">
        <f>CONCATENATE(YEAR(TAB_Offres[[#This Row],[Request date ]]),"-",MONTH(TAB_Offres[[#This Row],[Request date ]]))</f>
        <v>1900-1</v>
      </c>
      <c r="AI370" s="274" t="e">
        <f>IF(#REF!,1,0)</f>
        <v>#REF!</v>
      </c>
      <c r="AJ370" s="4"/>
      <c r="AK370" s="4"/>
      <c r="AL370" s="4"/>
      <c r="AN370" s="150"/>
      <c r="AQ370" s="4"/>
    </row>
    <row r="371" spans="1:43" x14ac:dyDescent="0.25">
      <c r="A371" s="258">
        <f>ROW(TAB_Offres[[#This Row],[Reference]])-ROW(TAB_Offres[[#Headers],[ID]])</f>
        <v>370</v>
      </c>
      <c r="B371" s="258"/>
      <c r="C371" s="258"/>
      <c r="D371" s="258"/>
      <c r="E371" s="263"/>
      <c r="F371" s="258"/>
      <c r="G371" s="263"/>
      <c r="H371" s="262"/>
      <c r="I371" s="262"/>
      <c r="J371" s="262"/>
      <c r="K371" s="262"/>
      <c r="L371" s="262"/>
      <c r="M371" s="264"/>
      <c r="N371" s="262"/>
      <c r="O371" s="262"/>
      <c r="P371" s="262"/>
      <c r="Q371" s="263"/>
      <c r="R371" s="263"/>
      <c r="S371" s="292"/>
      <c r="T371" s="261"/>
      <c r="U371" s="261"/>
      <c r="V371" s="268"/>
      <c r="W371" s="268"/>
      <c r="X371" s="268"/>
      <c r="Y371" s="268"/>
      <c r="Z371" s="471">
        <f>SUMIF(TAB_CS[Reference],TAB_Offres[[#This Row],[Reference]],TAB_CS[Commited days])</f>
        <v>0</v>
      </c>
      <c r="AA371" s="269">
        <f>SUMIF(TAB_CS[Reference],TAB_Offres[[#This Row],[Reference]],TAB_CS[Commited amount])</f>
        <v>0</v>
      </c>
      <c r="AB371" s="275"/>
      <c r="AC371" s="270"/>
      <c r="AD371" s="270"/>
      <c r="AE371" s="264"/>
      <c r="AF371" s="271"/>
      <c r="AG371" s="278"/>
      <c r="AH371" s="277" t="str">
        <f>CONCATENATE(YEAR(TAB_Offres[[#This Row],[Request date ]]),"-",MONTH(TAB_Offres[[#This Row],[Request date ]]))</f>
        <v>1900-1</v>
      </c>
      <c r="AI371" s="274" t="e">
        <f>IF(#REF!,1,0)</f>
        <v>#REF!</v>
      </c>
      <c r="AJ371" s="4"/>
      <c r="AK371" s="4"/>
      <c r="AL371" s="4"/>
      <c r="AN371" s="150"/>
      <c r="AQ371" s="4"/>
    </row>
    <row r="372" spans="1:43" x14ac:dyDescent="0.25">
      <c r="A372" s="258">
        <f>ROW(TAB_Offres[[#This Row],[Reference]])-ROW(TAB_Offres[[#Headers],[ID]])</f>
        <v>371</v>
      </c>
      <c r="B372" s="258"/>
      <c r="C372" s="258"/>
      <c r="D372" s="258"/>
      <c r="E372" s="263"/>
      <c r="F372" s="258"/>
      <c r="G372" s="263"/>
      <c r="H372" s="262"/>
      <c r="I372" s="262"/>
      <c r="J372" s="262"/>
      <c r="K372" s="262"/>
      <c r="L372" s="262"/>
      <c r="M372" s="264"/>
      <c r="N372" s="262"/>
      <c r="O372" s="262"/>
      <c r="P372" s="262"/>
      <c r="Q372" s="263"/>
      <c r="R372" s="263"/>
      <c r="S372" s="292"/>
      <c r="T372" s="261"/>
      <c r="U372" s="261"/>
      <c r="V372" s="268"/>
      <c r="W372" s="268"/>
      <c r="X372" s="268"/>
      <c r="Y372" s="268"/>
      <c r="Z372" s="471">
        <f>SUMIF(TAB_CS[Reference],TAB_Offres[[#This Row],[Reference]],TAB_CS[Commited days])</f>
        <v>0</v>
      </c>
      <c r="AA372" s="269">
        <f>SUMIF(TAB_CS[Reference],TAB_Offres[[#This Row],[Reference]],TAB_CS[Commited amount])</f>
        <v>0</v>
      </c>
      <c r="AB372" s="275"/>
      <c r="AC372" s="270"/>
      <c r="AD372" s="270"/>
      <c r="AE372" s="264"/>
      <c r="AF372" s="271"/>
      <c r="AG372" s="278"/>
      <c r="AH372" s="277" t="str">
        <f>CONCATENATE(YEAR(TAB_Offres[[#This Row],[Request date ]]),"-",MONTH(TAB_Offres[[#This Row],[Request date ]]))</f>
        <v>1900-1</v>
      </c>
      <c r="AI372" s="274" t="e">
        <f>IF(#REF!,1,0)</f>
        <v>#REF!</v>
      </c>
      <c r="AJ372" s="4"/>
      <c r="AK372" s="4"/>
      <c r="AL372" s="4"/>
      <c r="AN372" s="150"/>
      <c r="AQ372" s="4"/>
    </row>
    <row r="373" spans="1:43" x14ac:dyDescent="0.25">
      <c r="A373" s="258">
        <f>ROW(TAB_Offres[[#This Row],[Reference]])-ROW(TAB_Offres[[#Headers],[ID]])</f>
        <v>372</v>
      </c>
      <c r="B373" s="258"/>
      <c r="C373" s="258"/>
      <c r="D373" s="258"/>
      <c r="E373" s="263"/>
      <c r="F373" s="258"/>
      <c r="G373" s="263"/>
      <c r="H373" s="262"/>
      <c r="I373" s="262"/>
      <c r="J373" s="262"/>
      <c r="K373" s="262"/>
      <c r="L373" s="262"/>
      <c r="M373" s="264"/>
      <c r="N373" s="262"/>
      <c r="O373" s="262"/>
      <c r="P373" s="262"/>
      <c r="Q373" s="263"/>
      <c r="R373" s="263"/>
      <c r="S373" s="292"/>
      <c r="T373" s="261"/>
      <c r="U373" s="261"/>
      <c r="V373" s="268"/>
      <c r="W373" s="268"/>
      <c r="X373" s="268"/>
      <c r="Y373" s="268"/>
      <c r="Z373" s="471">
        <f>SUMIF(TAB_CS[Reference],TAB_Offres[[#This Row],[Reference]],TAB_CS[Commited days])</f>
        <v>0</v>
      </c>
      <c r="AA373" s="269">
        <f>SUMIF(TAB_CS[Reference],TAB_Offres[[#This Row],[Reference]],TAB_CS[Commited amount])</f>
        <v>0</v>
      </c>
      <c r="AB373" s="275"/>
      <c r="AC373" s="270"/>
      <c r="AD373" s="270"/>
      <c r="AE373" s="264"/>
      <c r="AF373" s="271"/>
      <c r="AG373" s="278"/>
      <c r="AH373" s="277" t="str">
        <f>CONCATENATE(YEAR(TAB_Offres[[#This Row],[Request date ]]),"-",MONTH(TAB_Offres[[#This Row],[Request date ]]))</f>
        <v>1900-1</v>
      </c>
      <c r="AI373" s="274" t="e">
        <f>IF(#REF!,1,0)</f>
        <v>#REF!</v>
      </c>
      <c r="AJ373" s="4"/>
      <c r="AK373" s="4"/>
      <c r="AL373" s="4"/>
      <c r="AN373" s="150"/>
      <c r="AQ373" s="4"/>
    </row>
    <row r="374" spans="1:43" x14ac:dyDescent="0.25">
      <c r="A374" s="258">
        <f>ROW(TAB_Offres[[#This Row],[Reference]])-ROW(TAB_Offres[[#Headers],[ID]])</f>
        <v>373</v>
      </c>
      <c r="B374" s="258"/>
      <c r="C374" s="258"/>
      <c r="D374" s="258"/>
      <c r="E374" s="263"/>
      <c r="F374" s="258"/>
      <c r="G374" s="263"/>
      <c r="H374" s="262"/>
      <c r="I374" s="262"/>
      <c r="J374" s="262"/>
      <c r="K374" s="262"/>
      <c r="L374" s="262"/>
      <c r="M374" s="264"/>
      <c r="N374" s="262"/>
      <c r="O374" s="262"/>
      <c r="P374" s="262"/>
      <c r="Q374" s="263"/>
      <c r="R374" s="263"/>
      <c r="S374" s="292"/>
      <c r="T374" s="261"/>
      <c r="U374" s="261"/>
      <c r="V374" s="268"/>
      <c r="W374" s="268"/>
      <c r="X374" s="268"/>
      <c r="Y374" s="268"/>
      <c r="Z374" s="471">
        <f>SUMIF(TAB_CS[Reference],TAB_Offres[[#This Row],[Reference]],TAB_CS[Commited days])</f>
        <v>0</v>
      </c>
      <c r="AA374" s="269">
        <f>SUMIF(TAB_CS[Reference],TAB_Offres[[#This Row],[Reference]],TAB_CS[Commited amount])</f>
        <v>0</v>
      </c>
      <c r="AB374" s="275"/>
      <c r="AC374" s="270"/>
      <c r="AD374" s="270"/>
      <c r="AE374" s="264"/>
      <c r="AF374" s="271"/>
      <c r="AG374" s="278"/>
      <c r="AH374" s="277" t="str">
        <f>CONCATENATE(YEAR(TAB_Offres[[#This Row],[Request date ]]),"-",MONTH(TAB_Offres[[#This Row],[Request date ]]))</f>
        <v>1900-1</v>
      </c>
      <c r="AI374" s="274" t="e">
        <f>IF(#REF!,1,0)</f>
        <v>#REF!</v>
      </c>
      <c r="AJ374" s="4"/>
      <c r="AK374" s="4"/>
      <c r="AL374" s="4"/>
      <c r="AN374" s="150"/>
      <c r="AQ374" s="4"/>
    </row>
    <row r="375" spans="1:43" x14ac:dyDescent="0.25">
      <c r="A375" s="258">
        <f>ROW(TAB_Offres[[#This Row],[Reference]])-ROW(TAB_Offres[[#Headers],[ID]])</f>
        <v>374</v>
      </c>
      <c r="B375" s="258"/>
      <c r="C375" s="258"/>
      <c r="D375" s="258"/>
      <c r="E375" s="263"/>
      <c r="F375" s="258"/>
      <c r="G375" s="263"/>
      <c r="H375" s="262"/>
      <c r="I375" s="262"/>
      <c r="J375" s="262"/>
      <c r="K375" s="262"/>
      <c r="L375" s="262"/>
      <c r="M375" s="264"/>
      <c r="N375" s="262"/>
      <c r="O375" s="262"/>
      <c r="P375" s="262"/>
      <c r="Q375" s="263"/>
      <c r="R375" s="263"/>
      <c r="S375" s="292"/>
      <c r="T375" s="261"/>
      <c r="U375" s="261"/>
      <c r="V375" s="268"/>
      <c r="W375" s="268"/>
      <c r="X375" s="268"/>
      <c r="Y375" s="268"/>
      <c r="Z375" s="471">
        <f>SUMIF(TAB_CS[Reference],TAB_Offres[[#This Row],[Reference]],TAB_CS[Commited days])</f>
        <v>0</v>
      </c>
      <c r="AA375" s="269">
        <f>SUMIF(TAB_CS[Reference],TAB_Offres[[#This Row],[Reference]],TAB_CS[Commited amount])</f>
        <v>0</v>
      </c>
      <c r="AB375" s="275"/>
      <c r="AC375" s="270"/>
      <c r="AD375" s="270"/>
      <c r="AE375" s="264"/>
      <c r="AF375" s="271"/>
      <c r="AG375" s="278"/>
      <c r="AH375" s="277" t="str">
        <f>CONCATENATE(YEAR(TAB_Offres[[#This Row],[Request date ]]),"-",MONTH(TAB_Offres[[#This Row],[Request date ]]))</f>
        <v>1900-1</v>
      </c>
      <c r="AI375" s="274" t="e">
        <f>IF(#REF!,1,0)</f>
        <v>#REF!</v>
      </c>
      <c r="AJ375" s="4"/>
      <c r="AK375" s="4"/>
      <c r="AL375" s="4"/>
      <c r="AN375" s="150"/>
      <c r="AQ375" s="4"/>
    </row>
    <row r="376" spans="1:43" x14ac:dyDescent="0.25">
      <c r="A376" s="258">
        <f>ROW(TAB_Offres[[#This Row],[Reference]])-ROW(TAB_Offres[[#Headers],[ID]])</f>
        <v>375</v>
      </c>
      <c r="B376" s="258"/>
      <c r="C376" s="258"/>
      <c r="D376" s="258"/>
      <c r="E376" s="263"/>
      <c r="F376" s="258"/>
      <c r="G376" s="263"/>
      <c r="H376" s="262"/>
      <c r="I376" s="262"/>
      <c r="J376" s="262"/>
      <c r="K376" s="262"/>
      <c r="L376" s="262"/>
      <c r="M376" s="264"/>
      <c r="N376" s="262"/>
      <c r="O376" s="262"/>
      <c r="P376" s="262"/>
      <c r="Q376" s="263"/>
      <c r="R376" s="263"/>
      <c r="S376" s="292"/>
      <c r="T376" s="261"/>
      <c r="U376" s="261"/>
      <c r="V376" s="268"/>
      <c r="W376" s="268"/>
      <c r="X376" s="268"/>
      <c r="Y376" s="268"/>
      <c r="Z376" s="471">
        <f>SUMIF(TAB_CS[Reference],TAB_Offres[[#This Row],[Reference]],TAB_CS[Commited days])</f>
        <v>0</v>
      </c>
      <c r="AA376" s="269">
        <f>SUMIF(TAB_CS[Reference],TAB_Offres[[#This Row],[Reference]],TAB_CS[Commited amount])</f>
        <v>0</v>
      </c>
      <c r="AB376" s="275"/>
      <c r="AC376" s="270"/>
      <c r="AD376" s="270"/>
      <c r="AE376" s="264"/>
      <c r="AF376" s="271"/>
      <c r="AG376" s="278"/>
      <c r="AH376" s="277" t="str">
        <f>CONCATENATE(YEAR(TAB_Offres[[#This Row],[Request date ]]),"-",MONTH(TAB_Offres[[#This Row],[Request date ]]))</f>
        <v>1900-1</v>
      </c>
      <c r="AI376" s="274" t="e">
        <f>IF(#REF!,1,0)</f>
        <v>#REF!</v>
      </c>
      <c r="AJ376" s="4"/>
      <c r="AK376" s="4"/>
      <c r="AL376" s="4"/>
      <c r="AN376" s="150"/>
      <c r="AQ376" s="4"/>
    </row>
    <row r="377" spans="1:43" x14ac:dyDescent="0.25">
      <c r="A377" s="258">
        <f>ROW(TAB_Offres[[#This Row],[Reference]])-ROW(TAB_Offres[[#Headers],[ID]])</f>
        <v>376</v>
      </c>
      <c r="B377" s="258"/>
      <c r="C377" s="258"/>
      <c r="D377" s="258"/>
      <c r="E377" s="263"/>
      <c r="F377" s="258"/>
      <c r="G377" s="263"/>
      <c r="H377" s="262"/>
      <c r="I377" s="262"/>
      <c r="J377" s="262"/>
      <c r="K377" s="262"/>
      <c r="L377" s="262"/>
      <c r="M377" s="264"/>
      <c r="N377" s="262"/>
      <c r="O377" s="262"/>
      <c r="P377" s="262"/>
      <c r="Q377" s="263"/>
      <c r="R377" s="263"/>
      <c r="S377" s="292"/>
      <c r="T377" s="261"/>
      <c r="U377" s="261"/>
      <c r="V377" s="268"/>
      <c r="W377" s="268"/>
      <c r="X377" s="268"/>
      <c r="Y377" s="268"/>
      <c r="Z377" s="471">
        <f>SUMIF(TAB_CS[Reference],TAB_Offres[[#This Row],[Reference]],TAB_CS[Commited days])</f>
        <v>0</v>
      </c>
      <c r="AA377" s="269">
        <f>SUMIF(TAB_CS[Reference],TAB_Offres[[#This Row],[Reference]],TAB_CS[Commited amount])</f>
        <v>0</v>
      </c>
      <c r="AB377" s="275"/>
      <c r="AC377" s="270"/>
      <c r="AD377" s="270"/>
      <c r="AE377" s="264"/>
      <c r="AF377" s="271"/>
      <c r="AG377" s="278"/>
      <c r="AH377" s="277" t="str">
        <f>CONCATENATE(YEAR(TAB_Offres[[#This Row],[Request date ]]),"-",MONTH(TAB_Offres[[#This Row],[Request date ]]))</f>
        <v>1900-1</v>
      </c>
      <c r="AI377" s="274" t="e">
        <f>IF(#REF!,1,0)</f>
        <v>#REF!</v>
      </c>
      <c r="AJ377" s="4"/>
      <c r="AK377" s="4"/>
      <c r="AL377" s="4"/>
      <c r="AN377" s="150"/>
      <c r="AQ377" s="4"/>
    </row>
    <row r="378" spans="1:43" x14ac:dyDescent="0.25">
      <c r="A378" s="258">
        <f>ROW(TAB_Offres[[#This Row],[Reference]])-ROW(TAB_Offres[[#Headers],[ID]])</f>
        <v>377</v>
      </c>
      <c r="B378" s="258"/>
      <c r="C378" s="258"/>
      <c r="D378" s="258"/>
      <c r="E378" s="263"/>
      <c r="F378" s="258"/>
      <c r="G378" s="263"/>
      <c r="H378" s="262"/>
      <c r="I378" s="262"/>
      <c r="J378" s="262"/>
      <c r="K378" s="262"/>
      <c r="L378" s="262"/>
      <c r="M378" s="264"/>
      <c r="N378" s="262"/>
      <c r="O378" s="262"/>
      <c r="P378" s="262"/>
      <c r="Q378" s="263"/>
      <c r="R378" s="263"/>
      <c r="S378" s="292"/>
      <c r="T378" s="261"/>
      <c r="U378" s="261"/>
      <c r="V378" s="268"/>
      <c r="W378" s="268"/>
      <c r="X378" s="268"/>
      <c r="Y378" s="268"/>
      <c r="Z378" s="471">
        <f>SUMIF(TAB_CS[Reference],TAB_Offres[[#This Row],[Reference]],TAB_CS[Commited days])</f>
        <v>0</v>
      </c>
      <c r="AA378" s="269">
        <f>SUMIF(TAB_CS[Reference],TAB_Offres[[#This Row],[Reference]],TAB_CS[Commited amount])</f>
        <v>0</v>
      </c>
      <c r="AB378" s="275"/>
      <c r="AC378" s="270"/>
      <c r="AD378" s="270"/>
      <c r="AE378" s="264"/>
      <c r="AF378" s="271"/>
      <c r="AG378" s="278"/>
      <c r="AH378" s="277" t="str">
        <f>CONCATENATE(YEAR(TAB_Offres[[#This Row],[Request date ]]),"-",MONTH(TAB_Offres[[#This Row],[Request date ]]))</f>
        <v>1900-1</v>
      </c>
      <c r="AI378" s="274" t="e">
        <f>IF(#REF!,1,0)</f>
        <v>#REF!</v>
      </c>
      <c r="AJ378" s="4"/>
      <c r="AK378" s="4"/>
      <c r="AL378" s="4"/>
      <c r="AN378" s="150"/>
      <c r="AQ378" s="4"/>
    </row>
    <row r="379" spans="1:43" x14ac:dyDescent="0.25">
      <c r="A379" s="258">
        <f>ROW(TAB_Offres[[#This Row],[Reference]])-ROW(TAB_Offres[[#Headers],[ID]])</f>
        <v>378</v>
      </c>
      <c r="B379" s="258"/>
      <c r="C379" s="258"/>
      <c r="D379" s="258"/>
      <c r="E379" s="263"/>
      <c r="F379" s="258"/>
      <c r="G379" s="263"/>
      <c r="H379" s="262"/>
      <c r="I379" s="262"/>
      <c r="J379" s="262"/>
      <c r="K379" s="262"/>
      <c r="L379" s="262"/>
      <c r="M379" s="264"/>
      <c r="N379" s="262"/>
      <c r="O379" s="262"/>
      <c r="P379" s="262"/>
      <c r="Q379" s="263"/>
      <c r="R379" s="263"/>
      <c r="S379" s="292"/>
      <c r="T379" s="261"/>
      <c r="U379" s="261"/>
      <c r="V379" s="268"/>
      <c r="W379" s="268"/>
      <c r="X379" s="268"/>
      <c r="Y379" s="268"/>
      <c r="Z379" s="471">
        <f>SUMIF(TAB_CS[Reference],TAB_Offres[[#This Row],[Reference]],TAB_CS[Commited days])</f>
        <v>0</v>
      </c>
      <c r="AA379" s="269">
        <f>SUMIF(TAB_CS[Reference],TAB_Offres[[#This Row],[Reference]],TAB_CS[Commited amount])</f>
        <v>0</v>
      </c>
      <c r="AB379" s="275"/>
      <c r="AC379" s="270"/>
      <c r="AD379" s="270"/>
      <c r="AE379" s="264"/>
      <c r="AF379" s="271"/>
      <c r="AG379" s="278"/>
      <c r="AH379" s="277" t="str">
        <f>CONCATENATE(YEAR(TAB_Offres[[#This Row],[Request date ]]),"-",MONTH(TAB_Offres[[#This Row],[Request date ]]))</f>
        <v>1900-1</v>
      </c>
      <c r="AI379" s="274" t="e">
        <f>IF(#REF!,1,0)</f>
        <v>#REF!</v>
      </c>
      <c r="AJ379" s="4"/>
      <c r="AK379" s="4"/>
      <c r="AL379" s="4"/>
      <c r="AN379" s="150"/>
      <c r="AQ379" s="4"/>
    </row>
    <row r="380" spans="1:43" x14ac:dyDescent="0.25">
      <c r="A380" s="258">
        <f>ROW(TAB_Offres[[#This Row],[Reference]])-ROW(TAB_Offres[[#Headers],[ID]])</f>
        <v>379</v>
      </c>
      <c r="B380" s="258"/>
      <c r="C380" s="258"/>
      <c r="D380" s="258"/>
      <c r="E380" s="263"/>
      <c r="F380" s="258"/>
      <c r="G380" s="263"/>
      <c r="H380" s="262"/>
      <c r="I380" s="262"/>
      <c r="J380" s="262"/>
      <c r="K380" s="262"/>
      <c r="L380" s="262"/>
      <c r="M380" s="264"/>
      <c r="N380" s="262"/>
      <c r="O380" s="262"/>
      <c r="P380" s="262"/>
      <c r="Q380" s="263"/>
      <c r="R380" s="263"/>
      <c r="S380" s="292"/>
      <c r="T380" s="261"/>
      <c r="U380" s="261"/>
      <c r="V380" s="268"/>
      <c r="W380" s="268"/>
      <c r="X380" s="268"/>
      <c r="Y380" s="268"/>
      <c r="Z380" s="471">
        <f>SUMIF(TAB_CS[Reference],TAB_Offres[[#This Row],[Reference]],TAB_CS[Commited days])</f>
        <v>0</v>
      </c>
      <c r="AA380" s="269">
        <f>SUMIF(TAB_CS[Reference],TAB_Offres[[#This Row],[Reference]],TAB_CS[Commited amount])</f>
        <v>0</v>
      </c>
      <c r="AB380" s="275"/>
      <c r="AC380" s="270"/>
      <c r="AD380" s="270"/>
      <c r="AE380" s="264"/>
      <c r="AF380" s="271"/>
      <c r="AG380" s="278"/>
      <c r="AH380" s="277" t="str">
        <f>CONCATENATE(YEAR(TAB_Offres[[#This Row],[Request date ]]),"-",MONTH(TAB_Offres[[#This Row],[Request date ]]))</f>
        <v>1900-1</v>
      </c>
      <c r="AI380" s="274" t="e">
        <f>IF(#REF!,1,0)</f>
        <v>#REF!</v>
      </c>
      <c r="AJ380" s="4"/>
      <c r="AK380" s="4"/>
      <c r="AL380" s="4"/>
      <c r="AN380" s="150"/>
      <c r="AQ380" s="4"/>
    </row>
    <row r="381" spans="1:43" x14ac:dyDescent="0.25">
      <c r="A381" s="258">
        <f>ROW(TAB_Offres[[#This Row],[Reference]])-ROW(TAB_Offres[[#Headers],[ID]])</f>
        <v>380</v>
      </c>
      <c r="B381" s="258"/>
      <c r="C381" s="258"/>
      <c r="D381" s="258"/>
      <c r="E381" s="263"/>
      <c r="F381" s="258"/>
      <c r="G381" s="263"/>
      <c r="H381" s="262"/>
      <c r="I381" s="262"/>
      <c r="J381" s="262"/>
      <c r="K381" s="262"/>
      <c r="L381" s="262"/>
      <c r="M381" s="264"/>
      <c r="N381" s="262"/>
      <c r="O381" s="262"/>
      <c r="P381" s="262"/>
      <c r="Q381" s="263"/>
      <c r="R381" s="263"/>
      <c r="S381" s="292"/>
      <c r="T381" s="261"/>
      <c r="U381" s="261"/>
      <c r="V381" s="268"/>
      <c r="W381" s="268"/>
      <c r="X381" s="268"/>
      <c r="Y381" s="268"/>
      <c r="Z381" s="471">
        <f>SUMIF(TAB_CS[Reference],TAB_Offres[[#This Row],[Reference]],TAB_CS[Commited days])</f>
        <v>0</v>
      </c>
      <c r="AA381" s="269">
        <f>SUMIF(TAB_CS[Reference],TAB_Offres[[#This Row],[Reference]],TAB_CS[Commited amount])</f>
        <v>0</v>
      </c>
      <c r="AB381" s="275"/>
      <c r="AC381" s="270"/>
      <c r="AD381" s="270"/>
      <c r="AE381" s="264"/>
      <c r="AF381" s="271"/>
      <c r="AG381" s="278"/>
      <c r="AH381" s="277" t="str">
        <f>CONCATENATE(YEAR(TAB_Offres[[#This Row],[Request date ]]),"-",MONTH(TAB_Offres[[#This Row],[Request date ]]))</f>
        <v>1900-1</v>
      </c>
      <c r="AI381" s="274" t="e">
        <f>IF(#REF!,1,0)</f>
        <v>#REF!</v>
      </c>
      <c r="AJ381" s="4"/>
      <c r="AK381" s="4"/>
      <c r="AL381" s="4"/>
      <c r="AN381" s="150"/>
      <c r="AQ381" s="4"/>
    </row>
    <row r="382" spans="1:43" x14ac:dyDescent="0.25">
      <c r="A382" s="258">
        <f>ROW(TAB_Offres[[#This Row],[Reference]])-ROW(TAB_Offres[[#Headers],[ID]])</f>
        <v>381</v>
      </c>
      <c r="B382" s="258"/>
      <c r="C382" s="258"/>
      <c r="D382" s="258"/>
      <c r="E382" s="263"/>
      <c r="F382" s="258"/>
      <c r="G382" s="263"/>
      <c r="H382" s="262"/>
      <c r="I382" s="262"/>
      <c r="J382" s="262"/>
      <c r="K382" s="262"/>
      <c r="L382" s="262"/>
      <c r="M382" s="264"/>
      <c r="N382" s="262"/>
      <c r="O382" s="262"/>
      <c r="P382" s="262"/>
      <c r="Q382" s="263"/>
      <c r="R382" s="263"/>
      <c r="S382" s="292"/>
      <c r="T382" s="261"/>
      <c r="U382" s="261"/>
      <c r="V382" s="268"/>
      <c r="W382" s="268"/>
      <c r="X382" s="268"/>
      <c r="Y382" s="268"/>
      <c r="Z382" s="471">
        <f>SUMIF(TAB_CS[Reference],TAB_Offres[[#This Row],[Reference]],TAB_CS[Commited days])</f>
        <v>0</v>
      </c>
      <c r="AA382" s="269">
        <f>SUMIF(TAB_CS[Reference],TAB_Offres[[#This Row],[Reference]],TAB_CS[Commited amount])</f>
        <v>0</v>
      </c>
      <c r="AB382" s="275"/>
      <c r="AC382" s="270"/>
      <c r="AD382" s="270"/>
      <c r="AE382" s="264"/>
      <c r="AF382" s="271"/>
      <c r="AG382" s="278"/>
      <c r="AH382" s="277" t="str">
        <f>CONCATENATE(YEAR(TAB_Offres[[#This Row],[Request date ]]),"-",MONTH(TAB_Offres[[#This Row],[Request date ]]))</f>
        <v>1900-1</v>
      </c>
      <c r="AI382" s="274" t="e">
        <f>IF(#REF!,1,0)</f>
        <v>#REF!</v>
      </c>
      <c r="AJ382" s="4"/>
      <c r="AK382" s="4"/>
      <c r="AL382" s="4"/>
      <c r="AN382" s="150"/>
      <c r="AQ382" s="4"/>
    </row>
    <row r="383" spans="1:43" x14ac:dyDescent="0.25">
      <c r="A383" s="258">
        <f>ROW(TAB_Offres[[#This Row],[Reference]])-ROW(TAB_Offres[[#Headers],[ID]])</f>
        <v>382</v>
      </c>
      <c r="B383" s="258"/>
      <c r="C383" s="258"/>
      <c r="D383" s="258"/>
      <c r="E383" s="263"/>
      <c r="F383" s="258"/>
      <c r="G383" s="263"/>
      <c r="H383" s="262"/>
      <c r="I383" s="262"/>
      <c r="J383" s="262"/>
      <c r="K383" s="262"/>
      <c r="L383" s="262"/>
      <c r="M383" s="264"/>
      <c r="N383" s="262"/>
      <c r="O383" s="262"/>
      <c r="P383" s="262"/>
      <c r="Q383" s="263"/>
      <c r="R383" s="263"/>
      <c r="S383" s="292"/>
      <c r="T383" s="261"/>
      <c r="U383" s="261"/>
      <c r="V383" s="268"/>
      <c r="W383" s="268"/>
      <c r="X383" s="268"/>
      <c r="Y383" s="268"/>
      <c r="Z383" s="471">
        <f>SUMIF(TAB_CS[Reference],TAB_Offres[[#This Row],[Reference]],TAB_CS[Commited days])</f>
        <v>0</v>
      </c>
      <c r="AA383" s="269">
        <f>SUMIF(TAB_CS[Reference],TAB_Offres[[#This Row],[Reference]],TAB_CS[Commited amount])</f>
        <v>0</v>
      </c>
      <c r="AB383" s="275"/>
      <c r="AC383" s="270"/>
      <c r="AD383" s="270"/>
      <c r="AE383" s="264"/>
      <c r="AF383" s="271"/>
      <c r="AG383" s="278"/>
      <c r="AH383" s="277" t="str">
        <f>CONCATENATE(YEAR(TAB_Offres[[#This Row],[Request date ]]),"-",MONTH(TAB_Offres[[#This Row],[Request date ]]))</f>
        <v>1900-1</v>
      </c>
      <c r="AI383" s="274" t="e">
        <f>IF(#REF!,1,0)</f>
        <v>#REF!</v>
      </c>
      <c r="AJ383" s="4"/>
      <c r="AK383" s="4"/>
      <c r="AL383" s="4"/>
      <c r="AN383" s="150"/>
      <c r="AQ383" s="4"/>
    </row>
    <row r="384" spans="1:43" x14ac:dyDescent="0.25">
      <c r="A384" s="258">
        <f>ROW(TAB_Offres[[#This Row],[Reference]])-ROW(TAB_Offres[[#Headers],[ID]])</f>
        <v>383</v>
      </c>
      <c r="B384" s="258"/>
      <c r="C384" s="258"/>
      <c r="D384" s="258"/>
      <c r="E384" s="263"/>
      <c r="F384" s="258"/>
      <c r="G384" s="263"/>
      <c r="H384" s="262"/>
      <c r="I384" s="262"/>
      <c r="J384" s="262"/>
      <c r="K384" s="262"/>
      <c r="L384" s="262"/>
      <c r="M384" s="264"/>
      <c r="N384" s="262"/>
      <c r="O384" s="262"/>
      <c r="P384" s="262"/>
      <c r="Q384" s="263"/>
      <c r="R384" s="263"/>
      <c r="S384" s="292"/>
      <c r="T384" s="261"/>
      <c r="U384" s="261"/>
      <c r="V384" s="268"/>
      <c r="W384" s="268"/>
      <c r="X384" s="268"/>
      <c r="Y384" s="268"/>
      <c r="Z384" s="471">
        <f>SUMIF(TAB_CS[Reference],TAB_Offres[[#This Row],[Reference]],TAB_CS[Commited days])</f>
        <v>0</v>
      </c>
      <c r="AA384" s="269">
        <f>SUMIF(TAB_CS[Reference],TAB_Offres[[#This Row],[Reference]],TAB_CS[Commited amount])</f>
        <v>0</v>
      </c>
      <c r="AB384" s="275"/>
      <c r="AC384" s="270"/>
      <c r="AD384" s="270"/>
      <c r="AE384" s="264"/>
      <c r="AF384" s="271"/>
      <c r="AG384" s="278"/>
      <c r="AH384" s="277" t="str">
        <f>CONCATENATE(YEAR(TAB_Offres[[#This Row],[Request date ]]),"-",MONTH(TAB_Offres[[#This Row],[Request date ]]))</f>
        <v>1900-1</v>
      </c>
      <c r="AI384" s="274" t="e">
        <f>IF(#REF!,1,0)</f>
        <v>#REF!</v>
      </c>
      <c r="AJ384" s="4"/>
      <c r="AK384" s="4"/>
      <c r="AL384" s="4"/>
      <c r="AN384" s="150"/>
      <c r="AQ384" s="4"/>
    </row>
    <row r="385" spans="1:43" x14ac:dyDescent="0.25">
      <c r="A385" s="258">
        <f>ROW(TAB_Offres[[#This Row],[Reference]])-ROW(TAB_Offres[[#Headers],[ID]])</f>
        <v>384</v>
      </c>
      <c r="B385" s="258"/>
      <c r="C385" s="258"/>
      <c r="D385" s="258"/>
      <c r="E385" s="263"/>
      <c r="F385" s="258"/>
      <c r="G385" s="263"/>
      <c r="H385" s="262"/>
      <c r="I385" s="262"/>
      <c r="J385" s="262"/>
      <c r="K385" s="262"/>
      <c r="L385" s="262"/>
      <c r="M385" s="264"/>
      <c r="N385" s="262"/>
      <c r="O385" s="262"/>
      <c r="P385" s="262"/>
      <c r="Q385" s="263"/>
      <c r="R385" s="263"/>
      <c r="S385" s="292"/>
      <c r="T385" s="261"/>
      <c r="U385" s="261"/>
      <c r="V385" s="268"/>
      <c r="W385" s="268"/>
      <c r="X385" s="268"/>
      <c r="Y385" s="268"/>
      <c r="Z385" s="471">
        <f>SUMIF(TAB_CS[Reference],TAB_Offres[[#This Row],[Reference]],TAB_CS[Commited days])</f>
        <v>0</v>
      </c>
      <c r="AA385" s="269">
        <f>SUMIF(TAB_CS[Reference],TAB_Offres[[#This Row],[Reference]],TAB_CS[Commited amount])</f>
        <v>0</v>
      </c>
      <c r="AB385" s="275"/>
      <c r="AC385" s="270"/>
      <c r="AD385" s="270"/>
      <c r="AE385" s="264"/>
      <c r="AF385" s="271"/>
      <c r="AG385" s="278"/>
      <c r="AH385" s="277" t="str">
        <f>CONCATENATE(YEAR(TAB_Offres[[#This Row],[Request date ]]),"-",MONTH(TAB_Offres[[#This Row],[Request date ]]))</f>
        <v>1900-1</v>
      </c>
      <c r="AI385" s="274" t="e">
        <f>IF(#REF!,1,0)</f>
        <v>#REF!</v>
      </c>
      <c r="AJ385" s="4"/>
      <c r="AK385" s="4"/>
      <c r="AL385" s="4"/>
      <c r="AN385" s="150"/>
      <c r="AQ385" s="4"/>
    </row>
    <row r="386" spans="1:43" x14ac:dyDescent="0.25">
      <c r="A386" s="258">
        <f>ROW(TAB_Offres[[#This Row],[Reference]])-ROW(TAB_Offres[[#Headers],[ID]])</f>
        <v>385</v>
      </c>
      <c r="B386" s="258"/>
      <c r="C386" s="258"/>
      <c r="D386" s="258"/>
      <c r="E386" s="263"/>
      <c r="F386" s="258"/>
      <c r="G386" s="263"/>
      <c r="H386" s="262"/>
      <c r="I386" s="262"/>
      <c r="J386" s="262"/>
      <c r="K386" s="262"/>
      <c r="L386" s="262"/>
      <c r="M386" s="264"/>
      <c r="N386" s="262"/>
      <c r="O386" s="262"/>
      <c r="P386" s="262"/>
      <c r="Q386" s="263"/>
      <c r="R386" s="263"/>
      <c r="S386" s="292"/>
      <c r="T386" s="261"/>
      <c r="U386" s="261"/>
      <c r="V386" s="268"/>
      <c r="W386" s="268"/>
      <c r="X386" s="268"/>
      <c r="Y386" s="268"/>
      <c r="Z386" s="471">
        <f>SUMIF(TAB_CS[Reference],TAB_Offres[[#This Row],[Reference]],TAB_CS[Commited days])</f>
        <v>0</v>
      </c>
      <c r="AA386" s="269">
        <f>SUMIF(TAB_CS[Reference],TAB_Offres[[#This Row],[Reference]],TAB_CS[Commited amount])</f>
        <v>0</v>
      </c>
      <c r="AB386" s="275"/>
      <c r="AC386" s="270"/>
      <c r="AD386" s="270"/>
      <c r="AE386" s="264"/>
      <c r="AF386" s="271"/>
      <c r="AG386" s="278"/>
      <c r="AH386" s="277" t="str">
        <f>CONCATENATE(YEAR(TAB_Offres[[#This Row],[Request date ]]),"-",MONTH(TAB_Offres[[#This Row],[Request date ]]))</f>
        <v>1900-1</v>
      </c>
      <c r="AI386" s="274" t="e">
        <f>IF(#REF!,1,0)</f>
        <v>#REF!</v>
      </c>
      <c r="AJ386" s="4"/>
      <c r="AK386" s="4"/>
      <c r="AL386" s="4"/>
      <c r="AN386" s="150"/>
      <c r="AQ386" s="4"/>
    </row>
    <row r="387" spans="1:43" x14ac:dyDescent="0.25">
      <c r="A387" s="258">
        <f>ROW(TAB_Offres[[#This Row],[Reference]])-ROW(TAB_Offres[[#Headers],[ID]])</f>
        <v>386</v>
      </c>
      <c r="B387" s="258"/>
      <c r="C387" s="258"/>
      <c r="D387" s="258"/>
      <c r="E387" s="263"/>
      <c r="F387" s="258"/>
      <c r="G387" s="263"/>
      <c r="H387" s="262"/>
      <c r="I387" s="262"/>
      <c r="J387" s="262"/>
      <c r="K387" s="262"/>
      <c r="L387" s="262"/>
      <c r="M387" s="264"/>
      <c r="N387" s="262"/>
      <c r="O387" s="262"/>
      <c r="P387" s="262"/>
      <c r="Q387" s="263"/>
      <c r="R387" s="263"/>
      <c r="S387" s="292"/>
      <c r="T387" s="261"/>
      <c r="U387" s="261"/>
      <c r="V387" s="268"/>
      <c r="W387" s="268"/>
      <c r="X387" s="268"/>
      <c r="Y387" s="268"/>
      <c r="Z387" s="471">
        <f>SUMIF(TAB_CS[Reference],TAB_Offres[[#This Row],[Reference]],TAB_CS[Commited days])</f>
        <v>0</v>
      </c>
      <c r="AA387" s="269">
        <f>SUMIF(TAB_CS[Reference],TAB_Offres[[#This Row],[Reference]],TAB_CS[Commited amount])</f>
        <v>0</v>
      </c>
      <c r="AB387" s="275"/>
      <c r="AC387" s="270"/>
      <c r="AD387" s="270"/>
      <c r="AE387" s="264"/>
      <c r="AF387" s="271"/>
      <c r="AG387" s="278"/>
      <c r="AH387" s="277" t="str">
        <f>CONCATENATE(YEAR(TAB_Offres[[#This Row],[Request date ]]),"-",MONTH(TAB_Offres[[#This Row],[Request date ]]))</f>
        <v>1900-1</v>
      </c>
      <c r="AI387" s="274" t="e">
        <f>IF(#REF!,1,0)</f>
        <v>#REF!</v>
      </c>
      <c r="AJ387" s="4"/>
      <c r="AK387" s="4"/>
      <c r="AL387" s="4"/>
      <c r="AN387" s="150"/>
      <c r="AQ387" s="4"/>
    </row>
    <row r="388" spans="1:43" x14ac:dyDescent="0.25">
      <c r="A388" s="258">
        <f>ROW(TAB_Offres[[#This Row],[Reference]])-ROW(TAB_Offres[[#Headers],[ID]])</f>
        <v>387</v>
      </c>
      <c r="B388" s="258"/>
      <c r="C388" s="258"/>
      <c r="D388" s="258"/>
      <c r="E388" s="263"/>
      <c r="F388" s="258"/>
      <c r="G388" s="263"/>
      <c r="H388" s="262"/>
      <c r="I388" s="262"/>
      <c r="J388" s="262"/>
      <c r="K388" s="262"/>
      <c r="L388" s="262"/>
      <c r="M388" s="264"/>
      <c r="N388" s="262"/>
      <c r="O388" s="262"/>
      <c r="P388" s="262"/>
      <c r="Q388" s="263"/>
      <c r="R388" s="263"/>
      <c r="S388" s="292"/>
      <c r="T388" s="261"/>
      <c r="U388" s="261"/>
      <c r="V388" s="268"/>
      <c r="W388" s="268"/>
      <c r="X388" s="268"/>
      <c r="Y388" s="268"/>
      <c r="Z388" s="471">
        <f>SUMIF(TAB_CS[Reference],TAB_Offres[[#This Row],[Reference]],TAB_CS[Commited days])</f>
        <v>0</v>
      </c>
      <c r="AA388" s="269">
        <f>SUMIF(TAB_CS[Reference],TAB_Offres[[#This Row],[Reference]],TAB_CS[Commited amount])</f>
        <v>0</v>
      </c>
      <c r="AB388" s="275"/>
      <c r="AC388" s="270"/>
      <c r="AD388" s="270"/>
      <c r="AE388" s="264"/>
      <c r="AF388" s="271"/>
      <c r="AG388" s="278"/>
      <c r="AH388" s="277" t="str">
        <f>CONCATENATE(YEAR(TAB_Offres[[#This Row],[Request date ]]),"-",MONTH(TAB_Offres[[#This Row],[Request date ]]))</f>
        <v>1900-1</v>
      </c>
      <c r="AI388" s="274" t="e">
        <f>IF(#REF!,1,0)</f>
        <v>#REF!</v>
      </c>
      <c r="AJ388" s="4"/>
      <c r="AK388" s="4"/>
      <c r="AL388" s="4"/>
      <c r="AN388" s="150"/>
      <c r="AQ388" s="4"/>
    </row>
    <row r="389" spans="1:43" x14ac:dyDescent="0.25">
      <c r="A389" s="258">
        <f>ROW(TAB_Offres[[#This Row],[Reference]])-ROW(TAB_Offres[[#Headers],[ID]])</f>
        <v>388</v>
      </c>
      <c r="B389" s="258"/>
      <c r="C389" s="258"/>
      <c r="D389" s="258"/>
      <c r="E389" s="263"/>
      <c r="F389" s="258"/>
      <c r="G389" s="263"/>
      <c r="H389" s="262"/>
      <c r="I389" s="262"/>
      <c r="J389" s="262"/>
      <c r="K389" s="262"/>
      <c r="L389" s="262"/>
      <c r="M389" s="264"/>
      <c r="N389" s="262"/>
      <c r="O389" s="262"/>
      <c r="P389" s="262"/>
      <c r="Q389" s="263"/>
      <c r="R389" s="263"/>
      <c r="S389" s="292"/>
      <c r="T389" s="261"/>
      <c r="U389" s="261"/>
      <c r="V389" s="268"/>
      <c r="W389" s="268"/>
      <c r="X389" s="268"/>
      <c r="Y389" s="268"/>
      <c r="Z389" s="471">
        <f>SUMIF(TAB_CS[Reference],TAB_Offres[[#This Row],[Reference]],TAB_CS[Commited days])</f>
        <v>0</v>
      </c>
      <c r="AA389" s="269">
        <f>SUMIF(TAB_CS[Reference],TAB_Offres[[#This Row],[Reference]],TAB_CS[Commited amount])</f>
        <v>0</v>
      </c>
      <c r="AB389" s="275"/>
      <c r="AC389" s="270"/>
      <c r="AD389" s="270"/>
      <c r="AE389" s="264"/>
      <c r="AF389" s="271"/>
      <c r="AG389" s="278"/>
      <c r="AH389" s="277" t="str">
        <f>CONCATENATE(YEAR(TAB_Offres[[#This Row],[Request date ]]),"-",MONTH(TAB_Offres[[#This Row],[Request date ]]))</f>
        <v>1900-1</v>
      </c>
      <c r="AI389" s="274" t="e">
        <f>IF(#REF!,1,0)</f>
        <v>#REF!</v>
      </c>
      <c r="AJ389" s="4"/>
      <c r="AK389" s="4"/>
      <c r="AL389" s="4"/>
      <c r="AN389" s="150"/>
      <c r="AQ389" s="4"/>
    </row>
    <row r="390" spans="1:43" x14ac:dyDescent="0.25">
      <c r="A390" s="258">
        <f>ROW(TAB_Offres[[#This Row],[Reference]])-ROW(TAB_Offres[[#Headers],[ID]])</f>
        <v>389</v>
      </c>
      <c r="B390" s="258"/>
      <c r="C390" s="258"/>
      <c r="D390" s="258"/>
      <c r="E390" s="263"/>
      <c r="F390" s="258"/>
      <c r="G390" s="263"/>
      <c r="H390" s="262"/>
      <c r="I390" s="262"/>
      <c r="J390" s="262"/>
      <c r="K390" s="262"/>
      <c r="L390" s="262"/>
      <c r="M390" s="264"/>
      <c r="N390" s="262"/>
      <c r="O390" s="262"/>
      <c r="P390" s="262"/>
      <c r="Q390" s="263"/>
      <c r="R390" s="263"/>
      <c r="S390" s="292"/>
      <c r="T390" s="261"/>
      <c r="U390" s="261"/>
      <c r="V390" s="268"/>
      <c r="W390" s="268"/>
      <c r="X390" s="268"/>
      <c r="Y390" s="268"/>
      <c r="Z390" s="471">
        <f>SUMIF(TAB_CS[Reference],TAB_Offres[[#This Row],[Reference]],TAB_CS[Commited days])</f>
        <v>0</v>
      </c>
      <c r="AA390" s="269">
        <f>SUMIF(TAB_CS[Reference],TAB_Offres[[#This Row],[Reference]],TAB_CS[Commited amount])</f>
        <v>0</v>
      </c>
      <c r="AB390" s="275"/>
      <c r="AC390" s="270"/>
      <c r="AD390" s="270"/>
      <c r="AE390" s="264"/>
      <c r="AF390" s="271"/>
      <c r="AG390" s="278"/>
      <c r="AH390" s="277" t="str">
        <f>CONCATENATE(YEAR(TAB_Offres[[#This Row],[Request date ]]),"-",MONTH(TAB_Offres[[#This Row],[Request date ]]))</f>
        <v>1900-1</v>
      </c>
      <c r="AI390" s="274" t="e">
        <f>IF(#REF!,1,0)</f>
        <v>#REF!</v>
      </c>
      <c r="AJ390" s="4"/>
      <c r="AK390" s="4"/>
      <c r="AL390" s="4"/>
      <c r="AN390" s="150"/>
      <c r="AQ390" s="4"/>
    </row>
    <row r="391" spans="1:43" x14ac:dyDescent="0.25">
      <c r="A391" s="258">
        <f>ROW(TAB_Offres[[#This Row],[Reference]])-ROW(TAB_Offres[[#Headers],[ID]])</f>
        <v>390</v>
      </c>
      <c r="B391" s="258"/>
      <c r="C391" s="258"/>
      <c r="D391" s="258"/>
      <c r="E391" s="263"/>
      <c r="F391" s="258"/>
      <c r="G391" s="263"/>
      <c r="H391" s="262"/>
      <c r="I391" s="262"/>
      <c r="J391" s="262"/>
      <c r="K391" s="262"/>
      <c r="L391" s="262"/>
      <c r="M391" s="264"/>
      <c r="N391" s="262"/>
      <c r="O391" s="262"/>
      <c r="P391" s="262"/>
      <c r="Q391" s="263"/>
      <c r="R391" s="263"/>
      <c r="S391" s="292"/>
      <c r="T391" s="261"/>
      <c r="U391" s="261"/>
      <c r="V391" s="268"/>
      <c r="W391" s="268"/>
      <c r="X391" s="268"/>
      <c r="Y391" s="268"/>
      <c r="Z391" s="471">
        <f>SUMIF(TAB_CS[Reference],TAB_Offres[[#This Row],[Reference]],TAB_CS[Commited days])</f>
        <v>0</v>
      </c>
      <c r="AA391" s="269">
        <f>SUMIF(TAB_CS[Reference],TAB_Offres[[#This Row],[Reference]],TAB_CS[Commited amount])</f>
        <v>0</v>
      </c>
      <c r="AB391" s="275"/>
      <c r="AC391" s="270"/>
      <c r="AD391" s="270"/>
      <c r="AE391" s="264"/>
      <c r="AF391" s="271"/>
      <c r="AG391" s="278"/>
      <c r="AH391" s="277" t="str">
        <f>CONCATENATE(YEAR(TAB_Offres[[#This Row],[Request date ]]),"-",MONTH(TAB_Offres[[#This Row],[Request date ]]))</f>
        <v>1900-1</v>
      </c>
      <c r="AI391" s="274" t="e">
        <f>IF(#REF!,1,0)</f>
        <v>#REF!</v>
      </c>
      <c r="AJ391" s="4"/>
      <c r="AK391" s="4"/>
      <c r="AL391" s="4"/>
      <c r="AN391" s="150"/>
      <c r="AQ391" s="4"/>
    </row>
    <row r="392" spans="1:43" x14ac:dyDescent="0.25">
      <c r="A392" s="258">
        <f>ROW(TAB_Offres[[#This Row],[Reference]])-ROW(TAB_Offres[[#Headers],[ID]])</f>
        <v>391</v>
      </c>
      <c r="B392" s="258"/>
      <c r="C392" s="258"/>
      <c r="D392" s="258"/>
      <c r="E392" s="263"/>
      <c r="F392" s="258"/>
      <c r="G392" s="263"/>
      <c r="H392" s="262"/>
      <c r="I392" s="262"/>
      <c r="J392" s="262"/>
      <c r="K392" s="262"/>
      <c r="L392" s="262"/>
      <c r="M392" s="264"/>
      <c r="N392" s="262"/>
      <c r="O392" s="262"/>
      <c r="P392" s="262"/>
      <c r="Q392" s="263"/>
      <c r="R392" s="263"/>
      <c r="S392" s="292"/>
      <c r="T392" s="261"/>
      <c r="U392" s="261"/>
      <c r="V392" s="268"/>
      <c r="W392" s="268"/>
      <c r="X392" s="268"/>
      <c r="Y392" s="268"/>
      <c r="Z392" s="471">
        <f>SUMIF(TAB_CS[Reference],TAB_Offres[[#This Row],[Reference]],TAB_CS[Commited days])</f>
        <v>0</v>
      </c>
      <c r="AA392" s="269">
        <f>SUMIF(TAB_CS[Reference],TAB_Offres[[#This Row],[Reference]],TAB_CS[Commited amount])</f>
        <v>0</v>
      </c>
      <c r="AB392" s="275"/>
      <c r="AC392" s="270"/>
      <c r="AD392" s="270"/>
      <c r="AE392" s="264"/>
      <c r="AF392" s="271"/>
      <c r="AG392" s="278"/>
      <c r="AH392" s="277" t="str">
        <f>CONCATENATE(YEAR(TAB_Offres[[#This Row],[Request date ]]),"-",MONTH(TAB_Offres[[#This Row],[Request date ]]))</f>
        <v>1900-1</v>
      </c>
      <c r="AI392" s="274" t="e">
        <f>IF(#REF!,1,0)</f>
        <v>#REF!</v>
      </c>
      <c r="AJ392" s="4"/>
      <c r="AK392" s="4"/>
      <c r="AL392" s="4"/>
      <c r="AN392" s="150"/>
      <c r="AQ392" s="4"/>
    </row>
    <row r="393" spans="1:43" x14ac:dyDescent="0.25">
      <c r="A393" s="258">
        <f>ROW(TAB_Offres[[#This Row],[Reference]])-ROW(TAB_Offres[[#Headers],[ID]])</f>
        <v>392</v>
      </c>
      <c r="B393" s="258"/>
      <c r="C393" s="258"/>
      <c r="D393" s="258"/>
      <c r="E393" s="263"/>
      <c r="F393" s="258"/>
      <c r="G393" s="263"/>
      <c r="H393" s="262"/>
      <c r="I393" s="262"/>
      <c r="J393" s="262"/>
      <c r="K393" s="262"/>
      <c r="L393" s="262"/>
      <c r="M393" s="264"/>
      <c r="N393" s="262"/>
      <c r="O393" s="262"/>
      <c r="P393" s="262"/>
      <c r="Q393" s="263"/>
      <c r="R393" s="263"/>
      <c r="S393" s="292"/>
      <c r="T393" s="261"/>
      <c r="U393" s="261"/>
      <c r="V393" s="268"/>
      <c r="W393" s="268"/>
      <c r="X393" s="268"/>
      <c r="Y393" s="268"/>
      <c r="Z393" s="471">
        <f>SUMIF(TAB_CS[Reference],TAB_Offres[[#This Row],[Reference]],TAB_CS[Commited days])</f>
        <v>0</v>
      </c>
      <c r="AA393" s="269">
        <f>SUMIF(TAB_CS[Reference],TAB_Offres[[#This Row],[Reference]],TAB_CS[Commited amount])</f>
        <v>0</v>
      </c>
      <c r="AB393" s="275"/>
      <c r="AC393" s="270"/>
      <c r="AD393" s="270"/>
      <c r="AE393" s="264"/>
      <c r="AF393" s="271"/>
      <c r="AG393" s="278"/>
      <c r="AH393" s="277" t="str">
        <f>CONCATENATE(YEAR(TAB_Offres[[#This Row],[Request date ]]),"-",MONTH(TAB_Offres[[#This Row],[Request date ]]))</f>
        <v>1900-1</v>
      </c>
      <c r="AI393" s="274" t="e">
        <f>IF(#REF!,1,0)</f>
        <v>#REF!</v>
      </c>
      <c r="AJ393" s="4"/>
      <c r="AK393" s="4"/>
      <c r="AL393" s="4"/>
      <c r="AN393" s="150"/>
      <c r="AQ393" s="4"/>
    </row>
    <row r="394" spans="1:43" x14ac:dyDescent="0.25">
      <c r="A394" s="258">
        <f>ROW(TAB_Offres[[#This Row],[Reference]])-ROW(TAB_Offres[[#Headers],[ID]])</f>
        <v>393</v>
      </c>
      <c r="B394" s="258"/>
      <c r="C394" s="258"/>
      <c r="D394" s="258"/>
      <c r="E394" s="263"/>
      <c r="F394" s="258"/>
      <c r="G394" s="263"/>
      <c r="H394" s="262"/>
      <c r="I394" s="262"/>
      <c r="J394" s="262"/>
      <c r="K394" s="262"/>
      <c r="L394" s="262"/>
      <c r="M394" s="264"/>
      <c r="N394" s="262"/>
      <c r="O394" s="262"/>
      <c r="P394" s="262"/>
      <c r="Q394" s="263"/>
      <c r="R394" s="263"/>
      <c r="S394" s="292"/>
      <c r="T394" s="261"/>
      <c r="U394" s="261"/>
      <c r="V394" s="268"/>
      <c r="W394" s="268"/>
      <c r="X394" s="268"/>
      <c r="Y394" s="268"/>
      <c r="Z394" s="471">
        <f>SUMIF(TAB_CS[Reference],TAB_Offres[[#This Row],[Reference]],TAB_CS[Commited days])</f>
        <v>0</v>
      </c>
      <c r="AA394" s="269">
        <f>SUMIF(TAB_CS[Reference],TAB_Offres[[#This Row],[Reference]],TAB_CS[Commited amount])</f>
        <v>0</v>
      </c>
      <c r="AB394" s="275"/>
      <c r="AC394" s="270"/>
      <c r="AD394" s="270"/>
      <c r="AE394" s="264"/>
      <c r="AF394" s="271"/>
      <c r="AG394" s="278"/>
      <c r="AH394" s="277" t="str">
        <f>CONCATENATE(YEAR(TAB_Offres[[#This Row],[Request date ]]),"-",MONTH(TAB_Offres[[#This Row],[Request date ]]))</f>
        <v>1900-1</v>
      </c>
      <c r="AI394" s="274" t="e">
        <f>IF(#REF!,1,0)</f>
        <v>#REF!</v>
      </c>
      <c r="AJ394" s="4"/>
      <c r="AK394" s="4"/>
      <c r="AL394" s="4"/>
      <c r="AN394" s="150"/>
      <c r="AQ394" s="4"/>
    </row>
    <row r="395" spans="1:43" x14ac:dyDescent="0.25">
      <c r="A395" s="258">
        <f>ROW(TAB_Offres[[#This Row],[Reference]])-ROW(TAB_Offres[[#Headers],[ID]])</f>
        <v>394</v>
      </c>
      <c r="B395" s="258"/>
      <c r="C395" s="258"/>
      <c r="D395" s="258"/>
      <c r="E395" s="263"/>
      <c r="F395" s="258"/>
      <c r="G395" s="263"/>
      <c r="H395" s="262"/>
      <c r="I395" s="262"/>
      <c r="J395" s="262"/>
      <c r="K395" s="262"/>
      <c r="L395" s="262"/>
      <c r="M395" s="264"/>
      <c r="N395" s="262"/>
      <c r="O395" s="262"/>
      <c r="P395" s="262"/>
      <c r="Q395" s="263"/>
      <c r="R395" s="263"/>
      <c r="S395" s="292"/>
      <c r="T395" s="261"/>
      <c r="U395" s="261"/>
      <c r="V395" s="268"/>
      <c r="W395" s="268"/>
      <c r="X395" s="268"/>
      <c r="Y395" s="268"/>
      <c r="Z395" s="471">
        <f>SUMIF(TAB_CS[Reference],TAB_Offres[[#This Row],[Reference]],TAB_CS[Commited days])</f>
        <v>0</v>
      </c>
      <c r="AA395" s="269">
        <f>SUMIF(TAB_CS[Reference],TAB_Offres[[#This Row],[Reference]],TAB_CS[Commited amount])</f>
        <v>0</v>
      </c>
      <c r="AB395" s="275"/>
      <c r="AC395" s="270"/>
      <c r="AD395" s="270"/>
      <c r="AE395" s="264"/>
      <c r="AF395" s="271"/>
      <c r="AG395" s="278"/>
      <c r="AH395" s="277" t="str">
        <f>CONCATENATE(YEAR(TAB_Offres[[#This Row],[Request date ]]),"-",MONTH(TAB_Offres[[#This Row],[Request date ]]))</f>
        <v>1900-1</v>
      </c>
      <c r="AI395" s="274" t="e">
        <f>IF(#REF!,1,0)</f>
        <v>#REF!</v>
      </c>
      <c r="AJ395" s="4"/>
      <c r="AK395" s="4"/>
      <c r="AL395" s="4"/>
      <c r="AN395" s="150"/>
      <c r="AQ395" s="4"/>
    </row>
    <row r="396" spans="1:43" x14ac:dyDescent="0.25">
      <c r="A396" s="258">
        <f>ROW(TAB_Offres[[#This Row],[Reference]])-ROW(TAB_Offres[[#Headers],[ID]])</f>
        <v>395</v>
      </c>
      <c r="B396" s="258"/>
      <c r="C396" s="258"/>
      <c r="D396" s="258"/>
      <c r="E396" s="263"/>
      <c r="F396" s="258"/>
      <c r="G396" s="263"/>
      <c r="H396" s="262"/>
      <c r="I396" s="262"/>
      <c r="J396" s="262"/>
      <c r="K396" s="262"/>
      <c r="L396" s="262"/>
      <c r="M396" s="264"/>
      <c r="N396" s="262"/>
      <c r="O396" s="262"/>
      <c r="P396" s="262"/>
      <c r="Q396" s="263"/>
      <c r="R396" s="263"/>
      <c r="S396" s="292"/>
      <c r="T396" s="261"/>
      <c r="U396" s="261"/>
      <c r="V396" s="268"/>
      <c r="W396" s="268"/>
      <c r="X396" s="268"/>
      <c r="Y396" s="268"/>
      <c r="Z396" s="471">
        <f>SUMIF(TAB_CS[Reference],TAB_Offres[[#This Row],[Reference]],TAB_CS[Commited days])</f>
        <v>0</v>
      </c>
      <c r="AA396" s="269">
        <f>SUMIF(TAB_CS[Reference],TAB_Offres[[#This Row],[Reference]],TAB_CS[Commited amount])</f>
        <v>0</v>
      </c>
      <c r="AB396" s="275"/>
      <c r="AC396" s="270"/>
      <c r="AD396" s="270"/>
      <c r="AE396" s="264"/>
      <c r="AF396" s="271"/>
      <c r="AG396" s="278"/>
      <c r="AH396" s="277" t="str">
        <f>CONCATENATE(YEAR(TAB_Offres[[#This Row],[Request date ]]),"-",MONTH(TAB_Offres[[#This Row],[Request date ]]))</f>
        <v>1900-1</v>
      </c>
      <c r="AI396" s="274" t="e">
        <f>IF(#REF!,1,0)</f>
        <v>#REF!</v>
      </c>
      <c r="AJ396" s="4"/>
      <c r="AK396" s="4"/>
      <c r="AL396" s="4"/>
      <c r="AN396" s="150"/>
      <c r="AQ396" s="4"/>
    </row>
    <row r="397" spans="1:43" x14ac:dyDescent="0.25">
      <c r="A397" s="258">
        <f>ROW(TAB_Offres[[#This Row],[Reference]])-ROW(TAB_Offres[[#Headers],[ID]])</f>
        <v>396</v>
      </c>
      <c r="B397" s="258"/>
      <c r="C397" s="258"/>
      <c r="D397" s="258"/>
      <c r="E397" s="263"/>
      <c r="F397" s="258"/>
      <c r="G397" s="263"/>
      <c r="H397" s="262"/>
      <c r="I397" s="262"/>
      <c r="J397" s="262"/>
      <c r="K397" s="262"/>
      <c r="L397" s="262"/>
      <c r="M397" s="264"/>
      <c r="N397" s="262"/>
      <c r="O397" s="262"/>
      <c r="P397" s="262"/>
      <c r="Q397" s="263"/>
      <c r="R397" s="263"/>
      <c r="S397" s="292"/>
      <c r="T397" s="261"/>
      <c r="U397" s="261"/>
      <c r="V397" s="268"/>
      <c r="W397" s="268"/>
      <c r="X397" s="268"/>
      <c r="Y397" s="268"/>
      <c r="Z397" s="471">
        <f>SUMIF(TAB_CS[Reference],TAB_Offres[[#This Row],[Reference]],TAB_CS[Commited days])</f>
        <v>0</v>
      </c>
      <c r="AA397" s="269">
        <f>SUMIF(TAB_CS[Reference],TAB_Offres[[#This Row],[Reference]],TAB_CS[Commited amount])</f>
        <v>0</v>
      </c>
      <c r="AB397" s="275"/>
      <c r="AC397" s="270"/>
      <c r="AD397" s="270"/>
      <c r="AE397" s="264"/>
      <c r="AF397" s="271"/>
      <c r="AG397" s="278"/>
      <c r="AH397" s="277" t="str">
        <f>CONCATENATE(YEAR(TAB_Offres[[#This Row],[Request date ]]),"-",MONTH(TAB_Offres[[#This Row],[Request date ]]))</f>
        <v>1900-1</v>
      </c>
      <c r="AI397" s="274" t="e">
        <f>IF(#REF!,1,0)</f>
        <v>#REF!</v>
      </c>
      <c r="AJ397" s="4"/>
      <c r="AK397" s="4"/>
      <c r="AL397" s="4"/>
      <c r="AN397" s="150"/>
      <c r="AQ397" s="4"/>
    </row>
    <row r="398" spans="1:43" x14ac:dyDescent="0.25">
      <c r="A398" s="258">
        <f>ROW(TAB_Offres[[#This Row],[Reference]])-ROW(TAB_Offres[[#Headers],[ID]])</f>
        <v>397</v>
      </c>
      <c r="B398" s="258"/>
      <c r="C398" s="258"/>
      <c r="D398" s="258"/>
      <c r="E398" s="263"/>
      <c r="F398" s="258"/>
      <c r="G398" s="263"/>
      <c r="H398" s="262"/>
      <c r="I398" s="262"/>
      <c r="J398" s="262"/>
      <c r="K398" s="262"/>
      <c r="L398" s="262"/>
      <c r="M398" s="264"/>
      <c r="N398" s="262"/>
      <c r="O398" s="262"/>
      <c r="P398" s="262"/>
      <c r="Q398" s="263"/>
      <c r="R398" s="263"/>
      <c r="S398" s="292"/>
      <c r="T398" s="261"/>
      <c r="U398" s="261"/>
      <c r="V398" s="268"/>
      <c r="W398" s="268"/>
      <c r="X398" s="268"/>
      <c r="Y398" s="268"/>
      <c r="Z398" s="471">
        <f>SUMIF(TAB_CS[Reference],TAB_Offres[[#This Row],[Reference]],TAB_CS[Commited days])</f>
        <v>0</v>
      </c>
      <c r="AA398" s="269">
        <f>SUMIF(TAB_CS[Reference],TAB_Offres[[#This Row],[Reference]],TAB_CS[Commited amount])</f>
        <v>0</v>
      </c>
      <c r="AB398" s="275"/>
      <c r="AC398" s="270"/>
      <c r="AD398" s="270"/>
      <c r="AE398" s="264"/>
      <c r="AF398" s="271"/>
      <c r="AG398" s="278"/>
      <c r="AH398" s="277" t="str">
        <f>CONCATENATE(YEAR(TAB_Offres[[#This Row],[Request date ]]),"-",MONTH(TAB_Offres[[#This Row],[Request date ]]))</f>
        <v>1900-1</v>
      </c>
      <c r="AI398" s="274" t="e">
        <f>IF(#REF!,1,0)</f>
        <v>#REF!</v>
      </c>
      <c r="AJ398" s="4"/>
      <c r="AK398" s="4"/>
      <c r="AL398" s="4"/>
      <c r="AN398" s="150"/>
      <c r="AQ398" s="4"/>
    </row>
    <row r="399" spans="1:43" x14ac:dyDescent="0.25">
      <c r="A399" s="258">
        <f>ROW(TAB_Offres[[#This Row],[Reference]])-ROW(TAB_Offres[[#Headers],[ID]])</f>
        <v>398</v>
      </c>
      <c r="B399" s="258"/>
      <c r="C399" s="258"/>
      <c r="D399" s="258"/>
      <c r="E399" s="263"/>
      <c r="F399" s="258"/>
      <c r="G399" s="263"/>
      <c r="H399" s="262"/>
      <c r="I399" s="262"/>
      <c r="J399" s="262"/>
      <c r="K399" s="262"/>
      <c r="L399" s="262"/>
      <c r="M399" s="264"/>
      <c r="N399" s="262"/>
      <c r="O399" s="262"/>
      <c r="P399" s="262"/>
      <c r="Q399" s="263"/>
      <c r="R399" s="263"/>
      <c r="S399" s="292"/>
      <c r="T399" s="261"/>
      <c r="U399" s="261"/>
      <c r="V399" s="268"/>
      <c r="W399" s="268"/>
      <c r="X399" s="268"/>
      <c r="Y399" s="268"/>
      <c r="Z399" s="471">
        <f>SUMIF(TAB_CS[Reference],TAB_Offres[[#This Row],[Reference]],TAB_CS[Commited days])</f>
        <v>0</v>
      </c>
      <c r="AA399" s="269">
        <f>SUMIF(TAB_CS[Reference],TAB_Offres[[#This Row],[Reference]],TAB_CS[Commited amount])</f>
        <v>0</v>
      </c>
      <c r="AB399" s="275"/>
      <c r="AC399" s="270"/>
      <c r="AD399" s="270"/>
      <c r="AE399" s="264"/>
      <c r="AF399" s="271"/>
      <c r="AG399" s="278"/>
      <c r="AH399" s="277" t="str">
        <f>CONCATENATE(YEAR(TAB_Offres[[#This Row],[Request date ]]),"-",MONTH(TAB_Offres[[#This Row],[Request date ]]))</f>
        <v>1900-1</v>
      </c>
      <c r="AI399" s="274" t="e">
        <f>IF(#REF!,1,0)</f>
        <v>#REF!</v>
      </c>
      <c r="AJ399" s="4"/>
      <c r="AK399" s="4"/>
      <c r="AL399" s="4"/>
      <c r="AN399" s="150"/>
      <c r="AQ399" s="4"/>
    </row>
    <row r="400" spans="1:43" x14ac:dyDescent="0.25">
      <c r="A400" s="258">
        <f>ROW(TAB_Offres[[#This Row],[Reference]])-ROW(TAB_Offres[[#Headers],[ID]])</f>
        <v>399</v>
      </c>
      <c r="B400" s="258"/>
      <c r="C400" s="258"/>
      <c r="D400" s="258"/>
      <c r="E400" s="263"/>
      <c r="F400" s="258"/>
      <c r="G400" s="263"/>
      <c r="H400" s="262"/>
      <c r="I400" s="262"/>
      <c r="J400" s="262"/>
      <c r="K400" s="262"/>
      <c r="L400" s="262"/>
      <c r="M400" s="264"/>
      <c r="N400" s="262"/>
      <c r="O400" s="262"/>
      <c r="P400" s="262"/>
      <c r="Q400" s="263"/>
      <c r="R400" s="263"/>
      <c r="S400" s="292"/>
      <c r="T400" s="261"/>
      <c r="U400" s="261"/>
      <c r="V400" s="268"/>
      <c r="W400" s="268"/>
      <c r="X400" s="268"/>
      <c r="Y400" s="268"/>
      <c r="Z400" s="471">
        <f>SUMIF(TAB_CS[Reference],TAB_Offres[[#This Row],[Reference]],TAB_CS[Commited days])</f>
        <v>0</v>
      </c>
      <c r="AA400" s="269">
        <f>SUMIF(TAB_CS[Reference],TAB_Offres[[#This Row],[Reference]],TAB_CS[Commited amount])</f>
        <v>0</v>
      </c>
      <c r="AB400" s="275"/>
      <c r="AC400" s="270"/>
      <c r="AD400" s="270"/>
      <c r="AE400" s="264"/>
      <c r="AF400" s="271"/>
      <c r="AG400" s="278"/>
      <c r="AH400" s="277" t="str">
        <f>CONCATENATE(YEAR(TAB_Offres[[#This Row],[Request date ]]),"-",MONTH(TAB_Offres[[#This Row],[Request date ]]))</f>
        <v>1900-1</v>
      </c>
      <c r="AI400" s="274" t="e">
        <f>IF(#REF!,1,0)</f>
        <v>#REF!</v>
      </c>
      <c r="AJ400" s="4"/>
      <c r="AK400" s="4"/>
      <c r="AL400" s="4"/>
      <c r="AN400" s="150"/>
      <c r="AQ400" s="4"/>
    </row>
    <row r="401" spans="1:43" x14ac:dyDescent="0.25">
      <c r="A401" s="258">
        <f>ROW(TAB_Offres[[#This Row],[Reference]])-ROW(TAB_Offres[[#Headers],[ID]])</f>
        <v>400</v>
      </c>
      <c r="B401" s="258"/>
      <c r="C401" s="258"/>
      <c r="D401" s="258"/>
      <c r="E401" s="263"/>
      <c r="F401" s="258"/>
      <c r="G401" s="263"/>
      <c r="H401" s="262"/>
      <c r="I401" s="262"/>
      <c r="J401" s="262"/>
      <c r="K401" s="262"/>
      <c r="L401" s="262"/>
      <c r="M401" s="264"/>
      <c r="N401" s="262"/>
      <c r="O401" s="262"/>
      <c r="P401" s="262"/>
      <c r="Q401" s="263"/>
      <c r="R401" s="263"/>
      <c r="S401" s="292"/>
      <c r="T401" s="261"/>
      <c r="U401" s="261"/>
      <c r="V401" s="268"/>
      <c r="W401" s="268"/>
      <c r="X401" s="268"/>
      <c r="Y401" s="268"/>
      <c r="Z401" s="471">
        <f>SUMIF(TAB_CS[Reference],TAB_Offres[[#This Row],[Reference]],TAB_CS[Commited days])</f>
        <v>0</v>
      </c>
      <c r="AA401" s="269">
        <f>SUMIF(TAB_CS[Reference],TAB_Offres[[#This Row],[Reference]],TAB_CS[Commited amount])</f>
        <v>0</v>
      </c>
      <c r="AB401" s="275"/>
      <c r="AC401" s="270"/>
      <c r="AD401" s="270"/>
      <c r="AE401" s="264"/>
      <c r="AF401" s="271"/>
      <c r="AG401" s="278"/>
      <c r="AH401" s="277" t="str">
        <f>CONCATENATE(YEAR(TAB_Offres[[#This Row],[Request date ]]),"-",MONTH(TAB_Offres[[#This Row],[Request date ]]))</f>
        <v>1900-1</v>
      </c>
      <c r="AI401" s="274" t="e">
        <f>IF(#REF!,1,0)</f>
        <v>#REF!</v>
      </c>
      <c r="AJ401" s="4"/>
      <c r="AK401" s="4"/>
      <c r="AL401" s="4"/>
      <c r="AN401" s="150"/>
      <c r="AQ401" s="4"/>
    </row>
    <row r="402" spans="1:43" x14ac:dyDescent="0.25">
      <c r="A402" s="258">
        <f>ROW(TAB_Offres[[#This Row],[Reference]])-ROW(TAB_Offres[[#Headers],[ID]])</f>
        <v>401</v>
      </c>
      <c r="B402" s="258"/>
      <c r="C402" s="258"/>
      <c r="D402" s="258"/>
      <c r="E402" s="263"/>
      <c r="F402" s="258"/>
      <c r="G402" s="263"/>
      <c r="H402" s="262"/>
      <c r="I402" s="262"/>
      <c r="J402" s="262"/>
      <c r="K402" s="262"/>
      <c r="L402" s="262"/>
      <c r="M402" s="264"/>
      <c r="N402" s="262"/>
      <c r="O402" s="262"/>
      <c r="P402" s="262"/>
      <c r="Q402" s="263"/>
      <c r="R402" s="263"/>
      <c r="S402" s="292"/>
      <c r="T402" s="261"/>
      <c r="U402" s="261"/>
      <c r="V402" s="268"/>
      <c r="W402" s="268"/>
      <c r="X402" s="268"/>
      <c r="Y402" s="268"/>
      <c r="Z402" s="471">
        <f>SUMIF(TAB_CS[Reference],TAB_Offres[[#This Row],[Reference]],TAB_CS[Commited days])</f>
        <v>0</v>
      </c>
      <c r="AA402" s="269">
        <f>SUMIF(TAB_CS[Reference],TAB_Offres[[#This Row],[Reference]],TAB_CS[Commited amount])</f>
        <v>0</v>
      </c>
      <c r="AB402" s="275"/>
      <c r="AC402" s="270"/>
      <c r="AD402" s="270"/>
      <c r="AE402" s="264"/>
      <c r="AF402" s="271"/>
      <c r="AG402" s="278"/>
      <c r="AH402" s="277" t="str">
        <f>CONCATENATE(YEAR(TAB_Offres[[#This Row],[Request date ]]),"-",MONTH(TAB_Offres[[#This Row],[Request date ]]))</f>
        <v>1900-1</v>
      </c>
      <c r="AI402" s="274" t="e">
        <f>IF(#REF!,1,0)</f>
        <v>#REF!</v>
      </c>
      <c r="AJ402" s="4"/>
      <c r="AK402" s="4"/>
      <c r="AL402" s="4"/>
      <c r="AN402" s="150"/>
      <c r="AQ402" s="4"/>
    </row>
    <row r="403" spans="1:43" x14ac:dyDescent="0.25">
      <c r="A403" s="258">
        <f>ROW(TAB_Offres[[#This Row],[Reference]])-ROW(TAB_Offres[[#Headers],[ID]])</f>
        <v>402</v>
      </c>
      <c r="B403" s="258"/>
      <c r="C403" s="258"/>
      <c r="D403" s="258"/>
      <c r="E403" s="263"/>
      <c r="F403" s="258"/>
      <c r="G403" s="263"/>
      <c r="H403" s="262"/>
      <c r="I403" s="262"/>
      <c r="J403" s="262"/>
      <c r="K403" s="262"/>
      <c r="L403" s="262"/>
      <c r="M403" s="264"/>
      <c r="N403" s="262"/>
      <c r="O403" s="262"/>
      <c r="P403" s="262"/>
      <c r="Q403" s="263"/>
      <c r="R403" s="263"/>
      <c r="S403" s="292"/>
      <c r="T403" s="261"/>
      <c r="U403" s="261"/>
      <c r="V403" s="268"/>
      <c r="W403" s="268"/>
      <c r="X403" s="268"/>
      <c r="Y403" s="268"/>
      <c r="Z403" s="471">
        <f>SUMIF(TAB_CS[Reference],TAB_Offres[[#This Row],[Reference]],TAB_CS[Commited days])</f>
        <v>0</v>
      </c>
      <c r="AA403" s="269">
        <f>SUMIF(TAB_CS[Reference],TAB_Offres[[#This Row],[Reference]],TAB_CS[Commited amount])</f>
        <v>0</v>
      </c>
      <c r="AB403" s="275"/>
      <c r="AC403" s="270"/>
      <c r="AD403" s="270"/>
      <c r="AE403" s="264"/>
      <c r="AF403" s="271"/>
      <c r="AG403" s="278"/>
      <c r="AH403" s="277" t="str">
        <f>CONCATENATE(YEAR(TAB_Offres[[#This Row],[Request date ]]),"-",MONTH(TAB_Offres[[#This Row],[Request date ]]))</f>
        <v>1900-1</v>
      </c>
      <c r="AI403" s="274" t="e">
        <f>IF(#REF!,1,0)</f>
        <v>#REF!</v>
      </c>
      <c r="AJ403" s="4"/>
      <c r="AK403" s="4"/>
      <c r="AL403" s="4"/>
      <c r="AN403" s="150"/>
      <c r="AQ403" s="4"/>
    </row>
    <row r="404" spans="1:43" x14ac:dyDescent="0.25">
      <c r="A404" s="258">
        <f>ROW(TAB_Offres[[#This Row],[Reference]])-ROW(TAB_Offres[[#Headers],[ID]])</f>
        <v>403</v>
      </c>
      <c r="B404" s="258"/>
      <c r="C404" s="258"/>
      <c r="D404" s="258"/>
      <c r="E404" s="263"/>
      <c r="F404" s="258"/>
      <c r="G404" s="263"/>
      <c r="H404" s="262"/>
      <c r="I404" s="262"/>
      <c r="J404" s="262"/>
      <c r="K404" s="262"/>
      <c r="L404" s="262"/>
      <c r="M404" s="264"/>
      <c r="N404" s="262"/>
      <c r="O404" s="262"/>
      <c r="P404" s="262"/>
      <c r="Q404" s="263"/>
      <c r="R404" s="263"/>
      <c r="S404" s="292"/>
      <c r="T404" s="261"/>
      <c r="U404" s="261"/>
      <c r="V404" s="268"/>
      <c r="W404" s="268"/>
      <c r="X404" s="268"/>
      <c r="Y404" s="268"/>
      <c r="Z404" s="471">
        <f>SUMIF(TAB_CS[Reference],TAB_Offres[[#This Row],[Reference]],TAB_CS[Commited days])</f>
        <v>0</v>
      </c>
      <c r="AA404" s="269">
        <f>SUMIF(TAB_CS[Reference],TAB_Offres[[#This Row],[Reference]],TAB_CS[Commited amount])</f>
        <v>0</v>
      </c>
      <c r="AB404" s="275"/>
      <c r="AC404" s="270"/>
      <c r="AD404" s="270"/>
      <c r="AE404" s="264"/>
      <c r="AF404" s="271"/>
      <c r="AG404" s="278"/>
      <c r="AH404" s="277" t="str">
        <f>CONCATENATE(YEAR(TAB_Offres[[#This Row],[Request date ]]),"-",MONTH(TAB_Offres[[#This Row],[Request date ]]))</f>
        <v>1900-1</v>
      </c>
      <c r="AI404" s="274" t="e">
        <f>IF(#REF!,1,0)</f>
        <v>#REF!</v>
      </c>
      <c r="AJ404" s="4"/>
      <c r="AK404" s="4"/>
      <c r="AL404" s="4"/>
      <c r="AN404" s="150"/>
      <c r="AQ404" s="4"/>
    </row>
    <row r="405" spans="1:43" x14ac:dyDescent="0.25">
      <c r="A405" s="258">
        <f>ROW(TAB_Offres[[#This Row],[Reference]])-ROW(TAB_Offres[[#Headers],[ID]])</f>
        <v>404</v>
      </c>
      <c r="B405" s="258"/>
      <c r="C405" s="258"/>
      <c r="D405" s="258"/>
      <c r="E405" s="263"/>
      <c r="F405" s="258"/>
      <c r="G405" s="263"/>
      <c r="H405" s="262"/>
      <c r="I405" s="262"/>
      <c r="J405" s="262"/>
      <c r="K405" s="262"/>
      <c r="L405" s="262"/>
      <c r="M405" s="264"/>
      <c r="N405" s="262"/>
      <c r="O405" s="262"/>
      <c r="P405" s="262"/>
      <c r="Q405" s="263"/>
      <c r="R405" s="263"/>
      <c r="S405" s="292"/>
      <c r="T405" s="261"/>
      <c r="U405" s="261"/>
      <c r="V405" s="268"/>
      <c r="W405" s="268"/>
      <c r="X405" s="268"/>
      <c r="Y405" s="268"/>
      <c r="Z405" s="471">
        <f>SUMIF(TAB_CS[Reference],TAB_Offres[[#This Row],[Reference]],TAB_CS[Commited days])</f>
        <v>0</v>
      </c>
      <c r="AA405" s="269">
        <f>SUMIF(TAB_CS[Reference],TAB_Offres[[#This Row],[Reference]],TAB_CS[Commited amount])</f>
        <v>0</v>
      </c>
      <c r="AB405" s="275"/>
      <c r="AC405" s="270"/>
      <c r="AD405" s="270"/>
      <c r="AE405" s="264"/>
      <c r="AF405" s="271"/>
      <c r="AG405" s="278"/>
      <c r="AH405" s="277" t="str">
        <f>CONCATENATE(YEAR(TAB_Offres[[#This Row],[Request date ]]),"-",MONTH(TAB_Offres[[#This Row],[Request date ]]))</f>
        <v>1900-1</v>
      </c>
      <c r="AI405" s="274" t="e">
        <f>IF(#REF!,1,0)</f>
        <v>#REF!</v>
      </c>
      <c r="AJ405" s="4"/>
      <c r="AK405" s="4"/>
      <c r="AL405" s="4"/>
      <c r="AN405" s="150"/>
      <c r="AQ405" s="4"/>
    </row>
    <row r="406" spans="1:43" x14ac:dyDescent="0.25">
      <c r="A406" s="258">
        <f>ROW(TAB_Offres[[#This Row],[Reference]])-ROW(TAB_Offres[[#Headers],[ID]])</f>
        <v>405</v>
      </c>
      <c r="B406" s="258"/>
      <c r="C406" s="258"/>
      <c r="D406" s="258"/>
      <c r="E406" s="263"/>
      <c r="F406" s="258"/>
      <c r="G406" s="263"/>
      <c r="H406" s="262"/>
      <c r="I406" s="262"/>
      <c r="J406" s="262"/>
      <c r="K406" s="262"/>
      <c r="L406" s="262"/>
      <c r="M406" s="264"/>
      <c r="N406" s="262"/>
      <c r="O406" s="262"/>
      <c r="P406" s="262"/>
      <c r="Q406" s="263"/>
      <c r="R406" s="263"/>
      <c r="S406" s="292"/>
      <c r="T406" s="261"/>
      <c r="U406" s="261"/>
      <c r="V406" s="268"/>
      <c r="W406" s="268"/>
      <c r="X406" s="268"/>
      <c r="Y406" s="268"/>
      <c r="Z406" s="471">
        <f>SUMIF(TAB_CS[Reference],TAB_Offres[[#This Row],[Reference]],TAB_CS[Commited days])</f>
        <v>0</v>
      </c>
      <c r="AA406" s="269">
        <f>SUMIF(TAB_CS[Reference],TAB_Offres[[#This Row],[Reference]],TAB_CS[Commited amount])</f>
        <v>0</v>
      </c>
      <c r="AB406" s="275"/>
      <c r="AC406" s="270"/>
      <c r="AD406" s="270"/>
      <c r="AE406" s="264"/>
      <c r="AF406" s="271"/>
      <c r="AG406" s="278"/>
      <c r="AH406" s="277" t="str">
        <f>CONCATENATE(YEAR(TAB_Offres[[#This Row],[Request date ]]),"-",MONTH(TAB_Offres[[#This Row],[Request date ]]))</f>
        <v>1900-1</v>
      </c>
      <c r="AI406" s="274" t="e">
        <f>IF(#REF!,1,0)</f>
        <v>#REF!</v>
      </c>
      <c r="AJ406" s="4"/>
      <c r="AK406" s="4"/>
      <c r="AL406" s="4"/>
      <c r="AN406" s="150"/>
      <c r="AQ406" s="4"/>
    </row>
    <row r="407" spans="1:43" x14ac:dyDescent="0.25">
      <c r="A407" s="258">
        <f>ROW(TAB_Offres[[#This Row],[Reference]])-ROW(TAB_Offres[[#Headers],[ID]])</f>
        <v>406</v>
      </c>
      <c r="B407" s="258"/>
      <c r="C407" s="258"/>
      <c r="D407" s="258"/>
      <c r="E407" s="263"/>
      <c r="F407" s="258"/>
      <c r="G407" s="263"/>
      <c r="H407" s="262"/>
      <c r="I407" s="262"/>
      <c r="J407" s="262"/>
      <c r="K407" s="262"/>
      <c r="L407" s="262"/>
      <c r="M407" s="264"/>
      <c r="N407" s="262"/>
      <c r="O407" s="262"/>
      <c r="P407" s="262"/>
      <c r="Q407" s="263"/>
      <c r="R407" s="263"/>
      <c r="S407" s="292"/>
      <c r="T407" s="261"/>
      <c r="U407" s="261"/>
      <c r="V407" s="268"/>
      <c r="W407" s="268"/>
      <c r="X407" s="268"/>
      <c r="Y407" s="268"/>
      <c r="Z407" s="471">
        <f>SUMIF(TAB_CS[Reference],TAB_Offres[[#This Row],[Reference]],TAB_CS[Commited days])</f>
        <v>0</v>
      </c>
      <c r="AA407" s="269">
        <f>SUMIF(TAB_CS[Reference],TAB_Offres[[#This Row],[Reference]],TAB_CS[Commited amount])</f>
        <v>0</v>
      </c>
      <c r="AB407" s="275"/>
      <c r="AC407" s="270"/>
      <c r="AD407" s="270"/>
      <c r="AE407" s="264"/>
      <c r="AF407" s="271"/>
      <c r="AG407" s="278"/>
      <c r="AH407" s="277" t="str">
        <f>CONCATENATE(YEAR(TAB_Offres[[#This Row],[Request date ]]),"-",MONTH(TAB_Offres[[#This Row],[Request date ]]))</f>
        <v>1900-1</v>
      </c>
      <c r="AI407" s="274" t="e">
        <f>IF(#REF!,1,0)</f>
        <v>#REF!</v>
      </c>
      <c r="AJ407" s="4"/>
      <c r="AK407" s="4"/>
      <c r="AL407" s="4"/>
      <c r="AN407" s="150"/>
      <c r="AQ407" s="4"/>
    </row>
    <row r="408" spans="1:43" x14ac:dyDescent="0.25">
      <c r="A408" s="258">
        <f>ROW(TAB_Offres[[#This Row],[Reference]])-ROW(TAB_Offres[[#Headers],[ID]])</f>
        <v>407</v>
      </c>
      <c r="B408" s="258"/>
      <c r="C408" s="258"/>
      <c r="D408" s="258"/>
      <c r="E408" s="263"/>
      <c r="F408" s="258"/>
      <c r="G408" s="263"/>
      <c r="H408" s="262"/>
      <c r="I408" s="262"/>
      <c r="J408" s="262"/>
      <c r="K408" s="262"/>
      <c r="L408" s="262"/>
      <c r="M408" s="264"/>
      <c r="N408" s="262"/>
      <c r="O408" s="262"/>
      <c r="P408" s="262"/>
      <c r="Q408" s="263"/>
      <c r="R408" s="263"/>
      <c r="S408" s="292"/>
      <c r="T408" s="261"/>
      <c r="U408" s="261"/>
      <c r="V408" s="268"/>
      <c r="W408" s="268"/>
      <c r="X408" s="268"/>
      <c r="Y408" s="268"/>
      <c r="Z408" s="471">
        <f>SUMIF(TAB_CS[Reference],TAB_Offres[[#This Row],[Reference]],TAB_CS[Commited days])</f>
        <v>0</v>
      </c>
      <c r="AA408" s="269">
        <f>SUMIF(TAB_CS[Reference],TAB_Offres[[#This Row],[Reference]],TAB_CS[Commited amount])</f>
        <v>0</v>
      </c>
      <c r="AB408" s="275"/>
      <c r="AC408" s="270"/>
      <c r="AD408" s="270"/>
      <c r="AE408" s="264"/>
      <c r="AF408" s="271"/>
      <c r="AG408" s="278"/>
      <c r="AH408" s="277" t="str">
        <f>CONCATENATE(YEAR(TAB_Offres[[#This Row],[Request date ]]),"-",MONTH(TAB_Offres[[#This Row],[Request date ]]))</f>
        <v>1900-1</v>
      </c>
      <c r="AI408" s="274" t="e">
        <f>IF(#REF!,1,0)</f>
        <v>#REF!</v>
      </c>
      <c r="AJ408" s="4"/>
      <c r="AK408" s="4"/>
      <c r="AL408" s="4"/>
      <c r="AN408" s="150"/>
      <c r="AQ408" s="4"/>
    </row>
    <row r="409" spans="1:43" x14ac:dyDescent="0.25">
      <c r="A409" s="258">
        <f>ROW(TAB_Offres[[#This Row],[Reference]])-ROW(TAB_Offres[[#Headers],[ID]])</f>
        <v>408</v>
      </c>
      <c r="B409" s="258"/>
      <c r="C409" s="258"/>
      <c r="D409" s="258"/>
      <c r="E409" s="263"/>
      <c r="F409" s="258"/>
      <c r="G409" s="263"/>
      <c r="H409" s="262"/>
      <c r="I409" s="262"/>
      <c r="J409" s="262"/>
      <c r="K409" s="262"/>
      <c r="L409" s="262"/>
      <c r="M409" s="264"/>
      <c r="N409" s="262"/>
      <c r="O409" s="262"/>
      <c r="P409" s="262"/>
      <c r="Q409" s="263"/>
      <c r="R409" s="263"/>
      <c r="S409" s="292"/>
      <c r="T409" s="261"/>
      <c r="U409" s="261"/>
      <c r="V409" s="268"/>
      <c r="W409" s="268"/>
      <c r="X409" s="268"/>
      <c r="Y409" s="268"/>
      <c r="Z409" s="471">
        <f>SUMIF(TAB_CS[Reference],TAB_Offres[[#This Row],[Reference]],TAB_CS[Commited days])</f>
        <v>0</v>
      </c>
      <c r="AA409" s="269">
        <f>SUMIF(TAB_CS[Reference],TAB_Offres[[#This Row],[Reference]],TAB_CS[Commited amount])</f>
        <v>0</v>
      </c>
      <c r="AB409" s="275"/>
      <c r="AC409" s="270"/>
      <c r="AD409" s="270"/>
      <c r="AE409" s="264"/>
      <c r="AF409" s="271"/>
      <c r="AG409" s="278"/>
      <c r="AH409" s="277" t="str">
        <f>CONCATENATE(YEAR(TAB_Offres[[#This Row],[Request date ]]),"-",MONTH(TAB_Offres[[#This Row],[Request date ]]))</f>
        <v>1900-1</v>
      </c>
      <c r="AI409" s="274" t="e">
        <f>IF(#REF!,1,0)</f>
        <v>#REF!</v>
      </c>
      <c r="AJ409" s="4"/>
      <c r="AK409" s="4"/>
      <c r="AL409" s="4"/>
      <c r="AN409" s="150"/>
      <c r="AQ409" s="4"/>
    </row>
    <row r="410" spans="1:43" x14ac:dyDescent="0.25">
      <c r="A410" s="258">
        <f>ROW(TAB_Offres[[#This Row],[Reference]])-ROW(TAB_Offres[[#Headers],[ID]])</f>
        <v>409</v>
      </c>
      <c r="B410" s="258"/>
      <c r="C410" s="258"/>
      <c r="D410" s="258"/>
      <c r="E410" s="263"/>
      <c r="F410" s="258"/>
      <c r="G410" s="263"/>
      <c r="H410" s="262"/>
      <c r="I410" s="262"/>
      <c r="J410" s="262"/>
      <c r="K410" s="262"/>
      <c r="L410" s="262"/>
      <c r="M410" s="264"/>
      <c r="N410" s="262"/>
      <c r="O410" s="262"/>
      <c r="P410" s="262"/>
      <c r="Q410" s="263"/>
      <c r="R410" s="263"/>
      <c r="S410" s="292"/>
      <c r="T410" s="261"/>
      <c r="U410" s="261"/>
      <c r="V410" s="268"/>
      <c r="W410" s="268"/>
      <c r="X410" s="268"/>
      <c r="Y410" s="268"/>
      <c r="Z410" s="471">
        <f>SUMIF(TAB_CS[Reference],TAB_Offres[[#This Row],[Reference]],TAB_CS[Commited days])</f>
        <v>0</v>
      </c>
      <c r="AA410" s="269">
        <f>SUMIF(TAB_CS[Reference],TAB_Offres[[#This Row],[Reference]],TAB_CS[Commited amount])</f>
        <v>0</v>
      </c>
      <c r="AB410" s="275"/>
      <c r="AC410" s="270"/>
      <c r="AD410" s="270"/>
      <c r="AE410" s="264"/>
      <c r="AF410" s="271"/>
      <c r="AG410" s="278"/>
      <c r="AH410" s="277" t="str">
        <f>CONCATENATE(YEAR(TAB_Offres[[#This Row],[Request date ]]),"-",MONTH(TAB_Offres[[#This Row],[Request date ]]))</f>
        <v>1900-1</v>
      </c>
      <c r="AI410" s="274" t="e">
        <f>IF(#REF!,1,0)</f>
        <v>#REF!</v>
      </c>
      <c r="AJ410" s="4"/>
      <c r="AK410" s="4"/>
      <c r="AL410" s="4"/>
      <c r="AN410" s="150"/>
      <c r="AQ410" s="4"/>
    </row>
    <row r="411" spans="1:43" x14ac:dyDescent="0.25">
      <c r="A411" s="258">
        <f>ROW(TAB_Offres[[#This Row],[Reference]])-ROW(TAB_Offres[[#Headers],[ID]])</f>
        <v>410</v>
      </c>
      <c r="B411" s="258"/>
      <c r="C411" s="258"/>
      <c r="D411" s="258"/>
      <c r="E411" s="263"/>
      <c r="F411" s="258"/>
      <c r="G411" s="263"/>
      <c r="H411" s="262"/>
      <c r="I411" s="262"/>
      <c r="J411" s="262"/>
      <c r="K411" s="262"/>
      <c r="L411" s="262"/>
      <c r="M411" s="264"/>
      <c r="N411" s="262"/>
      <c r="O411" s="262"/>
      <c r="P411" s="262"/>
      <c r="Q411" s="263"/>
      <c r="R411" s="263"/>
      <c r="S411" s="292"/>
      <c r="T411" s="261"/>
      <c r="U411" s="261"/>
      <c r="V411" s="268"/>
      <c r="W411" s="268"/>
      <c r="X411" s="268"/>
      <c r="Y411" s="268"/>
      <c r="Z411" s="471">
        <f>SUMIF(TAB_CS[Reference],TAB_Offres[[#This Row],[Reference]],TAB_CS[Commited days])</f>
        <v>0</v>
      </c>
      <c r="AA411" s="269">
        <f>SUMIF(TAB_CS[Reference],TAB_Offres[[#This Row],[Reference]],TAB_CS[Commited amount])</f>
        <v>0</v>
      </c>
      <c r="AB411" s="275"/>
      <c r="AC411" s="270"/>
      <c r="AD411" s="270"/>
      <c r="AE411" s="264"/>
      <c r="AF411" s="271"/>
      <c r="AG411" s="278"/>
      <c r="AH411" s="277" t="str">
        <f>CONCATENATE(YEAR(TAB_Offres[[#This Row],[Request date ]]),"-",MONTH(TAB_Offres[[#This Row],[Request date ]]))</f>
        <v>1900-1</v>
      </c>
      <c r="AI411" s="274" t="e">
        <f>IF(#REF!,1,0)</f>
        <v>#REF!</v>
      </c>
      <c r="AJ411" s="4"/>
      <c r="AK411" s="4"/>
      <c r="AL411" s="4"/>
      <c r="AN411" s="150"/>
      <c r="AQ411" s="4"/>
    </row>
    <row r="412" spans="1:43" x14ac:dyDescent="0.25">
      <c r="A412" s="258">
        <f>ROW(TAB_Offres[[#This Row],[Reference]])-ROW(TAB_Offres[[#Headers],[ID]])</f>
        <v>411</v>
      </c>
      <c r="B412" s="258"/>
      <c r="C412" s="258"/>
      <c r="D412" s="258"/>
      <c r="E412" s="263"/>
      <c r="F412" s="258"/>
      <c r="G412" s="263"/>
      <c r="H412" s="262"/>
      <c r="I412" s="262"/>
      <c r="J412" s="262"/>
      <c r="K412" s="262"/>
      <c r="L412" s="262"/>
      <c r="M412" s="264"/>
      <c r="N412" s="262"/>
      <c r="O412" s="262"/>
      <c r="P412" s="262"/>
      <c r="Q412" s="263"/>
      <c r="R412" s="263"/>
      <c r="S412" s="292"/>
      <c r="T412" s="261"/>
      <c r="U412" s="261"/>
      <c r="V412" s="268"/>
      <c r="W412" s="268"/>
      <c r="X412" s="268"/>
      <c r="Y412" s="268"/>
      <c r="Z412" s="471">
        <f>SUMIF(TAB_CS[Reference],TAB_Offres[[#This Row],[Reference]],TAB_CS[Commited days])</f>
        <v>0</v>
      </c>
      <c r="AA412" s="269">
        <f>SUMIF(TAB_CS[Reference],TAB_Offres[[#This Row],[Reference]],TAB_CS[Commited amount])</f>
        <v>0</v>
      </c>
      <c r="AB412" s="275"/>
      <c r="AC412" s="270"/>
      <c r="AD412" s="270"/>
      <c r="AE412" s="264"/>
      <c r="AF412" s="271"/>
      <c r="AG412" s="278"/>
      <c r="AH412" s="277" t="str">
        <f>CONCATENATE(YEAR(TAB_Offres[[#This Row],[Request date ]]),"-",MONTH(TAB_Offres[[#This Row],[Request date ]]))</f>
        <v>1900-1</v>
      </c>
      <c r="AI412" s="274" t="e">
        <f>IF(#REF!,1,0)</f>
        <v>#REF!</v>
      </c>
      <c r="AJ412" s="4"/>
      <c r="AK412" s="4"/>
      <c r="AL412" s="4"/>
      <c r="AN412" s="150"/>
      <c r="AQ412" s="4"/>
    </row>
    <row r="413" spans="1:43" x14ac:dyDescent="0.25">
      <c r="A413" s="258">
        <f>ROW(TAB_Offres[[#This Row],[Reference]])-ROW(TAB_Offres[[#Headers],[ID]])</f>
        <v>412</v>
      </c>
      <c r="B413" s="258"/>
      <c r="C413" s="258"/>
      <c r="D413" s="258"/>
      <c r="E413" s="263"/>
      <c r="F413" s="258"/>
      <c r="G413" s="263"/>
      <c r="H413" s="262"/>
      <c r="I413" s="262"/>
      <c r="J413" s="262"/>
      <c r="K413" s="262"/>
      <c r="L413" s="262"/>
      <c r="M413" s="264"/>
      <c r="N413" s="262"/>
      <c r="O413" s="262"/>
      <c r="P413" s="262"/>
      <c r="Q413" s="263"/>
      <c r="R413" s="263"/>
      <c r="S413" s="292"/>
      <c r="T413" s="261"/>
      <c r="U413" s="261"/>
      <c r="V413" s="268"/>
      <c r="W413" s="268"/>
      <c r="X413" s="268"/>
      <c r="Y413" s="268"/>
      <c r="Z413" s="471">
        <f>SUMIF(TAB_CS[Reference],TAB_Offres[[#This Row],[Reference]],TAB_CS[Commited days])</f>
        <v>0</v>
      </c>
      <c r="AA413" s="269">
        <f>SUMIF(TAB_CS[Reference],TAB_Offres[[#This Row],[Reference]],TAB_CS[Commited amount])</f>
        <v>0</v>
      </c>
      <c r="AB413" s="275"/>
      <c r="AC413" s="270"/>
      <c r="AD413" s="270"/>
      <c r="AE413" s="264"/>
      <c r="AF413" s="271"/>
      <c r="AG413" s="278"/>
      <c r="AH413" s="277" t="str">
        <f>CONCATENATE(YEAR(TAB_Offres[[#This Row],[Request date ]]),"-",MONTH(TAB_Offres[[#This Row],[Request date ]]))</f>
        <v>1900-1</v>
      </c>
      <c r="AI413" s="274" t="e">
        <f>IF(#REF!,1,0)</f>
        <v>#REF!</v>
      </c>
      <c r="AJ413" s="4"/>
      <c r="AK413" s="4"/>
      <c r="AL413" s="4"/>
      <c r="AN413" s="150"/>
      <c r="AQ413" s="4"/>
    </row>
    <row r="414" spans="1:43" x14ac:dyDescent="0.25">
      <c r="A414" s="258">
        <f>ROW(TAB_Offres[[#This Row],[Reference]])-ROW(TAB_Offres[[#Headers],[ID]])</f>
        <v>413</v>
      </c>
      <c r="B414" s="258"/>
      <c r="C414" s="258"/>
      <c r="D414" s="258"/>
      <c r="E414" s="263"/>
      <c r="F414" s="258"/>
      <c r="G414" s="263"/>
      <c r="H414" s="262"/>
      <c r="I414" s="262"/>
      <c r="J414" s="262"/>
      <c r="K414" s="262"/>
      <c r="L414" s="262"/>
      <c r="M414" s="264"/>
      <c r="N414" s="262"/>
      <c r="O414" s="262"/>
      <c r="P414" s="262"/>
      <c r="Q414" s="263"/>
      <c r="R414" s="263"/>
      <c r="S414" s="292"/>
      <c r="T414" s="261"/>
      <c r="U414" s="261"/>
      <c r="V414" s="268"/>
      <c r="W414" s="268"/>
      <c r="X414" s="268"/>
      <c r="Y414" s="268"/>
      <c r="Z414" s="471">
        <f>SUMIF(TAB_CS[Reference],TAB_Offres[[#This Row],[Reference]],TAB_CS[Commited days])</f>
        <v>0</v>
      </c>
      <c r="AA414" s="269">
        <f>SUMIF(TAB_CS[Reference],TAB_Offres[[#This Row],[Reference]],TAB_CS[Commited amount])</f>
        <v>0</v>
      </c>
      <c r="AB414" s="275"/>
      <c r="AC414" s="270"/>
      <c r="AD414" s="270"/>
      <c r="AE414" s="264"/>
      <c r="AF414" s="271"/>
      <c r="AG414" s="278"/>
      <c r="AH414" s="277" t="str">
        <f>CONCATENATE(YEAR(TAB_Offres[[#This Row],[Request date ]]),"-",MONTH(TAB_Offres[[#This Row],[Request date ]]))</f>
        <v>1900-1</v>
      </c>
      <c r="AI414" s="274" t="e">
        <f>IF(#REF!,1,0)</f>
        <v>#REF!</v>
      </c>
      <c r="AJ414" s="4"/>
      <c r="AK414" s="4"/>
      <c r="AL414" s="4"/>
      <c r="AN414" s="150"/>
      <c r="AQ414" s="4"/>
    </row>
    <row r="415" spans="1:43" x14ac:dyDescent="0.25">
      <c r="A415" s="258">
        <f>ROW(TAB_Offres[[#This Row],[Reference]])-ROW(TAB_Offres[[#Headers],[ID]])</f>
        <v>414</v>
      </c>
      <c r="B415" s="258"/>
      <c r="C415" s="258"/>
      <c r="D415" s="258"/>
      <c r="E415" s="263"/>
      <c r="F415" s="258"/>
      <c r="G415" s="263"/>
      <c r="H415" s="262"/>
      <c r="I415" s="262"/>
      <c r="J415" s="262"/>
      <c r="K415" s="262"/>
      <c r="L415" s="262"/>
      <c r="M415" s="264"/>
      <c r="N415" s="262"/>
      <c r="O415" s="262"/>
      <c r="P415" s="262"/>
      <c r="Q415" s="263"/>
      <c r="R415" s="263"/>
      <c r="S415" s="292"/>
      <c r="T415" s="261"/>
      <c r="U415" s="261"/>
      <c r="V415" s="268"/>
      <c r="W415" s="268"/>
      <c r="X415" s="268"/>
      <c r="Y415" s="268"/>
      <c r="Z415" s="471">
        <f>SUMIF(TAB_CS[Reference],TAB_Offres[[#This Row],[Reference]],TAB_CS[Commited days])</f>
        <v>0</v>
      </c>
      <c r="AA415" s="269">
        <f>SUMIF(TAB_CS[Reference],TAB_Offres[[#This Row],[Reference]],TAB_CS[Commited amount])</f>
        <v>0</v>
      </c>
      <c r="AB415" s="275"/>
      <c r="AC415" s="270"/>
      <c r="AD415" s="270"/>
      <c r="AE415" s="264"/>
      <c r="AF415" s="271"/>
      <c r="AG415" s="278"/>
      <c r="AH415" s="277" t="str">
        <f>CONCATENATE(YEAR(TAB_Offres[[#This Row],[Request date ]]),"-",MONTH(TAB_Offres[[#This Row],[Request date ]]))</f>
        <v>1900-1</v>
      </c>
      <c r="AI415" s="274" t="e">
        <f>IF(#REF!,1,0)</f>
        <v>#REF!</v>
      </c>
      <c r="AJ415" s="4"/>
      <c r="AK415" s="4"/>
      <c r="AL415" s="4"/>
      <c r="AN415" s="150"/>
      <c r="AQ415" s="4"/>
    </row>
    <row r="416" spans="1:43" x14ac:dyDescent="0.25">
      <c r="A416" s="258">
        <f>ROW(TAB_Offres[[#This Row],[Reference]])-ROW(TAB_Offres[[#Headers],[ID]])</f>
        <v>415</v>
      </c>
      <c r="B416" s="258"/>
      <c r="C416" s="258"/>
      <c r="D416" s="258"/>
      <c r="E416" s="263"/>
      <c r="F416" s="258"/>
      <c r="G416" s="263"/>
      <c r="H416" s="262"/>
      <c r="I416" s="262"/>
      <c r="J416" s="262"/>
      <c r="K416" s="262"/>
      <c r="L416" s="262"/>
      <c r="M416" s="264"/>
      <c r="N416" s="262"/>
      <c r="O416" s="262"/>
      <c r="P416" s="262"/>
      <c r="Q416" s="263"/>
      <c r="R416" s="263"/>
      <c r="S416" s="292"/>
      <c r="T416" s="261"/>
      <c r="U416" s="261"/>
      <c r="V416" s="268"/>
      <c r="W416" s="268"/>
      <c r="X416" s="268"/>
      <c r="Y416" s="268"/>
      <c r="Z416" s="471">
        <f>SUMIF(TAB_CS[Reference],TAB_Offres[[#This Row],[Reference]],TAB_CS[Commited days])</f>
        <v>0</v>
      </c>
      <c r="AA416" s="269">
        <f>SUMIF(TAB_CS[Reference],TAB_Offres[[#This Row],[Reference]],TAB_CS[Commited amount])</f>
        <v>0</v>
      </c>
      <c r="AB416" s="275"/>
      <c r="AC416" s="270"/>
      <c r="AD416" s="270"/>
      <c r="AE416" s="264"/>
      <c r="AF416" s="271"/>
      <c r="AG416" s="278"/>
      <c r="AH416" s="277" t="str">
        <f>CONCATENATE(YEAR(TAB_Offres[[#This Row],[Request date ]]),"-",MONTH(TAB_Offres[[#This Row],[Request date ]]))</f>
        <v>1900-1</v>
      </c>
      <c r="AI416" s="274" t="e">
        <f>IF(#REF!,1,0)</f>
        <v>#REF!</v>
      </c>
      <c r="AJ416" s="4"/>
      <c r="AK416" s="4"/>
      <c r="AL416" s="4"/>
      <c r="AN416" s="150"/>
      <c r="AQ416" s="4"/>
    </row>
    <row r="417" spans="1:43" x14ac:dyDescent="0.25">
      <c r="A417" s="258">
        <f>ROW(TAB_Offres[[#This Row],[Reference]])-ROW(TAB_Offres[[#Headers],[ID]])</f>
        <v>416</v>
      </c>
      <c r="B417" s="258"/>
      <c r="C417" s="258"/>
      <c r="D417" s="258"/>
      <c r="E417" s="263"/>
      <c r="F417" s="258"/>
      <c r="G417" s="263"/>
      <c r="H417" s="262"/>
      <c r="I417" s="262"/>
      <c r="J417" s="262"/>
      <c r="K417" s="262"/>
      <c r="L417" s="262"/>
      <c r="M417" s="264"/>
      <c r="N417" s="262"/>
      <c r="O417" s="262"/>
      <c r="P417" s="262"/>
      <c r="Q417" s="263"/>
      <c r="R417" s="263"/>
      <c r="S417" s="292"/>
      <c r="T417" s="261"/>
      <c r="U417" s="261"/>
      <c r="V417" s="268"/>
      <c r="W417" s="268"/>
      <c r="X417" s="268"/>
      <c r="Y417" s="268"/>
      <c r="Z417" s="471">
        <f>SUMIF(TAB_CS[Reference],TAB_Offres[[#This Row],[Reference]],TAB_CS[Commited days])</f>
        <v>0</v>
      </c>
      <c r="AA417" s="269">
        <f>SUMIF(TAB_CS[Reference],TAB_Offres[[#This Row],[Reference]],TAB_CS[Commited amount])</f>
        <v>0</v>
      </c>
      <c r="AB417" s="275"/>
      <c r="AC417" s="270"/>
      <c r="AD417" s="270"/>
      <c r="AE417" s="264"/>
      <c r="AF417" s="271"/>
      <c r="AG417" s="278"/>
      <c r="AH417" s="277" t="str">
        <f>CONCATENATE(YEAR(TAB_Offres[[#This Row],[Request date ]]),"-",MONTH(TAB_Offres[[#This Row],[Request date ]]))</f>
        <v>1900-1</v>
      </c>
      <c r="AI417" s="274" t="e">
        <f>IF(#REF!,1,0)</f>
        <v>#REF!</v>
      </c>
      <c r="AJ417" s="4"/>
      <c r="AK417" s="4"/>
      <c r="AL417" s="4"/>
      <c r="AN417" s="150"/>
      <c r="AQ417" s="4"/>
    </row>
    <row r="418" spans="1:43" x14ac:dyDescent="0.25">
      <c r="A418" s="258">
        <f>ROW(TAB_Offres[[#This Row],[Reference]])-ROW(TAB_Offres[[#Headers],[ID]])</f>
        <v>417</v>
      </c>
      <c r="B418" s="258"/>
      <c r="C418" s="258"/>
      <c r="D418" s="258"/>
      <c r="E418" s="263"/>
      <c r="F418" s="258"/>
      <c r="G418" s="263"/>
      <c r="H418" s="262"/>
      <c r="I418" s="262"/>
      <c r="J418" s="262"/>
      <c r="K418" s="262"/>
      <c r="L418" s="262"/>
      <c r="M418" s="264"/>
      <c r="N418" s="262"/>
      <c r="O418" s="262"/>
      <c r="P418" s="262"/>
      <c r="Q418" s="263"/>
      <c r="R418" s="263"/>
      <c r="S418" s="292"/>
      <c r="T418" s="261"/>
      <c r="U418" s="261"/>
      <c r="V418" s="268"/>
      <c r="W418" s="268"/>
      <c r="X418" s="268"/>
      <c r="Y418" s="268"/>
      <c r="Z418" s="471">
        <f>SUMIF(TAB_CS[Reference],TAB_Offres[[#This Row],[Reference]],TAB_CS[Commited days])</f>
        <v>0</v>
      </c>
      <c r="AA418" s="269">
        <f>SUMIF(TAB_CS[Reference],TAB_Offres[[#This Row],[Reference]],TAB_CS[Commited amount])</f>
        <v>0</v>
      </c>
      <c r="AB418" s="275"/>
      <c r="AC418" s="270"/>
      <c r="AD418" s="270"/>
      <c r="AE418" s="264"/>
      <c r="AF418" s="271"/>
      <c r="AG418" s="278"/>
      <c r="AH418" s="277" t="str">
        <f>CONCATENATE(YEAR(TAB_Offres[[#This Row],[Request date ]]),"-",MONTH(TAB_Offres[[#This Row],[Request date ]]))</f>
        <v>1900-1</v>
      </c>
      <c r="AI418" s="274" t="e">
        <f>IF(#REF!,1,0)</f>
        <v>#REF!</v>
      </c>
      <c r="AJ418" s="4"/>
      <c r="AK418" s="4"/>
      <c r="AL418" s="4"/>
      <c r="AN418" s="150"/>
      <c r="AQ418" s="4"/>
    </row>
    <row r="419" spans="1:43" x14ac:dyDescent="0.25">
      <c r="A419" s="258">
        <f>ROW(TAB_Offres[[#This Row],[Reference]])-ROW(TAB_Offres[[#Headers],[ID]])</f>
        <v>418</v>
      </c>
      <c r="B419" s="258"/>
      <c r="C419" s="258"/>
      <c r="D419" s="258"/>
      <c r="E419" s="263"/>
      <c r="F419" s="258"/>
      <c r="G419" s="263"/>
      <c r="H419" s="262"/>
      <c r="I419" s="262"/>
      <c r="J419" s="262"/>
      <c r="K419" s="262"/>
      <c r="L419" s="262"/>
      <c r="M419" s="264"/>
      <c r="N419" s="262"/>
      <c r="O419" s="262"/>
      <c r="P419" s="262"/>
      <c r="Q419" s="263"/>
      <c r="R419" s="263"/>
      <c r="S419" s="292"/>
      <c r="T419" s="261"/>
      <c r="U419" s="261"/>
      <c r="V419" s="268"/>
      <c r="W419" s="268"/>
      <c r="X419" s="268"/>
      <c r="Y419" s="268"/>
      <c r="Z419" s="471">
        <f>SUMIF(TAB_CS[Reference],TAB_Offres[[#This Row],[Reference]],TAB_CS[Commited days])</f>
        <v>0</v>
      </c>
      <c r="AA419" s="269">
        <f>SUMIF(TAB_CS[Reference],TAB_Offres[[#This Row],[Reference]],TAB_CS[Commited amount])</f>
        <v>0</v>
      </c>
      <c r="AB419" s="275"/>
      <c r="AC419" s="270"/>
      <c r="AD419" s="270"/>
      <c r="AE419" s="264"/>
      <c r="AF419" s="271"/>
      <c r="AG419" s="278"/>
      <c r="AH419" s="277" t="str">
        <f>CONCATENATE(YEAR(TAB_Offres[[#This Row],[Request date ]]),"-",MONTH(TAB_Offres[[#This Row],[Request date ]]))</f>
        <v>1900-1</v>
      </c>
      <c r="AI419" s="274" t="e">
        <f>IF(#REF!,1,0)</f>
        <v>#REF!</v>
      </c>
      <c r="AJ419" s="4"/>
      <c r="AK419" s="4"/>
      <c r="AL419" s="4"/>
      <c r="AN419" s="150"/>
      <c r="AQ419" s="4"/>
    </row>
    <row r="420" spans="1:43" x14ac:dyDescent="0.25">
      <c r="A420" s="258">
        <f>ROW(TAB_Offres[[#This Row],[Reference]])-ROW(TAB_Offres[[#Headers],[ID]])</f>
        <v>419</v>
      </c>
      <c r="B420" s="258"/>
      <c r="C420" s="258"/>
      <c r="D420" s="258"/>
      <c r="E420" s="263"/>
      <c r="F420" s="258"/>
      <c r="G420" s="263"/>
      <c r="H420" s="262"/>
      <c r="I420" s="262"/>
      <c r="J420" s="262"/>
      <c r="K420" s="262"/>
      <c r="L420" s="262"/>
      <c r="M420" s="264"/>
      <c r="N420" s="262"/>
      <c r="O420" s="262"/>
      <c r="P420" s="262"/>
      <c r="Q420" s="263"/>
      <c r="R420" s="263"/>
      <c r="S420" s="292"/>
      <c r="T420" s="261"/>
      <c r="U420" s="261"/>
      <c r="V420" s="268"/>
      <c r="W420" s="268"/>
      <c r="X420" s="268"/>
      <c r="Y420" s="268"/>
      <c r="Z420" s="471">
        <f>SUMIF(TAB_CS[Reference],TAB_Offres[[#This Row],[Reference]],TAB_CS[Commited days])</f>
        <v>0</v>
      </c>
      <c r="AA420" s="269">
        <f>SUMIF(TAB_CS[Reference],TAB_Offres[[#This Row],[Reference]],TAB_CS[Commited amount])</f>
        <v>0</v>
      </c>
      <c r="AB420" s="275"/>
      <c r="AC420" s="270"/>
      <c r="AD420" s="270"/>
      <c r="AE420" s="264"/>
      <c r="AF420" s="271"/>
      <c r="AG420" s="278"/>
      <c r="AH420" s="277" t="str">
        <f>CONCATENATE(YEAR(TAB_Offres[[#This Row],[Request date ]]),"-",MONTH(TAB_Offres[[#This Row],[Request date ]]))</f>
        <v>1900-1</v>
      </c>
      <c r="AI420" s="274" t="e">
        <f>IF(#REF!,1,0)</f>
        <v>#REF!</v>
      </c>
      <c r="AJ420" s="4"/>
      <c r="AK420" s="4"/>
      <c r="AL420" s="4"/>
      <c r="AN420" s="150"/>
      <c r="AQ420" s="4"/>
    </row>
    <row r="421" spans="1:43" x14ac:dyDescent="0.25">
      <c r="A421" s="258">
        <f>ROW(TAB_Offres[[#This Row],[Reference]])-ROW(TAB_Offres[[#Headers],[ID]])</f>
        <v>420</v>
      </c>
      <c r="B421" s="258"/>
      <c r="C421" s="258"/>
      <c r="D421" s="258"/>
      <c r="E421" s="263"/>
      <c r="F421" s="258"/>
      <c r="G421" s="263"/>
      <c r="H421" s="262"/>
      <c r="I421" s="262"/>
      <c r="J421" s="262"/>
      <c r="K421" s="262"/>
      <c r="L421" s="262"/>
      <c r="M421" s="264"/>
      <c r="N421" s="262"/>
      <c r="O421" s="262"/>
      <c r="P421" s="262"/>
      <c r="Q421" s="263"/>
      <c r="R421" s="263"/>
      <c r="S421" s="292"/>
      <c r="T421" s="261"/>
      <c r="U421" s="261"/>
      <c r="V421" s="268"/>
      <c r="W421" s="268"/>
      <c r="X421" s="268"/>
      <c r="Y421" s="268"/>
      <c r="Z421" s="471">
        <f>SUMIF(TAB_CS[Reference],TAB_Offres[[#This Row],[Reference]],TAB_CS[Commited days])</f>
        <v>0</v>
      </c>
      <c r="AA421" s="269">
        <f>SUMIF(TAB_CS[Reference],TAB_Offres[[#This Row],[Reference]],TAB_CS[Commited amount])</f>
        <v>0</v>
      </c>
      <c r="AB421" s="275"/>
      <c r="AC421" s="270"/>
      <c r="AD421" s="270"/>
      <c r="AE421" s="264"/>
      <c r="AF421" s="271"/>
      <c r="AG421" s="278"/>
      <c r="AH421" s="277" t="str">
        <f>CONCATENATE(YEAR(TAB_Offres[[#This Row],[Request date ]]),"-",MONTH(TAB_Offres[[#This Row],[Request date ]]))</f>
        <v>1900-1</v>
      </c>
      <c r="AI421" s="274" t="e">
        <f>IF(#REF!,1,0)</f>
        <v>#REF!</v>
      </c>
      <c r="AJ421" s="4"/>
      <c r="AK421" s="4"/>
      <c r="AL421" s="4"/>
      <c r="AN421" s="150"/>
      <c r="AQ421" s="4"/>
    </row>
    <row r="422" spans="1:43" x14ac:dyDescent="0.25">
      <c r="A422" s="258">
        <f>ROW(TAB_Offres[[#This Row],[Reference]])-ROW(TAB_Offres[[#Headers],[ID]])</f>
        <v>421</v>
      </c>
      <c r="B422" s="258"/>
      <c r="C422" s="258"/>
      <c r="D422" s="258"/>
      <c r="E422" s="263"/>
      <c r="F422" s="258"/>
      <c r="G422" s="263"/>
      <c r="H422" s="262"/>
      <c r="I422" s="262"/>
      <c r="J422" s="262"/>
      <c r="K422" s="262"/>
      <c r="L422" s="262"/>
      <c r="M422" s="264"/>
      <c r="N422" s="262"/>
      <c r="O422" s="262"/>
      <c r="P422" s="262"/>
      <c r="Q422" s="263"/>
      <c r="R422" s="263"/>
      <c r="S422" s="292"/>
      <c r="T422" s="261"/>
      <c r="U422" s="261"/>
      <c r="V422" s="268"/>
      <c r="W422" s="268"/>
      <c r="X422" s="268"/>
      <c r="Y422" s="268"/>
      <c r="Z422" s="471">
        <f>SUMIF(TAB_CS[Reference],TAB_Offres[[#This Row],[Reference]],TAB_CS[Commited days])</f>
        <v>0</v>
      </c>
      <c r="AA422" s="269">
        <f>SUMIF(TAB_CS[Reference],TAB_Offres[[#This Row],[Reference]],TAB_CS[Commited amount])</f>
        <v>0</v>
      </c>
      <c r="AB422" s="275"/>
      <c r="AC422" s="270"/>
      <c r="AD422" s="270"/>
      <c r="AE422" s="264"/>
      <c r="AF422" s="271"/>
      <c r="AG422" s="278"/>
      <c r="AH422" s="277" t="str">
        <f>CONCATENATE(YEAR(TAB_Offres[[#This Row],[Request date ]]),"-",MONTH(TAB_Offres[[#This Row],[Request date ]]))</f>
        <v>1900-1</v>
      </c>
      <c r="AI422" s="274" t="e">
        <f>IF(#REF!,1,0)</f>
        <v>#REF!</v>
      </c>
      <c r="AJ422" s="4"/>
      <c r="AK422" s="4"/>
      <c r="AL422" s="4"/>
      <c r="AN422" s="150"/>
      <c r="AQ422" s="4"/>
    </row>
    <row r="423" spans="1:43" x14ac:dyDescent="0.25">
      <c r="A423" s="258">
        <f>ROW(TAB_Offres[[#This Row],[Reference]])-ROW(TAB_Offres[[#Headers],[ID]])</f>
        <v>422</v>
      </c>
      <c r="B423" s="258"/>
      <c r="C423" s="258"/>
      <c r="D423" s="258"/>
      <c r="E423" s="263"/>
      <c r="F423" s="258"/>
      <c r="G423" s="263"/>
      <c r="H423" s="262"/>
      <c r="I423" s="262"/>
      <c r="J423" s="262"/>
      <c r="K423" s="262"/>
      <c r="L423" s="262"/>
      <c r="M423" s="264"/>
      <c r="N423" s="262"/>
      <c r="O423" s="262"/>
      <c r="P423" s="262"/>
      <c r="Q423" s="263"/>
      <c r="R423" s="263"/>
      <c r="S423" s="292"/>
      <c r="T423" s="261"/>
      <c r="U423" s="261"/>
      <c r="V423" s="268"/>
      <c r="W423" s="268"/>
      <c r="X423" s="268"/>
      <c r="Y423" s="268"/>
      <c r="Z423" s="471">
        <f>SUMIF(TAB_CS[Reference],TAB_Offres[[#This Row],[Reference]],TAB_CS[Commited days])</f>
        <v>0</v>
      </c>
      <c r="AA423" s="269">
        <f>SUMIF(TAB_CS[Reference],TAB_Offres[[#This Row],[Reference]],TAB_CS[Commited amount])</f>
        <v>0</v>
      </c>
      <c r="AB423" s="275"/>
      <c r="AC423" s="270"/>
      <c r="AD423" s="270"/>
      <c r="AE423" s="264"/>
      <c r="AF423" s="271"/>
      <c r="AG423" s="278"/>
      <c r="AH423" s="277" t="str">
        <f>CONCATENATE(YEAR(TAB_Offres[[#This Row],[Request date ]]),"-",MONTH(TAB_Offres[[#This Row],[Request date ]]))</f>
        <v>1900-1</v>
      </c>
      <c r="AI423" s="274" t="e">
        <f>IF(#REF!,1,0)</f>
        <v>#REF!</v>
      </c>
      <c r="AJ423" s="4"/>
      <c r="AK423" s="4"/>
      <c r="AL423" s="4"/>
      <c r="AN423" s="150"/>
      <c r="AQ423" s="4"/>
    </row>
    <row r="424" spans="1:43" x14ac:dyDescent="0.25">
      <c r="A424" s="258">
        <f>ROW(TAB_Offres[[#This Row],[Reference]])-ROW(TAB_Offres[[#Headers],[ID]])</f>
        <v>423</v>
      </c>
      <c r="B424" s="258"/>
      <c r="C424" s="258"/>
      <c r="D424" s="258"/>
      <c r="E424" s="263"/>
      <c r="F424" s="258"/>
      <c r="G424" s="263"/>
      <c r="H424" s="262"/>
      <c r="I424" s="262"/>
      <c r="J424" s="262"/>
      <c r="K424" s="262"/>
      <c r="L424" s="262"/>
      <c r="M424" s="264"/>
      <c r="N424" s="262"/>
      <c r="O424" s="262"/>
      <c r="P424" s="262"/>
      <c r="Q424" s="263"/>
      <c r="R424" s="263"/>
      <c r="S424" s="292"/>
      <c r="T424" s="261"/>
      <c r="U424" s="261"/>
      <c r="V424" s="268"/>
      <c r="W424" s="268"/>
      <c r="X424" s="268"/>
      <c r="Y424" s="268"/>
      <c r="Z424" s="471">
        <f>SUMIF(TAB_CS[Reference],TAB_Offres[[#This Row],[Reference]],TAB_CS[Commited days])</f>
        <v>0</v>
      </c>
      <c r="AA424" s="269">
        <f>SUMIF(TAB_CS[Reference],TAB_Offres[[#This Row],[Reference]],TAB_CS[Commited amount])</f>
        <v>0</v>
      </c>
      <c r="AB424" s="275"/>
      <c r="AC424" s="270"/>
      <c r="AD424" s="270"/>
      <c r="AE424" s="264"/>
      <c r="AF424" s="271"/>
      <c r="AG424" s="278"/>
      <c r="AH424" s="277" t="str">
        <f>CONCATENATE(YEAR(TAB_Offres[[#This Row],[Request date ]]),"-",MONTH(TAB_Offres[[#This Row],[Request date ]]))</f>
        <v>1900-1</v>
      </c>
      <c r="AI424" s="274" t="e">
        <f>IF(#REF!,1,0)</f>
        <v>#REF!</v>
      </c>
      <c r="AJ424" s="4"/>
      <c r="AK424" s="4"/>
      <c r="AL424" s="4"/>
      <c r="AN424" s="150"/>
      <c r="AQ424" s="4"/>
    </row>
    <row r="425" spans="1:43" x14ac:dyDescent="0.25">
      <c r="A425" s="258">
        <f>ROW(TAB_Offres[[#This Row],[Reference]])-ROW(TAB_Offres[[#Headers],[ID]])</f>
        <v>424</v>
      </c>
      <c r="B425" s="258"/>
      <c r="C425" s="258"/>
      <c r="D425" s="258"/>
      <c r="E425" s="263"/>
      <c r="F425" s="258"/>
      <c r="G425" s="263"/>
      <c r="H425" s="262"/>
      <c r="I425" s="262"/>
      <c r="J425" s="262"/>
      <c r="K425" s="262"/>
      <c r="L425" s="262"/>
      <c r="M425" s="264"/>
      <c r="N425" s="262"/>
      <c r="O425" s="262"/>
      <c r="P425" s="262"/>
      <c r="Q425" s="263"/>
      <c r="R425" s="263"/>
      <c r="S425" s="292"/>
      <c r="T425" s="261"/>
      <c r="U425" s="261"/>
      <c r="V425" s="268"/>
      <c r="W425" s="268"/>
      <c r="X425" s="268"/>
      <c r="Y425" s="268"/>
      <c r="Z425" s="471">
        <f>SUMIF(TAB_CS[Reference],TAB_Offres[[#This Row],[Reference]],TAB_CS[Commited days])</f>
        <v>0</v>
      </c>
      <c r="AA425" s="269">
        <f>SUMIF(TAB_CS[Reference],TAB_Offres[[#This Row],[Reference]],TAB_CS[Commited amount])</f>
        <v>0</v>
      </c>
      <c r="AB425" s="275"/>
      <c r="AC425" s="270"/>
      <c r="AD425" s="270"/>
      <c r="AE425" s="264"/>
      <c r="AF425" s="271"/>
      <c r="AG425" s="278"/>
      <c r="AH425" s="277" t="str">
        <f>CONCATENATE(YEAR(TAB_Offres[[#This Row],[Request date ]]),"-",MONTH(TAB_Offres[[#This Row],[Request date ]]))</f>
        <v>1900-1</v>
      </c>
      <c r="AI425" s="274" t="e">
        <f>IF(#REF!,1,0)</f>
        <v>#REF!</v>
      </c>
      <c r="AJ425" s="4"/>
      <c r="AK425" s="4"/>
      <c r="AL425" s="4"/>
      <c r="AN425" s="150"/>
      <c r="AQ425" s="4"/>
    </row>
    <row r="426" spans="1:43" x14ac:dyDescent="0.25">
      <c r="A426" s="258">
        <f>ROW(TAB_Offres[[#This Row],[Reference]])-ROW(TAB_Offres[[#Headers],[ID]])</f>
        <v>425</v>
      </c>
      <c r="B426" s="258"/>
      <c r="C426" s="258"/>
      <c r="D426" s="258"/>
      <c r="E426" s="263"/>
      <c r="F426" s="258"/>
      <c r="G426" s="263"/>
      <c r="H426" s="262"/>
      <c r="I426" s="262"/>
      <c r="J426" s="262"/>
      <c r="K426" s="262"/>
      <c r="L426" s="262"/>
      <c r="M426" s="264"/>
      <c r="N426" s="262"/>
      <c r="O426" s="262"/>
      <c r="P426" s="262"/>
      <c r="Q426" s="263"/>
      <c r="R426" s="263"/>
      <c r="S426" s="292"/>
      <c r="T426" s="261"/>
      <c r="U426" s="261"/>
      <c r="V426" s="268"/>
      <c r="W426" s="268"/>
      <c r="X426" s="268"/>
      <c r="Y426" s="268"/>
      <c r="Z426" s="471">
        <f>SUMIF(TAB_CS[Reference],TAB_Offres[[#This Row],[Reference]],TAB_CS[Commited days])</f>
        <v>0</v>
      </c>
      <c r="AA426" s="269">
        <f>SUMIF(TAB_CS[Reference],TAB_Offres[[#This Row],[Reference]],TAB_CS[Commited amount])</f>
        <v>0</v>
      </c>
      <c r="AB426" s="275"/>
      <c r="AC426" s="270"/>
      <c r="AD426" s="270"/>
      <c r="AE426" s="264"/>
      <c r="AF426" s="271"/>
      <c r="AG426" s="278"/>
      <c r="AH426" s="277" t="str">
        <f>CONCATENATE(YEAR(TAB_Offres[[#This Row],[Request date ]]),"-",MONTH(TAB_Offres[[#This Row],[Request date ]]))</f>
        <v>1900-1</v>
      </c>
      <c r="AI426" s="274" t="e">
        <f>IF(#REF!,1,0)</f>
        <v>#REF!</v>
      </c>
      <c r="AJ426" s="4"/>
      <c r="AK426" s="4"/>
      <c r="AL426" s="4"/>
      <c r="AN426" s="150"/>
      <c r="AQ426" s="4"/>
    </row>
    <row r="427" spans="1:43" x14ac:dyDescent="0.25">
      <c r="A427" s="258">
        <f>ROW(TAB_Offres[[#This Row],[Reference]])-ROW(TAB_Offres[[#Headers],[ID]])</f>
        <v>426</v>
      </c>
      <c r="B427" s="258"/>
      <c r="C427" s="258"/>
      <c r="D427" s="258"/>
      <c r="E427" s="263"/>
      <c r="F427" s="258"/>
      <c r="G427" s="263"/>
      <c r="H427" s="262"/>
      <c r="I427" s="262"/>
      <c r="J427" s="262"/>
      <c r="K427" s="262"/>
      <c r="L427" s="262"/>
      <c r="M427" s="264"/>
      <c r="N427" s="262"/>
      <c r="O427" s="262"/>
      <c r="P427" s="262"/>
      <c r="Q427" s="263"/>
      <c r="R427" s="263"/>
      <c r="S427" s="292"/>
      <c r="T427" s="261"/>
      <c r="U427" s="261"/>
      <c r="V427" s="268"/>
      <c r="W427" s="268"/>
      <c r="X427" s="268"/>
      <c r="Y427" s="268"/>
      <c r="Z427" s="471">
        <f>SUMIF(TAB_CS[Reference],TAB_Offres[[#This Row],[Reference]],TAB_CS[Commited days])</f>
        <v>0</v>
      </c>
      <c r="AA427" s="269">
        <f>SUMIF(TAB_CS[Reference],TAB_Offres[[#This Row],[Reference]],TAB_CS[Commited amount])</f>
        <v>0</v>
      </c>
      <c r="AB427" s="275"/>
      <c r="AC427" s="270"/>
      <c r="AD427" s="270"/>
      <c r="AE427" s="264"/>
      <c r="AF427" s="271"/>
      <c r="AG427" s="278"/>
      <c r="AH427" s="277" t="str">
        <f>CONCATENATE(YEAR(TAB_Offres[[#This Row],[Request date ]]),"-",MONTH(TAB_Offres[[#This Row],[Request date ]]))</f>
        <v>1900-1</v>
      </c>
      <c r="AI427" s="274" t="e">
        <f>IF(#REF!,1,0)</f>
        <v>#REF!</v>
      </c>
      <c r="AJ427" s="4"/>
      <c r="AK427" s="4"/>
      <c r="AL427" s="4"/>
      <c r="AN427" s="150"/>
      <c r="AQ427" s="4"/>
    </row>
    <row r="428" spans="1:43" x14ac:dyDescent="0.25">
      <c r="A428" s="258">
        <f>ROW(TAB_Offres[[#This Row],[Reference]])-ROW(TAB_Offres[[#Headers],[ID]])</f>
        <v>427</v>
      </c>
      <c r="B428" s="258"/>
      <c r="C428" s="258"/>
      <c r="D428" s="258"/>
      <c r="E428" s="263"/>
      <c r="F428" s="258"/>
      <c r="G428" s="263"/>
      <c r="H428" s="262"/>
      <c r="I428" s="262"/>
      <c r="J428" s="262"/>
      <c r="K428" s="262"/>
      <c r="L428" s="262"/>
      <c r="M428" s="264"/>
      <c r="N428" s="262"/>
      <c r="O428" s="262"/>
      <c r="P428" s="262"/>
      <c r="Q428" s="263"/>
      <c r="R428" s="263"/>
      <c r="S428" s="292"/>
      <c r="T428" s="261"/>
      <c r="U428" s="261"/>
      <c r="V428" s="268"/>
      <c r="W428" s="268"/>
      <c r="X428" s="268"/>
      <c r="Y428" s="268"/>
      <c r="Z428" s="471">
        <f>SUMIF(TAB_CS[Reference],TAB_Offres[[#This Row],[Reference]],TAB_CS[Commited days])</f>
        <v>0</v>
      </c>
      <c r="AA428" s="269">
        <f>SUMIF(TAB_CS[Reference],TAB_Offres[[#This Row],[Reference]],TAB_CS[Commited amount])</f>
        <v>0</v>
      </c>
      <c r="AB428" s="275"/>
      <c r="AC428" s="270"/>
      <c r="AD428" s="270"/>
      <c r="AE428" s="264"/>
      <c r="AF428" s="271"/>
      <c r="AG428" s="278"/>
      <c r="AH428" s="277" t="str">
        <f>CONCATENATE(YEAR(TAB_Offres[[#This Row],[Request date ]]),"-",MONTH(TAB_Offres[[#This Row],[Request date ]]))</f>
        <v>1900-1</v>
      </c>
      <c r="AI428" s="274" t="e">
        <f>IF(#REF!,1,0)</f>
        <v>#REF!</v>
      </c>
      <c r="AJ428" s="4"/>
      <c r="AK428" s="4"/>
      <c r="AL428" s="4"/>
      <c r="AN428" s="150"/>
      <c r="AQ428" s="4"/>
    </row>
    <row r="429" spans="1:43" x14ac:dyDescent="0.25">
      <c r="A429" s="258">
        <f>ROW(TAB_Offres[[#This Row],[Reference]])-ROW(TAB_Offres[[#Headers],[ID]])</f>
        <v>428</v>
      </c>
      <c r="B429" s="258"/>
      <c r="C429" s="258"/>
      <c r="D429" s="258"/>
      <c r="E429" s="263"/>
      <c r="F429" s="258"/>
      <c r="G429" s="263"/>
      <c r="H429" s="262"/>
      <c r="I429" s="262"/>
      <c r="J429" s="262"/>
      <c r="K429" s="262"/>
      <c r="L429" s="262"/>
      <c r="M429" s="264"/>
      <c r="N429" s="262"/>
      <c r="O429" s="262"/>
      <c r="P429" s="262"/>
      <c r="Q429" s="263"/>
      <c r="R429" s="263"/>
      <c r="S429" s="292"/>
      <c r="T429" s="261"/>
      <c r="U429" s="261"/>
      <c r="V429" s="268"/>
      <c r="W429" s="268"/>
      <c r="X429" s="268"/>
      <c r="Y429" s="268"/>
      <c r="Z429" s="471">
        <f>SUMIF(TAB_CS[Reference],TAB_Offres[[#This Row],[Reference]],TAB_CS[Commited days])</f>
        <v>0</v>
      </c>
      <c r="AA429" s="269">
        <f>SUMIF(TAB_CS[Reference],TAB_Offres[[#This Row],[Reference]],TAB_CS[Commited amount])</f>
        <v>0</v>
      </c>
      <c r="AB429" s="275"/>
      <c r="AC429" s="270"/>
      <c r="AD429" s="270"/>
      <c r="AE429" s="264"/>
      <c r="AF429" s="271"/>
      <c r="AG429" s="278"/>
      <c r="AH429" s="277" t="str">
        <f>CONCATENATE(YEAR(TAB_Offres[[#This Row],[Request date ]]),"-",MONTH(TAB_Offres[[#This Row],[Request date ]]))</f>
        <v>1900-1</v>
      </c>
      <c r="AI429" s="274" t="e">
        <f>IF(#REF!,1,0)</f>
        <v>#REF!</v>
      </c>
      <c r="AJ429" s="4"/>
      <c r="AK429" s="4"/>
      <c r="AL429" s="4"/>
      <c r="AN429" s="150"/>
      <c r="AQ429" s="4"/>
    </row>
    <row r="430" spans="1:43" x14ac:dyDescent="0.25">
      <c r="A430" s="258">
        <f>ROW(TAB_Offres[[#This Row],[Reference]])-ROW(TAB_Offres[[#Headers],[ID]])</f>
        <v>429</v>
      </c>
      <c r="B430" s="258"/>
      <c r="C430" s="258"/>
      <c r="D430" s="258"/>
      <c r="E430" s="263"/>
      <c r="F430" s="258"/>
      <c r="G430" s="263"/>
      <c r="H430" s="262"/>
      <c r="I430" s="262"/>
      <c r="J430" s="262"/>
      <c r="K430" s="262"/>
      <c r="L430" s="262"/>
      <c r="M430" s="264"/>
      <c r="N430" s="262"/>
      <c r="O430" s="262"/>
      <c r="P430" s="262"/>
      <c r="Q430" s="263"/>
      <c r="R430" s="263"/>
      <c r="S430" s="292"/>
      <c r="T430" s="261"/>
      <c r="U430" s="261"/>
      <c r="V430" s="268"/>
      <c r="W430" s="268"/>
      <c r="X430" s="268"/>
      <c r="Y430" s="268"/>
      <c r="Z430" s="471">
        <f>SUMIF(TAB_CS[Reference],TAB_Offres[[#This Row],[Reference]],TAB_CS[Commited days])</f>
        <v>0</v>
      </c>
      <c r="AA430" s="269">
        <f>SUMIF(TAB_CS[Reference],TAB_Offres[[#This Row],[Reference]],TAB_CS[Commited amount])</f>
        <v>0</v>
      </c>
      <c r="AB430" s="275"/>
      <c r="AC430" s="270"/>
      <c r="AD430" s="270"/>
      <c r="AE430" s="264"/>
      <c r="AF430" s="271"/>
      <c r="AG430" s="278"/>
      <c r="AH430" s="277" t="str">
        <f>CONCATENATE(YEAR(TAB_Offres[[#This Row],[Request date ]]),"-",MONTH(TAB_Offres[[#This Row],[Request date ]]))</f>
        <v>1900-1</v>
      </c>
      <c r="AI430" s="274" t="e">
        <f>IF(#REF!,1,0)</f>
        <v>#REF!</v>
      </c>
      <c r="AJ430" s="4"/>
      <c r="AK430" s="4"/>
      <c r="AL430" s="4"/>
      <c r="AN430" s="150"/>
      <c r="AQ430" s="4"/>
    </row>
    <row r="431" spans="1:43" x14ac:dyDescent="0.25">
      <c r="A431" s="258">
        <f>ROW(TAB_Offres[[#This Row],[Reference]])-ROW(TAB_Offres[[#Headers],[ID]])</f>
        <v>430</v>
      </c>
      <c r="B431" s="258"/>
      <c r="C431" s="258"/>
      <c r="D431" s="258"/>
      <c r="E431" s="263"/>
      <c r="F431" s="258"/>
      <c r="G431" s="263"/>
      <c r="H431" s="262"/>
      <c r="I431" s="262"/>
      <c r="J431" s="262"/>
      <c r="K431" s="262"/>
      <c r="L431" s="262"/>
      <c r="M431" s="264"/>
      <c r="N431" s="262"/>
      <c r="O431" s="262"/>
      <c r="P431" s="262"/>
      <c r="Q431" s="263"/>
      <c r="R431" s="263"/>
      <c r="S431" s="292"/>
      <c r="T431" s="261"/>
      <c r="U431" s="261"/>
      <c r="V431" s="268"/>
      <c r="W431" s="268"/>
      <c r="X431" s="268"/>
      <c r="Y431" s="268"/>
      <c r="Z431" s="471">
        <f>SUMIF(TAB_CS[Reference],TAB_Offres[[#This Row],[Reference]],TAB_CS[Commited days])</f>
        <v>0</v>
      </c>
      <c r="AA431" s="269">
        <f>SUMIF(TAB_CS[Reference],TAB_Offres[[#This Row],[Reference]],TAB_CS[Commited amount])</f>
        <v>0</v>
      </c>
      <c r="AB431" s="275"/>
      <c r="AC431" s="270"/>
      <c r="AD431" s="270"/>
      <c r="AE431" s="264"/>
      <c r="AF431" s="271"/>
      <c r="AG431" s="278"/>
      <c r="AH431" s="277" t="str">
        <f>CONCATENATE(YEAR(TAB_Offres[[#This Row],[Request date ]]),"-",MONTH(TAB_Offres[[#This Row],[Request date ]]))</f>
        <v>1900-1</v>
      </c>
      <c r="AI431" s="274" t="e">
        <f>IF(#REF!,1,0)</f>
        <v>#REF!</v>
      </c>
      <c r="AJ431" s="4"/>
      <c r="AK431" s="4"/>
      <c r="AL431" s="4"/>
      <c r="AN431" s="150"/>
      <c r="AQ431" s="4"/>
    </row>
    <row r="432" spans="1:43" x14ac:dyDescent="0.25">
      <c r="A432" s="258">
        <f>ROW(TAB_Offres[[#This Row],[Reference]])-ROW(TAB_Offres[[#Headers],[ID]])</f>
        <v>431</v>
      </c>
      <c r="B432" s="258"/>
      <c r="C432" s="258"/>
      <c r="D432" s="258"/>
      <c r="E432" s="263"/>
      <c r="F432" s="258"/>
      <c r="G432" s="263"/>
      <c r="H432" s="262"/>
      <c r="I432" s="262"/>
      <c r="J432" s="262"/>
      <c r="K432" s="262"/>
      <c r="L432" s="262"/>
      <c r="M432" s="264"/>
      <c r="N432" s="262"/>
      <c r="O432" s="262"/>
      <c r="P432" s="262"/>
      <c r="Q432" s="263"/>
      <c r="R432" s="263"/>
      <c r="S432" s="292"/>
      <c r="T432" s="261"/>
      <c r="U432" s="261"/>
      <c r="V432" s="268"/>
      <c r="W432" s="268"/>
      <c r="X432" s="268"/>
      <c r="Y432" s="268"/>
      <c r="Z432" s="471">
        <f>SUMIF(TAB_CS[Reference],TAB_Offres[[#This Row],[Reference]],TAB_CS[Commited days])</f>
        <v>0</v>
      </c>
      <c r="AA432" s="269">
        <f>SUMIF(TAB_CS[Reference],TAB_Offres[[#This Row],[Reference]],TAB_CS[Commited amount])</f>
        <v>0</v>
      </c>
      <c r="AB432" s="275"/>
      <c r="AC432" s="270"/>
      <c r="AD432" s="270"/>
      <c r="AE432" s="264"/>
      <c r="AF432" s="271"/>
      <c r="AG432" s="278"/>
      <c r="AH432" s="277" t="str">
        <f>CONCATENATE(YEAR(TAB_Offres[[#This Row],[Request date ]]),"-",MONTH(TAB_Offres[[#This Row],[Request date ]]))</f>
        <v>1900-1</v>
      </c>
      <c r="AI432" s="274" t="e">
        <f>IF(#REF!,1,0)</f>
        <v>#REF!</v>
      </c>
      <c r="AJ432" s="4"/>
      <c r="AK432" s="4"/>
      <c r="AL432" s="4"/>
      <c r="AN432" s="150"/>
      <c r="AQ432" s="4"/>
    </row>
    <row r="433" spans="1:43" x14ac:dyDescent="0.25">
      <c r="A433" s="258">
        <f>ROW(TAB_Offres[[#This Row],[Reference]])-ROW(TAB_Offres[[#Headers],[ID]])</f>
        <v>432</v>
      </c>
      <c r="B433" s="258"/>
      <c r="C433" s="258"/>
      <c r="D433" s="258"/>
      <c r="E433" s="263"/>
      <c r="F433" s="258"/>
      <c r="G433" s="263"/>
      <c r="H433" s="262"/>
      <c r="I433" s="262"/>
      <c r="J433" s="262"/>
      <c r="K433" s="262"/>
      <c r="L433" s="262"/>
      <c r="M433" s="264"/>
      <c r="N433" s="262"/>
      <c r="O433" s="262"/>
      <c r="P433" s="262"/>
      <c r="Q433" s="263"/>
      <c r="R433" s="263"/>
      <c r="S433" s="292"/>
      <c r="T433" s="261"/>
      <c r="U433" s="261"/>
      <c r="V433" s="268"/>
      <c r="W433" s="268"/>
      <c r="X433" s="268"/>
      <c r="Y433" s="268"/>
      <c r="Z433" s="471">
        <f>SUMIF(TAB_CS[Reference],TAB_Offres[[#This Row],[Reference]],TAB_CS[Commited days])</f>
        <v>0</v>
      </c>
      <c r="AA433" s="269">
        <f>SUMIF(TAB_CS[Reference],TAB_Offres[[#This Row],[Reference]],TAB_CS[Commited amount])</f>
        <v>0</v>
      </c>
      <c r="AB433" s="275"/>
      <c r="AC433" s="270"/>
      <c r="AD433" s="270"/>
      <c r="AE433" s="264"/>
      <c r="AF433" s="271"/>
      <c r="AG433" s="278"/>
      <c r="AH433" s="277" t="str">
        <f>CONCATENATE(YEAR(TAB_Offres[[#This Row],[Request date ]]),"-",MONTH(TAB_Offres[[#This Row],[Request date ]]))</f>
        <v>1900-1</v>
      </c>
      <c r="AI433" s="274" t="e">
        <f>IF(#REF!,1,0)</f>
        <v>#REF!</v>
      </c>
      <c r="AJ433" s="4"/>
      <c r="AK433" s="4"/>
      <c r="AL433" s="4"/>
      <c r="AN433" s="150"/>
      <c r="AQ433" s="4"/>
    </row>
    <row r="434" spans="1:43" x14ac:dyDescent="0.25">
      <c r="A434" s="258">
        <f>ROW(TAB_Offres[[#This Row],[Reference]])-ROW(TAB_Offres[[#Headers],[ID]])</f>
        <v>433</v>
      </c>
      <c r="B434" s="258"/>
      <c r="C434" s="258"/>
      <c r="D434" s="258"/>
      <c r="E434" s="263"/>
      <c r="F434" s="258"/>
      <c r="G434" s="263"/>
      <c r="H434" s="262"/>
      <c r="I434" s="262"/>
      <c r="J434" s="262"/>
      <c r="K434" s="262"/>
      <c r="L434" s="262"/>
      <c r="M434" s="264"/>
      <c r="N434" s="262"/>
      <c r="O434" s="262"/>
      <c r="P434" s="262"/>
      <c r="Q434" s="263"/>
      <c r="R434" s="263"/>
      <c r="S434" s="292"/>
      <c r="T434" s="261"/>
      <c r="U434" s="261"/>
      <c r="V434" s="268"/>
      <c r="W434" s="268"/>
      <c r="X434" s="268"/>
      <c r="Y434" s="268"/>
      <c r="Z434" s="471">
        <f>SUMIF(TAB_CS[Reference],TAB_Offres[[#This Row],[Reference]],TAB_CS[Commited days])</f>
        <v>0</v>
      </c>
      <c r="AA434" s="269">
        <f>SUMIF(TAB_CS[Reference],TAB_Offres[[#This Row],[Reference]],TAB_CS[Commited amount])</f>
        <v>0</v>
      </c>
      <c r="AB434" s="275"/>
      <c r="AC434" s="270"/>
      <c r="AD434" s="270"/>
      <c r="AE434" s="264"/>
      <c r="AF434" s="271"/>
      <c r="AG434" s="278"/>
      <c r="AH434" s="277" t="str">
        <f>CONCATENATE(YEAR(TAB_Offres[[#This Row],[Request date ]]),"-",MONTH(TAB_Offres[[#This Row],[Request date ]]))</f>
        <v>1900-1</v>
      </c>
      <c r="AI434" s="274" t="e">
        <f>IF(#REF!,1,0)</f>
        <v>#REF!</v>
      </c>
      <c r="AJ434" s="4"/>
      <c r="AK434" s="4"/>
      <c r="AL434" s="4"/>
      <c r="AN434" s="150"/>
      <c r="AQ434" s="4"/>
    </row>
    <row r="435" spans="1:43" x14ac:dyDescent="0.25">
      <c r="A435" s="258">
        <f>ROW(TAB_Offres[[#This Row],[Reference]])-ROW(TAB_Offres[[#Headers],[ID]])</f>
        <v>434</v>
      </c>
      <c r="B435" s="258"/>
      <c r="C435" s="258"/>
      <c r="D435" s="258"/>
      <c r="E435" s="263"/>
      <c r="F435" s="258"/>
      <c r="G435" s="263"/>
      <c r="H435" s="262"/>
      <c r="I435" s="262"/>
      <c r="J435" s="262"/>
      <c r="K435" s="262"/>
      <c r="L435" s="262"/>
      <c r="M435" s="264"/>
      <c r="N435" s="262"/>
      <c r="O435" s="262"/>
      <c r="P435" s="262"/>
      <c r="Q435" s="263"/>
      <c r="R435" s="263"/>
      <c r="S435" s="292"/>
      <c r="T435" s="261"/>
      <c r="U435" s="261"/>
      <c r="V435" s="268"/>
      <c r="W435" s="268"/>
      <c r="X435" s="268"/>
      <c r="Y435" s="268"/>
      <c r="Z435" s="471">
        <f>SUMIF(TAB_CS[Reference],TAB_Offres[[#This Row],[Reference]],TAB_CS[Commited days])</f>
        <v>0</v>
      </c>
      <c r="AA435" s="269">
        <f>SUMIF(TAB_CS[Reference],TAB_Offres[[#This Row],[Reference]],TAB_CS[Commited amount])</f>
        <v>0</v>
      </c>
      <c r="AB435" s="275"/>
      <c r="AC435" s="270"/>
      <c r="AD435" s="270"/>
      <c r="AE435" s="264"/>
      <c r="AF435" s="271"/>
      <c r="AG435" s="278"/>
      <c r="AH435" s="277" t="str">
        <f>CONCATENATE(YEAR(TAB_Offres[[#This Row],[Request date ]]),"-",MONTH(TAB_Offres[[#This Row],[Request date ]]))</f>
        <v>1900-1</v>
      </c>
      <c r="AI435" s="274" t="e">
        <f>IF(#REF!,1,0)</f>
        <v>#REF!</v>
      </c>
      <c r="AJ435" s="4"/>
      <c r="AK435" s="4"/>
      <c r="AL435" s="4"/>
      <c r="AN435" s="150"/>
      <c r="AQ435" s="4"/>
    </row>
    <row r="436" spans="1:43" x14ac:dyDescent="0.25">
      <c r="A436" s="258">
        <f>ROW(TAB_Offres[[#This Row],[Reference]])-ROW(TAB_Offres[[#Headers],[ID]])</f>
        <v>435</v>
      </c>
      <c r="B436" s="258"/>
      <c r="C436" s="258"/>
      <c r="D436" s="258"/>
      <c r="E436" s="263"/>
      <c r="F436" s="258"/>
      <c r="G436" s="263"/>
      <c r="H436" s="262"/>
      <c r="I436" s="262"/>
      <c r="J436" s="262"/>
      <c r="K436" s="262"/>
      <c r="L436" s="262"/>
      <c r="M436" s="264"/>
      <c r="N436" s="262"/>
      <c r="O436" s="262"/>
      <c r="P436" s="262"/>
      <c r="Q436" s="263"/>
      <c r="R436" s="263"/>
      <c r="S436" s="292"/>
      <c r="T436" s="261"/>
      <c r="U436" s="261"/>
      <c r="V436" s="268"/>
      <c r="W436" s="268"/>
      <c r="X436" s="268"/>
      <c r="Y436" s="268"/>
      <c r="Z436" s="471">
        <f>SUMIF(TAB_CS[Reference],TAB_Offres[[#This Row],[Reference]],TAB_CS[Commited days])</f>
        <v>0</v>
      </c>
      <c r="AA436" s="269">
        <f>SUMIF(TAB_CS[Reference],TAB_Offres[[#This Row],[Reference]],TAB_CS[Commited amount])</f>
        <v>0</v>
      </c>
      <c r="AB436" s="275"/>
      <c r="AC436" s="270"/>
      <c r="AD436" s="270"/>
      <c r="AE436" s="264"/>
      <c r="AF436" s="271"/>
      <c r="AG436" s="278"/>
      <c r="AH436" s="277" t="str">
        <f>CONCATENATE(YEAR(TAB_Offres[[#This Row],[Request date ]]),"-",MONTH(TAB_Offres[[#This Row],[Request date ]]))</f>
        <v>1900-1</v>
      </c>
      <c r="AI436" s="274" t="e">
        <f>IF(#REF!,1,0)</f>
        <v>#REF!</v>
      </c>
      <c r="AJ436" s="4"/>
      <c r="AK436" s="4"/>
      <c r="AL436" s="4"/>
      <c r="AN436" s="150"/>
      <c r="AQ436" s="4"/>
    </row>
    <row r="437" spans="1:43" x14ac:dyDescent="0.25">
      <c r="A437" s="258">
        <f>ROW(TAB_Offres[[#This Row],[Reference]])-ROW(TAB_Offres[[#Headers],[ID]])</f>
        <v>436</v>
      </c>
      <c r="B437" s="258"/>
      <c r="C437" s="258"/>
      <c r="D437" s="258"/>
      <c r="E437" s="263"/>
      <c r="F437" s="258"/>
      <c r="G437" s="263"/>
      <c r="H437" s="262"/>
      <c r="I437" s="262"/>
      <c r="J437" s="262"/>
      <c r="K437" s="262"/>
      <c r="L437" s="262"/>
      <c r="M437" s="264"/>
      <c r="N437" s="262"/>
      <c r="O437" s="262"/>
      <c r="P437" s="262"/>
      <c r="Q437" s="263"/>
      <c r="R437" s="263"/>
      <c r="S437" s="292"/>
      <c r="T437" s="261"/>
      <c r="U437" s="261"/>
      <c r="V437" s="268"/>
      <c r="W437" s="268"/>
      <c r="X437" s="268"/>
      <c r="Y437" s="268"/>
      <c r="Z437" s="471">
        <f>SUMIF(TAB_CS[Reference],TAB_Offres[[#This Row],[Reference]],TAB_CS[Commited days])</f>
        <v>0</v>
      </c>
      <c r="AA437" s="269">
        <f>SUMIF(TAB_CS[Reference],TAB_Offres[[#This Row],[Reference]],TAB_CS[Commited amount])</f>
        <v>0</v>
      </c>
      <c r="AB437" s="275"/>
      <c r="AC437" s="270"/>
      <c r="AD437" s="270"/>
      <c r="AE437" s="264"/>
      <c r="AF437" s="271"/>
      <c r="AG437" s="278"/>
      <c r="AH437" s="277" t="str">
        <f>CONCATENATE(YEAR(TAB_Offres[[#This Row],[Request date ]]),"-",MONTH(TAB_Offres[[#This Row],[Request date ]]))</f>
        <v>1900-1</v>
      </c>
      <c r="AI437" s="274" t="e">
        <f>IF(#REF!,1,0)</f>
        <v>#REF!</v>
      </c>
      <c r="AJ437" s="4"/>
      <c r="AK437" s="4"/>
      <c r="AL437" s="4"/>
      <c r="AN437" s="150"/>
      <c r="AQ437" s="4"/>
    </row>
    <row r="438" spans="1:43" x14ac:dyDescent="0.25">
      <c r="A438" s="258">
        <f>ROW(TAB_Offres[[#This Row],[Reference]])-ROW(TAB_Offres[[#Headers],[ID]])</f>
        <v>437</v>
      </c>
      <c r="B438" s="258"/>
      <c r="C438" s="258"/>
      <c r="D438" s="258"/>
      <c r="E438" s="263"/>
      <c r="F438" s="258"/>
      <c r="G438" s="263"/>
      <c r="H438" s="262"/>
      <c r="I438" s="262"/>
      <c r="J438" s="262"/>
      <c r="K438" s="262"/>
      <c r="L438" s="262"/>
      <c r="M438" s="264"/>
      <c r="N438" s="262"/>
      <c r="O438" s="262"/>
      <c r="P438" s="262"/>
      <c r="Q438" s="263"/>
      <c r="R438" s="263"/>
      <c r="S438" s="292"/>
      <c r="T438" s="261"/>
      <c r="U438" s="261"/>
      <c r="V438" s="268"/>
      <c r="W438" s="268"/>
      <c r="X438" s="268"/>
      <c r="Y438" s="268"/>
      <c r="Z438" s="471">
        <f>SUMIF(TAB_CS[Reference],TAB_Offres[[#This Row],[Reference]],TAB_CS[Commited days])</f>
        <v>0</v>
      </c>
      <c r="AA438" s="269">
        <f>SUMIF(TAB_CS[Reference],TAB_Offres[[#This Row],[Reference]],TAB_CS[Commited amount])</f>
        <v>0</v>
      </c>
      <c r="AB438" s="275"/>
      <c r="AC438" s="270"/>
      <c r="AD438" s="270"/>
      <c r="AE438" s="264"/>
      <c r="AF438" s="271"/>
      <c r="AG438" s="278"/>
      <c r="AH438" s="277" t="str">
        <f>CONCATENATE(YEAR(TAB_Offres[[#This Row],[Request date ]]),"-",MONTH(TAB_Offres[[#This Row],[Request date ]]))</f>
        <v>1900-1</v>
      </c>
      <c r="AI438" s="274" t="e">
        <f>IF(#REF!,1,0)</f>
        <v>#REF!</v>
      </c>
      <c r="AJ438" s="4"/>
      <c r="AK438" s="4"/>
      <c r="AL438" s="4"/>
      <c r="AN438" s="150"/>
      <c r="AQ438" s="4"/>
    </row>
    <row r="439" spans="1:43" x14ac:dyDescent="0.25">
      <c r="A439" s="258">
        <f>ROW(TAB_Offres[[#This Row],[Reference]])-ROW(TAB_Offres[[#Headers],[ID]])</f>
        <v>438</v>
      </c>
      <c r="B439" s="258"/>
      <c r="C439" s="258"/>
      <c r="D439" s="258"/>
      <c r="E439" s="263"/>
      <c r="F439" s="258"/>
      <c r="G439" s="263"/>
      <c r="H439" s="262"/>
      <c r="I439" s="262"/>
      <c r="J439" s="262"/>
      <c r="K439" s="262"/>
      <c r="L439" s="262"/>
      <c r="M439" s="264"/>
      <c r="N439" s="262"/>
      <c r="O439" s="262"/>
      <c r="P439" s="262"/>
      <c r="Q439" s="263"/>
      <c r="R439" s="263"/>
      <c r="S439" s="292"/>
      <c r="T439" s="261"/>
      <c r="U439" s="261"/>
      <c r="V439" s="268"/>
      <c r="W439" s="268"/>
      <c r="X439" s="268"/>
      <c r="Y439" s="268"/>
      <c r="Z439" s="471">
        <f>SUMIF(TAB_CS[Reference],TAB_Offres[[#This Row],[Reference]],TAB_CS[Commited days])</f>
        <v>0</v>
      </c>
      <c r="AA439" s="269">
        <f>SUMIF(TAB_CS[Reference],TAB_Offres[[#This Row],[Reference]],TAB_CS[Commited amount])</f>
        <v>0</v>
      </c>
      <c r="AB439" s="275"/>
      <c r="AC439" s="270"/>
      <c r="AD439" s="270"/>
      <c r="AE439" s="264"/>
      <c r="AF439" s="271"/>
      <c r="AG439" s="278"/>
      <c r="AH439" s="277" t="str">
        <f>CONCATENATE(YEAR(TAB_Offres[[#This Row],[Request date ]]),"-",MONTH(TAB_Offres[[#This Row],[Request date ]]))</f>
        <v>1900-1</v>
      </c>
      <c r="AI439" s="274" t="e">
        <f>IF(#REF!,1,0)</f>
        <v>#REF!</v>
      </c>
      <c r="AJ439" s="4"/>
      <c r="AK439" s="4"/>
      <c r="AL439" s="4"/>
      <c r="AN439" s="150"/>
      <c r="AQ439" s="4"/>
    </row>
    <row r="440" spans="1:43" x14ac:dyDescent="0.25">
      <c r="A440" s="258">
        <f>ROW(TAB_Offres[[#This Row],[Reference]])-ROW(TAB_Offres[[#Headers],[ID]])</f>
        <v>439</v>
      </c>
      <c r="B440" s="258"/>
      <c r="C440" s="258"/>
      <c r="D440" s="258"/>
      <c r="E440" s="263"/>
      <c r="F440" s="258"/>
      <c r="G440" s="263"/>
      <c r="H440" s="262"/>
      <c r="I440" s="262"/>
      <c r="J440" s="262"/>
      <c r="K440" s="262"/>
      <c r="L440" s="262"/>
      <c r="M440" s="264"/>
      <c r="N440" s="262"/>
      <c r="O440" s="262"/>
      <c r="P440" s="262"/>
      <c r="Q440" s="263"/>
      <c r="R440" s="263"/>
      <c r="S440" s="292"/>
      <c r="T440" s="261"/>
      <c r="U440" s="261"/>
      <c r="V440" s="268"/>
      <c r="W440" s="268"/>
      <c r="X440" s="268"/>
      <c r="Y440" s="268"/>
      <c r="Z440" s="471">
        <f>SUMIF(TAB_CS[Reference],TAB_Offres[[#This Row],[Reference]],TAB_CS[Commited days])</f>
        <v>0</v>
      </c>
      <c r="AA440" s="269">
        <f>SUMIF(TAB_CS[Reference],TAB_Offres[[#This Row],[Reference]],TAB_CS[Commited amount])</f>
        <v>0</v>
      </c>
      <c r="AB440" s="275"/>
      <c r="AC440" s="270"/>
      <c r="AD440" s="270"/>
      <c r="AE440" s="264"/>
      <c r="AF440" s="271"/>
      <c r="AG440" s="278"/>
      <c r="AH440" s="277" t="str">
        <f>CONCATENATE(YEAR(TAB_Offres[[#This Row],[Request date ]]),"-",MONTH(TAB_Offres[[#This Row],[Request date ]]))</f>
        <v>1900-1</v>
      </c>
      <c r="AI440" s="274" t="e">
        <f>IF(#REF!,1,0)</f>
        <v>#REF!</v>
      </c>
      <c r="AJ440" s="4"/>
      <c r="AK440" s="4"/>
      <c r="AL440" s="4"/>
      <c r="AN440" s="150"/>
      <c r="AQ440" s="4"/>
    </row>
    <row r="441" spans="1:43" x14ac:dyDescent="0.25">
      <c r="A441" s="258">
        <f>ROW(TAB_Offres[[#This Row],[Reference]])-ROW(TAB_Offres[[#Headers],[ID]])</f>
        <v>440</v>
      </c>
      <c r="B441" s="258"/>
      <c r="C441" s="258"/>
      <c r="D441" s="258"/>
      <c r="E441" s="263"/>
      <c r="F441" s="258"/>
      <c r="G441" s="263"/>
      <c r="H441" s="262"/>
      <c r="I441" s="262"/>
      <c r="J441" s="262"/>
      <c r="K441" s="262"/>
      <c r="L441" s="262"/>
      <c r="M441" s="264"/>
      <c r="N441" s="262"/>
      <c r="O441" s="262"/>
      <c r="P441" s="262"/>
      <c r="Q441" s="263"/>
      <c r="R441" s="263"/>
      <c r="S441" s="292"/>
      <c r="T441" s="261"/>
      <c r="U441" s="261"/>
      <c r="V441" s="268"/>
      <c r="W441" s="268"/>
      <c r="X441" s="268"/>
      <c r="Y441" s="268"/>
      <c r="Z441" s="471">
        <f>SUMIF(TAB_CS[Reference],TAB_Offres[[#This Row],[Reference]],TAB_CS[Commited days])</f>
        <v>0</v>
      </c>
      <c r="AA441" s="269">
        <f>SUMIF(TAB_CS[Reference],TAB_Offres[[#This Row],[Reference]],TAB_CS[Commited amount])</f>
        <v>0</v>
      </c>
      <c r="AB441" s="275"/>
      <c r="AC441" s="270"/>
      <c r="AD441" s="270"/>
      <c r="AE441" s="264"/>
      <c r="AF441" s="271"/>
      <c r="AG441" s="278"/>
      <c r="AH441" s="277" t="str">
        <f>CONCATENATE(YEAR(TAB_Offres[[#This Row],[Request date ]]),"-",MONTH(TAB_Offres[[#This Row],[Request date ]]))</f>
        <v>1900-1</v>
      </c>
      <c r="AI441" s="274" t="e">
        <f>IF(#REF!,1,0)</f>
        <v>#REF!</v>
      </c>
      <c r="AJ441" s="4"/>
      <c r="AK441" s="4"/>
      <c r="AL441" s="4"/>
      <c r="AN441" s="150"/>
      <c r="AQ441" s="4"/>
    </row>
    <row r="442" spans="1:43" x14ac:dyDescent="0.25">
      <c r="A442" s="258">
        <f>ROW(TAB_Offres[[#This Row],[Reference]])-ROW(TAB_Offres[[#Headers],[ID]])</f>
        <v>441</v>
      </c>
      <c r="B442" s="258"/>
      <c r="C442" s="258"/>
      <c r="D442" s="258"/>
      <c r="E442" s="263"/>
      <c r="F442" s="258"/>
      <c r="G442" s="263"/>
      <c r="H442" s="262"/>
      <c r="I442" s="262"/>
      <c r="J442" s="262"/>
      <c r="K442" s="262"/>
      <c r="L442" s="262"/>
      <c r="M442" s="264"/>
      <c r="N442" s="262"/>
      <c r="O442" s="262"/>
      <c r="P442" s="262"/>
      <c r="Q442" s="263"/>
      <c r="R442" s="263"/>
      <c r="S442" s="292"/>
      <c r="T442" s="261"/>
      <c r="U442" s="261"/>
      <c r="V442" s="268"/>
      <c r="W442" s="268"/>
      <c r="X442" s="268"/>
      <c r="Y442" s="268"/>
      <c r="Z442" s="471">
        <f>SUMIF(TAB_CS[Reference],TAB_Offres[[#This Row],[Reference]],TAB_CS[Commited days])</f>
        <v>0</v>
      </c>
      <c r="AA442" s="269">
        <f>SUMIF(TAB_CS[Reference],TAB_Offres[[#This Row],[Reference]],TAB_CS[Commited amount])</f>
        <v>0</v>
      </c>
      <c r="AB442" s="275"/>
      <c r="AC442" s="270"/>
      <c r="AD442" s="270"/>
      <c r="AE442" s="264"/>
      <c r="AF442" s="271"/>
      <c r="AG442" s="278"/>
      <c r="AH442" s="277" t="str">
        <f>CONCATENATE(YEAR(TAB_Offres[[#This Row],[Request date ]]),"-",MONTH(TAB_Offres[[#This Row],[Request date ]]))</f>
        <v>1900-1</v>
      </c>
      <c r="AI442" s="274" t="e">
        <f>IF(#REF!,1,0)</f>
        <v>#REF!</v>
      </c>
      <c r="AJ442" s="4"/>
      <c r="AK442" s="4"/>
      <c r="AL442" s="4"/>
      <c r="AN442" s="150"/>
      <c r="AQ442" s="4"/>
    </row>
    <row r="443" spans="1:43" x14ac:dyDescent="0.25">
      <c r="A443" s="258">
        <f>ROW(TAB_Offres[[#This Row],[Reference]])-ROW(TAB_Offres[[#Headers],[ID]])</f>
        <v>442</v>
      </c>
      <c r="B443" s="258"/>
      <c r="C443" s="258"/>
      <c r="D443" s="258"/>
      <c r="E443" s="263"/>
      <c r="F443" s="258"/>
      <c r="G443" s="263"/>
      <c r="H443" s="262"/>
      <c r="I443" s="262"/>
      <c r="J443" s="262"/>
      <c r="K443" s="262"/>
      <c r="L443" s="262"/>
      <c r="M443" s="264"/>
      <c r="N443" s="262"/>
      <c r="O443" s="262"/>
      <c r="P443" s="262"/>
      <c r="Q443" s="263"/>
      <c r="R443" s="263"/>
      <c r="S443" s="292"/>
      <c r="T443" s="261"/>
      <c r="U443" s="261"/>
      <c r="V443" s="268"/>
      <c r="W443" s="268"/>
      <c r="X443" s="268"/>
      <c r="Y443" s="268"/>
      <c r="Z443" s="471">
        <f>SUMIF(TAB_CS[Reference],TAB_Offres[[#This Row],[Reference]],TAB_CS[Commited days])</f>
        <v>0</v>
      </c>
      <c r="AA443" s="269">
        <f>SUMIF(TAB_CS[Reference],TAB_Offres[[#This Row],[Reference]],TAB_CS[Commited amount])</f>
        <v>0</v>
      </c>
      <c r="AB443" s="275"/>
      <c r="AC443" s="270"/>
      <c r="AD443" s="270"/>
      <c r="AE443" s="264"/>
      <c r="AF443" s="271"/>
      <c r="AG443" s="278"/>
      <c r="AH443" s="277" t="str">
        <f>CONCATENATE(YEAR(TAB_Offres[[#This Row],[Request date ]]),"-",MONTH(TAB_Offres[[#This Row],[Request date ]]))</f>
        <v>1900-1</v>
      </c>
      <c r="AI443" s="274" t="e">
        <f>IF(#REF!,1,0)</f>
        <v>#REF!</v>
      </c>
      <c r="AJ443" s="4"/>
      <c r="AK443" s="4"/>
      <c r="AL443" s="4"/>
      <c r="AN443" s="150"/>
      <c r="AQ443" s="4"/>
    </row>
    <row r="444" spans="1:43" x14ac:dyDescent="0.25">
      <c r="A444" s="258">
        <f>ROW(TAB_Offres[[#This Row],[Reference]])-ROW(TAB_Offres[[#Headers],[ID]])</f>
        <v>443</v>
      </c>
      <c r="B444" s="258"/>
      <c r="C444" s="258"/>
      <c r="D444" s="258"/>
      <c r="E444" s="263"/>
      <c r="F444" s="258"/>
      <c r="G444" s="263"/>
      <c r="H444" s="262"/>
      <c r="I444" s="262"/>
      <c r="J444" s="262"/>
      <c r="K444" s="262"/>
      <c r="L444" s="262"/>
      <c r="M444" s="264"/>
      <c r="N444" s="262"/>
      <c r="O444" s="262"/>
      <c r="P444" s="262"/>
      <c r="Q444" s="263"/>
      <c r="R444" s="263"/>
      <c r="S444" s="292"/>
      <c r="T444" s="261"/>
      <c r="U444" s="261"/>
      <c r="V444" s="268"/>
      <c r="W444" s="268"/>
      <c r="X444" s="268"/>
      <c r="Y444" s="268"/>
      <c r="Z444" s="471">
        <f>SUMIF(TAB_CS[Reference],TAB_Offres[[#This Row],[Reference]],TAB_CS[Commited days])</f>
        <v>0</v>
      </c>
      <c r="AA444" s="269">
        <f>SUMIF(TAB_CS[Reference],TAB_Offres[[#This Row],[Reference]],TAB_CS[Commited amount])</f>
        <v>0</v>
      </c>
      <c r="AB444" s="275"/>
      <c r="AC444" s="270"/>
      <c r="AD444" s="270"/>
      <c r="AE444" s="264"/>
      <c r="AF444" s="271"/>
      <c r="AG444" s="278"/>
      <c r="AH444" s="277" t="str">
        <f>CONCATENATE(YEAR(TAB_Offres[[#This Row],[Request date ]]),"-",MONTH(TAB_Offres[[#This Row],[Request date ]]))</f>
        <v>1900-1</v>
      </c>
      <c r="AI444" s="274" t="e">
        <f>IF(#REF!,1,0)</f>
        <v>#REF!</v>
      </c>
      <c r="AJ444" s="4"/>
      <c r="AK444" s="4"/>
      <c r="AL444" s="4"/>
      <c r="AN444" s="150"/>
      <c r="AQ444" s="4"/>
    </row>
    <row r="445" spans="1:43" x14ac:dyDescent="0.25">
      <c r="A445" s="258">
        <f>ROW(TAB_Offres[[#This Row],[Reference]])-ROW(TAB_Offres[[#Headers],[ID]])</f>
        <v>444</v>
      </c>
      <c r="B445" s="258"/>
      <c r="C445" s="258"/>
      <c r="D445" s="258"/>
      <c r="E445" s="263"/>
      <c r="F445" s="258"/>
      <c r="G445" s="263"/>
      <c r="H445" s="262"/>
      <c r="I445" s="262"/>
      <c r="J445" s="262"/>
      <c r="K445" s="262"/>
      <c r="L445" s="262"/>
      <c r="M445" s="264"/>
      <c r="N445" s="262"/>
      <c r="O445" s="262"/>
      <c r="P445" s="262"/>
      <c r="Q445" s="263"/>
      <c r="R445" s="263"/>
      <c r="S445" s="292"/>
      <c r="T445" s="261"/>
      <c r="U445" s="261"/>
      <c r="V445" s="268"/>
      <c r="W445" s="268"/>
      <c r="X445" s="268"/>
      <c r="Y445" s="268"/>
      <c r="Z445" s="471">
        <f>SUMIF(TAB_CS[Reference],TAB_Offres[[#This Row],[Reference]],TAB_CS[Commited days])</f>
        <v>0</v>
      </c>
      <c r="AA445" s="269">
        <f>SUMIF(TAB_CS[Reference],TAB_Offres[[#This Row],[Reference]],TAB_CS[Commited amount])</f>
        <v>0</v>
      </c>
      <c r="AB445" s="275"/>
      <c r="AC445" s="270"/>
      <c r="AD445" s="270"/>
      <c r="AE445" s="264"/>
      <c r="AF445" s="271"/>
      <c r="AG445" s="278"/>
      <c r="AH445" s="277" t="str">
        <f>CONCATENATE(YEAR(TAB_Offres[[#This Row],[Request date ]]),"-",MONTH(TAB_Offres[[#This Row],[Request date ]]))</f>
        <v>1900-1</v>
      </c>
      <c r="AI445" s="274" t="e">
        <f>IF(#REF!,1,0)</f>
        <v>#REF!</v>
      </c>
      <c r="AJ445" s="4"/>
      <c r="AK445" s="4"/>
      <c r="AL445" s="4"/>
      <c r="AN445" s="150"/>
      <c r="AQ445" s="4"/>
    </row>
    <row r="446" spans="1:43" x14ac:dyDescent="0.25">
      <c r="A446" s="258">
        <f>ROW(TAB_Offres[[#This Row],[Reference]])-ROW(TAB_Offres[[#Headers],[ID]])</f>
        <v>445</v>
      </c>
      <c r="B446" s="258"/>
      <c r="C446" s="258"/>
      <c r="D446" s="258"/>
      <c r="E446" s="263"/>
      <c r="F446" s="258"/>
      <c r="G446" s="263"/>
      <c r="H446" s="262"/>
      <c r="I446" s="262"/>
      <c r="J446" s="262"/>
      <c r="K446" s="262"/>
      <c r="L446" s="262"/>
      <c r="M446" s="264"/>
      <c r="N446" s="262"/>
      <c r="O446" s="262"/>
      <c r="P446" s="262"/>
      <c r="Q446" s="263"/>
      <c r="R446" s="263"/>
      <c r="S446" s="292"/>
      <c r="T446" s="261"/>
      <c r="U446" s="261"/>
      <c r="V446" s="268"/>
      <c r="W446" s="268"/>
      <c r="X446" s="268"/>
      <c r="Y446" s="268"/>
      <c r="Z446" s="471">
        <f>SUMIF(TAB_CS[Reference],TAB_Offres[[#This Row],[Reference]],TAB_CS[Commited days])</f>
        <v>0</v>
      </c>
      <c r="AA446" s="269">
        <f>SUMIF(TAB_CS[Reference],TAB_Offres[[#This Row],[Reference]],TAB_CS[Commited amount])</f>
        <v>0</v>
      </c>
      <c r="AB446" s="275"/>
      <c r="AC446" s="270"/>
      <c r="AD446" s="270"/>
      <c r="AE446" s="264"/>
      <c r="AF446" s="271"/>
      <c r="AG446" s="278"/>
      <c r="AH446" s="277" t="str">
        <f>CONCATENATE(YEAR(TAB_Offres[[#This Row],[Request date ]]),"-",MONTH(TAB_Offres[[#This Row],[Request date ]]))</f>
        <v>1900-1</v>
      </c>
      <c r="AI446" s="274" t="e">
        <f>IF(#REF!,1,0)</f>
        <v>#REF!</v>
      </c>
      <c r="AJ446" s="4"/>
      <c r="AK446" s="4"/>
      <c r="AL446" s="4"/>
      <c r="AN446" s="150"/>
      <c r="AQ446" s="4"/>
    </row>
    <row r="447" spans="1:43" x14ac:dyDescent="0.25">
      <c r="A447" s="258">
        <f>ROW(TAB_Offres[[#This Row],[Reference]])-ROW(TAB_Offres[[#Headers],[ID]])</f>
        <v>446</v>
      </c>
      <c r="B447" s="258"/>
      <c r="C447" s="258"/>
      <c r="D447" s="258"/>
      <c r="E447" s="263"/>
      <c r="F447" s="258"/>
      <c r="G447" s="263"/>
      <c r="H447" s="262"/>
      <c r="I447" s="262"/>
      <c r="J447" s="262"/>
      <c r="K447" s="262"/>
      <c r="L447" s="262"/>
      <c r="M447" s="264"/>
      <c r="N447" s="262"/>
      <c r="O447" s="262"/>
      <c r="P447" s="262"/>
      <c r="Q447" s="263"/>
      <c r="R447" s="263"/>
      <c r="S447" s="292"/>
      <c r="T447" s="261"/>
      <c r="U447" s="261"/>
      <c r="V447" s="268"/>
      <c r="W447" s="268"/>
      <c r="X447" s="268"/>
      <c r="Y447" s="268"/>
      <c r="Z447" s="471">
        <f>SUMIF(TAB_CS[Reference],TAB_Offres[[#This Row],[Reference]],TAB_CS[Commited days])</f>
        <v>0</v>
      </c>
      <c r="AA447" s="269">
        <f>SUMIF(TAB_CS[Reference],TAB_Offres[[#This Row],[Reference]],TAB_CS[Commited amount])</f>
        <v>0</v>
      </c>
      <c r="AB447" s="275"/>
      <c r="AC447" s="270"/>
      <c r="AD447" s="270"/>
      <c r="AE447" s="264"/>
      <c r="AF447" s="271"/>
      <c r="AG447" s="278"/>
      <c r="AH447" s="277" t="str">
        <f>CONCATENATE(YEAR(TAB_Offres[[#This Row],[Request date ]]),"-",MONTH(TAB_Offres[[#This Row],[Request date ]]))</f>
        <v>1900-1</v>
      </c>
      <c r="AI447" s="274" t="e">
        <f>IF(#REF!,1,0)</f>
        <v>#REF!</v>
      </c>
      <c r="AJ447" s="4"/>
      <c r="AK447" s="4"/>
      <c r="AL447" s="4"/>
      <c r="AN447" s="150"/>
      <c r="AQ447" s="4"/>
    </row>
    <row r="448" spans="1:43" x14ac:dyDescent="0.25">
      <c r="A448" s="258">
        <f>ROW(TAB_Offres[[#This Row],[Reference]])-ROW(TAB_Offres[[#Headers],[ID]])</f>
        <v>447</v>
      </c>
      <c r="B448" s="258"/>
      <c r="C448" s="258"/>
      <c r="D448" s="258"/>
      <c r="E448" s="263"/>
      <c r="F448" s="258"/>
      <c r="G448" s="263"/>
      <c r="H448" s="262"/>
      <c r="I448" s="262"/>
      <c r="J448" s="262"/>
      <c r="K448" s="262"/>
      <c r="L448" s="262"/>
      <c r="M448" s="264"/>
      <c r="N448" s="262"/>
      <c r="O448" s="262"/>
      <c r="P448" s="262"/>
      <c r="Q448" s="263"/>
      <c r="R448" s="263"/>
      <c r="S448" s="292"/>
      <c r="T448" s="261"/>
      <c r="U448" s="261"/>
      <c r="V448" s="268"/>
      <c r="W448" s="268"/>
      <c r="X448" s="268"/>
      <c r="Y448" s="268"/>
      <c r="Z448" s="471">
        <f>SUMIF(TAB_CS[Reference],TAB_Offres[[#This Row],[Reference]],TAB_CS[Commited days])</f>
        <v>0</v>
      </c>
      <c r="AA448" s="269">
        <f>SUMIF(TAB_CS[Reference],TAB_Offres[[#This Row],[Reference]],TAB_CS[Commited amount])</f>
        <v>0</v>
      </c>
      <c r="AB448" s="275"/>
      <c r="AC448" s="270"/>
      <c r="AD448" s="270"/>
      <c r="AE448" s="264"/>
      <c r="AF448" s="271"/>
      <c r="AG448" s="278"/>
      <c r="AH448" s="277" t="str">
        <f>CONCATENATE(YEAR(TAB_Offres[[#This Row],[Request date ]]),"-",MONTH(TAB_Offres[[#This Row],[Request date ]]))</f>
        <v>1900-1</v>
      </c>
      <c r="AI448" s="274" t="e">
        <f>IF(#REF!,1,0)</f>
        <v>#REF!</v>
      </c>
      <c r="AJ448" s="4"/>
      <c r="AK448" s="4"/>
      <c r="AL448" s="4"/>
      <c r="AN448" s="150"/>
      <c r="AQ448" s="4"/>
    </row>
    <row r="449" spans="1:43" x14ac:dyDescent="0.25">
      <c r="A449" s="258">
        <f>ROW(TAB_Offres[[#This Row],[Reference]])-ROW(TAB_Offres[[#Headers],[ID]])</f>
        <v>448</v>
      </c>
      <c r="B449" s="258"/>
      <c r="C449" s="258"/>
      <c r="D449" s="258"/>
      <c r="E449" s="263"/>
      <c r="F449" s="258"/>
      <c r="G449" s="263"/>
      <c r="H449" s="262"/>
      <c r="I449" s="262"/>
      <c r="J449" s="262"/>
      <c r="K449" s="262"/>
      <c r="L449" s="262"/>
      <c r="M449" s="264"/>
      <c r="N449" s="262"/>
      <c r="O449" s="262"/>
      <c r="P449" s="262"/>
      <c r="Q449" s="263"/>
      <c r="R449" s="263"/>
      <c r="S449" s="292"/>
      <c r="T449" s="261"/>
      <c r="U449" s="261"/>
      <c r="V449" s="268"/>
      <c r="W449" s="268"/>
      <c r="X449" s="268"/>
      <c r="Y449" s="268"/>
      <c r="Z449" s="471">
        <f>SUMIF(TAB_CS[Reference],TAB_Offres[[#This Row],[Reference]],TAB_CS[Commited days])</f>
        <v>0</v>
      </c>
      <c r="AA449" s="269">
        <f>SUMIF(TAB_CS[Reference],TAB_Offres[[#This Row],[Reference]],TAB_CS[Commited amount])</f>
        <v>0</v>
      </c>
      <c r="AB449" s="275"/>
      <c r="AC449" s="270"/>
      <c r="AD449" s="270"/>
      <c r="AE449" s="264"/>
      <c r="AF449" s="271"/>
      <c r="AG449" s="278"/>
      <c r="AH449" s="277" t="str">
        <f>CONCATENATE(YEAR(TAB_Offres[[#This Row],[Request date ]]),"-",MONTH(TAB_Offres[[#This Row],[Request date ]]))</f>
        <v>1900-1</v>
      </c>
      <c r="AI449" s="274" t="e">
        <f>IF(#REF!,1,0)</f>
        <v>#REF!</v>
      </c>
      <c r="AJ449" s="4"/>
      <c r="AK449" s="4"/>
      <c r="AL449" s="4"/>
      <c r="AN449" s="150"/>
      <c r="AQ449" s="4"/>
    </row>
    <row r="450" spans="1:43" x14ac:dyDescent="0.25">
      <c r="A450" s="258">
        <f>ROW(TAB_Offres[[#This Row],[Reference]])-ROW(TAB_Offres[[#Headers],[ID]])</f>
        <v>449</v>
      </c>
      <c r="B450" s="258"/>
      <c r="C450" s="258"/>
      <c r="D450" s="258"/>
      <c r="E450" s="263"/>
      <c r="F450" s="258"/>
      <c r="G450" s="263"/>
      <c r="H450" s="262"/>
      <c r="I450" s="262"/>
      <c r="J450" s="262"/>
      <c r="K450" s="262"/>
      <c r="L450" s="262"/>
      <c r="M450" s="264"/>
      <c r="N450" s="262"/>
      <c r="O450" s="262"/>
      <c r="P450" s="262"/>
      <c r="Q450" s="263"/>
      <c r="R450" s="263"/>
      <c r="S450" s="292"/>
      <c r="T450" s="261"/>
      <c r="U450" s="261"/>
      <c r="V450" s="268"/>
      <c r="W450" s="268"/>
      <c r="X450" s="268"/>
      <c r="Y450" s="268"/>
      <c r="Z450" s="471">
        <f>SUMIF(TAB_CS[Reference],TAB_Offres[[#This Row],[Reference]],TAB_CS[Commited days])</f>
        <v>0</v>
      </c>
      <c r="AA450" s="269">
        <f>SUMIF(TAB_CS[Reference],TAB_Offres[[#This Row],[Reference]],TAB_CS[Commited amount])</f>
        <v>0</v>
      </c>
      <c r="AB450" s="275"/>
      <c r="AC450" s="270"/>
      <c r="AD450" s="270"/>
      <c r="AE450" s="264"/>
      <c r="AF450" s="271"/>
      <c r="AG450" s="278"/>
      <c r="AH450" s="277" t="str">
        <f>CONCATENATE(YEAR(TAB_Offres[[#This Row],[Request date ]]),"-",MONTH(TAB_Offres[[#This Row],[Request date ]]))</f>
        <v>1900-1</v>
      </c>
      <c r="AI450" s="274" t="e">
        <f>IF(#REF!,1,0)</f>
        <v>#REF!</v>
      </c>
      <c r="AJ450" s="4"/>
      <c r="AK450" s="4"/>
      <c r="AL450" s="4"/>
      <c r="AN450" s="150"/>
      <c r="AQ450" s="4"/>
    </row>
    <row r="451" spans="1:43" x14ac:dyDescent="0.25">
      <c r="A451" s="258">
        <f>ROW(TAB_Offres[[#This Row],[Reference]])-ROW(TAB_Offres[[#Headers],[ID]])</f>
        <v>450</v>
      </c>
      <c r="B451" s="258"/>
      <c r="C451" s="258"/>
      <c r="D451" s="258"/>
      <c r="E451" s="263"/>
      <c r="F451" s="258"/>
      <c r="G451" s="263"/>
      <c r="H451" s="262"/>
      <c r="I451" s="262"/>
      <c r="J451" s="262"/>
      <c r="K451" s="262"/>
      <c r="L451" s="262"/>
      <c r="M451" s="264"/>
      <c r="N451" s="262"/>
      <c r="O451" s="262"/>
      <c r="P451" s="262"/>
      <c r="Q451" s="263"/>
      <c r="R451" s="263"/>
      <c r="S451" s="292"/>
      <c r="T451" s="261"/>
      <c r="U451" s="261"/>
      <c r="V451" s="268"/>
      <c r="W451" s="268"/>
      <c r="X451" s="268"/>
      <c r="Y451" s="268"/>
      <c r="Z451" s="471">
        <f>SUMIF(TAB_CS[Reference],TAB_Offres[[#This Row],[Reference]],TAB_CS[Commited days])</f>
        <v>0</v>
      </c>
      <c r="AA451" s="269">
        <f>SUMIF(TAB_CS[Reference],TAB_Offres[[#This Row],[Reference]],TAB_CS[Commited amount])</f>
        <v>0</v>
      </c>
      <c r="AB451" s="275"/>
      <c r="AC451" s="270"/>
      <c r="AD451" s="270"/>
      <c r="AE451" s="264"/>
      <c r="AF451" s="271"/>
      <c r="AG451" s="278"/>
      <c r="AH451" s="277" t="str">
        <f>CONCATENATE(YEAR(TAB_Offres[[#This Row],[Request date ]]),"-",MONTH(TAB_Offres[[#This Row],[Request date ]]))</f>
        <v>1900-1</v>
      </c>
      <c r="AI451" s="274" t="e">
        <f>IF(#REF!,1,0)</f>
        <v>#REF!</v>
      </c>
      <c r="AJ451" s="4"/>
      <c r="AK451" s="4"/>
      <c r="AL451" s="4"/>
      <c r="AN451" s="150"/>
      <c r="AQ451" s="4"/>
    </row>
    <row r="452" spans="1:43" x14ac:dyDescent="0.25">
      <c r="A452" s="258">
        <f>ROW(TAB_Offres[[#This Row],[Reference]])-ROW(TAB_Offres[[#Headers],[ID]])</f>
        <v>451</v>
      </c>
      <c r="B452" s="258"/>
      <c r="C452" s="258"/>
      <c r="D452" s="258"/>
      <c r="E452" s="263"/>
      <c r="F452" s="258"/>
      <c r="G452" s="263"/>
      <c r="H452" s="262"/>
      <c r="I452" s="262"/>
      <c r="J452" s="262"/>
      <c r="K452" s="262"/>
      <c r="L452" s="262"/>
      <c r="M452" s="264"/>
      <c r="N452" s="262"/>
      <c r="O452" s="262"/>
      <c r="P452" s="262"/>
      <c r="Q452" s="263"/>
      <c r="R452" s="263"/>
      <c r="S452" s="292"/>
      <c r="T452" s="261"/>
      <c r="U452" s="261"/>
      <c r="V452" s="268"/>
      <c r="W452" s="268"/>
      <c r="X452" s="268"/>
      <c r="Y452" s="268"/>
      <c r="Z452" s="471">
        <f>SUMIF(TAB_CS[Reference],TAB_Offres[[#This Row],[Reference]],TAB_CS[Commited days])</f>
        <v>0</v>
      </c>
      <c r="AA452" s="269">
        <f>SUMIF(TAB_CS[Reference],TAB_Offres[[#This Row],[Reference]],TAB_CS[Commited amount])</f>
        <v>0</v>
      </c>
      <c r="AB452" s="275"/>
      <c r="AC452" s="270"/>
      <c r="AD452" s="270"/>
      <c r="AE452" s="264"/>
      <c r="AF452" s="271"/>
      <c r="AG452" s="278"/>
      <c r="AH452" s="277" t="str">
        <f>CONCATENATE(YEAR(TAB_Offres[[#This Row],[Request date ]]),"-",MONTH(TAB_Offres[[#This Row],[Request date ]]))</f>
        <v>1900-1</v>
      </c>
      <c r="AI452" s="274" t="e">
        <f>IF(#REF!,1,0)</f>
        <v>#REF!</v>
      </c>
      <c r="AJ452" s="4"/>
      <c r="AK452" s="4"/>
      <c r="AL452" s="4"/>
      <c r="AN452" s="150"/>
      <c r="AQ452" s="4"/>
    </row>
    <row r="453" spans="1:43" x14ac:dyDescent="0.25">
      <c r="A453" s="258">
        <f>ROW(TAB_Offres[[#This Row],[Reference]])-ROW(TAB_Offres[[#Headers],[ID]])</f>
        <v>452</v>
      </c>
      <c r="B453" s="258"/>
      <c r="C453" s="258"/>
      <c r="D453" s="258"/>
      <c r="E453" s="263"/>
      <c r="F453" s="258"/>
      <c r="G453" s="263"/>
      <c r="H453" s="262"/>
      <c r="I453" s="262"/>
      <c r="J453" s="262"/>
      <c r="K453" s="262"/>
      <c r="L453" s="262"/>
      <c r="M453" s="264"/>
      <c r="N453" s="262"/>
      <c r="O453" s="262"/>
      <c r="P453" s="262"/>
      <c r="Q453" s="263"/>
      <c r="R453" s="263"/>
      <c r="S453" s="292"/>
      <c r="T453" s="261"/>
      <c r="U453" s="261"/>
      <c r="V453" s="268"/>
      <c r="W453" s="268"/>
      <c r="X453" s="268"/>
      <c r="Y453" s="268"/>
      <c r="Z453" s="471">
        <f>SUMIF(TAB_CS[Reference],TAB_Offres[[#This Row],[Reference]],TAB_CS[Commited days])</f>
        <v>0</v>
      </c>
      <c r="AA453" s="269">
        <f>SUMIF(TAB_CS[Reference],TAB_Offres[[#This Row],[Reference]],TAB_CS[Commited amount])</f>
        <v>0</v>
      </c>
      <c r="AB453" s="275"/>
      <c r="AC453" s="270"/>
      <c r="AD453" s="270"/>
      <c r="AE453" s="264"/>
      <c r="AF453" s="271"/>
      <c r="AG453" s="278"/>
      <c r="AH453" s="277" t="str">
        <f>CONCATENATE(YEAR(TAB_Offres[[#This Row],[Request date ]]),"-",MONTH(TAB_Offres[[#This Row],[Request date ]]))</f>
        <v>1900-1</v>
      </c>
      <c r="AI453" s="274" t="e">
        <f>IF(#REF!,1,0)</f>
        <v>#REF!</v>
      </c>
      <c r="AJ453" s="4"/>
      <c r="AK453" s="4"/>
      <c r="AL453" s="4"/>
      <c r="AN453" s="150"/>
      <c r="AQ453" s="4"/>
    </row>
    <row r="454" spans="1:43" x14ac:dyDescent="0.25">
      <c r="A454" s="258">
        <f>ROW(TAB_Offres[[#This Row],[Reference]])-ROW(TAB_Offres[[#Headers],[ID]])</f>
        <v>453</v>
      </c>
      <c r="B454" s="258"/>
      <c r="C454" s="258"/>
      <c r="D454" s="258"/>
      <c r="E454" s="263"/>
      <c r="F454" s="258"/>
      <c r="G454" s="263"/>
      <c r="H454" s="262"/>
      <c r="I454" s="262"/>
      <c r="J454" s="262"/>
      <c r="K454" s="262"/>
      <c r="L454" s="262"/>
      <c r="M454" s="264"/>
      <c r="N454" s="262"/>
      <c r="O454" s="262"/>
      <c r="P454" s="262"/>
      <c r="Q454" s="263"/>
      <c r="R454" s="263"/>
      <c r="S454" s="292"/>
      <c r="T454" s="261"/>
      <c r="U454" s="261"/>
      <c r="V454" s="268"/>
      <c r="W454" s="268"/>
      <c r="X454" s="268"/>
      <c r="Y454" s="268"/>
      <c r="Z454" s="471">
        <f>SUMIF(TAB_CS[Reference],TAB_Offres[[#This Row],[Reference]],TAB_CS[Commited days])</f>
        <v>0</v>
      </c>
      <c r="AA454" s="269">
        <f>SUMIF(TAB_CS[Reference],TAB_Offres[[#This Row],[Reference]],TAB_CS[Commited amount])</f>
        <v>0</v>
      </c>
      <c r="AB454" s="275"/>
      <c r="AC454" s="270"/>
      <c r="AD454" s="270"/>
      <c r="AE454" s="264"/>
      <c r="AF454" s="271"/>
      <c r="AG454" s="278"/>
      <c r="AH454" s="277" t="str">
        <f>CONCATENATE(YEAR(TAB_Offres[[#This Row],[Request date ]]),"-",MONTH(TAB_Offres[[#This Row],[Request date ]]))</f>
        <v>1900-1</v>
      </c>
      <c r="AI454" s="274" t="e">
        <f>IF(#REF!,1,0)</f>
        <v>#REF!</v>
      </c>
      <c r="AJ454" s="4"/>
      <c r="AK454" s="4"/>
      <c r="AL454" s="4"/>
      <c r="AN454" s="150"/>
      <c r="AQ454" s="4"/>
    </row>
    <row r="455" spans="1:43" x14ac:dyDescent="0.25">
      <c r="A455" s="258">
        <f>ROW(TAB_Offres[[#This Row],[Reference]])-ROW(TAB_Offres[[#Headers],[ID]])</f>
        <v>454</v>
      </c>
      <c r="B455" s="258"/>
      <c r="C455" s="258"/>
      <c r="D455" s="258"/>
      <c r="E455" s="263"/>
      <c r="F455" s="258"/>
      <c r="G455" s="263"/>
      <c r="H455" s="262"/>
      <c r="I455" s="262"/>
      <c r="J455" s="262"/>
      <c r="K455" s="262"/>
      <c r="L455" s="262"/>
      <c r="M455" s="264"/>
      <c r="N455" s="262"/>
      <c r="O455" s="262"/>
      <c r="P455" s="262"/>
      <c r="Q455" s="263"/>
      <c r="R455" s="263"/>
      <c r="S455" s="292"/>
      <c r="T455" s="261"/>
      <c r="U455" s="261"/>
      <c r="V455" s="268"/>
      <c r="W455" s="268"/>
      <c r="X455" s="268"/>
      <c r="Y455" s="268"/>
      <c r="Z455" s="471">
        <f>SUMIF(TAB_CS[Reference],TAB_Offres[[#This Row],[Reference]],TAB_CS[Commited days])</f>
        <v>0</v>
      </c>
      <c r="AA455" s="269">
        <f>SUMIF(TAB_CS[Reference],TAB_Offres[[#This Row],[Reference]],TAB_CS[Commited amount])</f>
        <v>0</v>
      </c>
      <c r="AB455" s="275"/>
      <c r="AC455" s="270"/>
      <c r="AD455" s="270"/>
      <c r="AE455" s="264"/>
      <c r="AF455" s="271"/>
      <c r="AG455" s="278"/>
      <c r="AH455" s="277" t="str">
        <f>CONCATENATE(YEAR(TAB_Offres[[#This Row],[Request date ]]),"-",MONTH(TAB_Offres[[#This Row],[Request date ]]))</f>
        <v>1900-1</v>
      </c>
      <c r="AI455" s="274" t="e">
        <f>IF(#REF!,1,0)</f>
        <v>#REF!</v>
      </c>
      <c r="AJ455" s="4"/>
      <c r="AK455" s="4"/>
      <c r="AL455" s="4"/>
      <c r="AN455" s="150"/>
      <c r="AQ455" s="4"/>
    </row>
    <row r="456" spans="1:43" x14ac:dyDescent="0.25">
      <c r="A456" s="258">
        <f>ROW(TAB_Offres[[#This Row],[Reference]])-ROW(TAB_Offres[[#Headers],[ID]])</f>
        <v>455</v>
      </c>
      <c r="B456" s="258"/>
      <c r="C456" s="258"/>
      <c r="D456" s="258"/>
      <c r="E456" s="263"/>
      <c r="F456" s="258"/>
      <c r="G456" s="263"/>
      <c r="H456" s="262"/>
      <c r="I456" s="262"/>
      <c r="J456" s="262"/>
      <c r="K456" s="262"/>
      <c r="L456" s="262"/>
      <c r="M456" s="264"/>
      <c r="N456" s="262"/>
      <c r="O456" s="262"/>
      <c r="P456" s="262"/>
      <c r="Q456" s="263"/>
      <c r="R456" s="263"/>
      <c r="S456" s="292"/>
      <c r="T456" s="261"/>
      <c r="U456" s="261"/>
      <c r="V456" s="268"/>
      <c r="W456" s="268"/>
      <c r="X456" s="268"/>
      <c r="Y456" s="268"/>
      <c r="Z456" s="471">
        <f>SUMIF(TAB_CS[Reference],TAB_Offres[[#This Row],[Reference]],TAB_CS[Commited days])</f>
        <v>0</v>
      </c>
      <c r="AA456" s="269">
        <f>SUMIF(TAB_CS[Reference],TAB_Offres[[#This Row],[Reference]],TAB_CS[Commited amount])</f>
        <v>0</v>
      </c>
      <c r="AB456" s="275"/>
      <c r="AC456" s="270"/>
      <c r="AD456" s="270"/>
      <c r="AE456" s="264"/>
      <c r="AF456" s="271"/>
      <c r="AG456" s="278"/>
      <c r="AH456" s="277" t="str">
        <f>CONCATENATE(YEAR(TAB_Offres[[#This Row],[Request date ]]),"-",MONTH(TAB_Offres[[#This Row],[Request date ]]))</f>
        <v>1900-1</v>
      </c>
      <c r="AI456" s="274" t="e">
        <f>IF(#REF!,1,0)</f>
        <v>#REF!</v>
      </c>
      <c r="AJ456" s="4"/>
      <c r="AK456" s="4"/>
      <c r="AL456" s="4"/>
      <c r="AN456" s="150"/>
      <c r="AQ456" s="4"/>
    </row>
    <row r="457" spans="1:43" x14ac:dyDescent="0.25">
      <c r="A457" s="258">
        <f>ROW(TAB_Offres[[#This Row],[Reference]])-ROW(TAB_Offres[[#Headers],[ID]])</f>
        <v>456</v>
      </c>
      <c r="B457" s="258"/>
      <c r="C457" s="258"/>
      <c r="D457" s="258"/>
      <c r="E457" s="263"/>
      <c r="F457" s="258"/>
      <c r="G457" s="263"/>
      <c r="H457" s="262"/>
      <c r="I457" s="262"/>
      <c r="J457" s="262"/>
      <c r="K457" s="262"/>
      <c r="L457" s="262"/>
      <c r="M457" s="264"/>
      <c r="N457" s="262"/>
      <c r="O457" s="262"/>
      <c r="P457" s="262"/>
      <c r="Q457" s="263"/>
      <c r="R457" s="263"/>
      <c r="S457" s="292"/>
      <c r="T457" s="261"/>
      <c r="U457" s="261"/>
      <c r="V457" s="268"/>
      <c r="W457" s="268"/>
      <c r="X457" s="268"/>
      <c r="Y457" s="268"/>
      <c r="Z457" s="471">
        <f>SUMIF(TAB_CS[Reference],TAB_Offres[[#This Row],[Reference]],TAB_CS[Commited days])</f>
        <v>0</v>
      </c>
      <c r="AA457" s="269">
        <f>SUMIF(TAB_CS[Reference],TAB_Offres[[#This Row],[Reference]],TAB_CS[Commited amount])</f>
        <v>0</v>
      </c>
      <c r="AB457" s="275"/>
      <c r="AC457" s="270"/>
      <c r="AD457" s="270"/>
      <c r="AE457" s="264"/>
      <c r="AF457" s="271"/>
      <c r="AG457" s="278"/>
      <c r="AH457" s="277" t="str">
        <f>CONCATENATE(YEAR(TAB_Offres[[#This Row],[Request date ]]),"-",MONTH(TAB_Offres[[#This Row],[Request date ]]))</f>
        <v>1900-1</v>
      </c>
      <c r="AI457" s="274" t="e">
        <f>IF(#REF!,1,0)</f>
        <v>#REF!</v>
      </c>
      <c r="AJ457" s="4"/>
      <c r="AK457" s="4"/>
      <c r="AL457" s="4"/>
      <c r="AN457" s="150"/>
      <c r="AQ457" s="4"/>
    </row>
    <row r="458" spans="1:43" x14ac:dyDescent="0.25">
      <c r="A458" s="258">
        <f>ROW(TAB_Offres[[#This Row],[Reference]])-ROW(TAB_Offres[[#Headers],[ID]])</f>
        <v>457</v>
      </c>
      <c r="B458" s="258"/>
      <c r="C458" s="258"/>
      <c r="D458" s="258"/>
      <c r="E458" s="263"/>
      <c r="F458" s="258"/>
      <c r="G458" s="263"/>
      <c r="H458" s="262"/>
      <c r="I458" s="262"/>
      <c r="J458" s="262"/>
      <c r="K458" s="262"/>
      <c r="L458" s="262"/>
      <c r="M458" s="264"/>
      <c r="N458" s="262"/>
      <c r="O458" s="262"/>
      <c r="P458" s="262"/>
      <c r="Q458" s="263"/>
      <c r="R458" s="263"/>
      <c r="S458" s="292"/>
      <c r="T458" s="261"/>
      <c r="U458" s="261"/>
      <c r="V458" s="268"/>
      <c r="W458" s="268"/>
      <c r="X458" s="268"/>
      <c r="Y458" s="268"/>
      <c r="Z458" s="471">
        <f>SUMIF(TAB_CS[Reference],TAB_Offres[[#This Row],[Reference]],TAB_CS[Commited days])</f>
        <v>0</v>
      </c>
      <c r="AA458" s="269">
        <f>SUMIF(TAB_CS[Reference],TAB_Offres[[#This Row],[Reference]],TAB_CS[Commited amount])</f>
        <v>0</v>
      </c>
      <c r="AB458" s="275"/>
      <c r="AC458" s="270"/>
      <c r="AD458" s="270"/>
      <c r="AE458" s="264"/>
      <c r="AF458" s="271"/>
      <c r="AG458" s="278"/>
      <c r="AH458" s="277" t="str">
        <f>CONCATENATE(YEAR(TAB_Offres[[#This Row],[Request date ]]),"-",MONTH(TAB_Offres[[#This Row],[Request date ]]))</f>
        <v>1900-1</v>
      </c>
      <c r="AI458" s="274" t="e">
        <f>IF(#REF!,1,0)</f>
        <v>#REF!</v>
      </c>
      <c r="AJ458" s="4"/>
      <c r="AK458" s="4"/>
      <c r="AL458" s="4"/>
      <c r="AN458" s="150"/>
      <c r="AQ458" s="4"/>
    </row>
    <row r="459" spans="1:43" x14ac:dyDescent="0.25">
      <c r="A459" s="258">
        <f>ROW(TAB_Offres[[#This Row],[Reference]])-ROW(TAB_Offres[[#Headers],[ID]])</f>
        <v>458</v>
      </c>
      <c r="B459" s="258"/>
      <c r="C459" s="258"/>
      <c r="D459" s="258"/>
      <c r="E459" s="263"/>
      <c r="F459" s="258"/>
      <c r="G459" s="263"/>
      <c r="H459" s="262"/>
      <c r="I459" s="262"/>
      <c r="J459" s="262"/>
      <c r="K459" s="262"/>
      <c r="L459" s="262"/>
      <c r="M459" s="264"/>
      <c r="N459" s="262"/>
      <c r="O459" s="262"/>
      <c r="P459" s="262"/>
      <c r="Q459" s="263"/>
      <c r="R459" s="263"/>
      <c r="S459" s="292"/>
      <c r="T459" s="261"/>
      <c r="U459" s="261"/>
      <c r="V459" s="268"/>
      <c r="W459" s="268"/>
      <c r="X459" s="268"/>
      <c r="Y459" s="268"/>
      <c r="Z459" s="471">
        <f>SUMIF(TAB_CS[Reference],TAB_Offres[[#This Row],[Reference]],TAB_CS[Commited days])</f>
        <v>0</v>
      </c>
      <c r="AA459" s="269">
        <f>SUMIF(TAB_CS[Reference],TAB_Offres[[#This Row],[Reference]],TAB_CS[Commited amount])</f>
        <v>0</v>
      </c>
      <c r="AB459" s="275"/>
      <c r="AC459" s="270"/>
      <c r="AD459" s="270"/>
      <c r="AE459" s="264"/>
      <c r="AF459" s="271"/>
      <c r="AG459" s="278"/>
      <c r="AH459" s="277" t="str">
        <f>CONCATENATE(YEAR(TAB_Offres[[#This Row],[Request date ]]),"-",MONTH(TAB_Offres[[#This Row],[Request date ]]))</f>
        <v>1900-1</v>
      </c>
      <c r="AI459" s="274" t="e">
        <f>IF(#REF!,1,0)</f>
        <v>#REF!</v>
      </c>
      <c r="AJ459" s="4"/>
      <c r="AK459" s="4"/>
      <c r="AL459" s="4"/>
      <c r="AN459" s="150"/>
      <c r="AQ459" s="4"/>
    </row>
    <row r="460" spans="1:43" x14ac:dyDescent="0.25">
      <c r="A460" s="258">
        <f>ROW(TAB_Offres[[#This Row],[Reference]])-ROW(TAB_Offres[[#Headers],[ID]])</f>
        <v>459</v>
      </c>
      <c r="B460" s="258"/>
      <c r="C460" s="258"/>
      <c r="D460" s="258"/>
      <c r="E460" s="263"/>
      <c r="F460" s="258"/>
      <c r="G460" s="263"/>
      <c r="H460" s="262"/>
      <c r="I460" s="262"/>
      <c r="J460" s="262"/>
      <c r="K460" s="262"/>
      <c r="L460" s="262"/>
      <c r="M460" s="264"/>
      <c r="N460" s="262"/>
      <c r="O460" s="262"/>
      <c r="P460" s="262"/>
      <c r="Q460" s="263"/>
      <c r="R460" s="263"/>
      <c r="S460" s="292"/>
      <c r="T460" s="261"/>
      <c r="U460" s="261"/>
      <c r="V460" s="268"/>
      <c r="W460" s="268"/>
      <c r="X460" s="268"/>
      <c r="Y460" s="268"/>
      <c r="Z460" s="471">
        <f>SUMIF(TAB_CS[Reference],TAB_Offres[[#This Row],[Reference]],TAB_CS[Commited days])</f>
        <v>0</v>
      </c>
      <c r="AA460" s="269">
        <f>SUMIF(TAB_CS[Reference],TAB_Offres[[#This Row],[Reference]],TAB_CS[Commited amount])</f>
        <v>0</v>
      </c>
      <c r="AB460" s="275"/>
      <c r="AC460" s="270"/>
      <c r="AD460" s="270"/>
      <c r="AE460" s="264"/>
      <c r="AF460" s="271"/>
      <c r="AG460" s="278"/>
      <c r="AH460" s="277" t="str">
        <f>CONCATENATE(YEAR(TAB_Offres[[#This Row],[Request date ]]),"-",MONTH(TAB_Offres[[#This Row],[Request date ]]))</f>
        <v>1900-1</v>
      </c>
      <c r="AI460" s="274" t="e">
        <f>IF(#REF!,1,0)</f>
        <v>#REF!</v>
      </c>
      <c r="AJ460" s="4"/>
      <c r="AK460" s="4"/>
      <c r="AL460" s="4"/>
      <c r="AN460" s="150"/>
      <c r="AQ460" s="4"/>
    </row>
    <row r="461" spans="1:43" x14ac:dyDescent="0.25">
      <c r="A461" s="258">
        <f>ROW(TAB_Offres[[#This Row],[Reference]])-ROW(TAB_Offres[[#Headers],[ID]])</f>
        <v>460</v>
      </c>
      <c r="B461" s="258"/>
      <c r="C461" s="258"/>
      <c r="D461" s="258"/>
      <c r="E461" s="263"/>
      <c r="F461" s="258"/>
      <c r="G461" s="263"/>
      <c r="H461" s="262"/>
      <c r="I461" s="262"/>
      <c r="J461" s="262"/>
      <c r="K461" s="262"/>
      <c r="L461" s="262"/>
      <c r="M461" s="264"/>
      <c r="N461" s="262"/>
      <c r="O461" s="262"/>
      <c r="P461" s="262"/>
      <c r="Q461" s="263"/>
      <c r="R461" s="263"/>
      <c r="S461" s="292"/>
      <c r="T461" s="261"/>
      <c r="U461" s="261"/>
      <c r="V461" s="268"/>
      <c r="W461" s="268"/>
      <c r="X461" s="268"/>
      <c r="Y461" s="268"/>
      <c r="Z461" s="471">
        <f>SUMIF(TAB_CS[Reference],TAB_Offres[[#This Row],[Reference]],TAB_CS[Commited days])</f>
        <v>0</v>
      </c>
      <c r="AA461" s="269">
        <f>SUMIF(TAB_CS[Reference],TAB_Offres[[#This Row],[Reference]],TAB_CS[Commited amount])</f>
        <v>0</v>
      </c>
      <c r="AB461" s="275"/>
      <c r="AC461" s="270"/>
      <c r="AD461" s="270"/>
      <c r="AE461" s="264"/>
      <c r="AF461" s="271"/>
      <c r="AG461" s="278"/>
      <c r="AH461" s="277" t="str">
        <f>CONCATENATE(YEAR(TAB_Offres[[#This Row],[Request date ]]),"-",MONTH(TAB_Offres[[#This Row],[Request date ]]))</f>
        <v>1900-1</v>
      </c>
      <c r="AI461" s="274" t="e">
        <f>IF(#REF!,1,0)</f>
        <v>#REF!</v>
      </c>
      <c r="AJ461" s="4"/>
      <c r="AK461" s="4"/>
      <c r="AL461" s="4"/>
      <c r="AN461" s="150"/>
      <c r="AQ461" s="4"/>
    </row>
    <row r="462" spans="1:43" x14ac:dyDescent="0.25">
      <c r="A462" s="258">
        <f>ROW(TAB_Offres[[#This Row],[Reference]])-ROW(TAB_Offres[[#Headers],[ID]])</f>
        <v>461</v>
      </c>
      <c r="B462" s="258"/>
      <c r="C462" s="258"/>
      <c r="D462" s="258"/>
      <c r="E462" s="263"/>
      <c r="F462" s="258"/>
      <c r="G462" s="263"/>
      <c r="H462" s="262"/>
      <c r="I462" s="262"/>
      <c r="J462" s="262"/>
      <c r="K462" s="262"/>
      <c r="L462" s="262"/>
      <c r="M462" s="264"/>
      <c r="N462" s="262"/>
      <c r="O462" s="262"/>
      <c r="P462" s="262"/>
      <c r="Q462" s="263"/>
      <c r="R462" s="263"/>
      <c r="S462" s="292"/>
      <c r="T462" s="261"/>
      <c r="U462" s="261"/>
      <c r="V462" s="268"/>
      <c r="W462" s="268"/>
      <c r="X462" s="268"/>
      <c r="Y462" s="268"/>
      <c r="Z462" s="471">
        <f>SUMIF(TAB_CS[Reference],TAB_Offres[[#This Row],[Reference]],TAB_CS[Commited days])</f>
        <v>0</v>
      </c>
      <c r="AA462" s="269">
        <f>SUMIF(TAB_CS[Reference],TAB_Offres[[#This Row],[Reference]],TAB_CS[Commited amount])</f>
        <v>0</v>
      </c>
      <c r="AB462" s="275"/>
      <c r="AC462" s="270"/>
      <c r="AD462" s="270"/>
      <c r="AE462" s="264"/>
      <c r="AF462" s="271"/>
      <c r="AG462" s="278"/>
      <c r="AH462" s="277" t="str">
        <f>CONCATENATE(YEAR(TAB_Offres[[#This Row],[Request date ]]),"-",MONTH(TAB_Offres[[#This Row],[Request date ]]))</f>
        <v>1900-1</v>
      </c>
      <c r="AI462" s="274" t="e">
        <f>IF(#REF!,1,0)</f>
        <v>#REF!</v>
      </c>
      <c r="AJ462" s="4"/>
      <c r="AK462" s="4"/>
      <c r="AL462" s="4"/>
      <c r="AN462" s="150"/>
      <c r="AQ462" s="4"/>
    </row>
    <row r="463" spans="1:43" x14ac:dyDescent="0.25">
      <c r="A463" s="258">
        <f>ROW(TAB_Offres[[#This Row],[Reference]])-ROW(TAB_Offres[[#Headers],[ID]])</f>
        <v>462</v>
      </c>
      <c r="B463" s="258"/>
      <c r="C463" s="258"/>
      <c r="D463" s="258"/>
      <c r="E463" s="263"/>
      <c r="F463" s="258"/>
      <c r="G463" s="263"/>
      <c r="H463" s="262"/>
      <c r="I463" s="262"/>
      <c r="J463" s="262"/>
      <c r="K463" s="262"/>
      <c r="L463" s="262"/>
      <c r="M463" s="264"/>
      <c r="N463" s="262"/>
      <c r="O463" s="262"/>
      <c r="P463" s="262"/>
      <c r="Q463" s="263"/>
      <c r="R463" s="263"/>
      <c r="S463" s="292"/>
      <c r="T463" s="261"/>
      <c r="U463" s="261"/>
      <c r="V463" s="268"/>
      <c r="W463" s="268"/>
      <c r="X463" s="268"/>
      <c r="Y463" s="268"/>
      <c r="Z463" s="471">
        <f>SUMIF(TAB_CS[Reference],TAB_Offres[[#This Row],[Reference]],TAB_CS[Commited days])</f>
        <v>0</v>
      </c>
      <c r="AA463" s="269">
        <f>SUMIF(TAB_CS[Reference],TAB_Offres[[#This Row],[Reference]],TAB_CS[Commited amount])</f>
        <v>0</v>
      </c>
      <c r="AB463" s="275"/>
      <c r="AC463" s="270"/>
      <c r="AD463" s="270"/>
      <c r="AE463" s="264"/>
      <c r="AF463" s="271"/>
      <c r="AG463" s="278"/>
      <c r="AH463" s="277" t="str">
        <f>CONCATENATE(YEAR(TAB_Offres[[#This Row],[Request date ]]),"-",MONTH(TAB_Offres[[#This Row],[Request date ]]))</f>
        <v>1900-1</v>
      </c>
      <c r="AI463" s="274" t="e">
        <f>IF(#REF!,1,0)</f>
        <v>#REF!</v>
      </c>
      <c r="AJ463" s="4"/>
      <c r="AK463" s="4"/>
      <c r="AL463" s="4"/>
      <c r="AN463" s="150"/>
      <c r="AQ463" s="4"/>
    </row>
    <row r="464" spans="1:43" x14ac:dyDescent="0.25">
      <c r="A464" s="258">
        <f>ROW(TAB_Offres[[#This Row],[Reference]])-ROW(TAB_Offres[[#Headers],[ID]])</f>
        <v>463</v>
      </c>
      <c r="B464" s="258"/>
      <c r="C464" s="258"/>
      <c r="D464" s="258"/>
      <c r="E464" s="263"/>
      <c r="F464" s="258"/>
      <c r="G464" s="263"/>
      <c r="H464" s="262"/>
      <c r="I464" s="262"/>
      <c r="J464" s="262"/>
      <c r="K464" s="262"/>
      <c r="L464" s="262"/>
      <c r="M464" s="264"/>
      <c r="N464" s="262"/>
      <c r="O464" s="262"/>
      <c r="P464" s="262"/>
      <c r="Q464" s="263"/>
      <c r="R464" s="263"/>
      <c r="S464" s="292"/>
      <c r="T464" s="261"/>
      <c r="U464" s="261"/>
      <c r="V464" s="268"/>
      <c r="W464" s="268"/>
      <c r="X464" s="268"/>
      <c r="Y464" s="268"/>
      <c r="Z464" s="471">
        <f>SUMIF(TAB_CS[Reference],TAB_Offres[[#This Row],[Reference]],TAB_CS[Commited days])</f>
        <v>0</v>
      </c>
      <c r="AA464" s="269">
        <f>SUMIF(TAB_CS[Reference],TAB_Offres[[#This Row],[Reference]],TAB_CS[Commited amount])</f>
        <v>0</v>
      </c>
      <c r="AB464" s="275"/>
      <c r="AC464" s="270"/>
      <c r="AD464" s="270"/>
      <c r="AE464" s="264"/>
      <c r="AF464" s="271"/>
      <c r="AG464" s="278"/>
      <c r="AH464" s="277" t="str">
        <f>CONCATENATE(YEAR(TAB_Offres[[#This Row],[Request date ]]),"-",MONTH(TAB_Offres[[#This Row],[Request date ]]))</f>
        <v>1900-1</v>
      </c>
      <c r="AI464" s="274" t="e">
        <f>IF(#REF!,1,0)</f>
        <v>#REF!</v>
      </c>
      <c r="AJ464" s="4"/>
      <c r="AK464" s="4"/>
      <c r="AL464" s="4"/>
      <c r="AN464" s="150"/>
      <c r="AQ464" s="4"/>
    </row>
    <row r="465" spans="1:43" x14ac:dyDescent="0.25">
      <c r="A465" s="258">
        <f>ROW(TAB_Offres[[#This Row],[Reference]])-ROW(TAB_Offres[[#Headers],[ID]])</f>
        <v>464</v>
      </c>
      <c r="B465" s="258"/>
      <c r="C465" s="258"/>
      <c r="D465" s="258"/>
      <c r="E465" s="263"/>
      <c r="F465" s="258"/>
      <c r="G465" s="263"/>
      <c r="H465" s="262"/>
      <c r="I465" s="262"/>
      <c r="J465" s="262"/>
      <c r="K465" s="262"/>
      <c r="L465" s="262"/>
      <c r="M465" s="264"/>
      <c r="N465" s="262"/>
      <c r="O465" s="262"/>
      <c r="P465" s="262"/>
      <c r="Q465" s="263"/>
      <c r="R465" s="263"/>
      <c r="S465" s="292"/>
      <c r="T465" s="261"/>
      <c r="U465" s="261"/>
      <c r="V465" s="268"/>
      <c r="W465" s="268"/>
      <c r="X465" s="268"/>
      <c r="Y465" s="268"/>
      <c r="Z465" s="471">
        <f>SUMIF(TAB_CS[Reference],TAB_Offres[[#This Row],[Reference]],TAB_CS[Commited days])</f>
        <v>0</v>
      </c>
      <c r="AA465" s="269">
        <f>SUMIF(TAB_CS[Reference],TAB_Offres[[#This Row],[Reference]],TAB_CS[Commited amount])</f>
        <v>0</v>
      </c>
      <c r="AB465" s="275"/>
      <c r="AC465" s="270"/>
      <c r="AD465" s="270"/>
      <c r="AE465" s="264"/>
      <c r="AF465" s="271"/>
      <c r="AG465" s="278"/>
      <c r="AH465" s="277" t="str">
        <f>CONCATENATE(YEAR(TAB_Offres[[#This Row],[Request date ]]),"-",MONTH(TAB_Offres[[#This Row],[Request date ]]))</f>
        <v>1900-1</v>
      </c>
      <c r="AI465" s="274" t="e">
        <f>IF(#REF!,1,0)</f>
        <v>#REF!</v>
      </c>
      <c r="AJ465" s="4"/>
      <c r="AK465" s="4"/>
      <c r="AL465" s="4"/>
      <c r="AN465" s="150"/>
      <c r="AQ465" s="4"/>
    </row>
    <row r="466" spans="1:43" x14ac:dyDescent="0.25">
      <c r="A466" s="258">
        <f>ROW(TAB_Offres[[#This Row],[Reference]])-ROW(TAB_Offres[[#Headers],[ID]])</f>
        <v>465</v>
      </c>
      <c r="B466" s="258"/>
      <c r="C466" s="258"/>
      <c r="D466" s="258"/>
      <c r="E466" s="263"/>
      <c r="F466" s="258"/>
      <c r="G466" s="263"/>
      <c r="H466" s="262"/>
      <c r="I466" s="262"/>
      <c r="J466" s="262"/>
      <c r="K466" s="262"/>
      <c r="L466" s="262"/>
      <c r="M466" s="264"/>
      <c r="N466" s="262"/>
      <c r="O466" s="262"/>
      <c r="P466" s="262"/>
      <c r="Q466" s="263"/>
      <c r="R466" s="263"/>
      <c r="S466" s="292"/>
      <c r="T466" s="261"/>
      <c r="U466" s="261"/>
      <c r="V466" s="268"/>
      <c r="W466" s="268"/>
      <c r="X466" s="268"/>
      <c r="Y466" s="268"/>
      <c r="Z466" s="471">
        <f>SUMIF(TAB_CS[Reference],TAB_Offres[[#This Row],[Reference]],TAB_CS[Commited days])</f>
        <v>0</v>
      </c>
      <c r="AA466" s="269">
        <f>SUMIF(TAB_CS[Reference],TAB_Offres[[#This Row],[Reference]],TAB_CS[Commited amount])</f>
        <v>0</v>
      </c>
      <c r="AB466" s="275"/>
      <c r="AC466" s="270"/>
      <c r="AD466" s="270"/>
      <c r="AE466" s="264"/>
      <c r="AF466" s="271"/>
      <c r="AG466" s="278"/>
      <c r="AH466" s="277" t="str">
        <f>CONCATENATE(YEAR(TAB_Offres[[#This Row],[Request date ]]),"-",MONTH(TAB_Offres[[#This Row],[Request date ]]))</f>
        <v>1900-1</v>
      </c>
      <c r="AI466" s="274" t="e">
        <f>IF(#REF!,1,0)</f>
        <v>#REF!</v>
      </c>
      <c r="AJ466" s="4"/>
      <c r="AK466" s="4"/>
      <c r="AL466" s="4"/>
      <c r="AN466" s="150"/>
      <c r="AQ466" s="4"/>
    </row>
    <row r="467" spans="1:43" x14ac:dyDescent="0.25">
      <c r="A467" s="258">
        <f>ROW(TAB_Offres[[#This Row],[Reference]])-ROW(TAB_Offres[[#Headers],[ID]])</f>
        <v>466</v>
      </c>
      <c r="B467" s="258"/>
      <c r="C467" s="258"/>
      <c r="D467" s="258"/>
      <c r="E467" s="263"/>
      <c r="F467" s="258"/>
      <c r="G467" s="263"/>
      <c r="H467" s="262"/>
      <c r="I467" s="262"/>
      <c r="J467" s="262"/>
      <c r="K467" s="262"/>
      <c r="L467" s="262"/>
      <c r="M467" s="264"/>
      <c r="N467" s="262"/>
      <c r="O467" s="262"/>
      <c r="P467" s="262"/>
      <c r="Q467" s="263"/>
      <c r="R467" s="263"/>
      <c r="S467" s="292"/>
      <c r="T467" s="261"/>
      <c r="U467" s="261"/>
      <c r="V467" s="268"/>
      <c r="W467" s="268"/>
      <c r="X467" s="268"/>
      <c r="Y467" s="268"/>
      <c r="Z467" s="471">
        <f>SUMIF(TAB_CS[Reference],TAB_Offres[[#This Row],[Reference]],TAB_CS[Commited days])</f>
        <v>0</v>
      </c>
      <c r="AA467" s="269">
        <f>SUMIF(TAB_CS[Reference],TAB_Offres[[#This Row],[Reference]],TAB_CS[Commited amount])</f>
        <v>0</v>
      </c>
      <c r="AB467" s="275"/>
      <c r="AC467" s="270"/>
      <c r="AD467" s="270"/>
      <c r="AE467" s="264"/>
      <c r="AF467" s="271"/>
      <c r="AG467" s="278"/>
      <c r="AH467" s="277" t="str">
        <f>CONCATENATE(YEAR(TAB_Offres[[#This Row],[Request date ]]),"-",MONTH(TAB_Offres[[#This Row],[Request date ]]))</f>
        <v>1900-1</v>
      </c>
      <c r="AI467" s="274" t="e">
        <f>IF(#REF!,1,0)</f>
        <v>#REF!</v>
      </c>
      <c r="AJ467" s="4"/>
      <c r="AK467" s="4"/>
      <c r="AL467" s="4"/>
      <c r="AN467" s="150"/>
      <c r="AQ467" s="4"/>
    </row>
    <row r="468" spans="1:43" x14ac:dyDescent="0.25">
      <c r="A468" s="258">
        <f>ROW(TAB_Offres[[#This Row],[Reference]])-ROW(TAB_Offres[[#Headers],[ID]])</f>
        <v>467</v>
      </c>
      <c r="B468" s="258"/>
      <c r="C468" s="258"/>
      <c r="D468" s="258"/>
      <c r="E468" s="263"/>
      <c r="F468" s="258"/>
      <c r="G468" s="263"/>
      <c r="H468" s="262"/>
      <c r="I468" s="262"/>
      <c r="J468" s="262"/>
      <c r="K468" s="262"/>
      <c r="L468" s="262"/>
      <c r="M468" s="264"/>
      <c r="N468" s="262"/>
      <c r="O468" s="262"/>
      <c r="P468" s="262"/>
      <c r="Q468" s="263"/>
      <c r="R468" s="263"/>
      <c r="S468" s="292"/>
      <c r="T468" s="261"/>
      <c r="U468" s="261"/>
      <c r="V468" s="268"/>
      <c r="W468" s="268"/>
      <c r="X468" s="268"/>
      <c r="Y468" s="268"/>
      <c r="Z468" s="471">
        <f>SUMIF(TAB_CS[Reference],TAB_Offres[[#This Row],[Reference]],TAB_CS[Commited days])</f>
        <v>0</v>
      </c>
      <c r="AA468" s="269">
        <f>SUMIF(TAB_CS[Reference],TAB_Offres[[#This Row],[Reference]],TAB_CS[Commited amount])</f>
        <v>0</v>
      </c>
      <c r="AB468" s="275"/>
      <c r="AC468" s="270"/>
      <c r="AD468" s="270"/>
      <c r="AE468" s="264"/>
      <c r="AF468" s="271"/>
      <c r="AG468" s="278"/>
      <c r="AH468" s="277" t="str">
        <f>CONCATENATE(YEAR(TAB_Offres[[#This Row],[Request date ]]),"-",MONTH(TAB_Offres[[#This Row],[Request date ]]))</f>
        <v>1900-1</v>
      </c>
      <c r="AI468" s="274" t="e">
        <f>IF(#REF!,1,0)</f>
        <v>#REF!</v>
      </c>
      <c r="AJ468" s="4"/>
      <c r="AK468" s="4"/>
      <c r="AL468" s="4"/>
      <c r="AN468" s="150"/>
      <c r="AQ468" s="4"/>
    </row>
    <row r="469" spans="1:43" x14ac:dyDescent="0.25">
      <c r="A469" s="258">
        <f>ROW(TAB_Offres[[#This Row],[Reference]])-ROW(TAB_Offres[[#Headers],[ID]])</f>
        <v>468</v>
      </c>
      <c r="B469" s="258"/>
      <c r="C469" s="258"/>
      <c r="D469" s="258"/>
      <c r="E469" s="263"/>
      <c r="F469" s="258"/>
      <c r="G469" s="263"/>
      <c r="H469" s="262"/>
      <c r="I469" s="262"/>
      <c r="J469" s="262"/>
      <c r="K469" s="262"/>
      <c r="L469" s="262"/>
      <c r="M469" s="264"/>
      <c r="N469" s="262"/>
      <c r="O469" s="262"/>
      <c r="P469" s="262"/>
      <c r="Q469" s="263"/>
      <c r="R469" s="263"/>
      <c r="S469" s="292"/>
      <c r="T469" s="261"/>
      <c r="U469" s="261"/>
      <c r="V469" s="268"/>
      <c r="W469" s="268"/>
      <c r="X469" s="268"/>
      <c r="Y469" s="268"/>
      <c r="Z469" s="471">
        <f>SUMIF(TAB_CS[Reference],TAB_Offres[[#This Row],[Reference]],TAB_CS[Commited days])</f>
        <v>0</v>
      </c>
      <c r="AA469" s="269">
        <f>SUMIF(TAB_CS[Reference],TAB_Offres[[#This Row],[Reference]],TAB_CS[Commited amount])</f>
        <v>0</v>
      </c>
      <c r="AB469" s="275"/>
      <c r="AC469" s="270"/>
      <c r="AD469" s="270"/>
      <c r="AE469" s="264"/>
      <c r="AF469" s="271"/>
      <c r="AG469" s="278"/>
      <c r="AH469" s="277" t="str">
        <f>CONCATENATE(YEAR(TAB_Offres[[#This Row],[Request date ]]),"-",MONTH(TAB_Offres[[#This Row],[Request date ]]))</f>
        <v>1900-1</v>
      </c>
      <c r="AI469" s="274" t="e">
        <f>IF(#REF!,1,0)</f>
        <v>#REF!</v>
      </c>
      <c r="AJ469" s="4"/>
      <c r="AK469" s="4"/>
      <c r="AL469" s="4"/>
      <c r="AN469" s="150"/>
      <c r="AQ469" s="4"/>
    </row>
    <row r="470" spans="1:43" x14ac:dyDescent="0.25">
      <c r="A470" s="258">
        <f>ROW(TAB_Offres[[#This Row],[Reference]])-ROW(TAB_Offres[[#Headers],[ID]])</f>
        <v>469</v>
      </c>
      <c r="B470" s="258"/>
      <c r="C470" s="258"/>
      <c r="D470" s="258"/>
      <c r="E470" s="263"/>
      <c r="F470" s="258"/>
      <c r="G470" s="263"/>
      <c r="H470" s="262"/>
      <c r="I470" s="262"/>
      <c r="J470" s="262"/>
      <c r="K470" s="262"/>
      <c r="L470" s="262"/>
      <c r="M470" s="264"/>
      <c r="N470" s="262"/>
      <c r="O470" s="262"/>
      <c r="P470" s="262"/>
      <c r="Q470" s="263"/>
      <c r="R470" s="263"/>
      <c r="S470" s="292"/>
      <c r="T470" s="261"/>
      <c r="U470" s="261"/>
      <c r="V470" s="268"/>
      <c r="W470" s="268"/>
      <c r="X470" s="268"/>
      <c r="Y470" s="268"/>
      <c r="Z470" s="471">
        <f>SUMIF(TAB_CS[Reference],TAB_Offres[[#This Row],[Reference]],TAB_CS[Commited days])</f>
        <v>0</v>
      </c>
      <c r="AA470" s="269">
        <f>SUMIF(TAB_CS[Reference],TAB_Offres[[#This Row],[Reference]],TAB_CS[Commited amount])</f>
        <v>0</v>
      </c>
      <c r="AB470" s="275"/>
      <c r="AC470" s="270"/>
      <c r="AD470" s="270"/>
      <c r="AE470" s="264"/>
      <c r="AF470" s="271"/>
      <c r="AG470" s="278"/>
      <c r="AH470" s="277" t="str">
        <f>CONCATENATE(YEAR(TAB_Offres[[#This Row],[Request date ]]),"-",MONTH(TAB_Offres[[#This Row],[Request date ]]))</f>
        <v>1900-1</v>
      </c>
      <c r="AI470" s="274" t="e">
        <f>IF(#REF!,1,0)</f>
        <v>#REF!</v>
      </c>
      <c r="AJ470" s="4"/>
      <c r="AK470" s="4"/>
      <c r="AL470" s="4"/>
      <c r="AN470" s="150"/>
      <c r="AQ470" s="4"/>
    </row>
    <row r="471" spans="1:43" x14ac:dyDescent="0.25">
      <c r="A471" s="258">
        <f>ROW(TAB_Offres[[#This Row],[Reference]])-ROW(TAB_Offres[[#Headers],[ID]])</f>
        <v>470</v>
      </c>
      <c r="B471" s="258"/>
      <c r="C471" s="258"/>
      <c r="D471" s="258"/>
      <c r="E471" s="263"/>
      <c r="F471" s="258"/>
      <c r="G471" s="263"/>
      <c r="H471" s="262"/>
      <c r="I471" s="262"/>
      <c r="J471" s="262"/>
      <c r="K471" s="262"/>
      <c r="L471" s="262"/>
      <c r="M471" s="264"/>
      <c r="N471" s="262"/>
      <c r="O471" s="262"/>
      <c r="P471" s="262"/>
      <c r="Q471" s="263"/>
      <c r="R471" s="263"/>
      <c r="S471" s="292"/>
      <c r="T471" s="261"/>
      <c r="U471" s="261"/>
      <c r="V471" s="268"/>
      <c r="W471" s="268"/>
      <c r="X471" s="268"/>
      <c r="Y471" s="268"/>
      <c r="Z471" s="471">
        <f>SUMIF(TAB_CS[Reference],TAB_Offres[[#This Row],[Reference]],TAB_CS[Commited days])</f>
        <v>0</v>
      </c>
      <c r="AA471" s="269">
        <f>SUMIF(TAB_CS[Reference],TAB_Offres[[#This Row],[Reference]],TAB_CS[Commited amount])</f>
        <v>0</v>
      </c>
      <c r="AB471" s="275"/>
      <c r="AC471" s="270"/>
      <c r="AD471" s="270"/>
      <c r="AE471" s="264"/>
      <c r="AF471" s="271"/>
      <c r="AG471" s="278"/>
      <c r="AH471" s="277" t="str">
        <f>CONCATENATE(YEAR(TAB_Offres[[#This Row],[Request date ]]),"-",MONTH(TAB_Offres[[#This Row],[Request date ]]))</f>
        <v>1900-1</v>
      </c>
      <c r="AI471" s="274" t="e">
        <f>IF(#REF!,1,0)</f>
        <v>#REF!</v>
      </c>
      <c r="AJ471" s="4"/>
      <c r="AK471" s="4"/>
      <c r="AL471" s="4"/>
      <c r="AN471" s="150"/>
      <c r="AQ471" s="4"/>
    </row>
    <row r="472" spans="1:43" x14ac:dyDescent="0.25">
      <c r="A472" s="258">
        <f>ROW(TAB_Offres[[#This Row],[Reference]])-ROW(TAB_Offres[[#Headers],[ID]])</f>
        <v>471</v>
      </c>
      <c r="B472" s="258"/>
      <c r="C472" s="258"/>
      <c r="D472" s="258"/>
      <c r="E472" s="263"/>
      <c r="F472" s="258"/>
      <c r="G472" s="263"/>
      <c r="H472" s="262"/>
      <c r="I472" s="262"/>
      <c r="J472" s="262"/>
      <c r="K472" s="262"/>
      <c r="L472" s="262"/>
      <c r="M472" s="264"/>
      <c r="N472" s="262"/>
      <c r="O472" s="262"/>
      <c r="P472" s="262"/>
      <c r="Q472" s="263"/>
      <c r="R472" s="263"/>
      <c r="S472" s="292"/>
      <c r="T472" s="261"/>
      <c r="U472" s="261"/>
      <c r="V472" s="268"/>
      <c r="W472" s="268"/>
      <c r="X472" s="268"/>
      <c r="Y472" s="268"/>
      <c r="Z472" s="471">
        <f>SUMIF(TAB_CS[Reference],TAB_Offres[[#This Row],[Reference]],TAB_CS[Commited days])</f>
        <v>0</v>
      </c>
      <c r="AA472" s="269">
        <f>SUMIF(TAB_CS[Reference],TAB_Offres[[#This Row],[Reference]],TAB_CS[Commited amount])</f>
        <v>0</v>
      </c>
      <c r="AB472" s="275"/>
      <c r="AC472" s="270"/>
      <c r="AD472" s="270"/>
      <c r="AE472" s="264"/>
      <c r="AF472" s="271"/>
      <c r="AG472" s="278"/>
      <c r="AH472" s="277" t="str">
        <f>CONCATENATE(YEAR(TAB_Offres[[#This Row],[Request date ]]),"-",MONTH(TAB_Offres[[#This Row],[Request date ]]))</f>
        <v>1900-1</v>
      </c>
      <c r="AI472" s="274" t="e">
        <f>IF(#REF!,1,0)</f>
        <v>#REF!</v>
      </c>
      <c r="AJ472" s="4"/>
      <c r="AK472" s="4"/>
      <c r="AL472" s="4"/>
      <c r="AN472" s="150"/>
      <c r="AQ472" s="4"/>
    </row>
    <row r="473" spans="1:43" x14ac:dyDescent="0.25">
      <c r="A473" s="258">
        <f>ROW(TAB_Offres[[#This Row],[Reference]])-ROW(TAB_Offres[[#Headers],[ID]])</f>
        <v>472</v>
      </c>
      <c r="B473" s="258"/>
      <c r="C473" s="258"/>
      <c r="D473" s="258"/>
      <c r="E473" s="263"/>
      <c r="F473" s="258"/>
      <c r="G473" s="263"/>
      <c r="H473" s="262"/>
      <c r="I473" s="262"/>
      <c r="J473" s="262"/>
      <c r="K473" s="262"/>
      <c r="L473" s="262"/>
      <c r="M473" s="264"/>
      <c r="N473" s="262"/>
      <c r="O473" s="262"/>
      <c r="P473" s="262"/>
      <c r="Q473" s="263"/>
      <c r="R473" s="263"/>
      <c r="S473" s="292"/>
      <c r="T473" s="261"/>
      <c r="U473" s="261"/>
      <c r="V473" s="268"/>
      <c r="W473" s="268"/>
      <c r="X473" s="268"/>
      <c r="Y473" s="268"/>
      <c r="Z473" s="471">
        <f>SUMIF(TAB_CS[Reference],TAB_Offres[[#This Row],[Reference]],TAB_CS[Commited days])</f>
        <v>0</v>
      </c>
      <c r="AA473" s="269">
        <f>SUMIF(TAB_CS[Reference],TAB_Offres[[#This Row],[Reference]],TAB_CS[Commited amount])</f>
        <v>0</v>
      </c>
      <c r="AB473" s="275"/>
      <c r="AC473" s="270"/>
      <c r="AD473" s="270"/>
      <c r="AE473" s="264"/>
      <c r="AF473" s="271"/>
      <c r="AG473" s="278"/>
      <c r="AH473" s="277" t="str">
        <f>CONCATENATE(YEAR(TAB_Offres[[#This Row],[Request date ]]),"-",MONTH(TAB_Offres[[#This Row],[Request date ]]))</f>
        <v>1900-1</v>
      </c>
      <c r="AI473" s="274" t="e">
        <f>IF(#REF!,1,0)</f>
        <v>#REF!</v>
      </c>
      <c r="AJ473" s="4"/>
      <c r="AK473" s="4"/>
      <c r="AL473" s="4"/>
      <c r="AN473" s="150"/>
      <c r="AQ473" s="4"/>
    </row>
    <row r="474" spans="1:43" x14ac:dyDescent="0.25">
      <c r="A474" s="258">
        <f>ROW(TAB_Offres[[#This Row],[Reference]])-ROW(TAB_Offres[[#Headers],[ID]])</f>
        <v>473</v>
      </c>
      <c r="B474" s="258"/>
      <c r="C474" s="258"/>
      <c r="D474" s="258"/>
      <c r="E474" s="263"/>
      <c r="F474" s="258"/>
      <c r="G474" s="263"/>
      <c r="H474" s="262"/>
      <c r="I474" s="262"/>
      <c r="J474" s="262"/>
      <c r="K474" s="262"/>
      <c r="L474" s="262"/>
      <c r="M474" s="264"/>
      <c r="N474" s="262"/>
      <c r="O474" s="262"/>
      <c r="P474" s="262"/>
      <c r="Q474" s="263"/>
      <c r="R474" s="263"/>
      <c r="S474" s="292"/>
      <c r="T474" s="261"/>
      <c r="U474" s="261"/>
      <c r="V474" s="268"/>
      <c r="W474" s="268"/>
      <c r="X474" s="268"/>
      <c r="Y474" s="268"/>
      <c r="Z474" s="471">
        <f>SUMIF(TAB_CS[Reference],TAB_Offres[[#This Row],[Reference]],TAB_CS[Commited days])</f>
        <v>0</v>
      </c>
      <c r="AA474" s="269">
        <f>SUMIF(TAB_CS[Reference],TAB_Offres[[#This Row],[Reference]],TAB_CS[Commited amount])</f>
        <v>0</v>
      </c>
      <c r="AB474" s="275"/>
      <c r="AC474" s="270"/>
      <c r="AD474" s="270"/>
      <c r="AE474" s="264"/>
      <c r="AF474" s="271"/>
      <c r="AG474" s="278"/>
      <c r="AH474" s="277" t="str">
        <f>CONCATENATE(YEAR(TAB_Offres[[#This Row],[Request date ]]),"-",MONTH(TAB_Offres[[#This Row],[Request date ]]))</f>
        <v>1900-1</v>
      </c>
      <c r="AI474" s="274" t="e">
        <f>IF(#REF!,1,0)</f>
        <v>#REF!</v>
      </c>
      <c r="AJ474" s="4"/>
      <c r="AK474" s="4"/>
      <c r="AL474" s="4"/>
      <c r="AN474" s="150"/>
      <c r="AQ474" s="4"/>
    </row>
    <row r="475" spans="1:43" x14ac:dyDescent="0.25">
      <c r="A475" s="258">
        <f>ROW(TAB_Offres[[#This Row],[Reference]])-ROW(TAB_Offres[[#Headers],[ID]])</f>
        <v>474</v>
      </c>
      <c r="B475" s="258"/>
      <c r="C475" s="258"/>
      <c r="D475" s="258"/>
      <c r="E475" s="263"/>
      <c r="F475" s="258"/>
      <c r="G475" s="263"/>
      <c r="H475" s="262"/>
      <c r="I475" s="262"/>
      <c r="J475" s="262"/>
      <c r="K475" s="262"/>
      <c r="L475" s="262"/>
      <c r="M475" s="264"/>
      <c r="N475" s="262"/>
      <c r="O475" s="262"/>
      <c r="P475" s="262"/>
      <c r="Q475" s="263"/>
      <c r="R475" s="263"/>
      <c r="S475" s="292"/>
      <c r="T475" s="261"/>
      <c r="U475" s="261"/>
      <c r="V475" s="268"/>
      <c r="W475" s="268"/>
      <c r="X475" s="268"/>
      <c r="Y475" s="268"/>
      <c r="Z475" s="471">
        <f>SUMIF(TAB_CS[Reference],TAB_Offres[[#This Row],[Reference]],TAB_CS[Commited days])</f>
        <v>0</v>
      </c>
      <c r="AA475" s="269">
        <f>SUMIF(TAB_CS[Reference],TAB_Offres[[#This Row],[Reference]],TAB_CS[Commited amount])</f>
        <v>0</v>
      </c>
      <c r="AB475" s="275"/>
      <c r="AC475" s="270"/>
      <c r="AD475" s="270"/>
      <c r="AE475" s="264"/>
      <c r="AF475" s="271"/>
      <c r="AG475" s="278"/>
      <c r="AH475" s="277" t="str">
        <f>CONCATENATE(YEAR(TAB_Offres[[#This Row],[Request date ]]),"-",MONTH(TAB_Offres[[#This Row],[Request date ]]))</f>
        <v>1900-1</v>
      </c>
      <c r="AI475" s="274" t="e">
        <f>IF(#REF!,1,0)</f>
        <v>#REF!</v>
      </c>
      <c r="AJ475" s="4"/>
      <c r="AK475" s="4"/>
      <c r="AL475" s="4"/>
      <c r="AN475" s="150"/>
      <c r="AQ475" s="4"/>
    </row>
    <row r="476" spans="1:43" x14ac:dyDescent="0.25">
      <c r="A476" s="258">
        <f>ROW(TAB_Offres[[#This Row],[Reference]])-ROW(TAB_Offres[[#Headers],[ID]])</f>
        <v>475</v>
      </c>
      <c r="B476" s="258"/>
      <c r="C476" s="258"/>
      <c r="D476" s="258"/>
      <c r="E476" s="263"/>
      <c r="F476" s="258"/>
      <c r="G476" s="263"/>
      <c r="H476" s="262"/>
      <c r="I476" s="262"/>
      <c r="J476" s="262"/>
      <c r="K476" s="262"/>
      <c r="L476" s="262"/>
      <c r="M476" s="264"/>
      <c r="N476" s="262"/>
      <c r="O476" s="262"/>
      <c r="P476" s="262"/>
      <c r="Q476" s="263"/>
      <c r="R476" s="263"/>
      <c r="S476" s="292"/>
      <c r="T476" s="261"/>
      <c r="U476" s="261"/>
      <c r="V476" s="268"/>
      <c r="W476" s="268"/>
      <c r="X476" s="268"/>
      <c r="Y476" s="268"/>
      <c r="Z476" s="471">
        <f>SUMIF(TAB_CS[Reference],TAB_Offres[[#This Row],[Reference]],TAB_CS[Commited days])</f>
        <v>0</v>
      </c>
      <c r="AA476" s="269">
        <f>SUMIF(TAB_CS[Reference],TAB_Offres[[#This Row],[Reference]],TAB_CS[Commited amount])</f>
        <v>0</v>
      </c>
      <c r="AB476" s="275"/>
      <c r="AC476" s="270"/>
      <c r="AD476" s="270"/>
      <c r="AE476" s="264"/>
      <c r="AF476" s="271"/>
      <c r="AG476" s="278"/>
      <c r="AH476" s="277" t="str">
        <f>CONCATENATE(YEAR(TAB_Offres[[#This Row],[Request date ]]),"-",MONTH(TAB_Offres[[#This Row],[Request date ]]))</f>
        <v>1900-1</v>
      </c>
      <c r="AI476" s="274" t="e">
        <f>IF(#REF!,1,0)</f>
        <v>#REF!</v>
      </c>
      <c r="AJ476" s="4"/>
      <c r="AK476" s="4"/>
      <c r="AL476" s="4"/>
      <c r="AN476" s="150"/>
      <c r="AQ476" s="4"/>
    </row>
    <row r="477" spans="1:43" x14ac:dyDescent="0.25">
      <c r="A477" s="258">
        <f>ROW(TAB_Offres[[#This Row],[Reference]])-ROW(TAB_Offres[[#Headers],[ID]])</f>
        <v>476</v>
      </c>
      <c r="B477" s="258"/>
      <c r="C477" s="258"/>
      <c r="D477" s="258"/>
      <c r="E477" s="263"/>
      <c r="F477" s="258"/>
      <c r="G477" s="263"/>
      <c r="H477" s="262"/>
      <c r="I477" s="262"/>
      <c r="J477" s="262"/>
      <c r="K477" s="262"/>
      <c r="L477" s="262"/>
      <c r="M477" s="264"/>
      <c r="N477" s="262"/>
      <c r="O477" s="262"/>
      <c r="P477" s="262"/>
      <c r="Q477" s="263"/>
      <c r="R477" s="263"/>
      <c r="S477" s="292"/>
      <c r="T477" s="261"/>
      <c r="U477" s="261"/>
      <c r="V477" s="268"/>
      <c r="W477" s="268"/>
      <c r="X477" s="268"/>
      <c r="Y477" s="268"/>
      <c r="Z477" s="471">
        <f>SUMIF(TAB_CS[Reference],TAB_Offres[[#This Row],[Reference]],TAB_CS[Commited days])</f>
        <v>0</v>
      </c>
      <c r="AA477" s="269">
        <f>SUMIF(TAB_CS[Reference],TAB_Offres[[#This Row],[Reference]],TAB_CS[Commited amount])</f>
        <v>0</v>
      </c>
      <c r="AB477" s="275"/>
      <c r="AC477" s="270"/>
      <c r="AD477" s="270"/>
      <c r="AE477" s="264"/>
      <c r="AF477" s="271"/>
      <c r="AG477" s="278"/>
      <c r="AH477" s="277" t="str">
        <f>CONCATENATE(YEAR(TAB_Offres[[#This Row],[Request date ]]),"-",MONTH(TAB_Offres[[#This Row],[Request date ]]))</f>
        <v>1900-1</v>
      </c>
      <c r="AI477" s="274" t="e">
        <f>IF(#REF!,1,0)</f>
        <v>#REF!</v>
      </c>
      <c r="AJ477" s="4"/>
      <c r="AK477" s="4"/>
      <c r="AL477" s="4"/>
      <c r="AN477" s="150"/>
      <c r="AQ477" s="4"/>
    </row>
    <row r="478" spans="1:43" x14ac:dyDescent="0.25">
      <c r="A478" s="258">
        <f>ROW(TAB_Offres[[#This Row],[Reference]])-ROW(TAB_Offres[[#Headers],[ID]])</f>
        <v>477</v>
      </c>
      <c r="B478" s="258"/>
      <c r="C478" s="258"/>
      <c r="D478" s="258"/>
      <c r="E478" s="263"/>
      <c r="F478" s="258"/>
      <c r="G478" s="263"/>
      <c r="H478" s="262"/>
      <c r="I478" s="262"/>
      <c r="J478" s="262"/>
      <c r="K478" s="262"/>
      <c r="L478" s="262"/>
      <c r="M478" s="264"/>
      <c r="N478" s="262"/>
      <c r="O478" s="262"/>
      <c r="P478" s="262"/>
      <c r="Q478" s="263"/>
      <c r="R478" s="263"/>
      <c r="S478" s="292"/>
      <c r="T478" s="261"/>
      <c r="U478" s="261"/>
      <c r="V478" s="268"/>
      <c r="W478" s="268"/>
      <c r="X478" s="268"/>
      <c r="Y478" s="268"/>
      <c r="Z478" s="471">
        <f>SUMIF(TAB_CS[Reference],TAB_Offres[[#This Row],[Reference]],TAB_CS[Commited days])</f>
        <v>0</v>
      </c>
      <c r="AA478" s="269">
        <f>SUMIF(TAB_CS[Reference],TAB_Offres[[#This Row],[Reference]],TAB_CS[Commited amount])</f>
        <v>0</v>
      </c>
      <c r="AB478" s="275"/>
      <c r="AC478" s="270"/>
      <c r="AD478" s="270"/>
      <c r="AE478" s="264"/>
      <c r="AF478" s="271"/>
      <c r="AG478" s="278"/>
      <c r="AH478" s="277" t="str">
        <f>CONCATENATE(YEAR(TAB_Offres[[#This Row],[Request date ]]),"-",MONTH(TAB_Offres[[#This Row],[Request date ]]))</f>
        <v>1900-1</v>
      </c>
      <c r="AI478" s="274" t="e">
        <f>IF(#REF!,1,0)</f>
        <v>#REF!</v>
      </c>
      <c r="AJ478" s="4"/>
      <c r="AK478" s="4"/>
      <c r="AL478" s="4"/>
      <c r="AN478" s="150"/>
      <c r="AQ478" s="4"/>
    </row>
    <row r="479" spans="1:43" x14ac:dyDescent="0.25">
      <c r="A479" s="258">
        <f>ROW(TAB_Offres[[#This Row],[Reference]])-ROW(TAB_Offres[[#Headers],[ID]])</f>
        <v>478</v>
      </c>
      <c r="B479" s="258"/>
      <c r="C479" s="258"/>
      <c r="D479" s="258"/>
      <c r="E479" s="263"/>
      <c r="F479" s="258"/>
      <c r="G479" s="263"/>
      <c r="H479" s="262"/>
      <c r="I479" s="262"/>
      <c r="J479" s="262"/>
      <c r="K479" s="262"/>
      <c r="L479" s="262"/>
      <c r="M479" s="264"/>
      <c r="N479" s="262"/>
      <c r="O479" s="262"/>
      <c r="P479" s="262"/>
      <c r="Q479" s="263"/>
      <c r="R479" s="263"/>
      <c r="S479" s="292"/>
      <c r="T479" s="261"/>
      <c r="U479" s="261"/>
      <c r="V479" s="268"/>
      <c r="W479" s="268"/>
      <c r="X479" s="268"/>
      <c r="Y479" s="268"/>
      <c r="Z479" s="471">
        <f>SUMIF(TAB_CS[Reference],TAB_Offres[[#This Row],[Reference]],TAB_CS[Commited days])</f>
        <v>0</v>
      </c>
      <c r="AA479" s="269">
        <f>SUMIF(TAB_CS[Reference],TAB_Offres[[#This Row],[Reference]],TAB_CS[Commited amount])</f>
        <v>0</v>
      </c>
      <c r="AB479" s="275"/>
      <c r="AC479" s="270"/>
      <c r="AD479" s="270"/>
      <c r="AE479" s="264"/>
      <c r="AF479" s="271"/>
      <c r="AG479" s="278"/>
      <c r="AH479" s="277" t="str">
        <f>CONCATENATE(YEAR(TAB_Offres[[#This Row],[Request date ]]),"-",MONTH(TAB_Offres[[#This Row],[Request date ]]))</f>
        <v>1900-1</v>
      </c>
      <c r="AI479" s="274" t="e">
        <f>IF(#REF!,1,0)</f>
        <v>#REF!</v>
      </c>
      <c r="AJ479" s="4"/>
      <c r="AK479" s="4"/>
      <c r="AL479" s="4"/>
      <c r="AN479" s="150"/>
      <c r="AQ479" s="4"/>
    </row>
    <row r="480" spans="1:43" x14ac:dyDescent="0.25">
      <c r="A480" s="258">
        <f>ROW(TAB_Offres[[#This Row],[Reference]])-ROW(TAB_Offres[[#Headers],[ID]])</f>
        <v>479</v>
      </c>
      <c r="B480" s="258"/>
      <c r="C480" s="258"/>
      <c r="D480" s="258"/>
      <c r="E480" s="263"/>
      <c r="F480" s="258"/>
      <c r="G480" s="263"/>
      <c r="H480" s="262"/>
      <c r="I480" s="262"/>
      <c r="J480" s="262"/>
      <c r="K480" s="262"/>
      <c r="L480" s="262"/>
      <c r="M480" s="264"/>
      <c r="N480" s="262"/>
      <c r="O480" s="262"/>
      <c r="P480" s="262"/>
      <c r="Q480" s="263"/>
      <c r="R480" s="263"/>
      <c r="S480" s="292"/>
      <c r="T480" s="261"/>
      <c r="U480" s="261"/>
      <c r="V480" s="268"/>
      <c r="W480" s="268"/>
      <c r="X480" s="268"/>
      <c r="Y480" s="268"/>
      <c r="Z480" s="471">
        <f>SUMIF(TAB_CS[Reference],TAB_Offres[[#This Row],[Reference]],TAB_CS[Commited days])</f>
        <v>0</v>
      </c>
      <c r="AA480" s="269">
        <f>SUMIF(TAB_CS[Reference],TAB_Offres[[#This Row],[Reference]],TAB_CS[Commited amount])</f>
        <v>0</v>
      </c>
      <c r="AB480" s="275"/>
      <c r="AC480" s="270"/>
      <c r="AD480" s="270"/>
      <c r="AE480" s="264"/>
      <c r="AF480" s="271"/>
      <c r="AG480" s="278"/>
      <c r="AH480" s="277" t="str">
        <f>CONCATENATE(YEAR(TAB_Offres[[#This Row],[Request date ]]),"-",MONTH(TAB_Offres[[#This Row],[Request date ]]))</f>
        <v>1900-1</v>
      </c>
      <c r="AI480" s="274" t="e">
        <f>IF(#REF!,1,0)</f>
        <v>#REF!</v>
      </c>
      <c r="AJ480" s="4"/>
      <c r="AK480" s="4"/>
      <c r="AL480" s="4"/>
      <c r="AN480" s="150"/>
      <c r="AQ480" s="4"/>
    </row>
    <row r="481" spans="1:43" x14ac:dyDescent="0.25">
      <c r="A481" s="258">
        <f>ROW(TAB_Offres[[#This Row],[Reference]])-ROW(TAB_Offres[[#Headers],[ID]])</f>
        <v>480</v>
      </c>
      <c r="B481" s="258"/>
      <c r="C481" s="258"/>
      <c r="D481" s="258"/>
      <c r="E481" s="263"/>
      <c r="F481" s="258"/>
      <c r="G481" s="263"/>
      <c r="H481" s="262"/>
      <c r="I481" s="262"/>
      <c r="J481" s="262"/>
      <c r="K481" s="262"/>
      <c r="L481" s="262"/>
      <c r="M481" s="264"/>
      <c r="N481" s="262"/>
      <c r="O481" s="262"/>
      <c r="P481" s="262"/>
      <c r="Q481" s="263"/>
      <c r="R481" s="263"/>
      <c r="S481" s="292"/>
      <c r="T481" s="261"/>
      <c r="U481" s="261"/>
      <c r="V481" s="268"/>
      <c r="W481" s="268"/>
      <c r="X481" s="268"/>
      <c r="Y481" s="268"/>
      <c r="Z481" s="471">
        <f>SUMIF(TAB_CS[Reference],TAB_Offres[[#This Row],[Reference]],TAB_CS[Commited days])</f>
        <v>0</v>
      </c>
      <c r="AA481" s="269">
        <f>SUMIF(TAB_CS[Reference],TAB_Offres[[#This Row],[Reference]],TAB_CS[Commited amount])</f>
        <v>0</v>
      </c>
      <c r="AB481" s="275"/>
      <c r="AC481" s="270"/>
      <c r="AD481" s="270"/>
      <c r="AE481" s="264"/>
      <c r="AF481" s="271"/>
      <c r="AG481" s="278"/>
      <c r="AH481" s="277" t="str">
        <f>CONCATENATE(YEAR(TAB_Offres[[#This Row],[Request date ]]),"-",MONTH(TAB_Offres[[#This Row],[Request date ]]))</f>
        <v>1900-1</v>
      </c>
      <c r="AI481" s="274" t="e">
        <f>IF(#REF!,1,0)</f>
        <v>#REF!</v>
      </c>
      <c r="AJ481" s="4"/>
      <c r="AK481" s="4"/>
      <c r="AL481" s="4"/>
      <c r="AN481" s="150"/>
      <c r="AQ481" s="4"/>
    </row>
    <row r="482" spans="1:43" x14ac:dyDescent="0.25">
      <c r="A482" s="258">
        <f>ROW(TAB_Offres[[#This Row],[Reference]])-ROW(TAB_Offres[[#Headers],[ID]])</f>
        <v>481</v>
      </c>
      <c r="B482" s="258"/>
      <c r="C482" s="258"/>
      <c r="D482" s="258"/>
      <c r="E482" s="263"/>
      <c r="F482" s="258"/>
      <c r="G482" s="263"/>
      <c r="H482" s="262"/>
      <c r="I482" s="262"/>
      <c r="J482" s="262"/>
      <c r="K482" s="262"/>
      <c r="L482" s="262"/>
      <c r="M482" s="264"/>
      <c r="N482" s="262"/>
      <c r="O482" s="262"/>
      <c r="P482" s="262"/>
      <c r="Q482" s="263"/>
      <c r="R482" s="263"/>
      <c r="S482" s="292"/>
      <c r="T482" s="261"/>
      <c r="U482" s="261"/>
      <c r="V482" s="268"/>
      <c r="W482" s="268"/>
      <c r="X482" s="268"/>
      <c r="Y482" s="268"/>
      <c r="Z482" s="471">
        <f>SUMIF(TAB_CS[Reference],TAB_Offres[[#This Row],[Reference]],TAB_CS[Commited days])</f>
        <v>0</v>
      </c>
      <c r="AA482" s="269">
        <f>SUMIF(TAB_CS[Reference],TAB_Offres[[#This Row],[Reference]],TAB_CS[Commited amount])</f>
        <v>0</v>
      </c>
      <c r="AB482" s="275"/>
      <c r="AC482" s="270"/>
      <c r="AD482" s="270"/>
      <c r="AE482" s="264"/>
      <c r="AF482" s="271"/>
      <c r="AG482" s="278"/>
      <c r="AH482" s="277" t="str">
        <f>CONCATENATE(YEAR(TAB_Offres[[#This Row],[Request date ]]),"-",MONTH(TAB_Offres[[#This Row],[Request date ]]))</f>
        <v>1900-1</v>
      </c>
      <c r="AI482" s="274" t="e">
        <f>IF(#REF!,1,0)</f>
        <v>#REF!</v>
      </c>
      <c r="AJ482" s="4"/>
      <c r="AK482" s="4"/>
      <c r="AL482" s="4"/>
      <c r="AN482" s="150"/>
      <c r="AQ482" s="4"/>
    </row>
    <row r="483" spans="1:43" x14ac:dyDescent="0.25">
      <c r="A483" s="258">
        <f>ROW(TAB_Offres[[#This Row],[Reference]])-ROW(TAB_Offres[[#Headers],[ID]])</f>
        <v>482</v>
      </c>
      <c r="B483" s="258"/>
      <c r="C483" s="258"/>
      <c r="D483" s="258"/>
      <c r="E483" s="263"/>
      <c r="F483" s="258"/>
      <c r="G483" s="263"/>
      <c r="H483" s="262"/>
      <c r="I483" s="262"/>
      <c r="J483" s="262"/>
      <c r="K483" s="262"/>
      <c r="L483" s="262"/>
      <c r="M483" s="264"/>
      <c r="N483" s="262"/>
      <c r="O483" s="262"/>
      <c r="P483" s="262"/>
      <c r="Q483" s="263"/>
      <c r="R483" s="263"/>
      <c r="S483" s="292"/>
      <c r="T483" s="261"/>
      <c r="U483" s="261"/>
      <c r="V483" s="268"/>
      <c r="W483" s="268"/>
      <c r="X483" s="268"/>
      <c r="Y483" s="268"/>
      <c r="Z483" s="471">
        <f>SUMIF(TAB_CS[Reference],TAB_Offres[[#This Row],[Reference]],TAB_CS[Commited days])</f>
        <v>0</v>
      </c>
      <c r="AA483" s="269">
        <f>SUMIF(TAB_CS[Reference],TAB_Offres[[#This Row],[Reference]],TAB_CS[Commited amount])</f>
        <v>0</v>
      </c>
      <c r="AB483" s="275"/>
      <c r="AC483" s="270"/>
      <c r="AD483" s="270"/>
      <c r="AE483" s="264"/>
      <c r="AF483" s="271"/>
      <c r="AG483" s="278"/>
      <c r="AH483" s="277" t="str">
        <f>CONCATENATE(YEAR(TAB_Offres[[#This Row],[Request date ]]),"-",MONTH(TAB_Offres[[#This Row],[Request date ]]))</f>
        <v>1900-1</v>
      </c>
      <c r="AI483" s="274" t="e">
        <f>IF(#REF!,1,0)</f>
        <v>#REF!</v>
      </c>
      <c r="AJ483" s="4"/>
      <c r="AK483" s="4"/>
      <c r="AL483" s="4"/>
      <c r="AN483" s="150"/>
      <c r="AQ483" s="4"/>
    </row>
    <row r="484" spans="1:43" x14ac:dyDescent="0.25">
      <c r="A484" s="258">
        <f>ROW(TAB_Offres[[#This Row],[Reference]])-ROW(TAB_Offres[[#Headers],[ID]])</f>
        <v>483</v>
      </c>
      <c r="B484" s="258"/>
      <c r="C484" s="258"/>
      <c r="D484" s="258"/>
      <c r="E484" s="263"/>
      <c r="F484" s="258"/>
      <c r="G484" s="263"/>
      <c r="H484" s="262"/>
      <c r="I484" s="262"/>
      <c r="J484" s="262"/>
      <c r="K484" s="262"/>
      <c r="L484" s="262"/>
      <c r="M484" s="264"/>
      <c r="N484" s="262"/>
      <c r="O484" s="262"/>
      <c r="P484" s="262"/>
      <c r="Q484" s="263"/>
      <c r="R484" s="263"/>
      <c r="S484" s="292"/>
      <c r="T484" s="261"/>
      <c r="U484" s="261"/>
      <c r="V484" s="268"/>
      <c r="W484" s="268"/>
      <c r="X484" s="268"/>
      <c r="Y484" s="268"/>
      <c r="Z484" s="471">
        <f>SUMIF(TAB_CS[Reference],TAB_Offres[[#This Row],[Reference]],TAB_CS[Commited days])</f>
        <v>0</v>
      </c>
      <c r="AA484" s="269">
        <f>SUMIF(TAB_CS[Reference],TAB_Offres[[#This Row],[Reference]],TAB_CS[Commited amount])</f>
        <v>0</v>
      </c>
      <c r="AB484" s="275"/>
      <c r="AC484" s="270"/>
      <c r="AD484" s="270"/>
      <c r="AE484" s="264"/>
      <c r="AF484" s="271"/>
      <c r="AG484" s="278"/>
      <c r="AH484" s="277" t="str">
        <f>CONCATENATE(YEAR(TAB_Offres[[#This Row],[Request date ]]),"-",MONTH(TAB_Offres[[#This Row],[Request date ]]))</f>
        <v>1900-1</v>
      </c>
      <c r="AI484" s="274" t="e">
        <f>IF(#REF!,1,0)</f>
        <v>#REF!</v>
      </c>
      <c r="AJ484" s="4"/>
      <c r="AK484" s="4"/>
      <c r="AL484" s="4"/>
      <c r="AN484" s="150"/>
      <c r="AQ484" s="4"/>
    </row>
    <row r="485" spans="1:43" x14ac:dyDescent="0.25">
      <c r="A485" s="258">
        <f>ROW(TAB_Offres[[#This Row],[Reference]])-ROW(TAB_Offres[[#Headers],[ID]])</f>
        <v>484</v>
      </c>
      <c r="B485" s="258"/>
      <c r="C485" s="258"/>
      <c r="D485" s="258"/>
      <c r="E485" s="263"/>
      <c r="F485" s="258"/>
      <c r="G485" s="263"/>
      <c r="H485" s="262"/>
      <c r="I485" s="262"/>
      <c r="J485" s="262"/>
      <c r="K485" s="262"/>
      <c r="L485" s="262"/>
      <c r="M485" s="264"/>
      <c r="N485" s="262"/>
      <c r="O485" s="262"/>
      <c r="P485" s="262"/>
      <c r="Q485" s="263"/>
      <c r="R485" s="263"/>
      <c r="S485" s="292"/>
      <c r="T485" s="261"/>
      <c r="U485" s="261"/>
      <c r="V485" s="268"/>
      <c r="W485" s="268"/>
      <c r="X485" s="268"/>
      <c r="Y485" s="268"/>
      <c r="Z485" s="471">
        <f>SUMIF(TAB_CS[Reference],TAB_Offres[[#This Row],[Reference]],TAB_CS[Commited days])</f>
        <v>0</v>
      </c>
      <c r="AA485" s="269">
        <f>SUMIF(TAB_CS[Reference],TAB_Offres[[#This Row],[Reference]],TAB_CS[Commited amount])</f>
        <v>0</v>
      </c>
      <c r="AB485" s="275"/>
      <c r="AC485" s="270"/>
      <c r="AD485" s="270"/>
      <c r="AE485" s="264"/>
      <c r="AF485" s="271"/>
      <c r="AG485" s="278"/>
      <c r="AH485" s="277" t="str">
        <f>CONCATENATE(YEAR(TAB_Offres[[#This Row],[Request date ]]),"-",MONTH(TAB_Offres[[#This Row],[Request date ]]))</f>
        <v>1900-1</v>
      </c>
      <c r="AI485" s="274" t="e">
        <f>IF(#REF!,1,0)</f>
        <v>#REF!</v>
      </c>
      <c r="AJ485" s="4"/>
      <c r="AK485" s="4"/>
      <c r="AL485" s="4"/>
      <c r="AN485" s="150"/>
      <c r="AQ485" s="4"/>
    </row>
    <row r="486" spans="1:43" x14ac:dyDescent="0.25">
      <c r="A486" s="258">
        <f>ROW(TAB_Offres[[#This Row],[Reference]])-ROW(TAB_Offres[[#Headers],[ID]])</f>
        <v>485</v>
      </c>
      <c r="B486" s="258"/>
      <c r="C486" s="258"/>
      <c r="D486" s="258"/>
      <c r="E486" s="263"/>
      <c r="F486" s="258"/>
      <c r="G486" s="263"/>
      <c r="H486" s="262"/>
      <c r="I486" s="262"/>
      <c r="J486" s="262"/>
      <c r="K486" s="262"/>
      <c r="L486" s="262"/>
      <c r="M486" s="264"/>
      <c r="N486" s="262"/>
      <c r="O486" s="262"/>
      <c r="P486" s="262"/>
      <c r="Q486" s="263"/>
      <c r="R486" s="263"/>
      <c r="S486" s="292"/>
      <c r="T486" s="261"/>
      <c r="U486" s="261"/>
      <c r="V486" s="268"/>
      <c r="W486" s="268"/>
      <c r="X486" s="268"/>
      <c r="Y486" s="268"/>
      <c r="Z486" s="471">
        <f>SUMIF(TAB_CS[Reference],TAB_Offres[[#This Row],[Reference]],TAB_CS[Commited days])</f>
        <v>0</v>
      </c>
      <c r="AA486" s="269">
        <f>SUMIF(TAB_CS[Reference],TAB_Offres[[#This Row],[Reference]],TAB_CS[Commited amount])</f>
        <v>0</v>
      </c>
      <c r="AB486" s="275"/>
      <c r="AC486" s="270"/>
      <c r="AD486" s="270"/>
      <c r="AE486" s="264"/>
      <c r="AF486" s="271"/>
      <c r="AG486" s="278"/>
      <c r="AH486" s="277" t="str">
        <f>CONCATENATE(YEAR(TAB_Offres[[#This Row],[Request date ]]),"-",MONTH(TAB_Offres[[#This Row],[Request date ]]))</f>
        <v>1900-1</v>
      </c>
      <c r="AI486" s="274" t="e">
        <f>IF(#REF!,1,0)</f>
        <v>#REF!</v>
      </c>
      <c r="AJ486" s="4"/>
      <c r="AK486" s="4"/>
      <c r="AL486" s="4"/>
      <c r="AN486" s="150"/>
      <c r="AQ486" s="4"/>
    </row>
    <row r="487" spans="1:43" x14ac:dyDescent="0.25">
      <c r="A487" s="258">
        <f>ROW(TAB_Offres[[#This Row],[Reference]])-ROW(TAB_Offres[[#Headers],[ID]])</f>
        <v>486</v>
      </c>
      <c r="B487" s="258"/>
      <c r="C487" s="258"/>
      <c r="D487" s="258"/>
      <c r="E487" s="263"/>
      <c r="F487" s="258"/>
      <c r="G487" s="263"/>
      <c r="H487" s="262"/>
      <c r="I487" s="262"/>
      <c r="J487" s="262"/>
      <c r="K487" s="262"/>
      <c r="L487" s="262"/>
      <c r="M487" s="264"/>
      <c r="N487" s="262"/>
      <c r="O487" s="262"/>
      <c r="P487" s="262"/>
      <c r="Q487" s="263"/>
      <c r="R487" s="263"/>
      <c r="S487" s="292"/>
      <c r="T487" s="261"/>
      <c r="U487" s="261"/>
      <c r="V487" s="268"/>
      <c r="W487" s="268"/>
      <c r="X487" s="268"/>
      <c r="Y487" s="268"/>
      <c r="Z487" s="471">
        <f>SUMIF(TAB_CS[Reference],TAB_Offres[[#This Row],[Reference]],TAB_CS[Commited days])</f>
        <v>0</v>
      </c>
      <c r="AA487" s="269">
        <f>SUMIF(TAB_CS[Reference],TAB_Offres[[#This Row],[Reference]],TAB_CS[Commited amount])</f>
        <v>0</v>
      </c>
      <c r="AB487" s="275"/>
      <c r="AC487" s="270"/>
      <c r="AD487" s="270"/>
      <c r="AE487" s="264"/>
      <c r="AF487" s="271"/>
      <c r="AG487" s="278"/>
      <c r="AH487" s="277" t="str">
        <f>CONCATENATE(YEAR(TAB_Offres[[#This Row],[Request date ]]),"-",MONTH(TAB_Offres[[#This Row],[Request date ]]))</f>
        <v>1900-1</v>
      </c>
      <c r="AI487" s="274" t="e">
        <f>IF(#REF!,1,0)</f>
        <v>#REF!</v>
      </c>
      <c r="AJ487" s="4"/>
      <c r="AK487" s="4"/>
      <c r="AL487" s="4"/>
      <c r="AN487" s="150"/>
      <c r="AQ487" s="4"/>
    </row>
    <row r="488" spans="1:43" x14ac:dyDescent="0.25">
      <c r="A488" s="258">
        <f>ROW(TAB_Offres[[#This Row],[Reference]])-ROW(TAB_Offres[[#Headers],[ID]])</f>
        <v>487</v>
      </c>
      <c r="B488" s="258"/>
      <c r="C488" s="258"/>
      <c r="D488" s="258"/>
      <c r="E488" s="263"/>
      <c r="F488" s="258"/>
      <c r="G488" s="263"/>
      <c r="H488" s="262"/>
      <c r="I488" s="262"/>
      <c r="J488" s="262"/>
      <c r="K488" s="262"/>
      <c r="L488" s="262"/>
      <c r="M488" s="264"/>
      <c r="N488" s="262"/>
      <c r="O488" s="262"/>
      <c r="P488" s="262"/>
      <c r="Q488" s="263"/>
      <c r="R488" s="263"/>
      <c r="S488" s="292"/>
      <c r="T488" s="261"/>
      <c r="U488" s="261"/>
      <c r="V488" s="268"/>
      <c r="W488" s="268"/>
      <c r="X488" s="268"/>
      <c r="Y488" s="268"/>
      <c r="Z488" s="471">
        <f>SUMIF(TAB_CS[Reference],TAB_Offres[[#This Row],[Reference]],TAB_CS[Commited days])</f>
        <v>0</v>
      </c>
      <c r="AA488" s="269">
        <f>SUMIF(TAB_CS[Reference],TAB_Offres[[#This Row],[Reference]],TAB_CS[Commited amount])</f>
        <v>0</v>
      </c>
      <c r="AB488" s="275"/>
      <c r="AC488" s="270"/>
      <c r="AD488" s="270"/>
      <c r="AE488" s="264"/>
      <c r="AF488" s="271"/>
      <c r="AG488" s="278"/>
      <c r="AH488" s="277" t="str">
        <f>CONCATENATE(YEAR(TAB_Offres[[#This Row],[Request date ]]),"-",MONTH(TAB_Offres[[#This Row],[Request date ]]))</f>
        <v>1900-1</v>
      </c>
      <c r="AI488" s="274" t="e">
        <f>IF(#REF!,1,0)</f>
        <v>#REF!</v>
      </c>
      <c r="AJ488" s="4"/>
      <c r="AK488" s="4"/>
      <c r="AL488" s="4"/>
      <c r="AN488" s="150"/>
      <c r="AQ488" s="4"/>
    </row>
    <row r="489" spans="1:43" x14ac:dyDescent="0.25">
      <c r="A489" s="258">
        <f>ROW(TAB_Offres[[#This Row],[Reference]])-ROW(TAB_Offres[[#Headers],[ID]])</f>
        <v>488</v>
      </c>
      <c r="B489" s="258"/>
      <c r="C489" s="258"/>
      <c r="D489" s="258"/>
      <c r="E489" s="263"/>
      <c r="F489" s="258"/>
      <c r="G489" s="263"/>
      <c r="H489" s="262"/>
      <c r="I489" s="262"/>
      <c r="J489" s="262"/>
      <c r="K489" s="262"/>
      <c r="L489" s="262"/>
      <c r="M489" s="264"/>
      <c r="N489" s="262"/>
      <c r="O489" s="262"/>
      <c r="P489" s="262"/>
      <c r="Q489" s="263"/>
      <c r="R489" s="263"/>
      <c r="S489" s="292"/>
      <c r="T489" s="261"/>
      <c r="U489" s="261"/>
      <c r="V489" s="268"/>
      <c r="W489" s="268"/>
      <c r="X489" s="268"/>
      <c r="Y489" s="268"/>
      <c r="Z489" s="471">
        <f>SUMIF(TAB_CS[Reference],TAB_Offres[[#This Row],[Reference]],TAB_CS[Commited days])</f>
        <v>0</v>
      </c>
      <c r="AA489" s="269">
        <f>SUMIF(TAB_CS[Reference],TAB_Offres[[#This Row],[Reference]],TAB_CS[Commited amount])</f>
        <v>0</v>
      </c>
      <c r="AB489" s="275"/>
      <c r="AC489" s="270"/>
      <c r="AD489" s="270"/>
      <c r="AE489" s="264"/>
      <c r="AF489" s="271"/>
      <c r="AG489" s="278"/>
      <c r="AH489" s="277" t="str">
        <f>CONCATENATE(YEAR(TAB_Offres[[#This Row],[Request date ]]),"-",MONTH(TAB_Offres[[#This Row],[Request date ]]))</f>
        <v>1900-1</v>
      </c>
      <c r="AI489" s="274" t="e">
        <f>IF(#REF!,1,0)</f>
        <v>#REF!</v>
      </c>
      <c r="AJ489" s="4"/>
      <c r="AK489" s="4"/>
      <c r="AL489" s="4"/>
      <c r="AN489" s="150"/>
      <c r="AQ489" s="4"/>
    </row>
    <row r="490" spans="1:43" x14ac:dyDescent="0.25">
      <c r="A490" s="258">
        <f>ROW(TAB_Offres[[#This Row],[Reference]])-ROW(TAB_Offres[[#Headers],[ID]])</f>
        <v>489</v>
      </c>
      <c r="B490" s="258"/>
      <c r="C490" s="258"/>
      <c r="D490" s="258"/>
      <c r="E490" s="263"/>
      <c r="F490" s="258"/>
      <c r="G490" s="263"/>
      <c r="H490" s="262"/>
      <c r="I490" s="262"/>
      <c r="J490" s="262"/>
      <c r="K490" s="262"/>
      <c r="L490" s="262"/>
      <c r="M490" s="264"/>
      <c r="N490" s="262"/>
      <c r="O490" s="262"/>
      <c r="P490" s="262"/>
      <c r="Q490" s="263"/>
      <c r="R490" s="263"/>
      <c r="S490" s="292"/>
      <c r="T490" s="261"/>
      <c r="U490" s="261"/>
      <c r="V490" s="268"/>
      <c r="W490" s="268"/>
      <c r="X490" s="268"/>
      <c r="Y490" s="268"/>
      <c r="Z490" s="471">
        <f>SUMIF(TAB_CS[Reference],TAB_Offres[[#This Row],[Reference]],TAB_CS[Commited days])</f>
        <v>0</v>
      </c>
      <c r="AA490" s="269">
        <f>SUMIF(TAB_CS[Reference],TAB_Offres[[#This Row],[Reference]],TAB_CS[Commited amount])</f>
        <v>0</v>
      </c>
      <c r="AB490" s="275"/>
      <c r="AC490" s="270"/>
      <c r="AD490" s="270"/>
      <c r="AE490" s="264"/>
      <c r="AF490" s="271"/>
      <c r="AG490" s="278"/>
      <c r="AH490" s="277" t="str">
        <f>CONCATENATE(YEAR(TAB_Offres[[#This Row],[Request date ]]),"-",MONTH(TAB_Offres[[#This Row],[Request date ]]))</f>
        <v>1900-1</v>
      </c>
      <c r="AI490" s="274" t="e">
        <f>IF(#REF!,1,0)</f>
        <v>#REF!</v>
      </c>
      <c r="AJ490" s="4"/>
      <c r="AK490" s="4"/>
      <c r="AL490" s="4"/>
      <c r="AN490" s="150"/>
      <c r="AQ490" s="4"/>
    </row>
    <row r="491" spans="1:43" x14ac:dyDescent="0.25">
      <c r="A491" s="258">
        <f>ROW(TAB_Offres[[#This Row],[Reference]])-ROW(TAB_Offres[[#Headers],[ID]])</f>
        <v>490</v>
      </c>
      <c r="B491" s="258"/>
      <c r="C491" s="258"/>
      <c r="D491" s="258"/>
      <c r="E491" s="263"/>
      <c r="F491" s="258"/>
      <c r="G491" s="263"/>
      <c r="H491" s="262"/>
      <c r="I491" s="262"/>
      <c r="J491" s="262"/>
      <c r="K491" s="262"/>
      <c r="L491" s="262"/>
      <c r="M491" s="264"/>
      <c r="N491" s="262"/>
      <c r="O491" s="262"/>
      <c r="P491" s="262"/>
      <c r="Q491" s="263"/>
      <c r="R491" s="263"/>
      <c r="S491" s="292"/>
      <c r="T491" s="261"/>
      <c r="U491" s="261"/>
      <c r="V491" s="268"/>
      <c r="W491" s="268"/>
      <c r="X491" s="268"/>
      <c r="Y491" s="268"/>
      <c r="Z491" s="471">
        <f>SUMIF(TAB_CS[Reference],TAB_Offres[[#This Row],[Reference]],TAB_CS[Commited days])</f>
        <v>0</v>
      </c>
      <c r="AA491" s="269">
        <f>SUMIF(TAB_CS[Reference],TAB_Offres[[#This Row],[Reference]],TAB_CS[Commited amount])</f>
        <v>0</v>
      </c>
      <c r="AB491" s="275"/>
      <c r="AC491" s="270"/>
      <c r="AD491" s="270"/>
      <c r="AE491" s="264"/>
      <c r="AF491" s="271"/>
      <c r="AG491" s="278"/>
      <c r="AH491" s="277" t="str">
        <f>CONCATENATE(YEAR(TAB_Offres[[#This Row],[Request date ]]),"-",MONTH(TAB_Offres[[#This Row],[Request date ]]))</f>
        <v>1900-1</v>
      </c>
      <c r="AI491" s="274" t="e">
        <f>IF(#REF!,1,0)</f>
        <v>#REF!</v>
      </c>
      <c r="AJ491" s="4"/>
      <c r="AK491" s="4"/>
      <c r="AL491" s="4"/>
      <c r="AN491" s="150"/>
      <c r="AQ491" s="4"/>
    </row>
    <row r="492" spans="1:43" x14ac:dyDescent="0.25">
      <c r="A492" s="258">
        <f>ROW(TAB_Offres[[#This Row],[Reference]])-ROW(TAB_Offres[[#Headers],[ID]])</f>
        <v>491</v>
      </c>
      <c r="B492" s="258"/>
      <c r="C492" s="258"/>
      <c r="D492" s="258"/>
      <c r="E492" s="263"/>
      <c r="F492" s="258"/>
      <c r="G492" s="263"/>
      <c r="H492" s="262"/>
      <c r="I492" s="262"/>
      <c r="J492" s="262"/>
      <c r="K492" s="262"/>
      <c r="L492" s="262"/>
      <c r="M492" s="264"/>
      <c r="N492" s="262"/>
      <c r="O492" s="262"/>
      <c r="P492" s="262"/>
      <c r="Q492" s="263"/>
      <c r="R492" s="263"/>
      <c r="S492" s="292"/>
      <c r="T492" s="261"/>
      <c r="U492" s="261"/>
      <c r="V492" s="268"/>
      <c r="W492" s="268"/>
      <c r="X492" s="268"/>
      <c r="Y492" s="268"/>
      <c r="Z492" s="471">
        <f>SUMIF(TAB_CS[Reference],TAB_Offres[[#This Row],[Reference]],TAB_CS[Commited days])</f>
        <v>0</v>
      </c>
      <c r="AA492" s="269">
        <f>SUMIF(TAB_CS[Reference],TAB_Offres[[#This Row],[Reference]],TAB_CS[Commited amount])</f>
        <v>0</v>
      </c>
      <c r="AB492" s="275"/>
      <c r="AC492" s="270"/>
      <c r="AD492" s="270"/>
      <c r="AE492" s="264"/>
      <c r="AF492" s="271"/>
      <c r="AG492" s="278"/>
      <c r="AH492" s="277" t="str">
        <f>CONCATENATE(YEAR(TAB_Offres[[#This Row],[Request date ]]),"-",MONTH(TAB_Offres[[#This Row],[Request date ]]))</f>
        <v>1900-1</v>
      </c>
      <c r="AI492" s="274" t="e">
        <f>IF(#REF!,1,0)</f>
        <v>#REF!</v>
      </c>
      <c r="AJ492" s="4"/>
      <c r="AK492" s="4"/>
      <c r="AL492" s="4"/>
      <c r="AN492" s="150"/>
      <c r="AQ492" s="4"/>
    </row>
    <row r="493" spans="1:43" x14ac:dyDescent="0.25">
      <c r="A493" s="258">
        <f>ROW(TAB_Offres[[#This Row],[Reference]])-ROW(TAB_Offres[[#Headers],[ID]])</f>
        <v>492</v>
      </c>
      <c r="B493" s="258"/>
      <c r="C493" s="258"/>
      <c r="D493" s="258"/>
      <c r="E493" s="263"/>
      <c r="F493" s="258"/>
      <c r="G493" s="263"/>
      <c r="H493" s="262"/>
      <c r="I493" s="262"/>
      <c r="J493" s="262"/>
      <c r="K493" s="262"/>
      <c r="L493" s="262"/>
      <c r="M493" s="264"/>
      <c r="N493" s="262"/>
      <c r="O493" s="262"/>
      <c r="P493" s="262"/>
      <c r="Q493" s="263"/>
      <c r="R493" s="263"/>
      <c r="S493" s="292"/>
      <c r="T493" s="261"/>
      <c r="U493" s="261"/>
      <c r="V493" s="268"/>
      <c r="W493" s="268"/>
      <c r="X493" s="268"/>
      <c r="Y493" s="268"/>
      <c r="Z493" s="471">
        <f>SUMIF(TAB_CS[Reference],TAB_Offres[[#This Row],[Reference]],TAB_CS[Commited days])</f>
        <v>0</v>
      </c>
      <c r="AA493" s="269">
        <f>SUMIF(TAB_CS[Reference],TAB_Offres[[#This Row],[Reference]],TAB_CS[Commited amount])</f>
        <v>0</v>
      </c>
      <c r="AB493" s="275"/>
      <c r="AC493" s="270"/>
      <c r="AD493" s="270"/>
      <c r="AE493" s="264"/>
      <c r="AF493" s="271"/>
      <c r="AG493" s="278"/>
      <c r="AH493" s="277" t="str">
        <f>CONCATENATE(YEAR(TAB_Offres[[#This Row],[Request date ]]),"-",MONTH(TAB_Offres[[#This Row],[Request date ]]))</f>
        <v>1900-1</v>
      </c>
      <c r="AI493" s="274" t="e">
        <f>IF(#REF!,1,0)</f>
        <v>#REF!</v>
      </c>
      <c r="AJ493" s="4"/>
      <c r="AK493" s="4"/>
      <c r="AL493" s="4"/>
      <c r="AN493" s="150"/>
      <c r="AQ493" s="4"/>
    </row>
    <row r="494" spans="1:43" x14ac:dyDescent="0.25">
      <c r="A494" s="258">
        <f>ROW(TAB_Offres[[#This Row],[Reference]])-ROW(TAB_Offres[[#Headers],[ID]])</f>
        <v>493</v>
      </c>
      <c r="B494" s="258"/>
      <c r="C494" s="258"/>
      <c r="D494" s="258"/>
      <c r="E494" s="263"/>
      <c r="F494" s="258"/>
      <c r="G494" s="263"/>
      <c r="H494" s="262"/>
      <c r="I494" s="262"/>
      <c r="J494" s="262"/>
      <c r="K494" s="262"/>
      <c r="L494" s="262"/>
      <c r="M494" s="264"/>
      <c r="N494" s="262"/>
      <c r="O494" s="262"/>
      <c r="P494" s="262"/>
      <c r="Q494" s="263"/>
      <c r="R494" s="263"/>
      <c r="S494" s="292"/>
      <c r="T494" s="261"/>
      <c r="U494" s="261"/>
      <c r="V494" s="268"/>
      <c r="W494" s="268"/>
      <c r="X494" s="268"/>
      <c r="Y494" s="268"/>
      <c r="Z494" s="471">
        <f>SUMIF(TAB_CS[Reference],TAB_Offres[[#This Row],[Reference]],TAB_CS[Commited days])</f>
        <v>0</v>
      </c>
      <c r="AA494" s="269">
        <f>SUMIF(TAB_CS[Reference],TAB_Offres[[#This Row],[Reference]],TAB_CS[Commited amount])</f>
        <v>0</v>
      </c>
      <c r="AB494" s="275"/>
      <c r="AC494" s="270"/>
      <c r="AD494" s="270"/>
      <c r="AE494" s="264"/>
      <c r="AF494" s="271"/>
      <c r="AG494" s="278"/>
      <c r="AH494" s="277" t="str">
        <f>CONCATENATE(YEAR(TAB_Offres[[#This Row],[Request date ]]),"-",MONTH(TAB_Offres[[#This Row],[Request date ]]))</f>
        <v>1900-1</v>
      </c>
      <c r="AI494" s="274" t="e">
        <f>IF(#REF!,1,0)</f>
        <v>#REF!</v>
      </c>
      <c r="AJ494" s="4"/>
      <c r="AK494" s="4"/>
      <c r="AL494" s="4"/>
      <c r="AN494" s="150"/>
      <c r="AQ494" s="4"/>
    </row>
    <row r="495" spans="1:43" x14ac:dyDescent="0.25">
      <c r="A495" s="258">
        <f>ROW(TAB_Offres[[#This Row],[Reference]])-ROW(TAB_Offres[[#Headers],[ID]])</f>
        <v>494</v>
      </c>
      <c r="B495" s="258"/>
      <c r="C495" s="258"/>
      <c r="D495" s="258"/>
      <c r="E495" s="263"/>
      <c r="F495" s="258"/>
      <c r="G495" s="263"/>
      <c r="H495" s="262"/>
      <c r="I495" s="262"/>
      <c r="J495" s="262"/>
      <c r="K495" s="262"/>
      <c r="L495" s="262"/>
      <c r="M495" s="264"/>
      <c r="N495" s="262"/>
      <c r="O495" s="262"/>
      <c r="P495" s="262"/>
      <c r="Q495" s="263"/>
      <c r="R495" s="263"/>
      <c r="S495" s="292"/>
      <c r="T495" s="261"/>
      <c r="U495" s="261"/>
      <c r="V495" s="268"/>
      <c r="W495" s="268"/>
      <c r="X495" s="268"/>
      <c r="Y495" s="268"/>
      <c r="Z495" s="471">
        <f>SUMIF(TAB_CS[Reference],TAB_Offres[[#This Row],[Reference]],TAB_CS[Commited days])</f>
        <v>0</v>
      </c>
      <c r="AA495" s="269">
        <f>SUMIF(TAB_CS[Reference],TAB_Offres[[#This Row],[Reference]],TAB_CS[Commited amount])</f>
        <v>0</v>
      </c>
      <c r="AB495" s="275"/>
      <c r="AC495" s="270"/>
      <c r="AD495" s="270"/>
      <c r="AE495" s="264"/>
      <c r="AF495" s="271"/>
      <c r="AG495" s="278"/>
      <c r="AH495" s="277" t="str">
        <f>CONCATENATE(YEAR(TAB_Offres[[#This Row],[Request date ]]),"-",MONTH(TAB_Offres[[#This Row],[Request date ]]))</f>
        <v>1900-1</v>
      </c>
      <c r="AI495" s="274" t="e">
        <f>IF(#REF!,1,0)</f>
        <v>#REF!</v>
      </c>
      <c r="AJ495" s="4"/>
      <c r="AK495" s="4"/>
      <c r="AL495" s="4"/>
      <c r="AN495" s="150"/>
      <c r="AQ495" s="4"/>
    </row>
    <row r="496" spans="1:43" x14ac:dyDescent="0.25">
      <c r="A496" s="258">
        <f>ROW(TAB_Offres[[#This Row],[Reference]])-ROW(TAB_Offres[[#Headers],[ID]])</f>
        <v>495</v>
      </c>
      <c r="B496" s="258"/>
      <c r="C496" s="258"/>
      <c r="D496" s="258"/>
      <c r="E496" s="263"/>
      <c r="F496" s="258"/>
      <c r="G496" s="263"/>
      <c r="H496" s="262"/>
      <c r="I496" s="262"/>
      <c r="J496" s="262"/>
      <c r="K496" s="262"/>
      <c r="L496" s="262"/>
      <c r="M496" s="264"/>
      <c r="N496" s="262"/>
      <c r="O496" s="262"/>
      <c r="P496" s="262"/>
      <c r="Q496" s="263"/>
      <c r="R496" s="263"/>
      <c r="S496" s="292"/>
      <c r="T496" s="261"/>
      <c r="U496" s="261"/>
      <c r="V496" s="268"/>
      <c r="W496" s="268"/>
      <c r="X496" s="268"/>
      <c r="Y496" s="268"/>
      <c r="Z496" s="471">
        <f>SUMIF(TAB_CS[Reference],TAB_Offres[[#This Row],[Reference]],TAB_CS[Commited days])</f>
        <v>0</v>
      </c>
      <c r="AA496" s="269">
        <f>SUMIF(TAB_CS[Reference],TAB_Offres[[#This Row],[Reference]],TAB_CS[Commited amount])</f>
        <v>0</v>
      </c>
      <c r="AB496" s="275"/>
      <c r="AC496" s="270"/>
      <c r="AD496" s="270"/>
      <c r="AE496" s="264"/>
      <c r="AF496" s="271"/>
      <c r="AG496" s="278"/>
      <c r="AH496" s="277" t="str">
        <f>CONCATENATE(YEAR(TAB_Offres[[#This Row],[Request date ]]),"-",MONTH(TAB_Offres[[#This Row],[Request date ]]))</f>
        <v>1900-1</v>
      </c>
      <c r="AI496" s="274" t="e">
        <f>IF(#REF!,1,0)</f>
        <v>#REF!</v>
      </c>
      <c r="AJ496" s="4"/>
      <c r="AK496" s="4"/>
      <c r="AL496" s="4"/>
      <c r="AN496" s="150"/>
      <c r="AQ496" s="4"/>
    </row>
    <row r="497" spans="1:43" x14ac:dyDescent="0.25">
      <c r="A497" s="258">
        <f>ROW(TAB_Offres[[#This Row],[Reference]])-ROW(TAB_Offres[[#Headers],[ID]])</f>
        <v>496</v>
      </c>
      <c r="B497" s="258"/>
      <c r="C497" s="258"/>
      <c r="D497" s="258"/>
      <c r="E497" s="263"/>
      <c r="F497" s="258"/>
      <c r="G497" s="263"/>
      <c r="H497" s="262"/>
      <c r="I497" s="262"/>
      <c r="J497" s="262"/>
      <c r="K497" s="262"/>
      <c r="L497" s="262"/>
      <c r="M497" s="264"/>
      <c r="N497" s="262"/>
      <c r="O497" s="262"/>
      <c r="P497" s="262"/>
      <c r="Q497" s="263"/>
      <c r="R497" s="263"/>
      <c r="S497" s="292"/>
      <c r="T497" s="261"/>
      <c r="U497" s="261"/>
      <c r="V497" s="268"/>
      <c r="W497" s="268"/>
      <c r="X497" s="268"/>
      <c r="Y497" s="268"/>
      <c r="Z497" s="471">
        <f>SUMIF(TAB_CS[Reference],TAB_Offres[[#This Row],[Reference]],TAB_CS[Commited days])</f>
        <v>0</v>
      </c>
      <c r="AA497" s="269">
        <f>SUMIF(TAB_CS[Reference],TAB_Offres[[#This Row],[Reference]],TAB_CS[Commited amount])</f>
        <v>0</v>
      </c>
      <c r="AB497" s="275"/>
      <c r="AC497" s="270"/>
      <c r="AD497" s="270"/>
      <c r="AE497" s="264"/>
      <c r="AF497" s="271"/>
      <c r="AG497" s="278"/>
      <c r="AH497" s="277" t="str">
        <f>CONCATENATE(YEAR(TAB_Offres[[#This Row],[Request date ]]),"-",MONTH(TAB_Offres[[#This Row],[Request date ]]))</f>
        <v>1900-1</v>
      </c>
      <c r="AI497" s="274" t="e">
        <f>IF(#REF!,1,0)</f>
        <v>#REF!</v>
      </c>
      <c r="AJ497" s="4"/>
      <c r="AK497" s="4"/>
      <c r="AL497" s="4"/>
      <c r="AN497" s="150"/>
      <c r="AQ497" s="4"/>
    </row>
    <row r="498" spans="1:43" x14ac:dyDescent="0.25">
      <c r="A498" s="258">
        <f>ROW(TAB_Offres[[#This Row],[Reference]])-ROW(TAB_Offres[[#Headers],[ID]])</f>
        <v>497</v>
      </c>
      <c r="B498" s="258"/>
      <c r="C498" s="258"/>
      <c r="D498" s="258"/>
      <c r="E498" s="263"/>
      <c r="F498" s="258"/>
      <c r="G498" s="263"/>
      <c r="H498" s="262"/>
      <c r="I498" s="262"/>
      <c r="J498" s="262"/>
      <c r="K498" s="262"/>
      <c r="L498" s="262"/>
      <c r="M498" s="264"/>
      <c r="N498" s="262"/>
      <c r="O498" s="262"/>
      <c r="P498" s="262"/>
      <c r="Q498" s="263"/>
      <c r="R498" s="263"/>
      <c r="S498" s="292"/>
      <c r="T498" s="261"/>
      <c r="U498" s="261"/>
      <c r="V498" s="268"/>
      <c r="W498" s="268"/>
      <c r="X498" s="268"/>
      <c r="Y498" s="268"/>
      <c r="Z498" s="471">
        <f>SUMIF(TAB_CS[Reference],TAB_Offres[[#This Row],[Reference]],TAB_CS[Commited days])</f>
        <v>0</v>
      </c>
      <c r="AA498" s="269">
        <f>SUMIF(TAB_CS[Reference],TAB_Offres[[#This Row],[Reference]],TAB_CS[Commited amount])</f>
        <v>0</v>
      </c>
      <c r="AB498" s="275"/>
      <c r="AC498" s="270"/>
      <c r="AD498" s="270"/>
      <c r="AE498" s="264"/>
      <c r="AF498" s="271"/>
      <c r="AG498" s="278"/>
      <c r="AH498" s="277" t="str">
        <f>CONCATENATE(YEAR(TAB_Offres[[#This Row],[Request date ]]),"-",MONTH(TAB_Offres[[#This Row],[Request date ]]))</f>
        <v>1900-1</v>
      </c>
      <c r="AI498" s="274" t="e">
        <f>IF(#REF!,1,0)</f>
        <v>#REF!</v>
      </c>
      <c r="AJ498" s="4"/>
      <c r="AK498" s="4"/>
      <c r="AL498" s="4"/>
      <c r="AN498" s="150"/>
      <c r="AQ498" s="4"/>
    </row>
    <row r="499" spans="1:43" x14ac:dyDescent="0.25">
      <c r="A499" s="258">
        <f>ROW(TAB_Offres[[#This Row],[Reference]])-ROW(TAB_Offres[[#Headers],[ID]])</f>
        <v>498</v>
      </c>
      <c r="B499" s="258"/>
      <c r="C499" s="258"/>
      <c r="D499" s="258"/>
      <c r="E499" s="263"/>
      <c r="F499" s="258"/>
      <c r="G499" s="263"/>
      <c r="H499" s="262"/>
      <c r="I499" s="262"/>
      <c r="J499" s="262"/>
      <c r="K499" s="262"/>
      <c r="L499" s="262"/>
      <c r="M499" s="264"/>
      <c r="N499" s="262"/>
      <c r="O499" s="262"/>
      <c r="P499" s="262"/>
      <c r="Q499" s="263"/>
      <c r="R499" s="263"/>
      <c r="S499" s="292"/>
      <c r="T499" s="261"/>
      <c r="U499" s="261"/>
      <c r="V499" s="268"/>
      <c r="W499" s="268"/>
      <c r="X499" s="268"/>
      <c r="Y499" s="268"/>
      <c r="Z499" s="471">
        <f>SUMIF(TAB_CS[Reference],TAB_Offres[[#This Row],[Reference]],TAB_CS[Commited days])</f>
        <v>0</v>
      </c>
      <c r="AA499" s="269">
        <f>SUMIF(TAB_CS[Reference],TAB_Offres[[#This Row],[Reference]],TAB_CS[Commited amount])</f>
        <v>0</v>
      </c>
      <c r="AB499" s="275"/>
      <c r="AC499" s="270"/>
      <c r="AD499" s="270"/>
      <c r="AE499" s="264"/>
      <c r="AF499" s="271"/>
      <c r="AG499" s="278"/>
      <c r="AH499" s="277" t="str">
        <f>CONCATENATE(YEAR(TAB_Offres[[#This Row],[Request date ]]),"-",MONTH(TAB_Offres[[#This Row],[Request date ]]))</f>
        <v>1900-1</v>
      </c>
      <c r="AI499" s="274" t="e">
        <f>IF(#REF!,1,0)</f>
        <v>#REF!</v>
      </c>
      <c r="AJ499" s="4"/>
      <c r="AK499" s="4"/>
      <c r="AL499" s="4"/>
      <c r="AN499" s="150"/>
      <c r="AQ499" s="4"/>
    </row>
    <row r="500" spans="1:43" x14ac:dyDescent="0.25">
      <c r="A500" s="258">
        <f>ROW(TAB_Offres[[#This Row],[Reference]])-ROW(TAB_Offres[[#Headers],[ID]])</f>
        <v>499</v>
      </c>
      <c r="B500" s="258"/>
      <c r="C500" s="258"/>
      <c r="D500" s="258"/>
      <c r="E500" s="263"/>
      <c r="F500" s="258"/>
      <c r="G500" s="263"/>
      <c r="H500" s="262"/>
      <c r="I500" s="262"/>
      <c r="J500" s="262"/>
      <c r="K500" s="262"/>
      <c r="L500" s="262"/>
      <c r="M500" s="264"/>
      <c r="N500" s="262"/>
      <c r="O500" s="262"/>
      <c r="P500" s="262"/>
      <c r="Q500" s="263"/>
      <c r="R500" s="263"/>
      <c r="S500" s="292"/>
      <c r="T500" s="261"/>
      <c r="U500" s="261"/>
      <c r="V500" s="268"/>
      <c r="W500" s="268"/>
      <c r="X500" s="268"/>
      <c r="Y500" s="268"/>
      <c r="Z500" s="471">
        <f>SUMIF(TAB_CS[Reference],TAB_Offres[[#This Row],[Reference]],TAB_CS[Commited days])</f>
        <v>0</v>
      </c>
      <c r="AA500" s="269">
        <f>SUMIF(TAB_CS[Reference],TAB_Offres[[#This Row],[Reference]],TAB_CS[Commited amount])</f>
        <v>0</v>
      </c>
      <c r="AB500" s="275"/>
      <c r="AC500" s="270"/>
      <c r="AD500" s="270"/>
      <c r="AE500" s="264"/>
      <c r="AF500" s="271"/>
      <c r="AG500" s="278"/>
      <c r="AH500" s="277" t="str">
        <f>CONCATENATE(YEAR(TAB_Offres[[#This Row],[Request date ]]),"-",MONTH(TAB_Offres[[#This Row],[Request date ]]))</f>
        <v>1900-1</v>
      </c>
      <c r="AI500" s="274" t="e">
        <f>IF(#REF!,1,0)</f>
        <v>#REF!</v>
      </c>
      <c r="AJ500" s="4"/>
      <c r="AK500" s="4"/>
      <c r="AL500" s="4"/>
      <c r="AN500" s="150"/>
      <c r="AQ500" s="4"/>
    </row>
    <row r="501" spans="1:43" x14ac:dyDescent="0.25">
      <c r="A501" s="258">
        <f>ROW(TAB_Offres[[#This Row],[Reference]])-ROW(TAB_Offres[[#Headers],[ID]])</f>
        <v>500</v>
      </c>
      <c r="B501" s="258"/>
      <c r="C501" s="258"/>
      <c r="D501" s="258"/>
      <c r="E501" s="263"/>
      <c r="F501" s="258"/>
      <c r="G501" s="263"/>
      <c r="H501" s="262"/>
      <c r="I501" s="262"/>
      <c r="J501" s="262"/>
      <c r="K501" s="262"/>
      <c r="L501" s="262"/>
      <c r="M501" s="264"/>
      <c r="N501" s="262"/>
      <c r="O501" s="262"/>
      <c r="P501" s="262"/>
      <c r="Q501" s="263"/>
      <c r="R501" s="263"/>
      <c r="S501" s="292"/>
      <c r="T501" s="261"/>
      <c r="U501" s="261"/>
      <c r="V501" s="268"/>
      <c r="W501" s="268"/>
      <c r="X501" s="268"/>
      <c r="Y501" s="268"/>
      <c r="Z501" s="471">
        <f>SUMIF(TAB_CS[Reference],TAB_Offres[[#This Row],[Reference]],TAB_CS[Commited days])</f>
        <v>0</v>
      </c>
      <c r="AA501" s="269">
        <f>SUMIF(TAB_CS[Reference],TAB_Offres[[#This Row],[Reference]],TAB_CS[Commited amount])</f>
        <v>0</v>
      </c>
      <c r="AB501" s="275"/>
      <c r="AC501" s="270"/>
      <c r="AD501" s="270"/>
      <c r="AE501" s="264"/>
      <c r="AF501" s="271"/>
      <c r="AG501" s="278"/>
      <c r="AH501" s="277" t="str">
        <f>CONCATENATE(YEAR(TAB_Offres[[#This Row],[Request date ]]),"-",MONTH(TAB_Offres[[#This Row],[Request date ]]))</f>
        <v>1900-1</v>
      </c>
      <c r="AI501" s="274" t="e">
        <f>IF(#REF!,1,0)</f>
        <v>#REF!</v>
      </c>
      <c r="AJ501" s="4"/>
      <c r="AK501" s="4"/>
      <c r="AL501" s="4"/>
      <c r="AN501" s="150"/>
      <c r="AQ501" s="4"/>
    </row>
    <row r="502" spans="1:43" x14ac:dyDescent="0.25">
      <c r="A502" s="258">
        <f>ROW(TAB_Offres[[#This Row],[Reference]])-ROW(TAB_Offres[[#Headers],[ID]])</f>
        <v>501</v>
      </c>
      <c r="B502" s="258"/>
      <c r="C502" s="258"/>
      <c r="D502" s="258"/>
      <c r="E502" s="263"/>
      <c r="F502" s="258"/>
      <c r="G502" s="263"/>
      <c r="H502" s="262"/>
      <c r="I502" s="262"/>
      <c r="J502" s="262"/>
      <c r="K502" s="262"/>
      <c r="L502" s="262"/>
      <c r="M502" s="264"/>
      <c r="N502" s="262"/>
      <c r="O502" s="262"/>
      <c r="P502" s="262"/>
      <c r="Q502" s="263"/>
      <c r="R502" s="263"/>
      <c r="S502" s="292"/>
      <c r="T502" s="261"/>
      <c r="U502" s="261"/>
      <c r="V502" s="268"/>
      <c r="W502" s="268"/>
      <c r="X502" s="268"/>
      <c r="Y502" s="268"/>
      <c r="Z502" s="471">
        <f>SUMIF(TAB_CS[Reference],TAB_Offres[[#This Row],[Reference]],TAB_CS[Commited days])</f>
        <v>0</v>
      </c>
      <c r="AA502" s="269">
        <f>SUMIF(TAB_CS[Reference],TAB_Offres[[#This Row],[Reference]],TAB_CS[Commited amount])</f>
        <v>0</v>
      </c>
      <c r="AB502" s="275"/>
      <c r="AC502" s="270"/>
      <c r="AD502" s="270"/>
      <c r="AE502" s="264"/>
      <c r="AF502" s="271"/>
      <c r="AG502" s="278"/>
      <c r="AH502" s="277" t="str">
        <f>CONCATENATE(YEAR(TAB_Offres[[#This Row],[Request date ]]),"-",MONTH(TAB_Offres[[#This Row],[Request date ]]))</f>
        <v>1900-1</v>
      </c>
      <c r="AI502" s="274" t="e">
        <f>IF(#REF!,1,0)</f>
        <v>#REF!</v>
      </c>
      <c r="AJ502" s="4"/>
      <c r="AK502" s="4"/>
      <c r="AL502" s="4"/>
      <c r="AN502" s="150"/>
      <c r="AQ502" s="4"/>
    </row>
    <row r="503" spans="1:43" x14ac:dyDescent="0.25">
      <c r="A503" s="258">
        <f>ROW(TAB_Offres[[#This Row],[Reference]])-ROW(TAB_Offres[[#Headers],[ID]])</f>
        <v>502</v>
      </c>
      <c r="B503" s="258"/>
      <c r="C503" s="258"/>
      <c r="D503" s="258"/>
      <c r="E503" s="263"/>
      <c r="F503" s="258"/>
      <c r="G503" s="263"/>
      <c r="H503" s="262"/>
      <c r="I503" s="262"/>
      <c r="J503" s="262"/>
      <c r="K503" s="262"/>
      <c r="L503" s="262"/>
      <c r="M503" s="264"/>
      <c r="N503" s="262"/>
      <c r="O503" s="262"/>
      <c r="P503" s="262"/>
      <c r="Q503" s="263"/>
      <c r="R503" s="263"/>
      <c r="S503" s="292"/>
      <c r="T503" s="261"/>
      <c r="U503" s="261"/>
      <c r="V503" s="268"/>
      <c r="W503" s="268"/>
      <c r="X503" s="268"/>
      <c r="Y503" s="268"/>
      <c r="Z503" s="471">
        <f>SUMIF(TAB_CS[Reference],TAB_Offres[[#This Row],[Reference]],TAB_CS[Commited days])</f>
        <v>0</v>
      </c>
      <c r="AA503" s="269">
        <f>SUMIF(TAB_CS[Reference],TAB_Offres[[#This Row],[Reference]],TAB_CS[Commited amount])</f>
        <v>0</v>
      </c>
      <c r="AB503" s="275"/>
      <c r="AC503" s="270"/>
      <c r="AD503" s="270"/>
      <c r="AE503" s="264"/>
      <c r="AF503" s="271"/>
      <c r="AG503" s="278"/>
      <c r="AH503" s="277" t="str">
        <f>CONCATENATE(YEAR(TAB_Offres[[#This Row],[Request date ]]),"-",MONTH(TAB_Offres[[#This Row],[Request date ]]))</f>
        <v>1900-1</v>
      </c>
      <c r="AI503" s="274" t="e">
        <f>IF(#REF!,1,0)</f>
        <v>#REF!</v>
      </c>
      <c r="AJ503" s="4"/>
      <c r="AK503" s="4"/>
      <c r="AL503" s="4"/>
      <c r="AN503" s="150"/>
      <c r="AQ503" s="4"/>
    </row>
    <row r="504" spans="1:43" x14ac:dyDescent="0.25">
      <c r="A504" s="258">
        <f>ROW(TAB_Offres[[#This Row],[Reference]])-ROW(TAB_Offres[[#Headers],[ID]])</f>
        <v>503</v>
      </c>
      <c r="B504" s="258"/>
      <c r="C504" s="258"/>
      <c r="D504" s="258"/>
      <c r="E504" s="263"/>
      <c r="F504" s="258"/>
      <c r="G504" s="263"/>
      <c r="H504" s="262"/>
      <c r="I504" s="262"/>
      <c r="J504" s="262"/>
      <c r="K504" s="262"/>
      <c r="L504" s="262"/>
      <c r="M504" s="264"/>
      <c r="N504" s="262"/>
      <c r="O504" s="262"/>
      <c r="P504" s="262"/>
      <c r="Q504" s="263"/>
      <c r="R504" s="263"/>
      <c r="S504" s="292"/>
      <c r="T504" s="261"/>
      <c r="U504" s="261"/>
      <c r="V504" s="268"/>
      <c r="W504" s="268"/>
      <c r="X504" s="268"/>
      <c r="Y504" s="268"/>
      <c r="Z504" s="471">
        <f>SUMIF(TAB_CS[Reference],TAB_Offres[[#This Row],[Reference]],TAB_CS[Commited days])</f>
        <v>0</v>
      </c>
      <c r="AA504" s="269">
        <f>SUMIF(TAB_CS[Reference],TAB_Offres[[#This Row],[Reference]],TAB_CS[Commited amount])</f>
        <v>0</v>
      </c>
      <c r="AB504" s="275"/>
      <c r="AC504" s="270"/>
      <c r="AD504" s="270"/>
      <c r="AE504" s="264"/>
      <c r="AF504" s="271"/>
      <c r="AG504" s="278"/>
      <c r="AH504" s="277" t="str">
        <f>CONCATENATE(YEAR(TAB_Offres[[#This Row],[Request date ]]),"-",MONTH(TAB_Offres[[#This Row],[Request date ]]))</f>
        <v>1900-1</v>
      </c>
      <c r="AI504" s="274" t="e">
        <f>IF(#REF!,1,0)</f>
        <v>#REF!</v>
      </c>
      <c r="AJ504" s="4"/>
      <c r="AK504" s="4"/>
      <c r="AL504" s="4"/>
      <c r="AN504" s="150"/>
      <c r="AQ504" s="4"/>
    </row>
    <row r="505" spans="1:43" x14ac:dyDescent="0.25">
      <c r="A505" s="258">
        <f>ROW(TAB_Offres[[#This Row],[Reference]])-ROW(TAB_Offres[[#Headers],[ID]])</f>
        <v>504</v>
      </c>
      <c r="B505" s="258"/>
      <c r="C505" s="258"/>
      <c r="D505" s="258"/>
      <c r="E505" s="263"/>
      <c r="F505" s="258"/>
      <c r="G505" s="263"/>
      <c r="H505" s="262"/>
      <c r="I505" s="262"/>
      <c r="J505" s="262"/>
      <c r="K505" s="262"/>
      <c r="L505" s="262"/>
      <c r="M505" s="264"/>
      <c r="N505" s="262"/>
      <c r="O505" s="262"/>
      <c r="P505" s="262"/>
      <c r="Q505" s="263"/>
      <c r="R505" s="263"/>
      <c r="S505" s="292"/>
      <c r="T505" s="261"/>
      <c r="U505" s="261"/>
      <c r="V505" s="268"/>
      <c r="W505" s="268"/>
      <c r="X505" s="268"/>
      <c r="Y505" s="268"/>
      <c r="Z505" s="471">
        <f>SUMIF(TAB_CS[Reference],TAB_Offres[[#This Row],[Reference]],TAB_CS[Commited days])</f>
        <v>0</v>
      </c>
      <c r="AA505" s="269">
        <f>SUMIF(TAB_CS[Reference],TAB_Offres[[#This Row],[Reference]],TAB_CS[Commited amount])</f>
        <v>0</v>
      </c>
      <c r="AB505" s="275"/>
      <c r="AC505" s="270"/>
      <c r="AD505" s="270"/>
      <c r="AE505" s="264"/>
      <c r="AF505" s="271"/>
      <c r="AG505" s="278"/>
      <c r="AH505" s="277" t="str">
        <f>CONCATENATE(YEAR(TAB_Offres[[#This Row],[Request date ]]),"-",MONTH(TAB_Offres[[#This Row],[Request date ]]))</f>
        <v>1900-1</v>
      </c>
      <c r="AI505" s="274" t="e">
        <f>IF(#REF!,1,0)</f>
        <v>#REF!</v>
      </c>
      <c r="AJ505" s="4"/>
      <c r="AK505" s="4"/>
      <c r="AL505" s="4"/>
      <c r="AN505" s="150"/>
      <c r="AQ505" s="4"/>
    </row>
    <row r="506" spans="1:43" x14ac:dyDescent="0.25">
      <c r="A506" s="258">
        <f>ROW(TAB_Offres[[#This Row],[Reference]])-ROW(TAB_Offres[[#Headers],[ID]])</f>
        <v>505</v>
      </c>
      <c r="B506" s="258"/>
      <c r="C506" s="258"/>
      <c r="D506" s="258"/>
      <c r="E506" s="263"/>
      <c r="F506" s="258"/>
      <c r="G506" s="263"/>
      <c r="H506" s="262"/>
      <c r="I506" s="262"/>
      <c r="J506" s="262"/>
      <c r="K506" s="262"/>
      <c r="L506" s="262"/>
      <c r="M506" s="264"/>
      <c r="N506" s="262"/>
      <c r="O506" s="262"/>
      <c r="P506" s="262"/>
      <c r="Q506" s="263"/>
      <c r="R506" s="263"/>
      <c r="S506" s="292"/>
      <c r="T506" s="261"/>
      <c r="U506" s="261"/>
      <c r="V506" s="268"/>
      <c r="W506" s="268"/>
      <c r="X506" s="268"/>
      <c r="Y506" s="268"/>
      <c r="Z506" s="471">
        <f>SUMIF(TAB_CS[Reference],TAB_Offres[[#This Row],[Reference]],TAB_CS[Commited days])</f>
        <v>0</v>
      </c>
      <c r="AA506" s="269">
        <f>SUMIF(TAB_CS[Reference],TAB_Offres[[#This Row],[Reference]],TAB_CS[Commited amount])</f>
        <v>0</v>
      </c>
      <c r="AB506" s="275"/>
      <c r="AC506" s="270"/>
      <c r="AD506" s="270"/>
      <c r="AE506" s="264"/>
      <c r="AF506" s="271"/>
      <c r="AG506" s="278"/>
      <c r="AH506" s="277" t="str">
        <f>CONCATENATE(YEAR(TAB_Offres[[#This Row],[Request date ]]),"-",MONTH(TAB_Offres[[#This Row],[Request date ]]))</f>
        <v>1900-1</v>
      </c>
      <c r="AI506" s="274" t="e">
        <f>IF(#REF!,1,0)</f>
        <v>#REF!</v>
      </c>
      <c r="AJ506" s="4"/>
      <c r="AK506" s="4"/>
      <c r="AL506" s="4"/>
      <c r="AN506" s="150"/>
      <c r="AQ506" s="4"/>
    </row>
    <row r="507" spans="1:43" x14ac:dyDescent="0.25">
      <c r="A507" s="258">
        <f>ROW(TAB_Offres[[#This Row],[Reference]])-ROW(TAB_Offres[[#Headers],[ID]])</f>
        <v>506</v>
      </c>
      <c r="B507" s="258"/>
      <c r="C507" s="258"/>
      <c r="D507" s="258"/>
      <c r="E507" s="263"/>
      <c r="F507" s="258"/>
      <c r="G507" s="263"/>
      <c r="H507" s="262"/>
      <c r="I507" s="262"/>
      <c r="J507" s="262"/>
      <c r="K507" s="262"/>
      <c r="L507" s="262"/>
      <c r="M507" s="264"/>
      <c r="N507" s="262"/>
      <c r="O507" s="262"/>
      <c r="P507" s="262"/>
      <c r="Q507" s="263"/>
      <c r="R507" s="263"/>
      <c r="S507" s="292"/>
      <c r="T507" s="261"/>
      <c r="U507" s="261"/>
      <c r="V507" s="268"/>
      <c r="W507" s="268"/>
      <c r="X507" s="268"/>
      <c r="Y507" s="268"/>
      <c r="Z507" s="471">
        <f>SUMIF(TAB_CS[Reference],TAB_Offres[[#This Row],[Reference]],TAB_CS[Commited days])</f>
        <v>0</v>
      </c>
      <c r="AA507" s="269">
        <f>SUMIF(TAB_CS[Reference],TAB_Offres[[#This Row],[Reference]],TAB_CS[Commited amount])</f>
        <v>0</v>
      </c>
      <c r="AB507" s="275"/>
      <c r="AC507" s="270"/>
      <c r="AD507" s="270"/>
      <c r="AE507" s="264"/>
      <c r="AF507" s="271"/>
      <c r="AG507" s="278"/>
      <c r="AH507" s="277" t="str">
        <f>CONCATENATE(YEAR(TAB_Offres[[#This Row],[Request date ]]),"-",MONTH(TAB_Offres[[#This Row],[Request date ]]))</f>
        <v>1900-1</v>
      </c>
      <c r="AI507" s="274" t="e">
        <f>IF(#REF!,1,0)</f>
        <v>#REF!</v>
      </c>
      <c r="AJ507" s="4"/>
      <c r="AK507" s="4"/>
      <c r="AL507" s="4"/>
      <c r="AN507" s="150"/>
      <c r="AQ507" s="4"/>
    </row>
    <row r="508" spans="1:43" x14ac:dyDescent="0.25">
      <c r="A508" s="258">
        <f>ROW(TAB_Offres[[#This Row],[Reference]])-ROW(TAB_Offres[[#Headers],[ID]])</f>
        <v>507</v>
      </c>
      <c r="B508" s="258"/>
      <c r="C508" s="258"/>
      <c r="D508" s="258"/>
      <c r="E508" s="263"/>
      <c r="F508" s="258"/>
      <c r="G508" s="263"/>
      <c r="H508" s="262"/>
      <c r="I508" s="262"/>
      <c r="J508" s="262"/>
      <c r="K508" s="262"/>
      <c r="L508" s="262"/>
      <c r="M508" s="264"/>
      <c r="N508" s="262"/>
      <c r="O508" s="262"/>
      <c r="P508" s="262"/>
      <c r="Q508" s="263"/>
      <c r="R508" s="263"/>
      <c r="S508" s="292"/>
      <c r="T508" s="261"/>
      <c r="U508" s="261"/>
      <c r="V508" s="268"/>
      <c r="W508" s="268"/>
      <c r="X508" s="268"/>
      <c r="Y508" s="268"/>
      <c r="Z508" s="471">
        <f>SUMIF(TAB_CS[Reference],TAB_Offres[[#This Row],[Reference]],TAB_CS[Commited days])</f>
        <v>0</v>
      </c>
      <c r="AA508" s="269">
        <f>SUMIF(TAB_CS[Reference],TAB_Offres[[#This Row],[Reference]],TAB_CS[Commited amount])</f>
        <v>0</v>
      </c>
      <c r="AB508" s="275"/>
      <c r="AC508" s="270"/>
      <c r="AD508" s="270"/>
      <c r="AE508" s="264"/>
      <c r="AF508" s="271"/>
      <c r="AG508" s="278"/>
      <c r="AH508" s="277" t="str">
        <f>CONCATENATE(YEAR(TAB_Offres[[#This Row],[Request date ]]),"-",MONTH(TAB_Offres[[#This Row],[Request date ]]))</f>
        <v>1900-1</v>
      </c>
      <c r="AI508" s="274" t="e">
        <f>IF(#REF!,1,0)</f>
        <v>#REF!</v>
      </c>
      <c r="AJ508" s="4"/>
      <c r="AK508" s="4"/>
      <c r="AL508" s="4"/>
      <c r="AN508" s="150"/>
      <c r="AQ508" s="4"/>
    </row>
    <row r="509" spans="1:43" x14ac:dyDescent="0.25">
      <c r="A509" s="258">
        <f>ROW(TAB_Offres[[#This Row],[Reference]])-ROW(TAB_Offres[[#Headers],[ID]])</f>
        <v>508</v>
      </c>
      <c r="B509" s="258"/>
      <c r="C509" s="258"/>
      <c r="D509" s="258"/>
      <c r="E509" s="263"/>
      <c r="F509" s="258"/>
      <c r="G509" s="263"/>
      <c r="H509" s="262"/>
      <c r="I509" s="262"/>
      <c r="J509" s="262"/>
      <c r="K509" s="262"/>
      <c r="L509" s="262"/>
      <c r="M509" s="264"/>
      <c r="N509" s="262"/>
      <c r="O509" s="262"/>
      <c r="P509" s="262"/>
      <c r="Q509" s="263"/>
      <c r="R509" s="263"/>
      <c r="S509" s="292"/>
      <c r="T509" s="261"/>
      <c r="U509" s="261"/>
      <c r="V509" s="268"/>
      <c r="W509" s="268"/>
      <c r="X509" s="268"/>
      <c r="Y509" s="268"/>
      <c r="Z509" s="471">
        <f>SUMIF(TAB_CS[Reference],TAB_Offres[[#This Row],[Reference]],TAB_CS[Commited days])</f>
        <v>0</v>
      </c>
      <c r="AA509" s="269">
        <f>SUMIF(TAB_CS[Reference],TAB_Offres[[#This Row],[Reference]],TAB_CS[Commited amount])</f>
        <v>0</v>
      </c>
      <c r="AB509" s="275"/>
      <c r="AC509" s="270"/>
      <c r="AD509" s="270"/>
      <c r="AE509" s="264"/>
      <c r="AF509" s="271"/>
      <c r="AG509" s="278"/>
      <c r="AH509" s="277" t="str">
        <f>CONCATENATE(YEAR(TAB_Offres[[#This Row],[Request date ]]),"-",MONTH(TAB_Offres[[#This Row],[Request date ]]))</f>
        <v>1900-1</v>
      </c>
      <c r="AI509" s="274" t="e">
        <f>IF(#REF!,1,0)</f>
        <v>#REF!</v>
      </c>
      <c r="AJ509" s="4"/>
      <c r="AK509" s="4"/>
      <c r="AL509" s="4"/>
      <c r="AN509" s="150"/>
      <c r="AQ509" s="4"/>
    </row>
    <row r="510" spans="1:43" x14ac:dyDescent="0.25">
      <c r="A510" s="258">
        <f>ROW(TAB_Offres[[#This Row],[Reference]])-ROW(TAB_Offres[[#Headers],[ID]])</f>
        <v>509</v>
      </c>
      <c r="B510" s="258"/>
      <c r="C510" s="258"/>
      <c r="D510" s="258"/>
      <c r="E510" s="263"/>
      <c r="F510" s="258"/>
      <c r="G510" s="263"/>
      <c r="H510" s="262"/>
      <c r="I510" s="262"/>
      <c r="J510" s="262"/>
      <c r="K510" s="262"/>
      <c r="L510" s="262"/>
      <c r="M510" s="264"/>
      <c r="N510" s="262"/>
      <c r="O510" s="262"/>
      <c r="P510" s="262"/>
      <c r="Q510" s="263"/>
      <c r="R510" s="263"/>
      <c r="S510" s="292"/>
      <c r="T510" s="261"/>
      <c r="U510" s="261"/>
      <c r="V510" s="268"/>
      <c r="W510" s="268"/>
      <c r="X510" s="268"/>
      <c r="Y510" s="268"/>
      <c r="Z510" s="471">
        <f>SUMIF(TAB_CS[Reference],TAB_Offres[[#This Row],[Reference]],TAB_CS[Commited days])</f>
        <v>0</v>
      </c>
      <c r="AA510" s="269">
        <f>SUMIF(TAB_CS[Reference],TAB_Offres[[#This Row],[Reference]],TAB_CS[Commited amount])</f>
        <v>0</v>
      </c>
      <c r="AB510" s="275"/>
      <c r="AC510" s="270"/>
      <c r="AD510" s="270"/>
      <c r="AE510" s="264"/>
      <c r="AF510" s="271"/>
      <c r="AG510" s="278"/>
      <c r="AH510" s="277" t="str">
        <f>CONCATENATE(YEAR(TAB_Offres[[#This Row],[Request date ]]),"-",MONTH(TAB_Offres[[#This Row],[Request date ]]))</f>
        <v>1900-1</v>
      </c>
      <c r="AI510" s="274" t="e">
        <f>IF(#REF!,1,0)</f>
        <v>#REF!</v>
      </c>
      <c r="AJ510" s="4"/>
      <c r="AK510" s="4"/>
      <c r="AL510" s="4"/>
      <c r="AN510" s="150"/>
      <c r="AQ510" s="4"/>
    </row>
    <row r="511" spans="1:43" x14ac:dyDescent="0.25">
      <c r="A511" s="258">
        <f>ROW(TAB_Offres[[#This Row],[Reference]])-ROW(TAB_Offres[[#Headers],[ID]])</f>
        <v>510</v>
      </c>
      <c r="B511" s="258"/>
      <c r="C511" s="258"/>
      <c r="D511" s="258"/>
      <c r="E511" s="263"/>
      <c r="F511" s="258"/>
      <c r="G511" s="263"/>
      <c r="H511" s="262"/>
      <c r="I511" s="262"/>
      <c r="J511" s="262"/>
      <c r="K511" s="262"/>
      <c r="L511" s="262"/>
      <c r="M511" s="264"/>
      <c r="N511" s="262"/>
      <c r="O511" s="262"/>
      <c r="P511" s="262"/>
      <c r="Q511" s="263"/>
      <c r="R511" s="263"/>
      <c r="S511" s="292"/>
      <c r="T511" s="261"/>
      <c r="U511" s="261"/>
      <c r="V511" s="268"/>
      <c r="W511" s="268"/>
      <c r="X511" s="268"/>
      <c r="Y511" s="268"/>
      <c r="Z511" s="471">
        <f>SUMIF(TAB_CS[Reference],TAB_Offres[[#This Row],[Reference]],TAB_CS[Commited days])</f>
        <v>0</v>
      </c>
      <c r="AA511" s="269">
        <f>SUMIF(TAB_CS[Reference],TAB_Offres[[#This Row],[Reference]],TAB_CS[Commited amount])</f>
        <v>0</v>
      </c>
      <c r="AB511" s="275"/>
      <c r="AC511" s="270"/>
      <c r="AD511" s="270"/>
      <c r="AE511" s="264"/>
      <c r="AF511" s="271"/>
      <c r="AG511" s="278"/>
      <c r="AH511" s="277" t="str">
        <f>CONCATENATE(YEAR(TAB_Offres[[#This Row],[Request date ]]),"-",MONTH(TAB_Offres[[#This Row],[Request date ]]))</f>
        <v>1900-1</v>
      </c>
      <c r="AI511" s="274" t="e">
        <f>IF(#REF!,1,0)</f>
        <v>#REF!</v>
      </c>
      <c r="AJ511" s="4"/>
      <c r="AK511" s="4"/>
      <c r="AL511" s="4"/>
      <c r="AN511" s="150"/>
      <c r="AQ511" s="4"/>
    </row>
    <row r="512" spans="1:43" x14ac:dyDescent="0.25">
      <c r="A512" s="258">
        <f>ROW(TAB_Offres[[#This Row],[Reference]])-ROW(TAB_Offres[[#Headers],[ID]])</f>
        <v>511</v>
      </c>
      <c r="B512" s="258"/>
      <c r="C512" s="258"/>
      <c r="D512" s="258"/>
      <c r="E512" s="263"/>
      <c r="F512" s="258"/>
      <c r="G512" s="263"/>
      <c r="H512" s="262"/>
      <c r="I512" s="262"/>
      <c r="J512" s="262"/>
      <c r="K512" s="262"/>
      <c r="L512" s="262"/>
      <c r="M512" s="264"/>
      <c r="N512" s="262"/>
      <c r="O512" s="262"/>
      <c r="P512" s="262"/>
      <c r="Q512" s="263"/>
      <c r="R512" s="263"/>
      <c r="S512" s="292"/>
      <c r="T512" s="261"/>
      <c r="U512" s="261"/>
      <c r="V512" s="268"/>
      <c r="W512" s="268"/>
      <c r="X512" s="268"/>
      <c r="Y512" s="268"/>
      <c r="Z512" s="471">
        <f>SUMIF(TAB_CS[Reference],TAB_Offres[[#This Row],[Reference]],TAB_CS[Commited days])</f>
        <v>0</v>
      </c>
      <c r="AA512" s="269">
        <f>SUMIF(TAB_CS[Reference],TAB_Offres[[#This Row],[Reference]],TAB_CS[Commited amount])</f>
        <v>0</v>
      </c>
      <c r="AB512" s="275"/>
      <c r="AC512" s="270"/>
      <c r="AD512" s="270"/>
      <c r="AE512" s="264"/>
      <c r="AF512" s="271"/>
      <c r="AG512" s="278"/>
      <c r="AH512" s="277" t="str">
        <f>CONCATENATE(YEAR(TAB_Offres[[#This Row],[Request date ]]),"-",MONTH(TAB_Offres[[#This Row],[Request date ]]))</f>
        <v>1900-1</v>
      </c>
      <c r="AI512" s="274" t="e">
        <f>IF(#REF!,1,0)</f>
        <v>#REF!</v>
      </c>
      <c r="AJ512" s="4"/>
      <c r="AK512" s="4"/>
      <c r="AL512" s="4"/>
      <c r="AN512" s="150"/>
      <c r="AQ512" s="4"/>
    </row>
    <row r="513" spans="1:43" x14ac:dyDescent="0.25">
      <c r="A513" s="258">
        <f>ROW(TAB_Offres[[#This Row],[Reference]])-ROW(TAB_Offres[[#Headers],[ID]])</f>
        <v>512</v>
      </c>
      <c r="B513" s="258"/>
      <c r="C513" s="258"/>
      <c r="D513" s="258"/>
      <c r="E513" s="263"/>
      <c r="F513" s="258"/>
      <c r="G513" s="263"/>
      <c r="H513" s="262"/>
      <c r="I513" s="262"/>
      <c r="J513" s="262"/>
      <c r="K513" s="262"/>
      <c r="L513" s="262"/>
      <c r="M513" s="264"/>
      <c r="N513" s="262"/>
      <c r="O513" s="262"/>
      <c r="P513" s="262"/>
      <c r="Q513" s="263"/>
      <c r="R513" s="263"/>
      <c r="S513" s="292"/>
      <c r="T513" s="261"/>
      <c r="U513" s="261"/>
      <c r="V513" s="268"/>
      <c r="W513" s="268"/>
      <c r="X513" s="268"/>
      <c r="Y513" s="268"/>
      <c r="Z513" s="471">
        <f>SUMIF(TAB_CS[Reference],TAB_Offres[[#This Row],[Reference]],TAB_CS[Commited days])</f>
        <v>0</v>
      </c>
      <c r="AA513" s="269">
        <f>SUMIF(TAB_CS[Reference],TAB_Offres[[#This Row],[Reference]],TAB_CS[Commited amount])</f>
        <v>0</v>
      </c>
      <c r="AB513" s="275"/>
      <c r="AC513" s="270"/>
      <c r="AD513" s="270"/>
      <c r="AE513" s="264"/>
      <c r="AF513" s="271"/>
      <c r="AG513" s="278"/>
      <c r="AH513" s="277" t="str">
        <f>CONCATENATE(YEAR(TAB_Offres[[#This Row],[Request date ]]),"-",MONTH(TAB_Offres[[#This Row],[Request date ]]))</f>
        <v>1900-1</v>
      </c>
      <c r="AI513" s="274" t="e">
        <f>IF(#REF!,1,0)</f>
        <v>#REF!</v>
      </c>
      <c r="AJ513" s="4"/>
      <c r="AK513" s="4"/>
      <c r="AL513" s="4"/>
      <c r="AN513" s="150"/>
      <c r="AQ513" s="4"/>
    </row>
    <row r="514" spans="1:43" x14ac:dyDescent="0.25">
      <c r="A514" s="258">
        <f>ROW(TAB_Offres[[#This Row],[Reference]])-ROW(TAB_Offres[[#Headers],[ID]])</f>
        <v>513</v>
      </c>
      <c r="B514" s="258"/>
      <c r="C514" s="258"/>
      <c r="D514" s="258"/>
      <c r="E514" s="263"/>
      <c r="F514" s="258"/>
      <c r="G514" s="263"/>
      <c r="H514" s="262"/>
      <c r="I514" s="262"/>
      <c r="J514" s="262"/>
      <c r="K514" s="262"/>
      <c r="L514" s="262"/>
      <c r="M514" s="264"/>
      <c r="N514" s="262"/>
      <c r="O514" s="262"/>
      <c r="P514" s="262"/>
      <c r="Q514" s="263"/>
      <c r="R514" s="263"/>
      <c r="S514" s="292"/>
      <c r="T514" s="261"/>
      <c r="U514" s="261"/>
      <c r="V514" s="268"/>
      <c r="W514" s="268"/>
      <c r="X514" s="268"/>
      <c r="Y514" s="268"/>
      <c r="Z514" s="471">
        <f>SUMIF(TAB_CS[Reference],TAB_Offres[[#This Row],[Reference]],TAB_CS[Commited days])</f>
        <v>0</v>
      </c>
      <c r="AA514" s="269">
        <f>SUMIF(TAB_CS[Reference],TAB_Offres[[#This Row],[Reference]],TAB_CS[Commited amount])</f>
        <v>0</v>
      </c>
      <c r="AB514" s="275"/>
      <c r="AC514" s="270"/>
      <c r="AD514" s="270"/>
      <c r="AE514" s="264"/>
      <c r="AF514" s="271"/>
      <c r="AG514" s="278"/>
      <c r="AH514" s="277" t="str">
        <f>CONCATENATE(YEAR(TAB_Offres[[#This Row],[Request date ]]),"-",MONTH(TAB_Offres[[#This Row],[Request date ]]))</f>
        <v>1900-1</v>
      </c>
      <c r="AI514" s="274" t="e">
        <f>IF(#REF!,1,0)</f>
        <v>#REF!</v>
      </c>
      <c r="AJ514" s="4"/>
      <c r="AK514" s="4"/>
      <c r="AL514" s="4"/>
      <c r="AN514" s="150"/>
      <c r="AQ514" s="4"/>
    </row>
    <row r="515" spans="1:43" x14ac:dyDescent="0.25">
      <c r="A515" s="258">
        <f>ROW(TAB_Offres[[#This Row],[Reference]])-ROW(TAB_Offres[[#Headers],[ID]])</f>
        <v>514</v>
      </c>
      <c r="B515" s="258"/>
      <c r="C515" s="258"/>
      <c r="D515" s="258"/>
      <c r="E515" s="263"/>
      <c r="F515" s="258"/>
      <c r="G515" s="263"/>
      <c r="H515" s="262"/>
      <c r="I515" s="262"/>
      <c r="J515" s="262"/>
      <c r="K515" s="262"/>
      <c r="L515" s="262"/>
      <c r="M515" s="264"/>
      <c r="N515" s="262"/>
      <c r="O515" s="262"/>
      <c r="P515" s="262"/>
      <c r="Q515" s="263"/>
      <c r="R515" s="263"/>
      <c r="S515" s="292"/>
      <c r="T515" s="261"/>
      <c r="U515" s="261"/>
      <c r="V515" s="268"/>
      <c r="W515" s="268"/>
      <c r="X515" s="268"/>
      <c r="Y515" s="268"/>
      <c r="Z515" s="471">
        <f>SUMIF(TAB_CS[Reference],TAB_Offres[[#This Row],[Reference]],TAB_CS[Commited days])</f>
        <v>0</v>
      </c>
      <c r="AA515" s="269">
        <f>SUMIF(TAB_CS[Reference],TAB_Offres[[#This Row],[Reference]],TAB_CS[Commited amount])</f>
        <v>0</v>
      </c>
      <c r="AB515" s="275"/>
      <c r="AC515" s="270"/>
      <c r="AD515" s="270"/>
      <c r="AE515" s="264"/>
      <c r="AF515" s="271"/>
      <c r="AG515" s="278"/>
      <c r="AH515" s="277" t="str">
        <f>CONCATENATE(YEAR(TAB_Offres[[#This Row],[Request date ]]),"-",MONTH(TAB_Offres[[#This Row],[Request date ]]))</f>
        <v>1900-1</v>
      </c>
      <c r="AI515" s="274" t="e">
        <f>IF(#REF!,1,0)</f>
        <v>#REF!</v>
      </c>
      <c r="AJ515" s="4"/>
      <c r="AK515" s="4"/>
      <c r="AL515" s="4"/>
      <c r="AN515" s="150"/>
      <c r="AQ515" s="4"/>
    </row>
    <row r="516" spans="1:43" x14ac:dyDescent="0.25">
      <c r="A516" s="258">
        <f>ROW(TAB_Offres[[#This Row],[Reference]])-ROW(TAB_Offres[[#Headers],[ID]])</f>
        <v>515</v>
      </c>
      <c r="B516" s="258"/>
      <c r="C516" s="258"/>
      <c r="D516" s="258"/>
      <c r="E516" s="263"/>
      <c r="F516" s="258"/>
      <c r="G516" s="263"/>
      <c r="H516" s="262"/>
      <c r="I516" s="262"/>
      <c r="J516" s="262"/>
      <c r="K516" s="262"/>
      <c r="L516" s="262"/>
      <c r="M516" s="264"/>
      <c r="N516" s="262"/>
      <c r="O516" s="262"/>
      <c r="P516" s="262"/>
      <c r="Q516" s="263"/>
      <c r="R516" s="263"/>
      <c r="S516" s="292"/>
      <c r="T516" s="261"/>
      <c r="U516" s="261"/>
      <c r="V516" s="268"/>
      <c r="W516" s="268"/>
      <c r="X516" s="268"/>
      <c r="Y516" s="268"/>
      <c r="Z516" s="471">
        <f>SUMIF(TAB_CS[Reference],TAB_Offres[[#This Row],[Reference]],TAB_CS[Commited days])</f>
        <v>0</v>
      </c>
      <c r="AA516" s="269">
        <f>SUMIF(TAB_CS[Reference],TAB_Offres[[#This Row],[Reference]],TAB_CS[Commited amount])</f>
        <v>0</v>
      </c>
      <c r="AB516" s="275"/>
      <c r="AC516" s="270"/>
      <c r="AD516" s="270"/>
      <c r="AE516" s="264"/>
      <c r="AF516" s="271"/>
      <c r="AG516" s="278"/>
      <c r="AH516" s="277" t="str">
        <f>CONCATENATE(YEAR(TAB_Offres[[#This Row],[Request date ]]),"-",MONTH(TAB_Offres[[#This Row],[Request date ]]))</f>
        <v>1900-1</v>
      </c>
      <c r="AI516" s="274" t="e">
        <f>IF(#REF!,1,0)</f>
        <v>#REF!</v>
      </c>
      <c r="AJ516" s="4"/>
      <c r="AK516" s="4"/>
      <c r="AL516" s="4"/>
      <c r="AN516" s="150"/>
      <c r="AQ516" s="4"/>
    </row>
    <row r="517" spans="1:43" x14ac:dyDescent="0.25">
      <c r="A517" s="258">
        <f>ROW(TAB_Offres[[#This Row],[Reference]])-ROW(TAB_Offres[[#Headers],[ID]])</f>
        <v>516</v>
      </c>
      <c r="B517" s="258"/>
      <c r="C517" s="258"/>
      <c r="D517" s="258"/>
      <c r="E517" s="263"/>
      <c r="F517" s="258"/>
      <c r="G517" s="263"/>
      <c r="H517" s="262"/>
      <c r="I517" s="262"/>
      <c r="J517" s="262"/>
      <c r="K517" s="262"/>
      <c r="L517" s="262"/>
      <c r="M517" s="264"/>
      <c r="N517" s="262"/>
      <c r="O517" s="262"/>
      <c r="P517" s="262"/>
      <c r="Q517" s="263"/>
      <c r="R517" s="263"/>
      <c r="S517" s="292"/>
      <c r="T517" s="261"/>
      <c r="U517" s="261"/>
      <c r="V517" s="268"/>
      <c r="W517" s="268"/>
      <c r="X517" s="268"/>
      <c r="Y517" s="268"/>
      <c r="Z517" s="471">
        <f>SUMIF(TAB_CS[Reference],TAB_Offres[[#This Row],[Reference]],TAB_CS[Commited days])</f>
        <v>0</v>
      </c>
      <c r="AA517" s="269">
        <f>SUMIF(TAB_CS[Reference],TAB_Offres[[#This Row],[Reference]],TAB_CS[Commited amount])</f>
        <v>0</v>
      </c>
      <c r="AB517" s="275"/>
      <c r="AC517" s="270"/>
      <c r="AD517" s="270"/>
      <c r="AE517" s="264"/>
      <c r="AF517" s="271"/>
      <c r="AG517" s="278"/>
      <c r="AH517" s="277" t="str">
        <f>CONCATENATE(YEAR(TAB_Offres[[#This Row],[Request date ]]),"-",MONTH(TAB_Offres[[#This Row],[Request date ]]))</f>
        <v>1900-1</v>
      </c>
      <c r="AI517" s="274" t="e">
        <f>IF(#REF!,1,0)</f>
        <v>#REF!</v>
      </c>
      <c r="AJ517" s="4"/>
      <c r="AK517" s="4"/>
      <c r="AL517" s="4"/>
      <c r="AN517" s="150"/>
      <c r="AQ517" s="4"/>
    </row>
    <row r="518" spans="1:43" x14ac:dyDescent="0.25">
      <c r="A518" s="258">
        <f>ROW(TAB_Offres[[#This Row],[Reference]])-ROW(TAB_Offres[[#Headers],[ID]])</f>
        <v>517</v>
      </c>
      <c r="B518" s="258"/>
      <c r="C518" s="258"/>
      <c r="D518" s="258"/>
      <c r="E518" s="263"/>
      <c r="F518" s="258"/>
      <c r="G518" s="263"/>
      <c r="H518" s="262"/>
      <c r="I518" s="262"/>
      <c r="J518" s="262"/>
      <c r="K518" s="262"/>
      <c r="L518" s="262"/>
      <c r="M518" s="264"/>
      <c r="N518" s="262"/>
      <c r="O518" s="262"/>
      <c r="P518" s="262"/>
      <c r="Q518" s="263"/>
      <c r="R518" s="263"/>
      <c r="S518" s="292"/>
      <c r="T518" s="261"/>
      <c r="U518" s="261"/>
      <c r="V518" s="268"/>
      <c r="W518" s="268"/>
      <c r="X518" s="268"/>
      <c r="Y518" s="268"/>
      <c r="Z518" s="471">
        <f>SUMIF(TAB_CS[Reference],TAB_Offres[[#This Row],[Reference]],TAB_CS[Commited days])</f>
        <v>0</v>
      </c>
      <c r="AA518" s="269">
        <f>SUMIF(TAB_CS[Reference],TAB_Offres[[#This Row],[Reference]],TAB_CS[Commited amount])</f>
        <v>0</v>
      </c>
      <c r="AB518" s="275"/>
      <c r="AC518" s="270"/>
      <c r="AD518" s="270"/>
      <c r="AE518" s="264"/>
      <c r="AF518" s="271"/>
      <c r="AG518" s="278"/>
      <c r="AH518" s="277" t="str">
        <f>CONCATENATE(YEAR(TAB_Offres[[#This Row],[Request date ]]),"-",MONTH(TAB_Offres[[#This Row],[Request date ]]))</f>
        <v>1900-1</v>
      </c>
      <c r="AI518" s="274" t="e">
        <f>IF(#REF!,1,0)</f>
        <v>#REF!</v>
      </c>
      <c r="AJ518" s="4"/>
      <c r="AK518" s="4"/>
      <c r="AL518" s="4"/>
      <c r="AN518" s="150"/>
      <c r="AQ518" s="4"/>
    </row>
    <row r="519" spans="1:43" x14ac:dyDescent="0.25">
      <c r="A519" s="258">
        <f>ROW(TAB_Offres[[#This Row],[Reference]])-ROW(TAB_Offres[[#Headers],[ID]])</f>
        <v>518</v>
      </c>
      <c r="B519" s="258"/>
      <c r="C519" s="258"/>
      <c r="D519" s="258"/>
      <c r="E519" s="263"/>
      <c r="F519" s="258"/>
      <c r="G519" s="263"/>
      <c r="H519" s="262"/>
      <c r="I519" s="262"/>
      <c r="J519" s="262"/>
      <c r="K519" s="262"/>
      <c r="L519" s="262"/>
      <c r="M519" s="264"/>
      <c r="N519" s="262"/>
      <c r="O519" s="262"/>
      <c r="P519" s="262"/>
      <c r="Q519" s="263"/>
      <c r="R519" s="263"/>
      <c r="S519" s="292"/>
      <c r="T519" s="261"/>
      <c r="U519" s="261"/>
      <c r="V519" s="268"/>
      <c r="W519" s="268"/>
      <c r="X519" s="268"/>
      <c r="Y519" s="268"/>
      <c r="Z519" s="471">
        <f>SUMIF(TAB_CS[Reference],TAB_Offres[[#This Row],[Reference]],TAB_CS[Commited days])</f>
        <v>0</v>
      </c>
      <c r="AA519" s="269">
        <f>SUMIF(TAB_CS[Reference],TAB_Offres[[#This Row],[Reference]],TAB_CS[Commited amount])</f>
        <v>0</v>
      </c>
      <c r="AB519" s="275"/>
      <c r="AC519" s="270"/>
      <c r="AD519" s="270"/>
      <c r="AE519" s="264"/>
      <c r="AF519" s="271"/>
      <c r="AG519" s="278"/>
      <c r="AH519" s="277" t="str">
        <f>CONCATENATE(YEAR(TAB_Offres[[#This Row],[Request date ]]),"-",MONTH(TAB_Offres[[#This Row],[Request date ]]))</f>
        <v>1900-1</v>
      </c>
      <c r="AI519" s="274" t="e">
        <f>IF(#REF!,1,0)</f>
        <v>#REF!</v>
      </c>
      <c r="AJ519" s="4"/>
      <c r="AK519" s="4"/>
      <c r="AL519" s="4"/>
      <c r="AN519" s="150"/>
      <c r="AQ519" s="4"/>
    </row>
    <row r="520" spans="1:43" x14ac:dyDescent="0.25">
      <c r="A520" s="258">
        <f>ROW(TAB_Offres[[#This Row],[Reference]])-ROW(TAB_Offres[[#Headers],[ID]])</f>
        <v>519</v>
      </c>
      <c r="B520" s="258"/>
      <c r="C520" s="258"/>
      <c r="D520" s="258"/>
      <c r="E520" s="263"/>
      <c r="F520" s="258"/>
      <c r="G520" s="263"/>
      <c r="H520" s="262"/>
      <c r="I520" s="262"/>
      <c r="J520" s="262"/>
      <c r="K520" s="262"/>
      <c r="L520" s="262"/>
      <c r="M520" s="264"/>
      <c r="N520" s="262"/>
      <c r="O520" s="262"/>
      <c r="P520" s="262"/>
      <c r="Q520" s="263"/>
      <c r="R520" s="263"/>
      <c r="S520" s="292"/>
      <c r="T520" s="261"/>
      <c r="U520" s="261"/>
      <c r="V520" s="268"/>
      <c r="W520" s="268"/>
      <c r="X520" s="268"/>
      <c r="Y520" s="268"/>
      <c r="Z520" s="471">
        <f>SUMIF(TAB_CS[Reference],TAB_Offres[[#This Row],[Reference]],TAB_CS[Commited days])</f>
        <v>0</v>
      </c>
      <c r="AA520" s="269">
        <f>SUMIF(TAB_CS[Reference],TAB_Offres[[#This Row],[Reference]],TAB_CS[Commited amount])</f>
        <v>0</v>
      </c>
      <c r="AB520" s="275"/>
      <c r="AC520" s="270"/>
      <c r="AD520" s="270"/>
      <c r="AE520" s="264"/>
      <c r="AF520" s="271"/>
      <c r="AG520" s="278"/>
      <c r="AH520" s="277" t="str">
        <f>CONCATENATE(YEAR(TAB_Offres[[#This Row],[Request date ]]),"-",MONTH(TAB_Offres[[#This Row],[Request date ]]))</f>
        <v>1900-1</v>
      </c>
      <c r="AI520" s="274" t="e">
        <f>IF(#REF!,1,0)</f>
        <v>#REF!</v>
      </c>
      <c r="AJ520" s="4"/>
      <c r="AK520" s="4"/>
      <c r="AL520" s="4"/>
      <c r="AN520" s="150"/>
      <c r="AQ520" s="4"/>
    </row>
    <row r="521" spans="1:43" x14ac:dyDescent="0.25">
      <c r="A521" s="258">
        <f>ROW(TAB_Offres[[#This Row],[Reference]])-ROW(TAB_Offres[[#Headers],[ID]])</f>
        <v>520</v>
      </c>
      <c r="B521" s="258"/>
      <c r="C521" s="258"/>
      <c r="D521" s="258"/>
      <c r="E521" s="263"/>
      <c r="F521" s="258"/>
      <c r="G521" s="263"/>
      <c r="H521" s="262"/>
      <c r="I521" s="262"/>
      <c r="J521" s="262"/>
      <c r="K521" s="262"/>
      <c r="L521" s="262"/>
      <c r="M521" s="264"/>
      <c r="N521" s="262"/>
      <c r="O521" s="262"/>
      <c r="P521" s="262"/>
      <c r="Q521" s="263"/>
      <c r="R521" s="263"/>
      <c r="S521" s="292"/>
      <c r="T521" s="261"/>
      <c r="U521" s="261"/>
      <c r="V521" s="268"/>
      <c r="W521" s="268"/>
      <c r="X521" s="268"/>
      <c r="Y521" s="268"/>
      <c r="Z521" s="471">
        <f>SUMIF(TAB_CS[Reference],TAB_Offres[[#This Row],[Reference]],TAB_CS[Commited days])</f>
        <v>0</v>
      </c>
      <c r="AA521" s="269">
        <f>SUMIF(TAB_CS[Reference],TAB_Offres[[#This Row],[Reference]],TAB_CS[Commited amount])</f>
        <v>0</v>
      </c>
      <c r="AB521" s="275"/>
      <c r="AC521" s="270"/>
      <c r="AD521" s="270"/>
      <c r="AE521" s="264"/>
      <c r="AF521" s="271"/>
      <c r="AG521" s="278"/>
      <c r="AH521" s="277" t="str">
        <f>CONCATENATE(YEAR(TAB_Offres[[#This Row],[Request date ]]),"-",MONTH(TAB_Offres[[#This Row],[Request date ]]))</f>
        <v>1900-1</v>
      </c>
      <c r="AI521" s="274" t="e">
        <f>IF(#REF!,1,0)</f>
        <v>#REF!</v>
      </c>
      <c r="AJ521" s="4"/>
      <c r="AK521" s="4"/>
      <c r="AL521" s="4"/>
      <c r="AN521" s="150"/>
      <c r="AQ521" s="4"/>
    </row>
    <row r="522" spans="1:43" x14ac:dyDescent="0.25">
      <c r="A522" s="258">
        <f>ROW(TAB_Offres[[#This Row],[Reference]])-ROW(TAB_Offres[[#Headers],[ID]])</f>
        <v>521</v>
      </c>
      <c r="B522" s="258"/>
      <c r="C522" s="258"/>
      <c r="D522" s="258"/>
      <c r="E522" s="263"/>
      <c r="F522" s="258"/>
      <c r="G522" s="263"/>
      <c r="H522" s="262"/>
      <c r="I522" s="262"/>
      <c r="J522" s="262"/>
      <c r="K522" s="262"/>
      <c r="L522" s="262"/>
      <c r="M522" s="264"/>
      <c r="N522" s="262"/>
      <c r="O522" s="262"/>
      <c r="P522" s="262"/>
      <c r="Q522" s="263"/>
      <c r="R522" s="263"/>
      <c r="S522" s="292"/>
      <c r="T522" s="261"/>
      <c r="U522" s="261"/>
      <c r="V522" s="268"/>
      <c r="W522" s="268"/>
      <c r="X522" s="268"/>
      <c r="Y522" s="268"/>
      <c r="Z522" s="471">
        <f>SUMIF(TAB_CS[Reference],TAB_Offres[[#This Row],[Reference]],TAB_CS[Commited days])</f>
        <v>0</v>
      </c>
      <c r="AA522" s="269">
        <f>SUMIF(TAB_CS[Reference],TAB_Offres[[#This Row],[Reference]],TAB_CS[Commited amount])</f>
        <v>0</v>
      </c>
      <c r="AB522" s="275"/>
      <c r="AC522" s="270"/>
      <c r="AD522" s="270"/>
      <c r="AE522" s="264"/>
      <c r="AF522" s="271"/>
      <c r="AG522" s="278"/>
      <c r="AH522" s="277" t="str">
        <f>CONCATENATE(YEAR(TAB_Offres[[#This Row],[Request date ]]),"-",MONTH(TAB_Offres[[#This Row],[Request date ]]))</f>
        <v>1900-1</v>
      </c>
      <c r="AI522" s="274" t="e">
        <f>IF(#REF!,1,0)</f>
        <v>#REF!</v>
      </c>
      <c r="AJ522" s="4"/>
      <c r="AK522" s="4"/>
      <c r="AL522" s="4"/>
      <c r="AN522" s="150"/>
      <c r="AQ522" s="4"/>
    </row>
    <row r="523" spans="1:43" x14ac:dyDescent="0.25">
      <c r="A523" s="258">
        <f>ROW(TAB_Offres[[#This Row],[Reference]])-ROW(TAB_Offres[[#Headers],[ID]])</f>
        <v>522</v>
      </c>
      <c r="B523" s="258"/>
      <c r="C523" s="258"/>
      <c r="D523" s="258"/>
      <c r="E523" s="263"/>
      <c r="F523" s="258"/>
      <c r="G523" s="263"/>
      <c r="H523" s="262"/>
      <c r="I523" s="262"/>
      <c r="J523" s="262"/>
      <c r="K523" s="262"/>
      <c r="L523" s="262"/>
      <c r="M523" s="264"/>
      <c r="N523" s="262"/>
      <c r="O523" s="262"/>
      <c r="P523" s="262"/>
      <c r="Q523" s="263"/>
      <c r="R523" s="263"/>
      <c r="S523" s="292"/>
      <c r="T523" s="261"/>
      <c r="U523" s="261"/>
      <c r="V523" s="268"/>
      <c r="W523" s="268"/>
      <c r="X523" s="268"/>
      <c r="Y523" s="268"/>
      <c r="Z523" s="471">
        <f>SUMIF(TAB_CS[Reference],TAB_Offres[[#This Row],[Reference]],TAB_CS[Commited days])</f>
        <v>0</v>
      </c>
      <c r="AA523" s="269">
        <f>SUMIF(TAB_CS[Reference],TAB_Offres[[#This Row],[Reference]],TAB_CS[Commited amount])</f>
        <v>0</v>
      </c>
      <c r="AB523" s="275"/>
      <c r="AC523" s="270"/>
      <c r="AD523" s="270"/>
      <c r="AE523" s="264"/>
      <c r="AF523" s="271"/>
      <c r="AG523" s="278"/>
      <c r="AH523" s="277" t="str">
        <f>CONCATENATE(YEAR(TAB_Offres[[#This Row],[Request date ]]),"-",MONTH(TAB_Offres[[#This Row],[Request date ]]))</f>
        <v>1900-1</v>
      </c>
      <c r="AI523" s="274" t="e">
        <f>IF(#REF!,1,0)</f>
        <v>#REF!</v>
      </c>
      <c r="AJ523" s="4"/>
      <c r="AK523" s="4"/>
      <c r="AL523" s="4"/>
      <c r="AN523" s="150"/>
      <c r="AQ523" s="4"/>
    </row>
    <row r="524" spans="1:43" x14ac:dyDescent="0.25">
      <c r="A524" s="258">
        <f>ROW(TAB_Offres[[#This Row],[Reference]])-ROW(TAB_Offres[[#Headers],[ID]])</f>
        <v>523</v>
      </c>
      <c r="B524" s="258"/>
      <c r="C524" s="258"/>
      <c r="D524" s="258"/>
      <c r="E524" s="263"/>
      <c r="F524" s="258"/>
      <c r="G524" s="263"/>
      <c r="H524" s="262"/>
      <c r="I524" s="262"/>
      <c r="J524" s="262"/>
      <c r="K524" s="262"/>
      <c r="L524" s="262"/>
      <c r="M524" s="264"/>
      <c r="N524" s="262"/>
      <c r="O524" s="262"/>
      <c r="P524" s="262"/>
      <c r="Q524" s="263"/>
      <c r="R524" s="263"/>
      <c r="S524" s="292"/>
      <c r="T524" s="261"/>
      <c r="U524" s="261"/>
      <c r="V524" s="268"/>
      <c r="W524" s="268"/>
      <c r="X524" s="268"/>
      <c r="Y524" s="268"/>
      <c r="Z524" s="471">
        <f>SUMIF(TAB_CS[Reference],TAB_Offres[[#This Row],[Reference]],TAB_CS[Commited days])</f>
        <v>0</v>
      </c>
      <c r="AA524" s="269">
        <f>SUMIF(TAB_CS[Reference],TAB_Offres[[#This Row],[Reference]],TAB_CS[Commited amount])</f>
        <v>0</v>
      </c>
      <c r="AB524" s="275"/>
      <c r="AC524" s="270"/>
      <c r="AD524" s="270"/>
      <c r="AE524" s="264"/>
      <c r="AF524" s="271"/>
      <c r="AG524" s="278"/>
      <c r="AH524" s="277" t="str">
        <f>CONCATENATE(YEAR(TAB_Offres[[#This Row],[Request date ]]),"-",MONTH(TAB_Offres[[#This Row],[Request date ]]))</f>
        <v>1900-1</v>
      </c>
      <c r="AI524" s="274" t="e">
        <f>IF(#REF!,1,0)</f>
        <v>#REF!</v>
      </c>
      <c r="AJ524" s="4"/>
      <c r="AK524" s="4"/>
      <c r="AL524" s="4"/>
      <c r="AN524" s="150"/>
      <c r="AQ524" s="4"/>
    </row>
    <row r="525" spans="1:43" x14ac:dyDescent="0.25">
      <c r="A525" s="258">
        <f>ROW(TAB_Offres[[#This Row],[Reference]])-ROW(TAB_Offres[[#Headers],[ID]])</f>
        <v>524</v>
      </c>
      <c r="B525" s="258"/>
      <c r="C525" s="258"/>
      <c r="D525" s="258"/>
      <c r="E525" s="263"/>
      <c r="F525" s="258"/>
      <c r="G525" s="263"/>
      <c r="H525" s="262"/>
      <c r="I525" s="262"/>
      <c r="J525" s="262"/>
      <c r="K525" s="262"/>
      <c r="L525" s="262"/>
      <c r="M525" s="264"/>
      <c r="N525" s="262"/>
      <c r="O525" s="262"/>
      <c r="P525" s="262"/>
      <c r="Q525" s="263"/>
      <c r="R525" s="263"/>
      <c r="S525" s="292"/>
      <c r="T525" s="261"/>
      <c r="U525" s="261"/>
      <c r="V525" s="268"/>
      <c r="W525" s="268"/>
      <c r="X525" s="268"/>
      <c r="Y525" s="268"/>
      <c r="Z525" s="471">
        <f>SUMIF(TAB_CS[Reference],TAB_Offres[[#This Row],[Reference]],TAB_CS[Commited days])</f>
        <v>0</v>
      </c>
      <c r="AA525" s="269">
        <f>SUMIF(TAB_CS[Reference],TAB_Offres[[#This Row],[Reference]],TAB_CS[Commited amount])</f>
        <v>0</v>
      </c>
      <c r="AB525" s="275"/>
      <c r="AC525" s="270"/>
      <c r="AD525" s="270"/>
      <c r="AE525" s="264"/>
      <c r="AF525" s="271"/>
      <c r="AG525" s="278"/>
      <c r="AH525" s="277" t="str">
        <f>CONCATENATE(YEAR(TAB_Offres[[#This Row],[Request date ]]),"-",MONTH(TAB_Offres[[#This Row],[Request date ]]))</f>
        <v>1900-1</v>
      </c>
      <c r="AI525" s="274" t="e">
        <f>IF(#REF!,1,0)</f>
        <v>#REF!</v>
      </c>
      <c r="AJ525" s="4"/>
      <c r="AK525" s="4"/>
      <c r="AL525" s="4"/>
      <c r="AN525" s="150"/>
      <c r="AQ525" s="4"/>
    </row>
    <row r="526" spans="1:43" x14ac:dyDescent="0.25">
      <c r="A526" s="258">
        <f>ROW(TAB_Offres[[#This Row],[Reference]])-ROW(TAB_Offres[[#Headers],[ID]])</f>
        <v>525</v>
      </c>
      <c r="B526" s="258"/>
      <c r="C526" s="258"/>
      <c r="D526" s="258"/>
      <c r="E526" s="263"/>
      <c r="F526" s="258"/>
      <c r="G526" s="263"/>
      <c r="H526" s="262"/>
      <c r="I526" s="262"/>
      <c r="J526" s="262"/>
      <c r="K526" s="262"/>
      <c r="L526" s="262"/>
      <c r="M526" s="264"/>
      <c r="N526" s="262"/>
      <c r="O526" s="262"/>
      <c r="P526" s="262"/>
      <c r="Q526" s="263"/>
      <c r="R526" s="263"/>
      <c r="S526" s="292"/>
      <c r="T526" s="261"/>
      <c r="U526" s="261"/>
      <c r="V526" s="268"/>
      <c r="W526" s="268"/>
      <c r="X526" s="268"/>
      <c r="Y526" s="268"/>
      <c r="Z526" s="471">
        <f>SUMIF(TAB_CS[Reference],TAB_Offres[[#This Row],[Reference]],TAB_CS[Commited days])</f>
        <v>0</v>
      </c>
      <c r="AA526" s="269">
        <f>SUMIF(TAB_CS[Reference],TAB_Offres[[#This Row],[Reference]],TAB_CS[Commited amount])</f>
        <v>0</v>
      </c>
      <c r="AB526" s="275"/>
      <c r="AC526" s="270"/>
      <c r="AD526" s="270"/>
      <c r="AE526" s="264"/>
      <c r="AF526" s="271"/>
      <c r="AG526" s="278"/>
      <c r="AH526" s="277" t="str">
        <f>CONCATENATE(YEAR(TAB_Offres[[#This Row],[Request date ]]),"-",MONTH(TAB_Offres[[#This Row],[Request date ]]))</f>
        <v>1900-1</v>
      </c>
      <c r="AI526" s="274" t="e">
        <f>IF(#REF!,1,0)</f>
        <v>#REF!</v>
      </c>
      <c r="AJ526" s="4"/>
      <c r="AK526" s="4"/>
      <c r="AL526" s="4"/>
      <c r="AN526" s="150"/>
      <c r="AQ526" s="4"/>
    </row>
    <row r="527" spans="1:43" x14ac:dyDescent="0.25">
      <c r="A527" s="258">
        <f>ROW(TAB_Offres[[#This Row],[Reference]])-ROW(TAB_Offres[[#Headers],[ID]])</f>
        <v>526</v>
      </c>
      <c r="B527" s="258"/>
      <c r="C527" s="258"/>
      <c r="D527" s="258"/>
      <c r="E527" s="263"/>
      <c r="F527" s="258"/>
      <c r="G527" s="263"/>
      <c r="H527" s="262"/>
      <c r="I527" s="262"/>
      <c r="J527" s="262"/>
      <c r="K527" s="262"/>
      <c r="L527" s="262"/>
      <c r="M527" s="264"/>
      <c r="N527" s="262"/>
      <c r="O527" s="262"/>
      <c r="P527" s="262"/>
      <c r="Q527" s="263"/>
      <c r="R527" s="263"/>
      <c r="S527" s="292"/>
      <c r="T527" s="261"/>
      <c r="U527" s="261"/>
      <c r="V527" s="268"/>
      <c r="W527" s="268"/>
      <c r="X527" s="268"/>
      <c r="Y527" s="268"/>
      <c r="Z527" s="471">
        <f>SUMIF(TAB_CS[Reference],TAB_Offres[[#This Row],[Reference]],TAB_CS[Commited days])</f>
        <v>0</v>
      </c>
      <c r="AA527" s="269">
        <f>SUMIF(TAB_CS[Reference],TAB_Offres[[#This Row],[Reference]],TAB_CS[Commited amount])</f>
        <v>0</v>
      </c>
      <c r="AB527" s="275"/>
      <c r="AC527" s="270"/>
      <c r="AD527" s="270"/>
      <c r="AE527" s="264"/>
      <c r="AF527" s="271"/>
      <c r="AG527" s="278"/>
      <c r="AH527" s="277" t="str">
        <f>CONCATENATE(YEAR(TAB_Offres[[#This Row],[Request date ]]),"-",MONTH(TAB_Offres[[#This Row],[Request date ]]))</f>
        <v>1900-1</v>
      </c>
      <c r="AI527" s="274" t="e">
        <f>IF(#REF!,1,0)</f>
        <v>#REF!</v>
      </c>
      <c r="AJ527" s="4"/>
      <c r="AK527" s="4"/>
      <c r="AL527" s="4"/>
      <c r="AN527" s="150"/>
      <c r="AQ527" s="4"/>
    </row>
    <row r="528" spans="1:43" x14ac:dyDescent="0.25">
      <c r="A528" s="258">
        <f>ROW(TAB_Offres[[#This Row],[Reference]])-ROW(TAB_Offres[[#Headers],[ID]])</f>
        <v>527</v>
      </c>
      <c r="B528" s="258"/>
      <c r="C528" s="258"/>
      <c r="D528" s="258"/>
      <c r="E528" s="263"/>
      <c r="F528" s="258"/>
      <c r="G528" s="263"/>
      <c r="H528" s="262"/>
      <c r="I528" s="262"/>
      <c r="J528" s="262"/>
      <c r="K528" s="262"/>
      <c r="L528" s="262"/>
      <c r="M528" s="264"/>
      <c r="N528" s="262"/>
      <c r="O528" s="262"/>
      <c r="P528" s="262"/>
      <c r="Q528" s="263"/>
      <c r="R528" s="263"/>
      <c r="S528" s="292"/>
      <c r="T528" s="261"/>
      <c r="U528" s="261"/>
      <c r="V528" s="268"/>
      <c r="W528" s="268"/>
      <c r="X528" s="268"/>
      <c r="Y528" s="268"/>
      <c r="Z528" s="471">
        <f>SUMIF(TAB_CS[Reference],TAB_Offres[[#This Row],[Reference]],TAB_CS[Commited days])</f>
        <v>0</v>
      </c>
      <c r="AA528" s="269">
        <f>SUMIF(TAB_CS[Reference],TAB_Offres[[#This Row],[Reference]],TAB_CS[Commited amount])</f>
        <v>0</v>
      </c>
      <c r="AB528" s="275"/>
      <c r="AC528" s="270"/>
      <c r="AD528" s="270"/>
      <c r="AE528" s="264"/>
      <c r="AF528" s="271"/>
      <c r="AG528" s="278"/>
      <c r="AH528" s="277" t="str">
        <f>CONCATENATE(YEAR(TAB_Offres[[#This Row],[Request date ]]),"-",MONTH(TAB_Offres[[#This Row],[Request date ]]))</f>
        <v>1900-1</v>
      </c>
      <c r="AI528" s="274" t="e">
        <f>IF(#REF!,1,0)</f>
        <v>#REF!</v>
      </c>
      <c r="AJ528" s="4"/>
      <c r="AK528" s="4"/>
      <c r="AL528" s="4"/>
      <c r="AN528" s="150"/>
      <c r="AQ528" s="4"/>
    </row>
    <row r="529" spans="1:43" x14ac:dyDescent="0.25">
      <c r="A529" s="258">
        <f>ROW(TAB_Offres[[#This Row],[Reference]])-ROW(TAB_Offres[[#Headers],[ID]])</f>
        <v>528</v>
      </c>
      <c r="B529" s="258"/>
      <c r="C529" s="258"/>
      <c r="D529" s="258"/>
      <c r="E529" s="263"/>
      <c r="F529" s="258"/>
      <c r="G529" s="263"/>
      <c r="H529" s="262"/>
      <c r="I529" s="262"/>
      <c r="J529" s="262"/>
      <c r="K529" s="262"/>
      <c r="L529" s="262"/>
      <c r="M529" s="264"/>
      <c r="N529" s="262"/>
      <c r="O529" s="262"/>
      <c r="P529" s="262"/>
      <c r="Q529" s="263"/>
      <c r="R529" s="263"/>
      <c r="S529" s="292"/>
      <c r="T529" s="261"/>
      <c r="U529" s="261"/>
      <c r="V529" s="268"/>
      <c r="W529" s="268"/>
      <c r="X529" s="268"/>
      <c r="Y529" s="268"/>
      <c r="Z529" s="471">
        <f>SUMIF(TAB_CS[Reference],TAB_Offres[[#This Row],[Reference]],TAB_CS[Commited days])</f>
        <v>0</v>
      </c>
      <c r="AA529" s="269">
        <f>SUMIF(TAB_CS[Reference],TAB_Offres[[#This Row],[Reference]],TAB_CS[Commited amount])</f>
        <v>0</v>
      </c>
      <c r="AB529" s="275"/>
      <c r="AC529" s="270"/>
      <c r="AD529" s="270"/>
      <c r="AE529" s="264"/>
      <c r="AF529" s="271"/>
      <c r="AG529" s="278"/>
      <c r="AH529" s="277" t="str">
        <f>CONCATENATE(YEAR(TAB_Offres[[#This Row],[Request date ]]),"-",MONTH(TAB_Offres[[#This Row],[Request date ]]))</f>
        <v>1900-1</v>
      </c>
      <c r="AI529" s="274" t="e">
        <f>IF(#REF!,1,0)</f>
        <v>#REF!</v>
      </c>
      <c r="AJ529" s="4"/>
      <c r="AK529" s="4"/>
      <c r="AL529" s="4"/>
      <c r="AN529" s="150"/>
      <c r="AQ529" s="4"/>
    </row>
    <row r="530" spans="1:43" x14ac:dyDescent="0.25">
      <c r="A530" s="258">
        <f>ROW(TAB_Offres[[#This Row],[Reference]])-ROW(TAB_Offres[[#Headers],[ID]])</f>
        <v>529</v>
      </c>
      <c r="B530" s="258"/>
      <c r="C530" s="258"/>
      <c r="D530" s="258"/>
      <c r="E530" s="263"/>
      <c r="F530" s="258"/>
      <c r="G530" s="263"/>
      <c r="H530" s="262"/>
      <c r="I530" s="262"/>
      <c r="J530" s="262"/>
      <c r="K530" s="262"/>
      <c r="L530" s="262"/>
      <c r="M530" s="264"/>
      <c r="N530" s="262"/>
      <c r="O530" s="262"/>
      <c r="P530" s="262"/>
      <c r="Q530" s="263"/>
      <c r="R530" s="263"/>
      <c r="S530" s="292"/>
      <c r="T530" s="261"/>
      <c r="U530" s="261"/>
      <c r="V530" s="268"/>
      <c r="W530" s="268"/>
      <c r="X530" s="268"/>
      <c r="Y530" s="268"/>
      <c r="Z530" s="471">
        <f>SUMIF(TAB_CS[Reference],TAB_Offres[[#This Row],[Reference]],TAB_CS[Commited days])</f>
        <v>0</v>
      </c>
      <c r="AA530" s="269">
        <f>SUMIF(TAB_CS[Reference],TAB_Offres[[#This Row],[Reference]],TAB_CS[Commited amount])</f>
        <v>0</v>
      </c>
      <c r="AB530" s="275"/>
      <c r="AC530" s="270"/>
      <c r="AD530" s="270"/>
      <c r="AE530" s="264"/>
      <c r="AF530" s="271"/>
      <c r="AG530" s="278"/>
      <c r="AH530" s="277" t="str">
        <f>CONCATENATE(YEAR(TAB_Offres[[#This Row],[Request date ]]),"-",MONTH(TAB_Offres[[#This Row],[Request date ]]))</f>
        <v>1900-1</v>
      </c>
      <c r="AI530" s="274" t="e">
        <f>IF(#REF!,1,0)</f>
        <v>#REF!</v>
      </c>
      <c r="AJ530" s="4"/>
      <c r="AK530" s="4"/>
      <c r="AL530" s="4"/>
      <c r="AN530" s="150"/>
      <c r="AQ530" s="4"/>
    </row>
    <row r="531" spans="1:43" x14ac:dyDescent="0.25">
      <c r="A531" s="258">
        <f>ROW(TAB_Offres[[#This Row],[Reference]])-ROW(TAB_Offres[[#Headers],[ID]])</f>
        <v>530</v>
      </c>
      <c r="B531" s="258"/>
      <c r="C531" s="258"/>
      <c r="D531" s="258"/>
      <c r="E531" s="263"/>
      <c r="F531" s="258"/>
      <c r="G531" s="263"/>
      <c r="H531" s="262"/>
      <c r="I531" s="262"/>
      <c r="J531" s="262"/>
      <c r="K531" s="262"/>
      <c r="L531" s="262"/>
      <c r="M531" s="264"/>
      <c r="N531" s="262"/>
      <c r="O531" s="262"/>
      <c r="P531" s="262"/>
      <c r="Q531" s="263"/>
      <c r="R531" s="263"/>
      <c r="S531" s="292"/>
      <c r="T531" s="261"/>
      <c r="U531" s="261"/>
      <c r="V531" s="268"/>
      <c r="W531" s="268"/>
      <c r="X531" s="268"/>
      <c r="Y531" s="268"/>
      <c r="Z531" s="471">
        <f>SUMIF(TAB_CS[Reference],TAB_Offres[[#This Row],[Reference]],TAB_CS[Commited days])</f>
        <v>0</v>
      </c>
      <c r="AA531" s="269">
        <f>SUMIF(TAB_CS[Reference],TAB_Offres[[#This Row],[Reference]],TAB_CS[Commited amount])</f>
        <v>0</v>
      </c>
      <c r="AB531" s="275"/>
      <c r="AC531" s="270"/>
      <c r="AD531" s="270"/>
      <c r="AE531" s="264"/>
      <c r="AF531" s="271"/>
      <c r="AG531" s="278"/>
      <c r="AH531" s="277" t="str">
        <f>CONCATENATE(YEAR(TAB_Offres[[#This Row],[Request date ]]),"-",MONTH(TAB_Offres[[#This Row],[Request date ]]))</f>
        <v>1900-1</v>
      </c>
      <c r="AI531" s="274" t="e">
        <f>IF(#REF!,1,0)</f>
        <v>#REF!</v>
      </c>
      <c r="AJ531" s="4"/>
      <c r="AK531" s="4"/>
      <c r="AL531" s="4"/>
      <c r="AN531" s="150"/>
      <c r="AQ531" s="4"/>
    </row>
    <row r="532" spans="1:43" x14ac:dyDescent="0.25">
      <c r="A532" s="258">
        <f>ROW(TAB_Offres[[#This Row],[Reference]])-ROW(TAB_Offres[[#Headers],[ID]])</f>
        <v>531</v>
      </c>
      <c r="B532" s="258"/>
      <c r="C532" s="258"/>
      <c r="D532" s="258"/>
      <c r="E532" s="263"/>
      <c r="F532" s="258"/>
      <c r="G532" s="263"/>
      <c r="H532" s="262"/>
      <c r="I532" s="262"/>
      <c r="J532" s="262"/>
      <c r="K532" s="262"/>
      <c r="L532" s="262"/>
      <c r="M532" s="264"/>
      <c r="N532" s="262"/>
      <c r="O532" s="262"/>
      <c r="P532" s="262"/>
      <c r="Q532" s="263"/>
      <c r="R532" s="263"/>
      <c r="S532" s="292"/>
      <c r="T532" s="261"/>
      <c r="U532" s="261"/>
      <c r="V532" s="268"/>
      <c r="W532" s="268"/>
      <c r="X532" s="268"/>
      <c r="Y532" s="268"/>
      <c r="Z532" s="471">
        <f>SUMIF(TAB_CS[Reference],TAB_Offres[[#This Row],[Reference]],TAB_CS[Commited days])</f>
        <v>0</v>
      </c>
      <c r="AA532" s="269">
        <f>SUMIF(TAB_CS[Reference],TAB_Offres[[#This Row],[Reference]],TAB_CS[Commited amount])</f>
        <v>0</v>
      </c>
      <c r="AB532" s="275"/>
      <c r="AC532" s="270"/>
      <c r="AD532" s="270"/>
      <c r="AE532" s="264"/>
      <c r="AF532" s="271"/>
      <c r="AG532" s="278"/>
      <c r="AH532" s="277" t="str">
        <f>CONCATENATE(YEAR(TAB_Offres[[#This Row],[Request date ]]),"-",MONTH(TAB_Offres[[#This Row],[Request date ]]))</f>
        <v>1900-1</v>
      </c>
      <c r="AI532" s="274" t="e">
        <f>IF(#REF!,1,0)</f>
        <v>#REF!</v>
      </c>
      <c r="AJ532" s="4"/>
      <c r="AK532" s="4"/>
      <c r="AL532" s="4"/>
      <c r="AN532" s="150"/>
      <c r="AQ532" s="4"/>
    </row>
    <row r="533" spans="1:43" x14ac:dyDescent="0.25">
      <c r="A533" s="258">
        <f>ROW(TAB_Offres[[#This Row],[Reference]])-ROW(TAB_Offres[[#Headers],[ID]])</f>
        <v>532</v>
      </c>
      <c r="B533" s="258"/>
      <c r="C533" s="258"/>
      <c r="D533" s="258"/>
      <c r="E533" s="263"/>
      <c r="F533" s="258"/>
      <c r="G533" s="263"/>
      <c r="H533" s="262"/>
      <c r="I533" s="262"/>
      <c r="J533" s="262"/>
      <c r="K533" s="262"/>
      <c r="L533" s="262"/>
      <c r="M533" s="264"/>
      <c r="N533" s="262"/>
      <c r="O533" s="262"/>
      <c r="P533" s="262"/>
      <c r="Q533" s="263"/>
      <c r="R533" s="263"/>
      <c r="S533" s="292"/>
      <c r="T533" s="261"/>
      <c r="U533" s="261"/>
      <c r="V533" s="268"/>
      <c r="W533" s="268"/>
      <c r="X533" s="268"/>
      <c r="Y533" s="268"/>
      <c r="Z533" s="471">
        <f>SUMIF(TAB_CS[Reference],TAB_Offres[[#This Row],[Reference]],TAB_CS[Commited days])</f>
        <v>0</v>
      </c>
      <c r="AA533" s="269">
        <f>SUMIF(TAB_CS[Reference],TAB_Offres[[#This Row],[Reference]],TAB_CS[Commited amount])</f>
        <v>0</v>
      </c>
      <c r="AB533" s="275"/>
      <c r="AC533" s="270"/>
      <c r="AD533" s="270"/>
      <c r="AE533" s="264"/>
      <c r="AF533" s="271"/>
      <c r="AG533" s="278"/>
      <c r="AH533" s="277" t="str">
        <f>CONCATENATE(YEAR(TAB_Offres[[#This Row],[Request date ]]),"-",MONTH(TAB_Offres[[#This Row],[Request date ]]))</f>
        <v>1900-1</v>
      </c>
      <c r="AI533" s="274" t="e">
        <f>IF(#REF!,1,0)</f>
        <v>#REF!</v>
      </c>
      <c r="AJ533" s="4"/>
      <c r="AK533" s="4"/>
      <c r="AL533" s="4"/>
      <c r="AN533" s="150"/>
      <c r="AQ533" s="4"/>
    </row>
    <row r="534" spans="1:43" x14ac:dyDescent="0.25">
      <c r="A534" s="258">
        <f>ROW(TAB_Offres[[#This Row],[Reference]])-ROW(TAB_Offres[[#Headers],[ID]])</f>
        <v>533</v>
      </c>
      <c r="B534" s="258"/>
      <c r="C534" s="258"/>
      <c r="D534" s="258"/>
      <c r="E534" s="263"/>
      <c r="F534" s="258"/>
      <c r="G534" s="263"/>
      <c r="H534" s="262"/>
      <c r="I534" s="262"/>
      <c r="J534" s="262"/>
      <c r="K534" s="262"/>
      <c r="L534" s="262"/>
      <c r="M534" s="264"/>
      <c r="N534" s="262"/>
      <c r="O534" s="262"/>
      <c r="P534" s="262"/>
      <c r="Q534" s="263"/>
      <c r="R534" s="263"/>
      <c r="S534" s="292"/>
      <c r="T534" s="261"/>
      <c r="U534" s="261"/>
      <c r="V534" s="268"/>
      <c r="W534" s="268"/>
      <c r="X534" s="268"/>
      <c r="Y534" s="268"/>
      <c r="Z534" s="471">
        <f>SUMIF(TAB_CS[Reference],TAB_Offres[[#This Row],[Reference]],TAB_CS[Commited days])</f>
        <v>0</v>
      </c>
      <c r="AA534" s="269">
        <f>SUMIF(TAB_CS[Reference],TAB_Offres[[#This Row],[Reference]],TAB_CS[Commited amount])</f>
        <v>0</v>
      </c>
      <c r="AB534" s="275"/>
      <c r="AC534" s="270"/>
      <c r="AD534" s="270"/>
      <c r="AE534" s="264"/>
      <c r="AF534" s="271"/>
      <c r="AG534" s="278"/>
      <c r="AH534" s="277" t="str">
        <f>CONCATENATE(YEAR(TAB_Offres[[#This Row],[Request date ]]),"-",MONTH(TAB_Offres[[#This Row],[Request date ]]))</f>
        <v>1900-1</v>
      </c>
      <c r="AI534" s="274" t="e">
        <f>IF(#REF!,1,0)</f>
        <v>#REF!</v>
      </c>
      <c r="AJ534" s="4"/>
      <c r="AK534" s="4"/>
      <c r="AL534" s="4"/>
      <c r="AN534" s="150"/>
      <c r="AQ534" s="4"/>
    </row>
    <row r="535" spans="1:43" x14ac:dyDescent="0.25">
      <c r="A535" s="258">
        <f>ROW(TAB_Offres[[#This Row],[Reference]])-ROW(TAB_Offres[[#Headers],[ID]])</f>
        <v>534</v>
      </c>
      <c r="B535" s="258"/>
      <c r="C535" s="258"/>
      <c r="D535" s="258"/>
      <c r="E535" s="263"/>
      <c r="F535" s="258"/>
      <c r="G535" s="263"/>
      <c r="H535" s="262"/>
      <c r="I535" s="262"/>
      <c r="J535" s="262"/>
      <c r="K535" s="262"/>
      <c r="L535" s="262"/>
      <c r="M535" s="264"/>
      <c r="N535" s="262"/>
      <c r="O535" s="262"/>
      <c r="P535" s="262"/>
      <c r="Q535" s="263"/>
      <c r="R535" s="263"/>
      <c r="S535" s="292"/>
      <c r="T535" s="261"/>
      <c r="U535" s="261"/>
      <c r="V535" s="268"/>
      <c r="W535" s="268"/>
      <c r="X535" s="268"/>
      <c r="Y535" s="268"/>
      <c r="Z535" s="471">
        <f>SUMIF(TAB_CS[Reference],TAB_Offres[[#This Row],[Reference]],TAB_CS[Commited days])</f>
        <v>0</v>
      </c>
      <c r="AA535" s="269">
        <f>SUMIF(TAB_CS[Reference],TAB_Offres[[#This Row],[Reference]],TAB_CS[Commited amount])</f>
        <v>0</v>
      </c>
      <c r="AB535" s="275"/>
      <c r="AC535" s="270"/>
      <c r="AD535" s="270"/>
      <c r="AE535" s="264"/>
      <c r="AF535" s="271"/>
      <c r="AG535" s="278"/>
      <c r="AH535" s="277" t="str">
        <f>CONCATENATE(YEAR(TAB_Offres[[#This Row],[Request date ]]),"-",MONTH(TAB_Offres[[#This Row],[Request date ]]))</f>
        <v>1900-1</v>
      </c>
      <c r="AI535" s="274" t="e">
        <f>IF(#REF!,1,0)</f>
        <v>#REF!</v>
      </c>
      <c r="AJ535" s="4"/>
      <c r="AK535" s="4"/>
      <c r="AL535" s="4"/>
      <c r="AN535" s="150"/>
      <c r="AQ535" s="4"/>
    </row>
    <row r="536" spans="1:43" x14ac:dyDescent="0.25">
      <c r="A536" s="258">
        <f>ROW(TAB_Offres[[#This Row],[Reference]])-ROW(TAB_Offres[[#Headers],[ID]])</f>
        <v>535</v>
      </c>
      <c r="B536" s="258"/>
      <c r="C536" s="258"/>
      <c r="D536" s="258"/>
      <c r="E536" s="263"/>
      <c r="F536" s="258"/>
      <c r="G536" s="263"/>
      <c r="H536" s="262"/>
      <c r="I536" s="262"/>
      <c r="J536" s="262"/>
      <c r="K536" s="262"/>
      <c r="L536" s="262"/>
      <c r="M536" s="264"/>
      <c r="N536" s="262"/>
      <c r="O536" s="262"/>
      <c r="P536" s="262"/>
      <c r="Q536" s="263"/>
      <c r="R536" s="263"/>
      <c r="S536" s="292"/>
      <c r="T536" s="261"/>
      <c r="U536" s="261"/>
      <c r="V536" s="268"/>
      <c r="W536" s="268"/>
      <c r="X536" s="268"/>
      <c r="Y536" s="268"/>
      <c r="Z536" s="471">
        <f>SUMIF(TAB_CS[Reference],TAB_Offres[[#This Row],[Reference]],TAB_CS[Commited days])</f>
        <v>0</v>
      </c>
      <c r="AA536" s="269">
        <f>SUMIF(TAB_CS[Reference],TAB_Offres[[#This Row],[Reference]],TAB_CS[Commited amount])</f>
        <v>0</v>
      </c>
      <c r="AB536" s="275"/>
      <c r="AC536" s="270"/>
      <c r="AD536" s="270"/>
      <c r="AE536" s="264"/>
      <c r="AF536" s="271"/>
      <c r="AG536" s="278"/>
      <c r="AH536" s="277" t="str">
        <f>CONCATENATE(YEAR(TAB_Offres[[#This Row],[Request date ]]),"-",MONTH(TAB_Offres[[#This Row],[Request date ]]))</f>
        <v>1900-1</v>
      </c>
      <c r="AI536" s="274" t="e">
        <f>IF(#REF!,1,0)</f>
        <v>#REF!</v>
      </c>
      <c r="AJ536" s="4"/>
      <c r="AK536" s="4"/>
      <c r="AL536" s="4"/>
      <c r="AN536" s="150"/>
      <c r="AQ536" s="4"/>
    </row>
    <row r="537" spans="1:43" x14ac:dyDescent="0.25">
      <c r="A537" s="258">
        <f>ROW(TAB_Offres[[#This Row],[Reference]])-ROW(TAB_Offres[[#Headers],[ID]])</f>
        <v>536</v>
      </c>
      <c r="B537" s="258"/>
      <c r="C537" s="258"/>
      <c r="D537" s="258"/>
      <c r="E537" s="263"/>
      <c r="F537" s="258"/>
      <c r="G537" s="263"/>
      <c r="H537" s="262"/>
      <c r="I537" s="262"/>
      <c r="J537" s="262"/>
      <c r="K537" s="262"/>
      <c r="L537" s="262"/>
      <c r="M537" s="264"/>
      <c r="N537" s="262"/>
      <c r="O537" s="262"/>
      <c r="P537" s="262"/>
      <c r="Q537" s="263"/>
      <c r="R537" s="263"/>
      <c r="S537" s="292"/>
      <c r="T537" s="261"/>
      <c r="U537" s="261"/>
      <c r="V537" s="268"/>
      <c r="W537" s="268"/>
      <c r="X537" s="268"/>
      <c r="Y537" s="268"/>
      <c r="Z537" s="471">
        <f>SUMIF(TAB_CS[Reference],TAB_Offres[[#This Row],[Reference]],TAB_CS[Commited days])</f>
        <v>0</v>
      </c>
      <c r="AA537" s="269">
        <f>SUMIF(TAB_CS[Reference],TAB_Offres[[#This Row],[Reference]],TAB_CS[Commited amount])</f>
        <v>0</v>
      </c>
      <c r="AB537" s="275"/>
      <c r="AC537" s="270"/>
      <c r="AD537" s="270"/>
      <c r="AE537" s="264"/>
      <c r="AF537" s="271"/>
      <c r="AG537" s="278"/>
      <c r="AH537" s="277" t="str">
        <f>CONCATENATE(YEAR(TAB_Offres[[#This Row],[Request date ]]),"-",MONTH(TAB_Offres[[#This Row],[Request date ]]))</f>
        <v>1900-1</v>
      </c>
      <c r="AI537" s="274" t="e">
        <f>IF(#REF!,1,0)</f>
        <v>#REF!</v>
      </c>
      <c r="AJ537" s="4"/>
      <c r="AK537" s="4"/>
      <c r="AL537" s="4"/>
      <c r="AN537" s="150"/>
      <c r="AQ537" s="4"/>
    </row>
    <row r="538" spans="1:43" x14ac:dyDescent="0.25">
      <c r="A538" s="258">
        <f>ROW(TAB_Offres[[#This Row],[Reference]])-ROW(TAB_Offres[[#Headers],[ID]])</f>
        <v>537</v>
      </c>
      <c r="B538" s="258"/>
      <c r="C538" s="258"/>
      <c r="D538" s="258"/>
      <c r="E538" s="263"/>
      <c r="F538" s="258"/>
      <c r="G538" s="263"/>
      <c r="H538" s="262"/>
      <c r="I538" s="262"/>
      <c r="J538" s="262"/>
      <c r="K538" s="262"/>
      <c r="L538" s="262"/>
      <c r="M538" s="264"/>
      <c r="N538" s="262"/>
      <c r="O538" s="262"/>
      <c r="P538" s="262"/>
      <c r="Q538" s="263"/>
      <c r="R538" s="263"/>
      <c r="S538" s="292"/>
      <c r="T538" s="261"/>
      <c r="U538" s="261"/>
      <c r="V538" s="268"/>
      <c r="W538" s="268"/>
      <c r="X538" s="268"/>
      <c r="Y538" s="268"/>
      <c r="Z538" s="471">
        <f>SUMIF(TAB_CS[Reference],TAB_Offres[[#This Row],[Reference]],TAB_CS[Commited days])</f>
        <v>0</v>
      </c>
      <c r="AA538" s="269">
        <f>SUMIF(TAB_CS[Reference],TAB_Offres[[#This Row],[Reference]],TAB_CS[Commited amount])</f>
        <v>0</v>
      </c>
      <c r="AB538" s="275"/>
      <c r="AC538" s="270"/>
      <c r="AD538" s="270"/>
      <c r="AE538" s="264"/>
      <c r="AF538" s="271"/>
      <c r="AG538" s="278"/>
      <c r="AH538" s="277" t="str">
        <f>CONCATENATE(YEAR(TAB_Offres[[#This Row],[Request date ]]),"-",MONTH(TAB_Offres[[#This Row],[Request date ]]))</f>
        <v>1900-1</v>
      </c>
      <c r="AI538" s="274" t="e">
        <f>IF(#REF!,1,0)</f>
        <v>#REF!</v>
      </c>
      <c r="AJ538" s="4"/>
      <c r="AK538" s="4"/>
      <c r="AL538" s="4"/>
      <c r="AN538" s="150"/>
      <c r="AQ538" s="4"/>
    </row>
    <row r="539" spans="1:43" x14ac:dyDescent="0.25">
      <c r="A539" s="258">
        <f>ROW(TAB_Offres[[#This Row],[Reference]])-ROW(TAB_Offres[[#Headers],[ID]])</f>
        <v>538</v>
      </c>
      <c r="B539" s="258"/>
      <c r="C539" s="258"/>
      <c r="D539" s="258"/>
      <c r="E539" s="263"/>
      <c r="F539" s="258"/>
      <c r="G539" s="263"/>
      <c r="H539" s="262"/>
      <c r="I539" s="262"/>
      <c r="J539" s="262"/>
      <c r="K539" s="262"/>
      <c r="L539" s="262"/>
      <c r="M539" s="264"/>
      <c r="N539" s="262"/>
      <c r="O539" s="262"/>
      <c r="P539" s="262"/>
      <c r="Q539" s="263"/>
      <c r="R539" s="263"/>
      <c r="S539" s="292"/>
      <c r="T539" s="261"/>
      <c r="U539" s="261"/>
      <c r="V539" s="268"/>
      <c r="W539" s="268"/>
      <c r="X539" s="268"/>
      <c r="Y539" s="268"/>
      <c r="Z539" s="471">
        <f>SUMIF(TAB_CS[Reference],TAB_Offres[[#This Row],[Reference]],TAB_CS[Commited days])</f>
        <v>0</v>
      </c>
      <c r="AA539" s="269">
        <f>SUMIF(TAB_CS[Reference],TAB_Offres[[#This Row],[Reference]],TAB_CS[Commited amount])</f>
        <v>0</v>
      </c>
      <c r="AB539" s="275"/>
      <c r="AC539" s="270"/>
      <c r="AD539" s="270"/>
      <c r="AE539" s="264"/>
      <c r="AF539" s="271"/>
      <c r="AG539" s="278"/>
      <c r="AH539" s="277" t="str">
        <f>CONCATENATE(YEAR(TAB_Offres[[#This Row],[Request date ]]),"-",MONTH(TAB_Offres[[#This Row],[Request date ]]))</f>
        <v>1900-1</v>
      </c>
      <c r="AI539" s="274" t="e">
        <f>IF(#REF!,1,0)</f>
        <v>#REF!</v>
      </c>
      <c r="AJ539" s="4"/>
      <c r="AK539" s="4"/>
      <c r="AL539" s="4"/>
      <c r="AN539" s="150"/>
      <c r="AQ539" s="4"/>
    </row>
    <row r="540" spans="1:43" x14ac:dyDescent="0.25">
      <c r="A540" s="258">
        <f>ROW(TAB_Offres[[#This Row],[Reference]])-ROW(TAB_Offres[[#Headers],[ID]])</f>
        <v>539</v>
      </c>
      <c r="B540" s="258"/>
      <c r="C540" s="258"/>
      <c r="D540" s="258"/>
      <c r="E540" s="263"/>
      <c r="F540" s="258"/>
      <c r="G540" s="263"/>
      <c r="H540" s="262"/>
      <c r="I540" s="262"/>
      <c r="J540" s="262"/>
      <c r="K540" s="262"/>
      <c r="L540" s="262"/>
      <c r="M540" s="264"/>
      <c r="N540" s="262"/>
      <c r="O540" s="262"/>
      <c r="P540" s="262"/>
      <c r="Q540" s="263"/>
      <c r="R540" s="263"/>
      <c r="S540" s="292"/>
      <c r="T540" s="261"/>
      <c r="U540" s="261"/>
      <c r="V540" s="268"/>
      <c r="W540" s="268"/>
      <c r="X540" s="268"/>
      <c r="Y540" s="268"/>
      <c r="Z540" s="471">
        <f>SUMIF(TAB_CS[Reference],TAB_Offres[[#This Row],[Reference]],TAB_CS[Commited days])</f>
        <v>0</v>
      </c>
      <c r="AA540" s="269">
        <f>SUMIF(TAB_CS[Reference],TAB_Offres[[#This Row],[Reference]],TAB_CS[Commited amount])</f>
        <v>0</v>
      </c>
      <c r="AB540" s="275"/>
      <c r="AC540" s="270"/>
      <c r="AD540" s="270"/>
      <c r="AE540" s="264"/>
      <c r="AF540" s="271"/>
      <c r="AG540" s="278"/>
      <c r="AH540" s="277" t="str">
        <f>CONCATENATE(YEAR(TAB_Offres[[#This Row],[Request date ]]),"-",MONTH(TAB_Offres[[#This Row],[Request date ]]))</f>
        <v>1900-1</v>
      </c>
      <c r="AI540" s="274" t="e">
        <f>IF(#REF!,1,0)</f>
        <v>#REF!</v>
      </c>
      <c r="AJ540" s="4"/>
      <c r="AK540" s="4"/>
      <c r="AL540" s="4"/>
      <c r="AN540" s="150"/>
      <c r="AQ540" s="4"/>
    </row>
    <row r="541" spans="1:43" x14ac:dyDescent="0.25">
      <c r="A541" s="258">
        <f>ROW(TAB_Offres[[#This Row],[Reference]])-ROW(TAB_Offres[[#Headers],[ID]])</f>
        <v>540</v>
      </c>
      <c r="B541" s="258"/>
      <c r="C541" s="258"/>
      <c r="D541" s="258"/>
      <c r="E541" s="263"/>
      <c r="F541" s="258"/>
      <c r="G541" s="263"/>
      <c r="H541" s="262"/>
      <c r="I541" s="262"/>
      <c r="J541" s="262"/>
      <c r="K541" s="262"/>
      <c r="L541" s="262"/>
      <c r="M541" s="264"/>
      <c r="N541" s="262"/>
      <c r="O541" s="262"/>
      <c r="P541" s="262"/>
      <c r="Q541" s="263"/>
      <c r="R541" s="263"/>
      <c r="S541" s="292"/>
      <c r="T541" s="261"/>
      <c r="U541" s="261"/>
      <c r="V541" s="268"/>
      <c r="W541" s="268"/>
      <c r="X541" s="268"/>
      <c r="Y541" s="268"/>
      <c r="Z541" s="471">
        <f>SUMIF(TAB_CS[Reference],TAB_Offres[[#This Row],[Reference]],TAB_CS[Commited days])</f>
        <v>0</v>
      </c>
      <c r="AA541" s="269">
        <f>SUMIF(TAB_CS[Reference],TAB_Offres[[#This Row],[Reference]],TAB_CS[Commited amount])</f>
        <v>0</v>
      </c>
      <c r="AB541" s="275"/>
      <c r="AC541" s="270"/>
      <c r="AD541" s="270"/>
      <c r="AE541" s="264"/>
      <c r="AF541" s="271"/>
      <c r="AG541" s="278"/>
      <c r="AH541" s="277" t="str">
        <f>CONCATENATE(YEAR(TAB_Offres[[#This Row],[Request date ]]),"-",MONTH(TAB_Offres[[#This Row],[Request date ]]))</f>
        <v>1900-1</v>
      </c>
      <c r="AI541" s="274" t="e">
        <f>IF(#REF!,1,0)</f>
        <v>#REF!</v>
      </c>
      <c r="AJ541" s="4"/>
      <c r="AK541" s="4"/>
      <c r="AL541" s="4"/>
      <c r="AN541" s="150"/>
      <c r="AQ541" s="4"/>
    </row>
    <row r="542" spans="1:43" x14ac:dyDescent="0.25">
      <c r="A542" s="258">
        <f>ROW(TAB_Offres[[#This Row],[Reference]])-ROW(TAB_Offres[[#Headers],[ID]])</f>
        <v>541</v>
      </c>
      <c r="B542" s="258"/>
      <c r="C542" s="258"/>
      <c r="D542" s="258"/>
      <c r="E542" s="263"/>
      <c r="F542" s="258"/>
      <c r="G542" s="263"/>
      <c r="H542" s="262"/>
      <c r="I542" s="262"/>
      <c r="J542" s="262"/>
      <c r="K542" s="262"/>
      <c r="L542" s="262"/>
      <c r="M542" s="264"/>
      <c r="N542" s="262"/>
      <c r="O542" s="262"/>
      <c r="P542" s="262"/>
      <c r="Q542" s="263"/>
      <c r="R542" s="263"/>
      <c r="S542" s="292"/>
      <c r="T542" s="261"/>
      <c r="U542" s="261"/>
      <c r="V542" s="268"/>
      <c r="W542" s="268"/>
      <c r="X542" s="268"/>
      <c r="Y542" s="268"/>
      <c r="Z542" s="471">
        <f>SUMIF(TAB_CS[Reference],TAB_Offres[[#This Row],[Reference]],TAB_CS[Commited days])</f>
        <v>0</v>
      </c>
      <c r="AA542" s="269">
        <f>SUMIF(TAB_CS[Reference],TAB_Offres[[#This Row],[Reference]],TAB_CS[Commited amount])</f>
        <v>0</v>
      </c>
      <c r="AB542" s="275"/>
      <c r="AC542" s="270"/>
      <c r="AD542" s="270"/>
      <c r="AE542" s="264"/>
      <c r="AF542" s="271"/>
      <c r="AG542" s="278"/>
      <c r="AH542" s="277" t="str">
        <f>CONCATENATE(YEAR(TAB_Offres[[#This Row],[Request date ]]),"-",MONTH(TAB_Offres[[#This Row],[Request date ]]))</f>
        <v>1900-1</v>
      </c>
      <c r="AI542" s="274" t="e">
        <f>IF(#REF!,1,0)</f>
        <v>#REF!</v>
      </c>
      <c r="AJ542" s="4"/>
      <c r="AK542" s="4"/>
      <c r="AL542" s="4"/>
      <c r="AN542" s="150"/>
      <c r="AQ542" s="4"/>
    </row>
    <row r="543" spans="1:43" x14ac:dyDescent="0.25">
      <c r="A543" s="258">
        <f>ROW(TAB_Offres[[#This Row],[Reference]])-ROW(TAB_Offres[[#Headers],[ID]])</f>
        <v>542</v>
      </c>
      <c r="B543" s="258"/>
      <c r="C543" s="258"/>
      <c r="D543" s="258"/>
      <c r="E543" s="263"/>
      <c r="F543" s="258"/>
      <c r="G543" s="263"/>
      <c r="H543" s="262"/>
      <c r="I543" s="262"/>
      <c r="J543" s="262"/>
      <c r="K543" s="262"/>
      <c r="L543" s="262"/>
      <c r="M543" s="264"/>
      <c r="N543" s="262"/>
      <c r="O543" s="262"/>
      <c r="P543" s="262"/>
      <c r="Q543" s="263"/>
      <c r="R543" s="263"/>
      <c r="S543" s="292"/>
      <c r="T543" s="261"/>
      <c r="U543" s="261"/>
      <c r="V543" s="268"/>
      <c r="W543" s="268"/>
      <c r="X543" s="268"/>
      <c r="Y543" s="268"/>
      <c r="Z543" s="471">
        <f>SUMIF(TAB_CS[Reference],TAB_Offres[[#This Row],[Reference]],TAB_CS[Commited days])</f>
        <v>0</v>
      </c>
      <c r="AA543" s="269">
        <f>SUMIF(TAB_CS[Reference],TAB_Offres[[#This Row],[Reference]],TAB_CS[Commited amount])</f>
        <v>0</v>
      </c>
      <c r="AB543" s="275"/>
      <c r="AC543" s="270"/>
      <c r="AD543" s="270"/>
      <c r="AE543" s="264"/>
      <c r="AF543" s="271"/>
      <c r="AG543" s="278"/>
      <c r="AH543" s="277" t="str">
        <f>CONCATENATE(YEAR(TAB_Offres[[#This Row],[Request date ]]),"-",MONTH(TAB_Offres[[#This Row],[Request date ]]))</f>
        <v>1900-1</v>
      </c>
      <c r="AI543" s="274" t="e">
        <f>IF(#REF!,1,0)</f>
        <v>#REF!</v>
      </c>
      <c r="AJ543" s="4"/>
      <c r="AK543" s="4"/>
      <c r="AL543" s="4"/>
      <c r="AN543" s="150"/>
      <c r="AQ543" s="4"/>
    </row>
    <row r="544" spans="1:43" x14ac:dyDescent="0.25">
      <c r="A544" s="258">
        <f>ROW(TAB_Offres[[#This Row],[Reference]])-ROW(TAB_Offres[[#Headers],[ID]])</f>
        <v>543</v>
      </c>
      <c r="B544" s="258"/>
      <c r="C544" s="258"/>
      <c r="D544" s="258"/>
      <c r="E544" s="263"/>
      <c r="F544" s="258"/>
      <c r="G544" s="263"/>
      <c r="H544" s="262"/>
      <c r="I544" s="262"/>
      <c r="J544" s="262"/>
      <c r="K544" s="262"/>
      <c r="L544" s="262"/>
      <c r="M544" s="264"/>
      <c r="N544" s="262"/>
      <c r="O544" s="262"/>
      <c r="P544" s="262"/>
      <c r="Q544" s="263"/>
      <c r="R544" s="263"/>
      <c r="S544" s="292"/>
      <c r="T544" s="261"/>
      <c r="U544" s="261"/>
      <c r="V544" s="268"/>
      <c r="W544" s="268"/>
      <c r="X544" s="268"/>
      <c r="Y544" s="268"/>
      <c r="Z544" s="471">
        <f>SUMIF(TAB_CS[Reference],TAB_Offres[[#This Row],[Reference]],TAB_CS[Commited days])</f>
        <v>0</v>
      </c>
      <c r="AA544" s="269">
        <f>SUMIF(TAB_CS[Reference],TAB_Offres[[#This Row],[Reference]],TAB_CS[Commited amount])</f>
        <v>0</v>
      </c>
      <c r="AB544" s="275"/>
      <c r="AC544" s="270"/>
      <c r="AD544" s="270"/>
      <c r="AE544" s="264"/>
      <c r="AF544" s="271"/>
      <c r="AG544" s="278"/>
      <c r="AH544" s="277" t="str">
        <f>CONCATENATE(YEAR(TAB_Offres[[#This Row],[Request date ]]),"-",MONTH(TAB_Offres[[#This Row],[Request date ]]))</f>
        <v>1900-1</v>
      </c>
      <c r="AI544" s="274" t="e">
        <f>IF(#REF!,1,0)</f>
        <v>#REF!</v>
      </c>
      <c r="AJ544" s="4"/>
      <c r="AK544" s="4"/>
      <c r="AL544" s="4"/>
      <c r="AN544" s="150"/>
      <c r="AQ544" s="4"/>
    </row>
    <row r="545" spans="1:43" x14ac:dyDescent="0.25">
      <c r="A545" s="258">
        <f>ROW(TAB_Offres[[#This Row],[Reference]])-ROW(TAB_Offres[[#Headers],[ID]])</f>
        <v>544</v>
      </c>
      <c r="B545" s="258"/>
      <c r="C545" s="258"/>
      <c r="D545" s="258"/>
      <c r="E545" s="263"/>
      <c r="F545" s="258"/>
      <c r="G545" s="263"/>
      <c r="H545" s="262"/>
      <c r="I545" s="262"/>
      <c r="J545" s="262"/>
      <c r="K545" s="262"/>
      <c r="L545" s="262"/>
      <c r="M545" s="264"/>
      <c r="N545" s="262"/>
      <c r="O545" s="262"/>
      <c r="P545" s="262"/>
      <c r="Q545" s="263"/>
      <c r="R545" s="263"/>
      <c r="S545" s="292"/>
      <c r="T545" s="261"/>
      <c r="U545" s="261"/>
      <c r="V545" s="268"/>
      <c r="W545" s="268"/>
      <c r="X545" s="268"/>
      <c r="Y545" s="268"/>
      <c r="Z545" s="471">
        <f>SUMIF(TAB_CS[Reference],TAB_Offres[[#This Row],[Reference]],TAB_CS[Commited days])</f>
        <v>0</v>
      </c>
      <c r="AA545" s="269">
        <f>SUMIF(TAB_CS[Reference],TAB_Offres[[#This Row],[Reference]],TAB_CS[Commited amount])</f>
        <v>0</v>
      </c>
      <c r="AB545" s="275"/>
      <c r="AC545" s="270"/>
      <c r="AD545" s="270"/>
      <c r="AE545" s="264"/>
      <c r="AF545" s="271"/>
      <c r="AG545" s="278"/>
      <c r="AH545" s="277" t="str">
        <f>CONCATENATE(YEAR(TAB_Offres[[#This Row],[Request date ]]),"-",MONTH(TAB_Offres[[#This Row],[Request date ]]))</f>
        <v>1900-1</v>
      </c>
      <c r="AI545" s="274" t="e">
        <f>IF(#REF!,1,0)</f>
        <v>#REF!</v>
      </c>
      <c r="AJ545" s="4"/>
      <c r="AK545" s="4"/>
      <c r="AL545" s="4"/>
      <c r="AN545" s="150"/>
      <c r="AQ545" s="4"/>
    </row>
    <row r="546" spans="1:43" x14ac:dyDescent="0.25">
      <c r="A546" s="258">
        <f>ROW(TAB_Offres[[#This Row],[Reference]])-ROW(TAB_Offres[[#Headers],[ID]])</f>
        <v>545</v>
      </c>
      <c r="B546" s="258"/>
      <c r="C546" s="258"/>
      <c r="D546" s="258"/>
      <c r="E546" s="263"/>
      <c r="F546" s="258"/>
      <c r="G546" s="263"/>
      <c r="H546" s="262"/>
      <c r="I546" s="262"/>
      <c r="J546" s="262"/>
      <c r="K546" s="262"/>
      <c r="L546" s="262"/>
      <c r="M546" s="264"/>
      <c r="N546" s="262"/>
      <c r="O546" s="262"/>
      <c r="P546" s="262"/>
      <c r="Q546" s="263"/>
      <c r="R546" s="263"/>
      <c r="S546" s="292"/>
      <c r="T546" s="261"/>
      <c r="U546" s="261"/>
      <c r="V546" s="268"/>
      <c r="W546" s="268"/>
      <c r="X546" s="268"/>
      <c r="Y546" s="268"/>
      <c r="Z546" s="471">
        <f>SUMIF(TAB_CS[Reference],TAB_Offres[[#This Row],[Reference]],TAB_CS[Commited days])</f>
        <v>0</v>
      </c>
      <c r="AA546" s="269">
        <f>SUMIF(TAB_CS[Reference],TAB_Offres[[#This Row],[Reference]],TAB_CS[Commited amount])</f>
        <v>0</v>
      </c>
      <c r="AB546" s="275"/>
      <c r="AC546" s="270"/>
      <c r="AD546" s="270"/>
      <c r="AE546" s="264"/>
      <c r="AF546" s="271"/>
      <c r="AG546" s="278"/>
      <c r="AH546" s="277" t="str">
        <f>CONCATENATE(YEAR(TAB_Offres[[#This Row],[Request date ]]),"-",MONTH(TAB_Offres[[#This Row],[Request date ]]))</f>
        <v>1900-1</v>
      </c>
      <c r="AI546" s="274" t="e">
        <f>IF(#REF!,1,0)</f>
        <v>#REF!</v>
      </c>
      <c r="AJ546" s="4"/>
      <c r="AK546" s="4"/>
      <c r="AL546" s="4"/>
      <c r="AN546" s="150"/>
      <c r="AQ546" s="4"/>
    </row>
    <row r="547" spans="1:43" x14ac:dyDescent="0.25">
      <c r="A547" s="258">
        <f>ROW(TAB_Offres[[#This Row],[Reference]])-ROW(TAB_Offres[[#Headers],[ID]])</f>
        <v>546</v>
      </c>
      <c r="B547" s="258"/>
      <c r="C547" s="258"/>
      <c r="D547" s="258"/>
      <c r="E547" s="263"/>
      <c r="F547" s="258"/>
      <c r="G547" s="263"/>
      <c r="H547" s="262"/>
      <c r="I547" s="262"/>
      <c r="J547" s="262"/>
      <c r="K547" s="262"/>
      <c r="L547" s="262"/>
      <c r="M547" s="264"/>
      <c r="N547" s="262"/>
      <c r="O547" s="262"/>
      <c r="P547" s="262"/>
      <c r="Q547" s="263"/>
      <c r="R547" s="263"/>
      <c r="S547" s="292"/>
      <c r="T547" s="261"/>
      <c r="U547" s="261"/>
      <c r="V547" s="268"/>
      <c r="W547" s="268"/>
      <c r="X547" s="268"/>
      <c r="Y547" s="268"/>
      <c r="Z547" s="471">
        <f>SUMIF(TAB_CS[Reference],TAB_Offres[[#This Row],[Reference]],TAB_CS[Commited days])</f>
        <v>0</v>
      </c>
      <c r="AA547" s="269">
        <f>SUMIF(TAB_CS[Reference],TAB_Offres[[#This Row],[Reference]],TAB_CS[Commited amount])</f>
        <v>0</v>
      </c>
      <c r="AB547" s="275"/>
      <c r="AC547" s="270"/>
      <c r="AD547" s="270"/>
      <c r="AE547" s="264"/>
      <c r="AF547" s="271"/>
      <c r="AG547" s="278"/>
      <c r="AH547" s="277" t="str">
        <f>CONCATENATE(YEAR(TAB_Offres[[#This Row],[Request date ]]),"-",MONTH(TAB_Offres[[#This Row],[Request date ]]))</f>
        <v>1900-1</v>
      </c>
      <c r="AI547" s="274" t="e">
        <f>IF(#REF!,1,0)</f>
        <v>#REF!</v>
      </c>
      <c r="AJ547" s="4"/>
      <c r="AK547" s="4"/>
      <c r="AL547" s="4"/>
      <c r="AN547" s="150"/>
      <c r="AQ547" s="4"/>
    </row>
    <row r="548" spans="1:43" x14ac:dyDescent="0.25">
      <c r="A548" s="258">
        <f>ROW(TAB_Offres[[#This Row],[Reference]])-ROW(TAB_Offres[[#Headers],[ID]])</f>
        <v>547</v>
      </c>
      <c r="B548" s="258"/>
      <c r="C548" s="258"/>
      <c r="D548" s="258"/>
      <c r="E548" s="263"/>
      <c r="F548" s="258"/>
      <c r="G548" s="263"/>
      <c r="H548" s="262"/>
      <c r="I548" s="262"/>
      <c r="J548" s="262"/>
      <c r="K548" s="262"/>
      <c r="L548" s="262"/>
      <c r="M548" s="264"/>
      <c r="N548" s="262"/>
      <c r="O548" s="262"/>
      <c r="P548" s="262"/>
      <c r="Q548" s="263"/>
      <c r="R548" s="263"/>
      <c r="S548" s="292"/>
      <c r="T548" s="261"/>
      <c r="U548" s="261"/>
      <c r="V548" s="268"/>
      <c r="W548" s="268"/>
      <c r="X548" s="268"/>
      <c r="Y548" s="268"/>
      <c r="Z548" s="471">
        <f>SUMIF(TAB_CS[Reference],TAB_Offres[[#This Row],[Reference]],TAB_CS[Commited days])</f>
        <v>0</v>
      </c>
      <c r="AA548" s="269">
        <f>SUMIF(TAB_CS[Reference],TAB_Offres[[#This Row],[Reference]],TAB_CS[Commited amount])</f>
        <v>0</v>
      </c>
      <c r="AB548" s="275"/>
      <c r="AC548" s="270"/>
      <c r="AD548" s="270"/>
      <c r="AE548" s="264"/>
      <c r="AF548" s="271"/>
      <c r="AG548" s="278"/>
      <c r="AH548" s="277" t="str">
        <f>CONCATENATE(YEAR(TAB_Offres[[#This Row],[Request date ]]),"-",MONTH(TAB_Offres[[#This Row],[Request date ]]))</f>
        <v>1900-1</v>
      </c>
      <c r="AI548" s="274" t="e">
        <f>IF(#REF!,1,0)</f>
        <v>#REF!</v>
      </c>
      <c r="AJ548" s="4"/>
      <c r="AK548" s="4"/>
      <c r="AL548" s="4"/>
      <c r="AN548" s="150"/>
      <c r="AQ548" s="4"/>
    </row>
    <row r="549" spans="1:43" x14ac:dyDescent="0.25">
      <c r="A549" s="258">
        <f>ROW(TAB_Offres[[#This Row],[Reference]])-ROW(TAB_Offres[[#Headers],[ID]])</f>
        <v>548</v>
      </c>
      <c r="B549" s="258"/>
      <c r="C549" s="258"/>
      <c r="D549" s="258"/>
      <c r="E549" s="263"/>
      <c r="F549" s="258"/>
      <c r="G549" s="263"/>
      <c r="H549" s="262"/>
      <c r="I549" s="262"/>
      <c r="J549" s="262"/>
      <c r="K549" s="262"/>
      <c r="L549" s="262"/>
      <c r="M549" s="264"/>
      <c r="N549" s="262"/>
      <c r="O549" s="262"/>
      <c r="P549" s="262"/>
      <c r="Q549" s="263"/>
      <c r="R549" s="263"/>
      <c r="S549" s="292"/>
      <c r="T549" s="261"/>
      <c r="U549" s="261"/>
      <c r="V549" s="268"/>
      <c r="W549" s="268"/>
      <c r="X549" s="268"/>
      <c r="Y549" s="268"/>
      <c r="Z549" s="471">
        <f>SUMIF(TAB_CS[Reference],TAB_Offres[[#This Row],[Reference]],TAB_CS[Commited days])</f>
        <v>0</v>
      </c>
      <c r="AA549" s="269">
        <f>SUMIF(TAB_CS[Reference],TAB_Offres[[#This Row],[Reference]],TAB_CS[Commited amount])</f>
        <v>0</v>
      </c>
      <c r="AB549" s="275"/>
      <c r="AC549" s="270"/>
      <c r="AD549" s="270"/>
      <c r="AE549" s="264"/>
      <c r="AF549" s="271"/>
      <c r="AG549" s="278"/>
      <c r="AH549" s="277" t="str">
        <f>CONCATENATE(YEAR(TAB_Offres[[#This Row],[Request date ]]),"-",MONTH(TAB_Offres[[#This Row],[Request date ]]))</f>
        <v>1900-1</v>
      </c>
      <c r="AI549" s="274" t="e">
        <f>IF(#REF!,1,0)</f>
        <v>#REF!</v>
      </c>
      <c r="AJ549" s="4"/>
      <c r="AK549" s="4"/>
      <c r="AL549" s="4"/>
      <c r="AN549" s="150"/>
      <c r="AQ549" s="4"/>
    </row>
    <row r="550" spans="1:43" x14ac:dyDescent="0.25">
      <c r="A550" s="258">
        <f>ROW(TAB_Offres[[#This Row],[Reference]])-ROW(TAB_Offres[[#Headers],[ID]])</f>
        <v>549</v>
      </c>
      <c r="B550" s="258"/>
      <c r="C550" s="258"/>
      <c r="D550" s="258"/>
      <c r="E550" s="263"/>
      <c r="F550" s="258"/>
      <c r="G550" s="263"/>
      <c r="H550" s="262"/>
      <c r="I550" s="262"/>
      <c r="J550" s="262"/>
      <c r="K550" s="262"/>
      <c r="L550" s="262"/>
      <c r="M550" s="264"/>
      <c r="N550" s="262"/>
      <c r="O550" s="262"/>
      <c r="P550" s="262"/>
      <c r="Q550" s="263"/>
      <c r="R550" s="263"/>
      <c r="S550" s="292"/>
      <c r="T550" s="261"/>
      <c r="U550" s="261"/>
      <c r="V550" s="268"/>
      <c r="W550" s="268"/>
      <c r="X550" s="268"/>
      <c r="Y550" s="268"/>
      <c r="Z550" s="471">
        <f>SUMIF(TAB_CS[Reference],TAB_Offres[[#This Row],[Reference]],TAB_CS[Commited days])</f>
        <v>0</v>
      </c>
      <c r="AA550" s="269">
        <f>SUMIF(TAB_CS[Reference],TAB_Offres[[#This Row],[Reference]],TAB_CS[Commited amount])</f>
        <v>0</v>
      </c>
      <c r="AB550" s="275"/>
      <c r="AC550" s="270"/>
      <c r="AD550" s="270"/>
      <c r="AE550" s="264"/>
      <c r="AF550" s="271"/>
      <c r="AG550" s="278"/>
      <c r="AH550" s="277" t="str">
        <f>CONCATENATE(YEAR(TAB_Offres[[#This Row],[Request date ]]),"-",MONTH(TAB_Offres[[#This Row],[Request date ]]))</f>
        <v>1900-1</v>
      </c>
      <c r="AI550" s="274" t="e">
        <f>IF(#REF!,1,0)</f>
        <v>#REF!</v>
      </c>
      <c r="AJ550" s="4"/>
      <c r="AK550" s="4"/>
      <c r="AL550" s="4"/>
      <c r="AN550" s="150"/>
      <c r="AQ550" s="4"/>
    </row>
    <row r="551" spans="1:43" x14ac:dyDescent="0.25">
      <c r="A551" s="258">
        <f>ROW(TAB_Offres[[#This Row],[Reference]])-ROW(TAB_Offres[[#Headers],[ID]])</f>
        <v>550</v>
      </c>
      <c r="B551" s="258"/>
      <c r="C551" s="258"/>
      <c r="D551" s="258"/>
      <c r="E551" s="263"/>
      <c r="F551" s="258"/>
      <c r="G551" s="263"/>
      <c r="H551" s="262"/>
      <c r="I551" s="262"/>
      <c r="J551" s="262"/>
      <c r="K551" s="262"/>
      <c r="L551" s="262"/>
      <c r="M551" s="264"/>
      <c r="N551" s="262"/>
      <c r="O551" s="262"/>
      <c r="P551" s="262"/>
      <c r="Q551" s="263"/>
      <c r="R551" s="263"/>
      <c r="S551" s="292"/>
      <c r="T551" s="261"/>
      <c r="U551" s="261"/>
      <c r="V551" s="268"/>
      <c r="W551" s="268"/>
      <c r="X551" s="268"/>
      <c r="Y551" s="268"/>
      <c r="Z551" s="471">
        <f>SUMIF(TAB_CS[Reference],TAB_Offres[[#This Row],[Reference]],TAB_CS[Commited days])</f>
        <v>0</v>
      </c>
      <c r="AA551" s="269">
        <f>SUMIF(TAB_CS[Reference],TAB_Offres[[#This Row],[Reference]],TAB_CS[Commited amount])</f>
        <v>0</v>
      </c>
      <c r="AB551" s="275"/>
      <c r="AC551" s="270"/>
      <c r="AD551" s="270"/>
      <c r="AE551" s="264"/>
      <c r="AF551" s="271"/>
      <c r="AG551" s="278"/>
      <c r="AH551" s="277" t="str">
        <f>CONCATENATE(YEAR(TAB_Offres[[#This Row],[Request date ]]),"-",MONTH(TAB_Offres[[#This Row],[Request date ]]))</f>
        <v>1900-1</v>
      </c>
      <c r="AI551" s="274" t="e">
        <f>IF(#REF!,1,0)</f>
        <v>#REF!</v>
      </c>
      <c r="AJ551" s="4"/>
      <c r="AK551" s="4"/>
      <c r="AL551" s="4"/>
      <c r="AN551" s="150"/>
      <c r="AQ551" s="4"/>
    </row>
    <row r="552" spans="1:43" x14ac:dyDescent="0.25">
      <c r="A552" s="258">
        <f>ROW(TAB_Offres[[#This Row],[Reference]])-ROW(TAB_Offres[[#Headers],[ID]])</f>
        <v>551</v>
      </c>
      <c r="B552" s="258"/>
      <c r="C552" s="258"/>
      <c r="D552" s="258"/>
      <c r="E552" s="263"/>
      <c r="F552" s="258"/>
      <c r="G552" s="263"/>
      <c r="H552" s="262"/>
      <c r="I552" s="262"/>
      <c r="J552" s="262"/>
      <c r="K552" s="262"/>
      <c r="L552" s="262"/>
      <c r="M552" s="264"/>
      <c r="N552" s="262"/>
      <c r="O552" s="262"/>
      <c r="P552" s="262"/>
      <c r="Q552" s="263"/>
      <c r="R552" s="263"/>
      <c r="S552" s="292"/>
      <c r="T552" s="261"/>
      <c r="U552" s="261"/>
      <c r="V552" s="268"/>
      <c r="W552" s="268"/>
      <c r="X552" s="268"/>
      <c r="Y552" s="268"/>
      <c r="Z552" s="471">
        <f>SUMIF(TAB_CS[Reference],TAB_Offres[[#This Row],[Reference]],TAB_CS[Commited days])</f>
        <v>0</v>
      </c>
      <c r="AA552" s="269">
        <f>SUMIF(TAB_CS[Reference],TAB_Offres[[#This Row],[Reference]],TAB_CS[Commited amount])</f>
        <v>0</v>
      </c>
      <c r="AB552" s="275"/>
      <c r="AC552" s="270"/>
      <c r="AD552" s="270"/>
      <c r="AE552" s="264"/>
      <c r="AF552" s="271"/>
      <c r="AG552" s="278"/>
      <c r="AH552" s="277" t="str">
        <f>CONCATENATE(YEAR(TAB_Offres[[#This Row],[Request date ]]),"-",MONTH(TAB_Offres[[#This Row],[Request date ]]))</f>
        <v>1900-1</v>
      </c>
      <c r="AI552" s="274" t="e">
        <f>IF(#REF!,1,0)</f>
        <v>#REF!</v>
      </c>
      <c r="AJ552" s="4"/>
      <c r="AK552" s="4"/>
      <c r="AL552" s="4"/>
      <c r="AN552" s="150"/>
      <c r="AQ552" s="4"/>
    </row>
    <row r="553" spans="1:43" x14ac:dyDescent="0.25">
      <c r="A553" s="258">
        <f>ROW(TAB_Offres[[#This Row],[Reference]])-ROW(TAB_Offres[[#Headers],[ID]])</f>
        <v>552</v>
      </c>
      <c r="B553" s="258"/>
      <c r="C553" s="258"/>
      <c r="D553" s="258"/>
      <c r="E553" s="263"/>
      <c r="F553" s="258"/>
      <c r="G553" s="263"/>
      <c r="H553" s="262"/>
      <c r="I553" s="262"/>
      <c r="J553" s="262"/>
      <c r="K553" s="262"/>
      <c r="L553" s="262"/>
      <c r="M553" s="264"/>
      <c r="N553" s="262"/>
      <c r="O553" s="262"/>
      <c r="P553" s="262"/>
      <c r="Q553" s="263"/>
      <c r="R553" s="263"/>
      <c r="S553" s="292"/>
      <c r="T553" s="261"/>
      <c r="U553" s="261"/>
      <c r="V553" s="268"/>
      <c r="W553" s="268"/>
      <c r="X553" s="268"/>
      <c r="Y553" s="268"/>
      <c r="Z553" s="471">
        <f>SUMIF(TAB_CS[Reference],TAB_Offres[[#This Row],[Reference]],TAB_CS[Commited days])</f>
        <v>0</v>
      </c>
      <c r="AA553" s="269">
        <f>SUMIF(TAB_CS[Reference],TAB_Offres[[#This Row],[Reference]],TAB_CS[Commited amount])</f>
        <v>0</v>
      </c>
      <c r="AB553" s="275"/>
      <c r="AC553" s="270"/>
      <c r="AD553" s="270"/>
      <c r="AE553" s="264"/>
      <c r="AF553" s="271"/>
      <c r="AG553" s="278"/>
      <c r="AH553" s="277" t="str">
        <f>CONCATENATE(YEAR(TAB_Offres[[#This Row],[Request date ]]),"-",MONTH(TAB_Offres[[#This Row],[Request date ]]))</f>
        <v>1900-1</v>
      </c>
      <c r="AI553" s="274" t="e">
        <f>IF(#REF!,1,0)</f>
        <v>#REF!</v>
      </c>
      <c r="AJ553" s="4"/>
      <c r="AK553" s="4"/>
      <c r="AL553" s="4"/>
      <c r="AN553" s="150"/>
      <c r="AQ553" s="4"/>
    </row>
    <row r="554" spans="1:43" x14ac:dyDescent="0.25">
      <c r="A554" s="258">
        <f>ROW(TAB_Offres[[#This Row],[Reference]])-ROW(TAB_Offres[[#Headers],[ID]])</f>
        <v>553</v>
      </c>
      <c r="B554" s="258"/>
      <c r="C554" s="258"/>
      <c r="D554" s="258"/>
      <c r="E554" s="263"/>
      <c r="F554" s="258"/>
      <c r="G554" s="263"/>
      <c r="H554" s="262"/>
      <c r="I554" s="262"/>
      <c r="J554" s="262"/>
      <c r="K554" s="262"/>
      <c r="L554" s="262"/>
      <c r="M554" s="264"/>
      <c r="N554" s="262"/>
      <c r="O554" s="262"/>
      <c r="P554" s="262"/>
      <c r="Q554" s="263"/>
      <c r="R554" s="263"/>
      <c r="S554" s="292"/>
      <c r="T554" s="261"/>
      <c r="U554" s="261"/>
      <c r="V554" s="268"/>
      <c r="W554" s="268"/>
      <c r="X554" s="268"/>
      <c r="Y554" s="268"/>
      <c r="Z554" s="471">
        <f>SUMIF(TAB_CS[Reference],TAB_Offres[[#This Row],[Reference]],TAB_CS[Commited days])</f>
        <v>0</v>
      </c>
      <c r="AA554" s="269">
        <f>SUMIF(TAB_CS[Reference],TAB_Offres[[#This Row],[Reference]],TAB_CS[Commited amount])</f>
        <v>0</v>
      </c>
      <c r="AB554" s="275"/>
      <c r="AC554" s="270"/>
      <c r="AD554" s="270"/>
      <c r="AE554" s="264"/>
      <c r="AF554" s="271"/>
      <c r="AG554" s="278"/>
      <c r="AH554" s="277" t="str">
        <f>CONCATENATE(YEAR(TAB_Offres[[#This Row],[Request date ]]),"-",MONTH(TAB_Offres[[#This Row],[Request date ]]))</f>
        <v>1900-1</v>
      </c>
      <c r="AI554" s="274" t="e">
        <f>IF(#REF!,1,0)</f>
        <v>#REF!</v>
      </c>
      <c r="AJ554" s="4"/>
      <c r="AK554" s="4"/>
      <c r="AL554" s="4"/>
      <c r="AN554" s="150"/>
      <c r="AQ554" s="4"/>
    </row>
    <row r="555" spans="1:43" x14ac:dyDescent="0.25">
      <c r="A555" s="258">
        <f>ROW(TAB_Offres[[#This Row],[Reference]])-ROW(TAB_Offres[[#Headers],[ID]])</f>
        <v>554</v>
      </c>
      <c r="B555" s="258"/>
      <c r="C555" s="258"/>
      <c r="D555" s="258"/>
      <c r="E555" s="263"/>
      <c r="F555" s="258"/>
      <c r="G555" s="263"/>
      <c r="H555" s="262"/>
      <c r="I555" s="262"/>
      <c r="J555" s="262"/>
      <c r="K555" s="262"/>
      <c r="L555" s="262"/>
      <c r="M555" s="264"/>
      <c r="N555" s="262"/>
      <c r="O555" s="262"/>
      <c r="P555" s="262"/>
      <c r="Q555" s="263"/>
      <c r="R555" s="263"/>
      <c r="S555" s="292"/>
      <c r="T555" s="261"/>
      <c r="U555" s="261"/>
      <c r="V555" s="268"/>
      <c r="W555" s="268"/>
      <c r="X555" s="268"/>
      <c r="Y555" s="268"/>
      <c r="Z555" s="471">
        <f>SUMIF(TAB_CS[Reference],TAB_Offres[[#This Row],[Reference]],TAB_CS[Commited days])</f>
        <v>0</v>
      </c>
      <c r="AA555" s="269">
        <f>SUMIF(TAB_CS[Reference],TAB_Offres[[#This Row],[Reference]],TAB_CS[Commited amount])</f>
        <v>0</v>
      </c>
      <c r="AB555" s="275"/>
      <c r="AC555" s="270"/>
      <c r="AD555" s="270"/>
      <c r="AE555" s="264"/>
      <c r="AF555" s="271"/>
      <c r="AG555" s="278"/>
      <c r="AH555" s="277" t="str">
        <f>CONCATENATE(YEAR(TAB_Offres[[#This Row],[Request date ]]),"-",MONTH(TAB_Offres[[#This Row],[Request date ]]))</f>
        <v>1900-1</v>
      </c>
      <c r="AI555" s="274" t="e">
        <f>IF(#REF!,1,0)</f>
        <v>#REF!</v>
      </c>
      <c r="AJ555" s="4"/>
      <c r="AK555" s="4"/>
      <c r="AL555" s="4"/>
      <c r="AN555" s="150"/>
      <c r="AQ555" s="4"/>
    </row>
    <row r="556" spans="1:43" x14ac:dyDescent="0.25">
      <c r="A556" s="258">
        <f>ROW(TAB_Offres[[#This Row],[Reference]])-ROW(TAB_Offres[[#Headers],[ID]])</f>
        <v>555</v>
      </c>
      <c r="B556" s="258"/>
      <c r="C556" s="258"/>
      <c r="D556" s="258"/>
      <c r="E556" s="263"/>
      <c r="F556" s="258"/>
      <c r="G556" s="263"/>
      <c r="H556" s="262"/>
      <c r="I556" s="262"/>
      <c r="J556" s="262"/>
      <c r="K556" s="262"/>
      <c r="L556" s="262"/>
      <c r="M556" s="264"/>
      <c r="N556" s="262"/>
      <c r="O556" s="262"/>
      <c r="P556" s="262"/>
      <c r="Q556" s="263"/>
      <c r="R556" s="263"/>
      <c r="S556" s="292"/>
      <c r="T556" s="261"/>
      <c r="U556" s="261"/>
      <c r="V556" s="268"/>
      <c r="W556" s="268"/>
      <c r="X556" s="268"/>
      <c r="Y556" s="268"/>
      <c r="Z556" s="471">
        <f>SUMIF(TAB_CS[Reference],TAB_Offres[[#This Row],[Reference]],TAB_CS[Commited days])</f>
        <v>0</v>
      </c>
      <c r="AA556" s="269">
        <f>SUMIF(TAB_CS[Reference],TAB_Offres[[#This Row],[Reference]],TAB_CS[Commited amount])</f>
        <v>0</v>
      </c>
      <c r="AB556" s="275"/>
      <c r="AC556" s="270"/>
      <c r="AD556" s="270"/>
      <c r="AE556" s="264"/>
      <c r="AF556" s="271"/>
      <c r="AG556" s="278"/>
      <c r="AH556" s="277" t="str">
        <f>CONCATENATE(YEAR(TAB_Offres[[#This Row],[Request date ]]),"-",MONTH(TAB_Offres[[#This Row],[Request date ]]))</f>
        <v>1900-1</v>
      </c>
      <c r="AI556" s="274" t="e">
        <f>IF(#REF!,1,0)</f>
        <v>#REF!</v>
      </c>
      <c r="AJ556" s="4"/>
      <c r="AK556" s="4"/>
      <c r="AL556" s="4"/>
      <c r="AN556" s="150"/>
      <c r="AQ556" s="4"/>
    </row>
    <row r="557" spans="1:43" x14ac:dyDescent="0.25">
      <c r="A557" s="258">
        <f>ROW(TAB_Offres[[#This Row],[Reference]])-ROW(TAB_Offres[[#Headers],[ID]])</f>
        <v>556</v>
      </c>
      <c r="B557" s="258"/>
      <c r="C557" s="258"/>
      <c r="D557" s="258"/>
      <c r="E557" s="263"/>
      <c r="F557" s="258"/>
      <c r="G557" s="263"/>
      <c r="H557" s="262"/>
      <c r="I557" s="262"/>
      <c r="J557" s="262"/>
      <c r="K557" s="262"/>
      <c r="L557" s="262"/>
      <c r="M557" s="264"/>
      <c r="N557" s="262"/>
      <c r="O557" s="262"/>
      <c r="P557" s="262"/>
      <c r="Q557" s="263"/>
      <c r="R557" s="263"/>
      <c r="S557" s="292"/>
      <c r="T557" s="261"/>
      <c r="U557" s="261"/>
      <c r="V557" s="268"/>
      <c r="W557" s="268"/>
      <c r="X557" s="268"/>
      <c r="Y557" s="268"/>
      <c r="Z557" s="471">
        <f>SUMIF(TAB_CS[Reference],TAB_Offres[[#This Row],[Reference]],TAB_CS[Commited days])</f>
        <v>0</v>
      </c>
      <c r="AA557" s="269">
        <f>SUMIF(TAB_CS[Reference],TAB_Offres[[#This Row],[Reference]],TAB_CS[Commited amount])</f>
        <v>0</v>
      </c>
      <c r="AB557" s="275"/>
      <c r="AC557" s="270"/>
      <c r="AD557" s="270"/>
      <c r="AE557" s="264"/>
      <c r="AF557" s="271"/>
      <c r="AG557" s="278"/>
      <c r="AH557" s="277" t="str">
        <f>CONCATENATE(YEAR(TAB_Offres[[#This Row],[Request date ]]),"-",MONTH(TAB_Offres[[#This Row],[Request date ]]))</f>
        <v>1900-1</v>
      </c>
      <c r="AI557" s="274" t="e">
        <f>IF(#REF!,1,0)</f>
        <v>#REF!</v>
      </c>
      <c r="AJ557" s="4"/>
      <c r="AK557" s="4"/>
      <c r="AL557" s="4"/>
      <c r="AN557" s="150"/>
      <c r="AQ557" s="4"/>
    </row>
    <row r="558" spans="1:43" x14ac:dyDescent="0.25">
      <c r="A558" s="258">
        <f>ROW(TAB_Offres[[#This Row],[Reference]])-ROW(TAB_Offres[[#Headers],[ID]])</f>
        <v>557</v>
      </c>
      <c r="B558" s="258"/>
      <c r="C558" s="258"/>
      <c r="D558" s="258"/>
      <c r="E558" s="263"/>
      <c r="F558" s="258"/>
      <c r="G558" s="263"/>
      <c r="H558" s="262"/>
      <c r="I558" s="262"/>
      <c r="J558" s="262"/>
      <c r="K558" s="262"/>
      <c r="L558" s="262"/>
      <c r="M558" s="264"/>
      <c r="N558" s="262"/>
      <c r="O558" s="262"/>
      <c r="P558" s="262"/>
      <c r="Q558" s="263"/>
      <c r="R558" s="263"/>
      <c r="S558" s="292"/>
      <c r="T558" s="261"/>
      <c r="U558" s="261"/>
      <c r="V558" s="268"/>
      <c r="W558" s="268"/>
      <c r="X558" s="268"/>
      <c r="Y558" s="268"/>
      <c r="Z558" s="471">
        <f>SUMIF(TAB_CS[Reference],TAB_Offres[[#This Row],[Reference]],TAB_CS[Commited days])</f>
        <v>0</v>
      </c>
      <c r="AA558" s="269">
        <f>SUMIF(TAB_CS[Reference],TAB_Offres[[#This Row],[Reference]],TAB_CS[Commited amount])</f>
        <v>0</v>
      </c>
      <c r="AB558" s="275"/>
      <c r="AC558" s="270"/>
      <c r="AD558" s="270"/>
      <c r="AE558" s="264"/>
      <c r="AF558" s="271"/>
      <c r="AG558" s="278"/>
      <c r="AH558" s="277" t="str">
        <f>CONCATENATE(YEAR(TAB_Offres[[#This Row],[Request date ]]),"-",MONTH(TAB_Offres[[#This Row],[Request date ]]))</f>
        <v>1900-1</v>
      </c>
      <c r="AI558" s="274" t="e">
        <f>IF(#REF!,1,0)</f>
        <v>#REF!</v>
      </c>
      <c r="AJ558" s="4"/>
      <c r="AK558" s="4"/>
      <c r="AL558" s="4"/>
      <c r="AN558" s="150"/>
      <c r="AQ558" s="4"/>
    </row>
    <row r="559" spans="1:43" x14ac:dyDescent="0.25">
      <c r="A559" s="258">
        <f>ROW(TAB_Offres[[#This Row],[Reference]])-ROW(TAB_Offres[[#Headers],[ID]])</f>
        <v>558</v>
      </c>
      <c r="B559" s="258"/>
      <c r="C559" s="258"/>
      <c r="D559" s="258"/>
      <c r="E559" s="263"/>
      <c r="F559" s="258"/>
      <c r="G559" s="263"/>
      <c r="H559" s="262"/>
      <c r="I559" s="262"/>
      <c r="J559" s="262"/>
      <c r="K559" s="262"/>
      <c r="L559" s="262"/>
      <c r="M559" s="264"/>
      <c r="N559" s="262"/>
      <c r="O559" s="262"/>
      <c r="P559" s="262"/>
      <c r="Q559" s="263"/>
      <c r="R559" s="263"/>
      <c r="S559" s="292"/>
      <c r="T559" s="261"/>
      <c r="U559" s="261"/>
      <c r="V559" s="268"/>
      <c r="W559" s="268"/>
      <c r="X559" s="268"/>
      <c r="Y559" s="268"/>
      <c r="Z559" s="471">
        <f>SUMIF(TAB_CS[Reference],TAB_Offres[[#This Row],[Reference]],TAB_CS[Commited days])</f>
        <v>0</v>
      </c>
      <c r="AA559" s="269">
        <f>SUMIF(TAB_CS[Reference],TAB_Offres[[#This Row],[Reference]],TAB_CS[Commited amount])</f>
        <v>0</v>
      </c>
      <c r="AB559" s="275"/>
      <c r="AC559" s="270"/>
      <c r="AD559" s="270"/>
      <c r="AE559" s="264"/>
      <c r="AF559" s="271"/>
      <c r="AG559" s="278"/>
      <c r="AH559" s="277" t="str">
        <f>CONCATENATE(YEAR(TAB_Offres[[#This Row],[Request date ]]),"-",MONTH(TAB_Offres[[#This Row],[Request date ]]))</f>
        <v>1900-1</v>
      </c>
      <c r="AI559" s="274" t="e">
        <f>IF(#REF!,1,0)</f>
        <v>#REF!</v>
      </c>
      <c r="AJ559" s="4"/>
      <c r="AK559" s="4"/>
      <c r="AL559" s="4"/>
      <c r="AN559" s="150"/>
      <c r="AQ559" s="4"/>
    </row>
    <row r="560" spans="1:43" x14ac:dyDescent="0.25">
      <c r="A560" s="258">
        <f>ROW(TAB_Offres[[#This Row],[Reference]])-ROW(TAB_Offres[[#Headers],[ID]])</f>
        <v>559</v>
      </c>
      <c r="B560" s="258"/>
      <c r="C560" s="258"/>
      <c r="D560" s="258"/>
      <c r="E560" s="263"/>
      <c r="F560" s="258"/>
      <c r="G560" s="263"/>
      <c r="H560" s="262"/>
      <c r="I560" s="262"/>
      <c r="J560" s="262"/>
      <c r="K560" s="262"/>
      <c r="L560" s="262"/>
      <c r="M560" s="264"/>
      <c r="N560" s="262"/>
      <c r="O560" s="262"/>
      <c r="P560" s="262"/>
      <c r="Q560" s="263"/>
      <c r="R560" s="263"/>
      <c r="S560" s="292"/>
      <c r="T560" s="261"/>
      <c r="U560" s="261"/>
      <c r="V560" s="268"/>
      <c r="W560" s="268"/>
      <c r="X560" s="268"/>
      <c r="Y560" s="268"/>
      <c r="Z560" s="471">
        <f>SUMIF(TAB_CS[Reference],TAB_Offres[[#This Row],[Reference]],TAB_CS[Commited days])</f>
        <v>0</v>
      </c>
      <c r="AA560" s="269">
        <f>SUMIF(TAB_CS[Reference],TAB_Offres[[#This Row],[Reference]],TAB_CS[Commited amount])</f>
        <v>0</v>
      </c>
      <c r="AB560" s="275"/>
      <c r="AC560" s="270"/>
      <c r="AD560" s="270"/>
      <c r="AE560" s="264"/>
      <c r="AF560" s="271"/>
      <c r="AG560" s="278"/>
      <c r="AH560" s="277" t="str">
        <f>CONCATENATE(YEAR(TAB_Offres[[#This Row],[Request date ]]),"-",MONTH(TAB_Offres[[#This Row],[Request date ]]))</f>
        <v>1900-1</v>
      </c>
      <c r="AI560" s="274" t="e">
        <f>IF(#REF!,1,0)</f>
        <v>#REF!</v>
      </c>
      <c r="AJ560" s="4"/>
      <c r="AK560" s="4"/>
      <c r="AL560" s="4"/>
      <c r="AN560" s="150"/>
      <c r="AQ560" s="4"/>
    </row>
    <row r="561" spans="1:43" x14ac:dyDescent="0.25">
      <c r="A561" s="258">
        <f>ROW(TAB_Offres[[#This Row],[Reference]])-ROW(TAB_Offres[[#Headers],[ID]])</f>
        <v>560</v>
      </c>
      <c r="B561" s="258"/>
      <c r="C561" s="258"/>
      <c r="D561" s="258"/>
      <c r="E561" s="263"/>
      <c r="F561" s="258"/>
      <c r="G561" s="263"/>
      <c r="H561" s="262"/>
      <c r="I561" s="262"/>
      <c r="J561" s="262"/>
      <c r="K561" s="262"/>
      <c r="L561" s="262"/>
      <c r="M561" s="264"/>
      <c r="N561" s="262"/>
      <c r="O561" s="262"/>
      <c r="P561" s="262"/>
      <c r="Q561" s="263"/>
      <c r="R561" s="263"/>
      <c r="S561" s="292"/>
      <c r="T561" s="261"/>
      <c r="U561" s="261"/>
      <c r="V561" s="268"/>
      <c r="W561" s="268"/>
      <c r="X561" s="268"/>
      <c r="Y561" s="268"/>
      <c r="Z561" s="471">
        <f>SUMIF(TAB_CS[Reference],TAB_Offres[[#This Row],[Reference]],TAB_CS[Commited days])</f>
        <v>0</v>
      </c>
      <c r="AA561" s="269">
        <f>SUMIF(TAB_CS[Reference],TAB_Offres[[#This Row],[Reference]],TAB_CS[Commited amount])</f>
        <v>0</v>
      </c>
      <c r="AB561" s="275"/>
      <c r="AC561" s="270"/>
      <c r="AD561" s="270"/>
      <c r="AE561" s="264"/>
      <c r="AF561" s="271"/>
      <c r="AG561" s="278"/>
      <c r="AH561" s="277" t="str">
        <f>CONCATENATE(YEAR(TAB_Offres[[#This Row],[Request date ]]),"-",MONTH(TAB_Offres[[#This Row],[Request date ]]))</f>
        <v>1900-1</v>
      </c>
      <c r="AI561" s="274" t="e">
        <f>IF(#REF!,1,0)</f>
        <v>#REF!</v>
      </c>
      <c r="AJ561" s="4"/>
      <c r="AK561" s="4"/>
      <c r="AL561" s="4"/>
      <c r="AN561" s="150"/>
      <c r="AQ561" s="4"/>
    </row>
    <row r="562" spans="1:43" x14ac:dyDescent="0.25">
      <c r="A562" s="258">
        <f>ROW(TAB_Offres[[#This Row],[Reference]])-ROW(TAB_Offres[[#Headers],[ID]])</f>
        <v>561</v>
      </c>
      <c r="B562" s="258"/>
      <c r="C562" s="258"/>
      <c r="D562" s="258"/>
      <c r="E562" s="263"/>
      <c r="F562" s="258"/>
      <c r="G562" s="263"/>
      <c r="H562" s="262"/>
      <c r="I562" s="262"/>
      <c r="J562" s="262"/>
      <c r="K562" s="262"/>
      <c r="L562" s="262"/>
      <c r="M562" s="264"/>
      <c r="N562" s="262"/>
      <c r="O562" s="262"/>
      <c r="P562" s="262"/>
      <c r="Q562" s="263"/>
      <c r="R562" s="263"/>
      <c r="S562" s="292"/>
      <c r="T562" s="261"/>
      <c r="U562" s="261"/>
      <c r="V562" s="268"/>
      <c r="W562" s="268"/>
      <c r="X562" s="268"/>
      <c r="Y562" s="268"/>
      <c r="Z562" s="471">
        <f>SUMIF(TAB_CS[Reference],TAB_Offres[[#This Row],[Reference]],TAB_CS[Commited days])</f>
        <v>0</v>
      </c>
      <c r="AA562" s="269">
        <f>SUMIF(TAB_CS[Reference],TAB_Offres[[#This Row],[Reference]],TAB_CS[Commited amount])</f>
        <v>0</v>
      </c>
      <c r="AB562" s="275"/>
      <c r="AC562" s="270"/>
      <c r="AD562" s="270"/>
      <c r="AE562" s="264"/>
      <c r="AF562" s="271"/>
      <c r="AG562" s="278"/>
      <c r="AH562" s="277" t="str">
        <f>CONCATENATE(YEAR(TAB_Offres[[#This Row],[Request date ]]),"-",MONTH(TAB_Offres[[#This Row],[Request date ]]))</f>
        <v>1900-1</v>
      </c>
      <c r="AI562" s="274" t="e">
        <f>IF(#REF!,1,0)</f>
        <v>#REF!</v>
      </c>
      <c r="AJ562" s="4"/>
      <c r="AK562" s="4"/>
      <c r="AL562" s="4"/>
      <c r="AN562" s="150"/>
      <c r="AQ562" s="4"/>
    </row>
    <row r="563" spans="1:43" x14ac:dyDescent="0.25">
      <c r="A563" s="258">
        <f>ROW(TAB_Offres[[#This Row],[Reference]])-ROW(TAB_Offres[[#Headers],[ID]])</f>
        <v>562</v>
      </c>
      <c r="B563" s="258"/>
      <c r="C563" s="258"/>
      <c r="D563" s="258"/>
      <c r="E563" s="263"/>
      <c r="F563" s="258"/>
      <c r="G563" s="263"/>
      <c r="H563" s="262"/>
      <c r="I563" s="262"/>
      <c r="J563" s="262"/>
      <c r="K563" s="262"/>
      <c r="L563" s="262"/>
      <c r="M563" s="264"/>
      <c r="N563" s="262"/>
      <c r="O563" s="262"/>
      <c r="P563" s="262"/>
      <c r="Q563" s="263"/>
      <c r="R563" s="263"/>
      <c r="S563" s="292"/>
      <c r="T563" s="261"/>
      <c r="U563" s="261"/>
      <c r="V563" s="268"/>
      <c r="W563" s="268"/>
      <c r="X563" s="268"/>
      <c r="Y563" s="268"/>
      <c r="Z563" s="471">
        <f>SUMIF(TAB_CS[Reference],TAB_Offres[[#This Row],[Reference]],TAB_CS[Commited days])</f>
        <v>0</v>
      </c>
      <c r="AA563" s="269">
        <f>SUMIF(TAB_CS[Reference],TAB_Offres[[#This Row],[Reference]],TAB_CS[Commited amount])</f>
        <v>0</v>
      </c>
      <c r="AB563" s="275"/>
      <c r="AC563" s="270"/>
      <c r="AD563" s="270"/>
      <c r="AE563" s="264"/>
      <c r="AF563" s="271"/>
      <c r="AG563" s="278"/>
      <c r="AH563" s="277" t="str">
        <f>CONCATENATE(YEAR(TAB_Offres[[#This Row],[Request date ]]),"-",MONTH(TAB_Offres[[#This Row],[Request date ]]))</f>
        <v>1900-1</v>
      </c>
      <c r="AI563" s="274" t="e">
        <f>IF(#REF!,1,0)</f>
        <v>#REF!</v>
      </c>
      <c r="AJ563" s="4"/>
      <c r="AK563" s="4"/>
      <c r="AL563" s="4"/>
      <c r="AN563" s="150"/>
      <c r="AQ563" s="4"/>
    </row>
    <row r="564" spans="1:43" x14ac:dyDescent="0.25">
      <c r="A564" s="258">
        <f>ROW(TAB_Offres[[#This Row],[Reference]])-ROW(TAB_Offres[[#Headers],[ID]])</f>
        <v>563</v>
      </c>
      <c r="B564" s="258"/>
      <c r="C564" s="258"/>
      <c r="D564" s="258"/>
      <c r="E564" s="263"/>
      <c r="F564" s="258"/>
      <c r="G564" s="263"/>
      <c r="H564" s="262"/>
      <c r="I564" s="262"/>
      <c r="J564" s="262"/>
      <c r="K564" s="262"/>
      <c r="L564" s="262"/>
      <c r="M564" s="264"/>
      <c r="N564" s="262"/>
      <c r="O564" s="262"/>
      <c r="P564" s="262"/>
      <c r="Q564" s="263"/>
      <c r="R564" s="263"/>
      <c r="S564" s="292"/>
      <c r="T564" s="261"/>
      <c r="U564" s="261"/>
      <c r="V564" s="268"/>
      <c r="W564" s="268"/>
      <c r="X564" s="268"/>
      <c r="Y564" s="268"/>
      <c r="Z564" s="471">
        <f>SUMIF(TAB_CS[Reference],TAB_Offres[[#This Row],[Reference]],TAB_CS[Commited days])</f>
        <v>0</v>
      </c>
      <c r="AA564" s="269">
        <f>SUMIF(TAB_CS[Reference],TAB_Offres[[#This Row],[Reference]],TAB_CS[Commited amount])</f>
        <v>0</v>
      </c>
      <c r="AB564" s="275"/>
      <c r="AC564" s="270"/>
      <c r="AD564" s="270"/>
      <c r="AE564" s="264"/>
      <c r="AF564" s="271"/>
      <c r="AG564" s="278"/>
      <c r="AH564" s="277" t="str">
        <f>CONCATENATE(YEAR(TAB_Offres[[#This Row],[Request date ]]),"-",MONTH(TAB_Offres[[#This Row],[Request date ]]))</f>
        <v>1900-1</v>
      </c>
      <c r="AI564" s="274" t="e">
        <f>IF(#REF!,1,0)</f>
        <v>#REF!</v>
      </c>
      <c r="AJ564" s="4"/>
      <c r="AK564" s="4"/>
      <c r="AL564" s="4"/>
      <c r="AN564" s="150"/>
      <c r="AQ564" s="4"/>
    </row>
    <row r="565" spans="1:43" x14ac:dyDescent="0.25">
      <c r="A565" s="258">
        <f>ROW(TAB_Offres[[#This Row],[Reference]])-ROW(TAB_Offres[[#Headers],[ID]])</f>
        <v>564</v>
      </c>
      <c r="B565" s="258"/>
      <c r="C565" s="258"/>
      <c r="D565" s="258"/>
      <c r="E565" s="263"/>
      <c r="F565" s="258"/>
      <c r="G565" s="263"/>
      <c r="H565" s="262"/>
      <c r="I565" s="262"/>
      <c r="J565" s="262"/>
      <c r="K565" s="262"/>
      <c r="L565" s="262"/>
      <c r="M565" s="264"/>
      <c r="N565" s="262"/>
      <c r="O565" s="262"/>
      <c r="P565" s="262"/>
      <c r="Q565" s="263"/>
      <c r="R565" s="263"/>
      <c r="S565" s="292"/>
      <c r="T565" s="261"/>
      <c r="U565" s="261"/>
      <c r="V565" s="268"/>
      <c r="W565" s="268"/>
      <c r="X565" s="268"/>
      <c r="Y565" s="268"/>
      <c r="Z565" s="471">
        <f>SUMIF(TAB_CS[Reference],TAB_Offres[[#This Row],[Reference]],TAB_CS[Commited days])</f>
        <v>0</v>
      </c>
      <c r="AA565" s="269">
        <f>SUMIF(TAB_CS[Reference],TAB_Offres[[#This Row],[Reference]],TAB_CS[Commited amount])</f>
        <v>0</v>
      </c>
      <c r="AB565" s="275"/>
      <c r="AC565" s="270"/>
      <c r="AD565" s="270"/>
      <c r="AE565" s="264"/>
      <c r="AF565" s="271"/>
      <c r="AG565" s="278"/>
      <c r="AH565" s="277" t="str">
        <f>CONCATENATE(YEAR(TAB_Offres[[#This Row],[Request date ]]),"-",MONTH(TAB_Offres[[#This Row],[Request date ]]))</f>
        <v>1900-1</v>
      </c>
      <c r="AI565" s="274" t="e">
        <f>IF(#REF!,1,0)</f>
        <v>#REF!</v>
      </c>
      <c r="AJ565" s="4"/>
      <c r="AK565" s="4"/>
      <c r="AL565" s="4"/>
      <c r="AN565" s="150"/>
      <c r="AQ565" s="4"/>
    </row>
    <row r="566" spans="1:43" x14ac:dyDescent="0.25">
      <c r="A566" s="258">
        <f>ROW(TAB_Offres[[#This Row],[Reference]])-ROW(TAB_Offres[[#Headers],[ID]])</f>
        <v>565</v>
      </c>
      <c r="B566" s="258"/>
      <c r="C566" s="258"/>
      <c r="D566" s="258"/>
      <c r="E566" s="263"/>
      <c r="F566" s="258"/>
      <c r="G566" s="263"/>
      <c r="H566" s="262"/>
      <c r="I566" s="262"/>
      <c r="J566" s="262"/>
      <c r="K566" s="262"/>
      <c r="L566" s="262"/>
      <c r="M566" s="264"/>
      <c r="N566" s="262"/>
      <c r="O566" s="262"/>
      <c r="P566" s="262"/>
      <c r="Q566" s="263"/>
      <c r="R566" s="263"/>
      <c r="S566" s="292"/>
      <c r="T566" s="261"/>
      <c r="U566" s="261"/>
      <c r="V566" s="268"/>
      <c r="W566" s="268"/>
      <c r="X566" s="268"/>
      <c r="Y566" s="268"/>
      <c r="Z566" s="471">
        <f>SUMIF(TAB_CS[Reference],TAB_Offres[[#This Row],[Reference]],TAB_CS[Commited days])</f>
        <v>0</v>
      </c>
      <c r="AA566" s="269">
        <f>SUMIF(TAB_CS[Reference],TAB_Offres[[#This Row],[Reference]],TAB_CS[Commited amount])</f>
        <v>0</v>
      </c>
      <c r="AB566" s="275"/>
      <c r="AC566" s="270"/>
      <c r="AD566" s="270"/>
      <c r="AE566" s="264"/>
      <c r="AF566" s="271"/>
      <c r="AG566" s="278"/>
      <c r="AH566" s="277" t="str">
        <f>CONCATENATE(YEAR(TAB_Offres[[#This Row],[Request date ]]),"-",MONTH(TAB_Offres[[#This Row],[Request date ]]))</f>
        <v>1900-1</v>
      </c>
      <c r="AI566" s="274" t="e">
        <f>IF(#REF!,1,0)</f>
        <v>#REF!</v>
      </c>
      <c r="AJ566" s="4"/>
      <c r="AK566" s="4"/>
      <c r="AL566" s="4"/>
      <c r="AN566" s="150"/>
      <c r="AQ566" s="4"/>
    </row>
    <row r="567" spans="1:43" x14ac:dyDescent="0.25">
      <c r="A567" s="258">
        <f>ROW(TAB_Offres[[#This Row],[Reference]])-ROW(TAB_Offres[[#Headers],[ID]])</f>
        <v>566</v>
      </c>
      <c r="B567" s="258"/>
      <c r="C567" s="258"/>
      <c r="D567" s="258"/>
      <c r="E567" s="263"/>
      <c r="F567" s="258"/>
      <c r="G567" s="263"/>
      <c r="H567" s="262"/>
      <c r="I567" s="262"/>
      <c r="J567" s="262"/>
      <c r="K567" s="262"/>
      <c r="L567" s="262"/>
      <c r="M567" s="264"/>
      <c r="N567" s="262"/>
      <c r="O567" s="262"/>
      <c r="P567" s="262"/>
      <c r="Q567" s="263"/>
      <c r="R567" s="263"/>
      <c r="S567" s="292"/>
      <c r="T567" s="261"/>
      <c r="U567" s="261"/>
      <c r="V567" s="268"/>
      <c r="W567" s="268"/>
      <c r="X567" s="268"/>
      <c r="Y567" s="268"/>
      <c r="Z567" s="471">
        <f>SUMIF(TAB_CS[Reference],TAB_Offres[[#This Row],[Reference]],TAB_CS[Commited days])</f>
        <v>0</v>
      </c>
      <c r="AA567" s="269">
        <f>SUMIF(TAB_CS[Reference],TAB_Offres[[#This Row],[Reference]],TAB_CS[Commited amount])</f>
        <v>0</v>
      </c>
      <c r="AB567" s="275"/>
      <c r="AC567" s="270"/>
      <c r="AD567" s="270"/>
      <c r="AE567" s="264"/>
      <c r="AF567" s="271"/>
      <c r="AG567" s="278"/>
      <c r="AH567" s="277" t="str">
        <f>CONCATENATE(YEAR(TAB_Offres[[#This Row],[Request date ]]),"-",MONTH(TAB_Offres[[#This Row],[Request date ]]))</f>
        <v>1900-1</v>
      </c>
      <c r="AI567" s="274" t="e">
        <f>IF(#REF!,1,0)</f>
        <v>#REF!</v>
      </c>
      <c r="AJ567" s="4"/>
      <c r="AK567" s="4"/>
      <c r="AL567" s="4"/>
      <c r="AN567" s="150"/>
      <c r="AQ567" s="4"/>
    </row>
    <row r="568" spans="1:43" x14ac:dyDescent="0.25">
      <c r="A568" s="258">
        <f>ROW(TAB_Offres[[#This Row],[Reference]])-ROW(TAB_Offres[[#Headers],[ID]])</f>
        <v>567</v>
      </c>
      <c r="B568" s="258"/>
      <c r="C568" s="258"/>
      <c r="D568" s="258"/>
      <c r="E568" s="263"/>
      <c r="F568" s="258"/>
      <c r="G568" s="263"/>
      <c r="H568" s="262"/>
      <c r="I568" s="262"/>
      <c r="J568" s="262"/>
      <c r="K568" s="262"/>
      <c r="L568" s="262"/>
      <c r="M568" s="264"/>
      <c r="N568" s="262"/>
      <c r="O568" s="262"/>
      <c r="P568" s="262"/>
      <c r="Q568" s="263"/>
      <c r="R568" s="263"/>
      <c r="S568" s="292"/>
      <c r="T568" s="261"/>
      <c r="U568" s="261"/>
      <c r="V568" s="268"/>
      <c r="W568" s="268"/>
      <c r="X568" s="268"/>
      <c r="Y568" s="268"/>
      <c r="Z568" s="471">
        <f>SUMIF(TAB_CS[Reference],TAB_Offres[[#This Row],[Reference]],TAB_CS[Commited days])</f>
        <v>0</v>
      </c>
      <c r="AA568" s="269">
        <f>SUMIF(TAB_CS[Reference],TAB_Offres[[#This Row],[Reference]],TAB_CS[Commited amount])</f>
        <v>0</v>
      </c>
      <c r="AB568" s="275"/>
      <c r="AC568" s="270"/>
      <c r="AD568" s="270"/>
      <c r="AE568" s="264"/>
      <c r="AF568" s="271"/>
      <c r="AG568" s="278"/>
      <c r="AH568" s="277" t="str">
        <f>CONCATENATE(YEAR(TAB_Offres[[#This Row],[Request date ]]),"-",MONTH(TAB_Offres[[#This Row],[Request date ]]))</f>
        <v>1900-1</v>
      </c>
      <c r="AI568" s="274" t="e">
        <f>IF(#REF!,1,0)</f>
        <v>#REF!</v>
      </c>
      <c r="AJ568" s="4"/>
      <c r="AK568" s="4"/>
      <c r="AL568" s="4"/>
      <c r="AN568" s="150"/>
      <c r="AQ568" s="4"/>
    </row>
    <row r="569" spans="1:43" x14ac:dyDescent="0.25">
      <c r="A569" s="258">
        <f>ROW(TAB_Offres[[#This Row],[Reference]])-ROW(TAB_Offres[[#Headers],[ID]])</f>
        <v>568</v>
      </c>
      <c r="B569" s="258"/>
      <c r="C569" s="258"/>
      <c r="D569" s="258"/>
      <c r="E569" s="263"/>
      <c r="F569" s="258"/>
      <c r="G569" s="263"/>
      <c r="H569" s="262"/>
      <c r="I569" s="262"/>
      <c r="J569" s="262"/>
      <c r="K569" s="262"/>
      <c r="L569" s="262"/>
      <c r="M569" s="264"/>
      <c r="N569" s="262"/>
      <c r="O569" s="262"/>
      <c r="P569" s="262"/>
      <c r="Q569" s="263"/>
      <c r="R569" s="263"/>
      <c r="S569" s="292"/>
      <c r="T569" s="261"/>
      <c r="U569" s="261"/>
      <c r="V569" s="268"/>
      <c r="W569" s="268"/>
      <c r="X569" s="268"/>
      <c r="Y569" s="268"/>
      <c r="Z569" s="471">
        <f>SUMIF(TAB_CS[Reference],TAB_Offres[[#This Row],[Reference]],TAB_CS[Commited days])</f>
        <v>0</v>
      </c>
      <c r="AA569" s="269">
        <f>SUMIF(TAB_CS[Reference],TAB_Offres[[#This Row],[Reference]],TAB_CS[Commited amount])</f>
        <v>0</v>
      </c>
      <c r="AB569" s="275"/>
      <c r="AC569" s="270"/>
      <c r="AD569" s="270"/>
      <c r="AE569" s="264"/>
      <c r="AF569" s="271"/>
      <c r="AG569" s="278"/>
      <c r="AH569" s="277" t="str">
        <f>CONCATENATE(YEAR(TAB_Offres[[#This Row],[Request date ]]),"-",MONTH(TAB_Offres[[#This Row],[Request date ]]))</f>
        <v>1900-1</v>
      </c>
      <c r="AI569" s="274" t="e">
        <f>IF(#REF!,1,0)</f>
        <v>#REF!</v>
      </c>
      <c r="AJ569" s="4"/>
      <c r="AK569" s="4"/>
      <c r="AL569" s="4"/>
      <c r="AN569" s="150"/>
      <c r="AQ569" s="4"/>
    </row>
    <row r="570" spans="1:43" x14ac:dyDescent="0.25">
      <c r="A570" s="258">
        <f>ROW(TAB_Offres[[#This Row],[Reference]])-ROW(TAB_Offres[[#Headers],[ID]])</f>
        <v>569</v>
      </c>
      <c r="B570" s="258"/>
      <c r="C570" s="258"/>
      <c r="D570" s="258"/>
      <c r="E570" s="263"/>
      <c r="F570" s="258"/>
      <c r="G570" s="263"/>
      <c r="H570" s="262"/>
      <c r="I570" s="262"/>
      <c r="J570" s="262"/>
      <c r="K570" s="262"/>
      <c r="L570" s="262"/>
      <c r="M570" s="264"/>
      <c r="N570" s="262"/>
      <c r="O570" s="262"/>
      <c r="P570" s="262"/>
      <c r="Q570" s="263"/>
      <c r="R570" s="263"/>
      <c r="S570" s="292"/>
      <c r="T570" s="261"/>
      <c r="U570" s="261"/>
      <c r="V570" s="268"/>
      <c r="W570" s="268"/>
      <c r="X570" s="268"/>
      <c r="Y570" s="268"/>
      <c r="Z570" s="471">
        <f>SUMIF(TAB_CS[Reference],TAB_Offres[[#This Row],[Reference]],TAB_CS[Commited days])</f>
        <v>0</v>
      </c>
      <c r="AA570" s="269">
        <f>SUMIF(TAB_CS[Reference],TAB_Offres[[#This Row],[Reference]],TAB_CS[Commited amount])</f>
        <v>0</v>
      </c>
      <c r="AB570" s="275"/>
      <c r="AC570" s="270"/>
      <c r="AD570" s="270"/>
      <c r="AE570" s="264"/>
      <c r="AF570" s="271"/>
      <c r="AG570" s="278"/>
      <c r="AH570" s="277" t="str">
        <f>CONCATENATE(YEAR(TAB_Offres[[#This Row],[Request date ]]),"-",MONTH(TAB_Offres[[#This Row],[Request date ]]))</f>
        <v>1900-1</v>
      </c>
      <c r="AI570" s="274" t="e">
        <f>IF(#REF!,1,0)</f>
        <v>#REF!</v>
      </c>
      <c r="AJ570" s="4"/>
      <c r="AK570" s="4"/>
      <c r="AL570" s="4"/>
      <c r="AN570" s="150"/>
      <c r="AQ570" s="4"/>
    </row>
    <row r="571" spans="1:43" x14ac:dyDescent="0.25">
      <c r="A571" s="258">
        <f>ROW(TAB_Offres[[#This Row],[Reference]])-ROW(TAB_Offres[[#Headers],[ID]])</f>
        <v>570</v>
      </c>
      <c r="B571" s="258"/>
      <c r="C571" s="258"/>
      <c r="D571" s="258"/>
      <c r="E571" s="263"/>
      <c r="F571" s="258"/>
      <c r="G571" s="263"/>
      <c r="H571" s="262"/>
      <c r="I571" s="262"/>
      <c r="J571" s="262"/>
      <c r="K571" s="262"/>
      <c r="L571" s="262"/>
      <c r="M571" s="264"/>
      <c r="N571" s="262"/>
      <c r="O571" s="262"/>
      <c r="P571" s="262"/>
      <c r="Q571" s="263"/>
      <c r="R571" s="263"/>
      <c r="S571" s="292"/>
      <c r="T571" s="261"/>
      <c r="U571" s="261"/>
      <c r="V571" s="268"/>
      <c r="W571" s="268"/>
      <c r="X571" s="268"/>
      <c r="Y571" s="268"/>
      <c r="Z571" s="471">
        <f>SUMIF(TAB_CS[Reference],TAB_Offres[[#This Row],[Reference]],TAB_CS[Commited days])</f>
        <v>0</v>
      </c>
      <c r="AA571" s="269">
        <f>SUMIF(TAB_CS[Reference],TAB_Offres[[#This Row],[Reference]],TAB_CS[Commited amount])</f>
        <v>0</v>
      </c>
      <c r="AB571" s="275"/>
      <c r="AC571" s="270"/>
      <c r="AD571" s="270"/>
      <c r="AE571" s="264"/>
      <c r="AF571" s="271"/>
      <c r="AG571" s="278"/>
      <c r="AH571" s="277" t="str">
        <f>CONCATENATE(YEAR(TAB_Offres[[#This Row],[Request date ]]),"-",MONTH(TAB_Offres[[#This Row],[Request date ]]))</f>
        <v>1900-1</v>
      </c>
      <c r="AI571" s="274" t="e">
        <f>IF(#REF!,1,0)</f>
        <v>#REF!</v>
      </c>
      <c r="AJ571" s="4"/>
      <c r="AK571" s="4"/>
      <c r="AL571" s="4"/>
      <c r="AN571" s="150"/>
      <c r="AQ571" s="4"/>
    </row>
    <row r="572" spans="1:43" x14ac:dyDescent="0.25">
      <c r="A572" s="258">
        <f>ROW(TAB_Offres[[#This Row],[Reference]])-ROW(TAB_Offres[[#Headers],[ID]])</f>
        <v>571</v>
      </c>
      <c r="B572" s="258"/>
      <c r="C572" s="258"/>
      <c r="D572" s="258"/>
      <c r="E572" s="263"/>
      <c r="F572" s="258"/>
      <c r="G572" s="263"/>
      <c r="H572" s="262"/>
      <c r="I572" s="262"/>
      <c r="J572" s="262"/>
      <c r="K572" s="262"/>
      <c r="L572" s="262"/>
      <c r="M572" s="264"/>
      <c r="N572" s="262"/>
      <c r="O572" s="262"/>
      <c r="P572" s="262"/>
      <c r="Q572" s="263"/>
      <c r="R572" s="263"/>
      <c r="S572" s="292"/>
      <c r="T572" s="261"/>
      <c r="U572" s="261"/>
      <c r="V572" s="268"/>
      <c r="W572" s="268"/>
      <c r="X572" s="268"/>
      <c r="Y572" s="268"/>
      <c r="Z572" s="471">
        <f>SUMIF(TAB_CS[Reference],TAB_Offres[[#This Row],[Reference]],TAB_CS[Commited days])</f>
        <v>0</v>
      </c>
      <c r="AA572" s="269">
        <f>SUMIF(TAB_CS[Reference],TAB_Offres[[#This Row],[Reference]],TAB_CS[Commited amount])</f>
        <v>0</v>
      </c>
      <c r="AB572" s="275"/>
      <c r="AC572" s="270"/>
      <c r="AD572" s="270"/>
      <c r="AE572" s="264"/>
      <c r="AF572" s="271"/>
      <c r="AG572" s="278"/>
      <c r="AH572" s="277" t="str">
        <f>CONCATENATE(YEAR(TAB_Offres[[#This Row],[Request date ]]),"-",MONTH(TAB_Offres[[#This Row],[Request date ]]))</f>
        <v>1900-1</v>
      </c>
      <c r="AI572" s="274" t="e">
        <f>IF(#REF!,1,0)</f>
        <v>#REF!</v>
      </c>
      <c r="AJ572" s="4"/>
      <c r="AK572" s="4"/>
      <c r="AL572" s="4"/>
      <c r="AN572" s="150"/>
      <c r="AQ572" s="4"/>
    </row>
    <row r="573" spans="1:43" x14ac:dyDescent="0.25">
      <c r="A573" s="258">
        <f>ROW(TAB_Offres[[#This Row],[Reference]])-ROW(TAB_Offres[[#Headers],[ID]])</f>
        <v>572</v>
      </c>
      <c r="B573" s="258"/>
      <c r="C573" s="258"/>
      <c r="D573" s="258"/>
      <c r="E573" s="263"/>
      <c r="F573" s="258"/>
      <c r="G573" s="263"/>
      <c r="H573" s="262"/>
      <c r="I573" s="262"/>
      <c r="J573" s="262"/>
      <c r="K573" s="262"/>
      <c r="L573" s="262"/>
      <c r="M573" s="264"/>
      <c r="N573" s="262"/>
      <c r="O573" s="262"/>
      <c r="P573" s="262"/>
      <c r="Q573" s="263"/>
      <c r="R573" s="263"/>
      <c r="S573" s="292"/>
      <c r="T573" s="261"/>
      <c r="U573" s="261"/>
      <c r="V573" s="268"/>
      <c r="W573" s="268"/>
      <c r="X573" s="268"/>
      <c r="Y573" s="268"/>
      <c r="Z573" s="471">
        <f>SUMIF(TAB_CS[Reference],TAB_Offres[[#This Row],[Reference]],TAB_CS[Commited days])</f>
        <v>0</v>
      </c>
      <c r="AA573" s="269">
        <f>SUMIF(TAB_CS[Reference],TAB_Offres[[#This Row],[Reference]],TAB_CS[Commited amount])</f>
        <v>0</v>
      </c>
      <c r="AB573" s="275"/>
      <c r="AC573" s="270"/>
      <c r="AD573" s="270"/>
      <c r="AE573" s="264"/>
      <c r="AF573" s="271"/>
      <c r="AG573" s="278"/>
      <c r="AH573" s="277" t="str">
        <f>CONCATENATE(YEAR(TAB_Offres[[#This Row],[Request date ]]),"-",MONTH(TAB_Offres[[#This Row],[Request date ]]))</f>
        <v>1900-1</v>
      </c>
      <c r="AI573" s="274" t="e">
        <f>IF(#REF!,1,0)</f>
        <v>#REF!</v>
      </c>
      <c r="AJ573" s="4"/>
      <c r="AK573" s="4"/>
      <c r="AL573" s="4"/>
      <c r="AN573" s="150"/>
      <c r="AQ573" s="4"/>
    </row>
    <row r="574" spans="1:43" x14ac:dyDescent="0.25">
      <c r="A574" s="258">
        <f>ROW(TAB_Offres[[#This Row],[Reference]])-ROW(TAB_Offres[[#Headers],[ID]])</f>
        <v>573</v>
      </c>
      <c r="B574" s="258"/>
      <c r="C574" s="258"/>
      <c r="D574" s="258"/>
      <c r="E574" s="263"/>
      <c r="F574" s="258"/>
      <c r="G574" s="263"/>
      <c r="H574" s="262"/>
      <c r="I574" s="262"/>
      <c r="J574" s="262"/>
      <c r="K574" s="262"/>
      <c r="L574" s="262"/>
      <c r="M574" s="264"/>
      <c r="N574" s="262"/>
      <c r="O574" s="262"/>
      <c r="P574" s="262"/>
      <c r="Q574" s="263"/>
      <c r="R574" s="263"/>
      <c r="S574" s="292"/>
      <c r="T574" s="261"/>
      <c r="U574" s="261"/>
      <c r="V574" s="268"/>
      <c r="W574" s="268"/>
      <c r="X574" s="268"/>
      <c r="Y574" s="268"/>
      <c r="Z574" s="471">
        <f>SUMIF(TAB_CS[Reference],TAB_Offres[[#This Row],[Reference]],TAB_CS[Commited days])</f>
        <v>0</v>
      </c>
      <c r="AA574" s="269">
        <f>SUMIF(TAB_CS[Reference],TAB_Offres[[#This Row],[Reference]],TAB_CS[Commited amount])</f>
        <v>0</v>
      </c>
      <c r="AB574" s="275"/>
      <c r="AC574" s="270"/>
      <c r="AD574" s="270"/>
      <c r="AE574" s="264"/>
      <c r="AF574" s="271"/>
      <c r="AG574" s="278"/>
      <c r="AH574" s="277" t="str">
        <f>CONCATENATE(YEAR(TAB_Offres[[#This Row],[Request date ]]),"-",MONTH(TAB_Offres[[#This Row],[Request date ]]))</f>
        <v>1900-1</v>
      </c>
      <c r="AI574" s="274" t="e">
        <f>IF(#REF!,1,0)</f>
        <v>#REF!</v>
      </c>
      <c r="AJ574" s="4"/>
      <c r="AK574" s="4"/>
      <c r="AL574" s="4"/>
      <c r="AN574" s="150"/>
      <c r="AQ574" s="4"/>
    </row>
    <row r="575" spans="1:43" x14ac:dyDescent="0.25">
      <c r="A575" s="258">
        <f>ROW(TAB_Offres[[#This Row],[Reference]])-ROW(TAB_Offres[[#Headers],[ID]])</f>
        <v>574</v>
      </c>
      <c r="B575" s="258"/>
      <c r="C575" s="258"/>
      <c r="D575" s="258"/>
      <c r="E575" s="263"/>
      <c r="F575" s="258"/>
      <c r="G575" s="263"/>
      <c r="H575" s="262"/>
      <c r="I575" s="262"/>
      <c r="J575" s="262"/>
      <c r="K575" s="262"/>
      <c r="L575" s="262"/>
      <c r="M575" s="264"/>
      <c r="N575" s="262"/>
      <c r="O575" s="262"/>
      <c r="P575" s="262"/>
      <c r="Q575" s="263"/>
      <c r="R575" s="263"/>
      <c r="S575" s="292"/>
      <c r="T575" s="261"/>
      <c r="U575" s="261"/>
      <c r="V575" s="268"/>
      <c r="W575" s="268"/>
      <c r="X575" s="268"/>
      <c r="Y575" s="268"/>
      <c r="Z575" s="471">
        <f>SUMIF(TAB_CS[Reference],TAB_Offres[[#This Row],[Reference]],TAB_CS[Commited days])</f>
        <v>0</v>
      </c>
      <c r="AA575" s="269">
        <f>SUMIF(TAB_CS[Reference],TAB_Offres[[#This Row],[Reference]],TAB_CS[Commited amount])</f>
        <v>0</v>
      </c>
      <c r="AB575" s="275"/>
      <c r="AC575" s="270"/>
      <c r="AD575" s="270"/>
      <c r="AE575" s="264"/>
      <c r="AF575" s="271"/>
      <c r="AG575" s="278"/>
      <c r="AH575" s="277" t="str">
        <f>CONCATENATE(YEAR(TAB_Offres[[#This Row],[Request date ]]),"-",MONTH(TAB_Offres[[#This Row],[Request date ]]))</f>
        <v>1900-1</v>
      </c>
      <c r="AI575" s="274" t="e">
        <f>IF(#REF!,1,0)</f>
        <v>#REF!</v>
      </c>
      <c r="AJ575" s="4"/>
      <c r="AK575" s="4"/>
      <c r="AL575" s="4"/>
      <c r="AN575" s="150"/>
      <c r="AQ575" s="4"/>
    </row>
    <row r="576" spans="1:43" x14ac:dyDescent="0.25">
      <c r="A576" s="258">
        <f>ROW(TAB_Offres[[#This Row],[Reference]])-ROW(TAB_Offres[[#Headers],[ID]])</f>
        <v>575</v>
      </c>
      <c r="B576" s="258"/>
      <c r="C576" s="258"/>
      <c r="D576" s="258"/>
      <c r="E576" s="263"/>
      <c r="F576" s="258"/>
      <c r="G576" s="263"/>
      <c r="H576" s="262"/>
      <c r="I576" s="262"/>
      <c r="J576" s="262"/>
      <c r="K576" s="262"/>
      <c r="L576" s="262"/>
      <c r="M576" s="264"/>
      <c r="N576" s="262"/>
      <c r="O576" s="262"/>
      <c r="P576" s="262"/>
      <c r="Q576" s="263"/>
      <c r="R576" s="263"/>
      <c r="S576" s="292"/>
      <c r="T576" s="261"/>
      <c r="U576" s="261"/>
      <c r="V576" s="268"/>
      <c r="W576" s="268"/>
      <c r="X576" s="268"/>
      <c r="Y576" s="268"/>
      <c r="Z576" s="471">
        <f>SUMIF(TAB_CS[Reference],TAB_Offres[[#This Row],[Reference]],TAB_CS[Commited days])</f>
        <v>0</v>
      </c>
      <c r="AA576" s="269">
        <f>SUMIF(TAB_CS[Reference],TAB_Offres[[#This Row],[Reference]],TAB_CS[Commited amount])</f>
        <v>0</v>
      </c>
      <c r="AB576" s="275"/>
      <c r="AC576" s="270"/>
      <c r="AD576" s="270"/>
      <c r="AE576" s="264"/>
      <c r="AF576" s="271"/>
      <c r="AG576" s="278"/>
      <c r="AH576" s="277" t="str">
        <f>CONCATENATE(YEAR(TAB_Offres[[#This Row],[Request date ]]),"-",MONTH(TAB_Offres[[#This Row],[Request date ]]))</f>
        <v>1900-1</v>
      </c>
      <c r="AI576" s="274" t="e">
        <f>IF(#REF!,1,0)</f>
        <v>#REF!</v>
      </c>
      <c r="AJ576" s="4"/>
      <c r="AK576" s="4"/>
      <c r="AL576" s="4"/>
      <c r="AN576" s="150"/>
      <c r="AQ576" s="4"/>
    </row>
    <row r="577" spans="1:43" x14ac:dyDescent="0.25">
      <c r="A577" s="258">
        <f>ROW(TAB_Offres[[#This Row],[Reference]])-ROW(TAB_Offres[[#Headers],[ID]])</f>
        <v>576</v>
      </c>
      <c r="B577" s="258"/>
      <c r="C577" s="258"/>
      <c r="D577" s="258"/>
      <c r="E577" s="263"/>
      <c r="F577" s="258"/>
      <c r="G577" s="263"/>
      <c r="H577" s="262"/>
      <c r="I577" s="262"/>
      <c r="J577" s="262"/>
      <c r="K577" s="262"/>
      <c r="L577" s="262"/>
      <c r="M577" s="264"/>
      <c r="N577" s="262"/>
      <c r="O577" s="262"/>
      <c r="P577" s="262"/>
      <c r="Q577" s="263"/>
      <c r="R577" s="263"/>
      <c r="S577" s="292"/>
      <c r="T577" s="261"/>
      <c r="U577" s="261"/>
      <c r="V577" s="268"/>
      <c r="W577" s="268"/>
      <c r="X577" s="268"/>
      <c r="Y577" s="268"/>
      <c r="Z577" s="471">
        <f>SUMIF(TAB_CS[Reference],TAB_Offres[[#This Row],[Reference]],TAB_CS[Commited days])</f>
        <v>0</v>
      </c>
      <c r="AA577" s="269">
        <f>SUMIF(TAB_CS[Reference],TAB_Offres[[#This Row],[Reference]],TAB_CS[Commited amount])</f>
        <v>0</v>
      </c>
      <c r="AB577" s="275"/>
      <c r="AC577" s="270"/>
      <c r="AD577" s="270"/>
      <c r="AE577" s="264"/>
      <c r="AF577" s="271"/>
      <c r="AG577" s="278"/>
      <c r="AH577" s="277" t="str">
        <f>CONCATENATE(YEAR(TAB_Offres[[#This Row],[Request date ]]),"-",MONTH(TAB_Offres[[#This Row],[Request date ]]))</f>
        <v>1900-1</v>
      </c>
      <c r="AI577" s="274" t="e">
        <f>IF(#REF!,1,0)</f>
        <v>#REF!</v>
      </c>
      <c r="AJ577" s="4"/>
      <c r="AK577" s="4"/>
      <c r="AL577" s="4"/>
      <c r="AN577" s="150"/>
      <c r="AQ577" s="4"/>
    </row>
    <row r="578" spans="1:43" x14ac:dyDescent="0.25">
      <c r="A578" s="258">
        <f>ROW(TAB_Offres[[#This Row],[Reference]])-ROW(TAB_Offres[[#Headers],[ID]])</f>
        <v>577</v>
      </c>
      <c r="B578" s="258"/>
      <c r="C578" s="258"/>
      <c r="D578" s="258"/>
      <c r="E578" s="263"/>
      <c r="F578" s="258"/>
      <c r="G578" s="263"/>
      <c r="H578" s="262"/>
      <c r="I578" s="262"/>
      <c r="J578" s="262"/>
      <c r="K578" s="262"/>
      <c r="L578" s="262"/>
      <c r="M578" s="264"/>
      <c r="N578" s="262"/>
      <c r="O578" s="262"/>
      <c r="P578" s="262"/>
      <c r="Q578" s="263"/>
      <c r="R578" s="263"/>
      <c r="S578" s="292"/>
      <c r="T578" s="261"/>
      <c r="U578" s="261"/>
      <c r="V578" s="268"/>
      <c r="W578" s="268"/>
      <c r="X578" s="268"/>
      <c r="Y578" s="268"/>
      <c r="Z578" s="471">
        <f>SUMIF(TAB_CS[Reference],TAB_Offres[[#This Row],[Reference]],TAB_CS[Commited days])</f>
        <v>0</v>
      </c>
      <c r="AA578" s="269">
        <f>SUMIF(TAB_CS[Reference],TAB_Offres[[#This Row],[Reference]],TAB_CS[Commited amount])</f>
        <v>0</v>
      </c>
      <c r="AB578" s="275"/>
      <c r="AC578" s="270"/>
      <c r="AD578" s="270"/>
      <c r="AE578" s="264"/>
      <c r="AF578" s="271"/>
      <c r="AG578" s="278"/>
      <c r="AH578" s="277" t="str">
        <f>CONCATENATE(YEAR(TAB_Offres[[#This Row],[Request date ]]),"-",MONTH(TAB_Offres[[#This Row],[Request date ]]))</f>
        <v>1900-1</v>
      </c>
      <c r="AI578" s="274" t="e">
        <f>IF(#REF!,1,0)</f>
        <v>#REF!</v>
      </c>
      <c r="AJ578" s="4"/>
      <c r="AK578" s="4"/>
      <c r="AL578" s="4"/>
      <c r="AN578" s="150"/>
      <c r="AQ578" s="4"/>
    </row>
    <row r="579" spans="1:43" x14ac:dyDescent="0.25">
      <c r="A579" s="258">
        <f>ROW(TAB_Offres[[#This Row],[Reference]])-ROW(TAB_Offres[[#Headers],[ID]])</f>
        <v>578</v>
      </c>
      <c r="B579" s="258"/>
      <c r="C579" s="258"/>
      <c r="D579" s="258"/>
      <c r="E579" s="263"/>
      <c r="F579" s="258"/>
      <c r="G579" s="263"/>
      <c r="H579" s="262"/>
      <c r="I579" s="262"/>
      <c r="J579" s="262"/>
      <c r="K579" s="262"/>
      <c r="L579" s="262"/>
      <c r="M579" s="264"/>
      <c r="N579" s="262"/>
      <c r="O579" s="262"/>
      <c r="P579" s="262"/>
      <c r="Q579" s="263"/>
      <c r="R579" s="263"/>
      <c r="S579" s="292"/>
      <c r="T579" s="261"/>
      <c r="U579" s="261"/>
      <c r="V579" s="268"/>
      <c r="W579" s="268"/>
      <c r="X579" s="268"/>
      <c r="Y579" s="268"/>
      <c r="Z579" s="471">
        <f>SUMIF(TAB_CS[Reference],TAB_Offres[[#This Row],[Reference]],TAB_CS[Commited days])</f>
        <v>0</v>
      </c>
      <c r="AA579" s="269">
        <f>SUMIF(TAB_CS[Reference],TAB_Offres[[#This Row],[Reference]],TAB_CS[Commited amount])</f>
        <v>0</v>
      </c>
      <c r="AB579" s="275"/>
      <c r="AC579" s="270"/>
      <c r="AD579" s="270"/>
      <c r="AE579" s="264"/>
      <c r="AF579" s="271"/>
      <c r="AG579" s="278"/>
      <c r="AH579" s="277" t="str">
        <f>CONCATENATE(YEAR(TAB_Offres[[#This Row],[Request date ]]),"-",MONTH(TAB_Offres[[#This Row],[Request date ]]))</f>
        <v>1900-1</v>
      </c>
      <c r="AI579" s="274" t="e">
        <f>IF(#REF!,1,0)</f>
        <v>#REF!</v>
      </c>
      <c r="AJ579" s="4"/>
      <c r="AK579" s="4"/>
      <c r="AL579" s="4"/>
      <c r="AN579" s="150"/>
      <c r="AQ579" s="4"/>
    </row>
    <row r="580" spans="1:43" x14ac:dyDescent="0.25">
      <c r="A580" s="258">
        <f>ROW(TAB_Offres[[#This Row],[Reference]])-ROW(TAB_Offres[[#Headers],[ID]])</f>
        <v>579</v>
      </c>
      <c r="B580" s="258"/>
      <c r="C580" s="258"/>
      <c r="D580" s="258"/>
      <c r="E580" s="263"/>
      <c r="F580" s="258"/>
      <c r="G580" s="263"/>
      <c r="H580" s="262"/>
      <c r="I580" s="262"/>
      <c r="J580" s="262"/>
      <c r="K580" s="262"/>
      <c r="L580" s="262"/>
      <c r="M580" s="264"/>
      <c r="N580" s="262"/>
      <c r="O580" s="262"/>
      <c r="P580" s="262"/>
      <c r="Q580" s="263"/>
      <c r="R580" s="263"/>
      <c r="S580" s="292"/>
      <c r="T580" s="261"/>
      <c r="U580" s="261"/>
      <c r="V580" s="268"/>
      <c r="W580" s="268"/>
      <c r="X580" s="268"/>
      <c r="Y580" s="268"/>
      <c r="Z580" s="471">
        <f>SUMIF(TAB_CS[Reference],TAB_Offres[[#This Row],[Reference]],TAB_CS[Commited days])</f>
        <v>0</v>
      </c>
      <c r="AA580" s="269">
        <f>SUMIF(TAB_CS[Reference],TAB_Offres[[#This Row],[Reference]],TAB_CS[Commited amount])</f>
        <v>0</v>
      </c>
      <c r="AB580" s="275"/>
      <c r="AC580" s="270"/>
      <c r="AD580" s="270"/>
      <c r="AE580" s="264"/>
      <c r="AF580" s="271"/>
      <c r="AG580" s="278"/>
      <c r="AH580" s="277" t="str">
        <f>CONCATENATE(YEAR(TAB_Offres[[#This Row],[Request date ]]),"-",MONTH(TAB_Offres[[#This Row],[Request date ]]))</f>
        <v>1900-1</v>
      </c>
      <c r="AI580" s="274" t="e">
        <f>IF(#REF!,1,0)</f>
        <v>#REF!</v>
      </c>
      <c r="AJ580" s="4"/>
      <c r="AK580" s="4"/>
      <c r="AL580" s="4"/>
      <c r="AN580" s="150"/>
      <c r="AQ580" s="4"/>
    </row>
    <row r="581" spans="1:43" x14ac:dyDescent="0.25">
      <c r="A581" s="258">
        <f>ROW(TAB_Offres[[#This Row],[Reference]])-ROW(TAB_Offres[[#Headers],[ID]])</f>
        <v>580</v>
      </c>
      <c r="B581" s="258"/>
      <c r="C581" s="258"/>
      <c r="D581" s="258"/>
      <c r="E581" s="263"/>
      <c r="F581" s="258"/>
      <c r="G581" s="263"/>
      <c r="H581" s="262"/>
      <c r="I581" s="262"/>
      <c r="J581" s="262"/>
      <c r="K581" s="262"/>
      <c r="L581" s="262"/>
      <c r="M581" s="264"/>
      <c r="N581" s="262"/>
      <c r="O581" s="262"/>
      <c r="P581" s="262"/>
      <c r="Q581" s="263"/>
      <c r="R581" s="263"/>
      <c r="S581" s="292"/>
      <c r="T581" s="261"/>
      <c r="U581" s="261"/>
      <c r="V581" s="268"/>
      <c r="W581" s="268"/>
      <c r="X581" s="268"/>
      <c r="Y581" s="268"/>
      <c r="Z581" s="471">
        <f>SUMIF(TAB_CS[Reference],TAB_Offres[[#This Row],[Reference]],TAB_CS[Commited days])</f>
        <v>0</v>
      </c>
      <c r="AA581" s="269">
        <f>SUMIF(TAB_CS[Reference],TAB_Offres[[#This Row],[Reference]],TAB_CS[Commited amount])</f>
        <v>0</v>
      </c>
      <c r="AB581" s="275"/>
      <c r="AC581" s="270"/>
      <c r="AD581" s="270"/>
      <c r="AE581" s="264"/>
      <c r="AF581" s="271"/>
      <c r="AG581" s="278"/>
      <c r="AH581" s="277" t="str">
        <f>CONCATENATE(YEAR(TAB_Offres[[#This Row],[Request date ]]),"-",MONTH(TAB_Offres[[#This Row],[Request date ]]))</f>
        <v>1900-1</v>
      </c>
      <c r="AI581" s="274" t="e">
        <f>IF(#REF!,1,0)</f>
        <v>#REF!</v>
      </c>
      <c r="AJ581" s="4"/>
      <c r="AK581" s="4"/>
      <c r="AL581" s="4"/>
      <c r="AN581" s="150"/>
      <c r="AQ581" s="4"/>
    </row>
    <row r="582" spans="1:43" x14ac:dyDescent="0.25">
      <c r="A582" s="258">
        <f>ROW(TAB_Offres[[#This Row],[Reference]])-ROW(TAB_Offres[[#Headers],[ID]])</f>
        <v>581</v>
      </c>
      <c r="B582" s="258"/>
      <c r="C582" s="258"/>
      <c r="D582" s="258"/>
      <c r="E582" s="263"/>
      <c r="F582" s="258"/>
      <c r="G582" s="263"/>
      <c r="H582" s="262"/>
      <c r="I582" s="262"/>
      <c r="J582" s="262"/>
      <c r="K582" s="262"/>
      <c r="L582" s="262"/>
      <c r="M582" s="264"/>
      <c r="N582" s="262"/>
      <c r="O582" s="262"/>
      <c r="P582" s="262"/>
      <c r="Q582" s="263"/>
      <c r="R582" s="263"/>
      <c r="S582" s="292"/>
      <c r="T582" s="261"/>
      <c r="U582" s="261"/>
      <c r="V582" s="268"/>
      <c r="W582" s="268"/>
      <c r="X582" s="268"/>
      <c r="Y582" s="268"/>
      <c r="Z582" s="471">
        <f>SUMIF(TAB_CS[Reference],TAB_Offres[[#This Row],[Reference]],TAB_CS[Commited days])</f>
        <v>0</v>
      </c>
      <c r="AA582" s="269">
        <f>SUMIF(TAB_CS[Reference],TAB_Offres[[#This Row],[Reference]],TAB_CS[Commited amount])</f>
        <v>0</v>
      </c>
      <c r="AB582" s="275"/>
      <c r="AC582" s="270"/>
      <c r="AD582" s="270"/>
      <c r="AE582" s="264"/>
      <c r="AF582" s="271"/>
      <c r="AG582" s="278"/>
      <c r="AH582" s="277" t="str">
        <f>CONCATENATE(YEAR(TAB_Offres[[#This Row],[Request date ]]),"-",MONTH(TAB_Offres[[#This Row],[Request date ]]))</f>
        <v>1900-1</v>
      </c>
      <c r="AI582" s="274" t="e">
        <f>IF(#REF!,1,0)</f>
        <v>#REF!</v>
      </c>
      <c r="AJ582" s="4"/>
      <c r="AK582" s="4"/>
      <c r="AL582" s="4"/>
      <c r="AN582" s="150"/>
      <c r="AQ582" s="4"/>
    </row>
    <row r="583" spans="1:43" x14ac:dyDescent="0.25">
      <c r="A583" s="258">
        <f>ROW(TAB_Offres[[#This Row],[Reference]])-ROW(TAB_Offres[[#Headers],[ID]])</f>
        <v>582</v>
      </c>
      <c r="B583" s="258"/>
      <c r="C583" s="258"/>
      <c r="D583" s="258"/>
      <c r="E583" s="263"/>
      <c r="F583" s="258"/>
      <c r="G583" s="263"/>
      <c r="H583" s="262"/>
      <c r="I583" s="262"/>
      <c r="J583" s="262"/>
      <c r="K583" s="262"/>
      <c r="L583" s="262"/>
      <c r="M583" s="264"/>
      <c r="N583" s="262"/>
      <c r="O583" s="262"/>
      <c r="P583" s="262"/>
      <c r="Q583" s="263"/>
      <c r="R583" s="263"/>
      <c r="S583" s="292"/>
      <c r="T583" s="261"/>
      <c r="U583" s="261"/>
      <c r="V583" s="268"/>
      <c r="W583" s="268"/>
      <c r="X583" s="268"/>
      <c r="Y583" s="268"/>
      <c r="Z583" s="471">
        <f>SUMIF(TAB_CS[Reference],TAB_Offres[[#This Row],[Reference]],TAB_CS[Commited days])</f>
        <v>0</v>
      </c>
      <c r="AA583" s="269">
        <f>SUMIF(TAB_CS[Reference],TAB_Offres[[#This Row],[Reference]],TAB_CS[Commited amount])</f>
        <v>0</v>
      </c>
      <c r="AB583" s="275"/>
      <c r="AC583" s="270"/>
      <c r="AD583" s="270"/>
      <c r="AE583" s="264"/>
      <c r="AF583" s="271"/>
      <c r="AG583" s="278"/>
      <c r="AH583" s="277" t="str">
        <f>CONCATENATE(YEAR(TAB_Offres[[#This Row],[Request date ]]),"-",MONTH(TAB_Offres[[#This Row],[Request date ]]))</f>
        <v>1900-1</v>
      </c>
      <c r="AI583" s="274" t="e">
        <f>IF(#REF!,1,0)</f>
        <v>#REF!</v>
      </c>
      <c r="AJ583" s="4"/>
      <c r="AK583" s="4"/>
      <c r="AL583" s="4"/>
      <c r="AN583" s="150"/>
      <c r="AQ583" s="4"/>
    </row>
    <row r="584" spans="1:43" x14ac:dyDescent="0.25">
      <c r="A584" s="258">
        <f>ROW(TAB_Offres[[#This Row],[Reference]])-ROW(TAB_Offres[[#Headers],[ID]])</f>
        <v>583</v>
      </c>
      <c r="B584" s="258"/>
      <c r="C584" s="258"/>
      <c r="D584" s="258"/>
      <c r="E584" s="263"/>
      <c r="F584" s="258"/>
      <c r="G584" s="263"/>
      <c r="H584" s="262"/>
      <c r="I584" s="262"/>
      <c r="J584" s="262"/>
      <c r="K584" s="262"/>
      <c r="L584" s="262"/>
      <c r="M584" s="264"/>
      <c r="N584" s="262"/>
      <c r="O584" s="262"/>
      <c r="P584" s="262"/>
      <c r="Q584" s="263"/>
      <c r="R584" s="263"/>
      <c r="S584" s="292"/>
      <c r="T584" s="261"/>
      <c r="U584" s="261"/>
      <c r="V584" s="268"/>
      <c r="W584" s="268"/>
      <c r="X584" s="268"/>
      <c r="Y584" s="268"/>
      <c r="Z584" s="471">
        <f>SUMIF(TAB_CS[Reference],TAB_Offres[[#This Row],[Reference]],TAB_CS[Commited days])</f>
        <v>0</v>
      </c>
      <c r="AA584" s="269">
        <f>SUMIF(TAB_CS[Reference],TAB_Offres[[#This Row],[Reference]],TAB_CS[Commited amount])</f>
        <v>0</v>
      </c>
      <c r="AB584" s="275"/>
      <c r="AC584" s="270"/>
      <c r="AD584" s="270"/>
      <c r="AE584" s="264"/>
      <c r="AF584" s="271"/>
      <c r="AG584" s="278"/>
      <c r="AH584" s="277" t="str">
        <f>CONCATENATE(YEAR(TAB_Offres[[#This Row],[Request date ]]),"-",MONTH(TAB_Offres[[#This Row],[Request date ]]))</f>
        <v>1900-1</v>
      </c>
      <c r="AI584" s="274" t="e">
        <f>IF(#REF!,1,0)</f>
        <v>#REF!</v>
      </c>
      <c r="AJ584" s="4"/>
      <c r="AK584" s="4"/>
      <c r="AL584" s="4"/>
      <c r="AN584" s="150"/>
      <c r="AQ584" s="4"/>
    </row>
    <row r="585" spans="1:43" x14ac:dyDescent="0.25">
      <c r="A585" s="258">
        <f>ROW(TAB_Offres[[#This Row],[Reference]])-ROW(TAB_Offres[[#Headers],[ID]])</f>
        <v>584</v>
      </c>
      <c r="B585" s="258"/>
      <c r="C585" s="258"/>
      <c r="D585" s="258"/>
      <c r="E585" s="263"/>
      <c r="F585" s="258"/>
      <c r="G585" s="263"/>
      <c r="H585" s="262"/>
      <c r="I585" s="262"/>
      <c r="J585" s="262"/>
      <c r="K585" s="262"/>
      <c r="L585" s="262"/>
      <c r="M585" s="264"/>
      <c r="N585" s="262"/>
      <c r="O585" s="262"/>
      <c r="P585" s="262"/>
      <c r="Q585" s="263"/>
      <c r="R585" s="263"/>
      <c r="S585" s="292"/>
      <c r="T585" s="261"/>
      <c r="U585" s="261"/>
      <c r="V585" s="268"/>
      <c r="W585" s="268"/>
      <c r="X585" s="268"/>
      <c r="Y585" s="268"/>
      <c r="Z585" s="471">
        <f>SUMIF(TAB_CS[Reference],TAB_Offres[[#This Row],[Reference]],TAB_CS[Commited days])</f>
        <v>0</v>
      </c>
      <c r="AA585" s="269">
        <f>SUMIF(TAB_CS[Reference],TAB_Offres[[#This Row],[Reference]],TAB_CS[Commited amount])</f>
        <v>0</v>
      </c>
      <c r="AB585" s="275"/>
      <c r="AC585" s="270"/>
      <c r="AD585" s="270"/>
      <c r="AE585" s="264"/>
      <c r="AF585" s="271"/>
      <c r="AG585" s="278"/>
      <c r="AH585" s="277" t="str">
        <f>CONCATENATE(YEAR(TAB_Offres[[#This Row],[Request date ]]),"-",MONTH(TAB_Offres[[#This Row],[Request date ]]))</f>
        <v>1900-1</v>
      </c>
      <c r="AI585" s="274" t="e">
        <f>IF(#REF!,1,0)</f>
        <v>#REF!</v>
      </c>
      <c r="AJ585" s="4"/>
      <c r="AK585" s="4"/>
      <c r="AL585" s="4"/>
      <c r="AN585" s="150"/>
      <c r="AQ585" s="4"/>
    </row>
    <row r="586" spans="1:43" x14ac:dyDescent="0.25">
      <c r="A586" s="258">
        <f>ROW(TAB_Offres[[#This Row],[Reference]])-ROW(TAB_Offres[[#Headers],[ID]])</f>
        <v>585</v>
      </c>
      <c r="B586" s="258"/>
      <c r="C586" s="258"/>
      <c r="D586" s="258"/>
      <c r="E586" s="263"/>
      <c r="F586" s="258"/>
      <c r="G586" s="263"/>
      <c r="H586" s="262"/>
      <c r="I586" s="262"/>
      <c r="J586" s="262"/>
      <c r="K586" s="262"/>
      <c r="L586" s="262"/>
      <c r="M586" s="264"/>
      <c r="N586" s="262"/>
      <c r="O586" s="262"/>
      <c r="P586" s="262"/>
      <c r="Q586" s="263"/>
      <c r="R586" s="263"/>
      <c r="S586" s="292"/>
      <c r="T586" s="261"/>
      <c r="U586" s="261"/>
      <c r="V586" s="268"/>
      <c r="W586" s="268"/>
      <c r="X586" s="268"/>
      <c r="Y586" s="268"/>
      <c r="Z586" s="471">
        <f>SUMIF(TAB_CS[Reference],TAB_Offres[[#This Row],[Reference]],TAB_CS[Commited days])</f>
        <v>0</v>
      </c>
      <c r="AA586" s="269">
        <f>SUMIF(TAB_CS[Reference],TAB_Offres[[#This Row],[Reference]],TAB_CS[Commited amount])</f>
        <v>0</v>
      </c>
      <c r="AB586" s="275"/>
      <c r="AC586" s="270"/>
      <c r="AD586" s="270"/>
      <c r="AE586" s="264"/>
      <c r="AF586" s="271"/>
      <c r="AG586" s="278"/>
      <c r="AH586" s="277" t="str">
        <f>CONCATENATE(YEAR(TAB_Offres[[#This Row],[Request date ]]),"-",MONTH(TAB_Offres[[#This Row],[Request date ]]))</f>
        <v>1900-1</v>
      </c>
      <c r="AI586" s="274" t="e">
        <f>IF(#REF!,1,0)</f>
        <v>#REF!</v>
      </c>
      <c r="AJ586" s="4"/>
      <c r="AK586" s="4"/>
      <c r="AL586" s="4"/>
      <c r="AN586" s="150"/>
      <c r="AQ586" s="4"/>
    </row>
    <row r="587" spans="1:43" x14ac:dyDescent="0.25">
      <c r="A587" s="258">
        <f>ROW(TAB_Offres[[#This Row],[Reference]])-ROW(TAB_Offres[[#Headers],[ID]])</f>
        <v>586</v>
      </c>
      <c r="B587" s="258"/>
      <c r="C587" s="258"/>
      <c r="D587" s="258"/>
      <c r="E587" s="263"/>
      <c r="F587" s="258"/>
      <c r="G587" s="263"/>
      <c r="H587" s="262"/>
      <c r="I587" s="262"/>
      <c r="J587" s="262"/>
      <c r="K587" s="262"/>
      <c r="L587" s="262"/>
      <c r="M587" s="264"/>
      <c r="N587" s="262"/>
      <c r="O587" s="262"/>
      <c r="P587" s="262"/>
      <c r="Q587" s="263"/>
      <c r="R587" s="263"/>
      <c r="S587" s="292"/>
      <c r="T587" s="261"/>
      <c r="U587" s="261"/>
      <c r="V587" s="268"/>
      <c r="W587" s="268"/>
      <c r="X587" s="268"/>
      <c r="Y587" s="268"/>
      <c r="Z587" s="471">
        <f>SUMIF(TAB_CS[Reference],TAB_Offres[[#This Row],[Reference]],TAB_CS[Commited days])</f>
        <v>0</v>
      </c>
      <c r="AA587" s="269">
        <f>SUMIF(TAB_CS[Reference],TAB_Offres[[#This Row],[Reference]],TAB_CS[Commited amount])</f>
        <v>0</v>
      </c>
      <c r="AB587" s="275"/>
      <c r="AC587" s="270"/>
      <c r="AD587" s="270"/>
      <c r="AE587" s="264"/>
      <c r="AF587" s="271"/>
      <c r="AG587" s="278"/>
      <c r="AH587" s="277" t="str">
        <f>CONCATENATE(YEAR(TAB_Offres[[#This Row],[Request date ]]),"-",MONTH(TAB_Offres[[#This Row],[Request date ]]))</f>
        <v>1900-1</v>
      </c>
      <c r="AI587" s="274" t="e">
        <f>IF(#REF!,1,0)</f>
        <v>#REF!</v>
      </c>
      <c r="AJ587" s="4"/>
      <c r="AK587" s="4"/>
      <c r="AL587" s="4"/>
      <c r="AN587" s="150"/>
      <c r="AQ587" s="4"/>
    </row>
    <row r="588" spans="1:43" x14ac:dyDescent="0.25">
      <c r="A588" s="258">
        <f>ROW(TAB_Offres[[#This Row],[Reference]])-ROW(TAB_Offres[[#Headers],[ID]])</f>
        <v>587</v>
      </c>
      <c r="B588" s="258"/>
      <c r="C588" s="258"/>
      <c r="D588" s="258"/>
      <c r="E588" s="263"/>
      <c r="F588" s="258"/>
      <c r="G588" s="263"/>
      <c r="H588" s="262"/>
      <c r="I588" s="262"/>
      <c r="J588" s="262"/>
      <c r="K588" s="262"/>
      <c r="L588" s="262"/>
      <c r="M588" s="264"/>
      <c r="N588" s="262"/>
      <c r="O588" s="262"/>
      <c r="P588" s="262"/>
      <c r="Q588" s="263"/>
      <c r="R588" s="263"/>
      <c r="S588" s="292"/>
      <c r="T588" s="261"/>
      <c r="U588" s="261"/>
      <c r="V588" s="268"/>
      <c r="W588" s="268"/>
      <c r="X588" s="268"/>
      <c r="Y588" s="268"/>
      <c r="Z588" s="471">
        <f>SUMIF(TAB_CS[Reference],TAB_Offres[[#This Row],[Reference]],TAB_CS[Commited days])</f>
        <v>0</v>
      </c>
      <c r="AA588" s="269">
        <f>SUMIF(TAB_CS[Reference],TAB_Offres[[#This Row],[Reference]],TAB_CS[Commited amount])</f>
        <v>0</v>
      </c>
      <c r="AB588" s="275"/>
      <c r="AC588" s="270"/>
      <c r="AD588" s="270"/>
      <c r="AE588" s="264"/>
      <c r="AF588" s="271"/>
      <c r="AG588" s="278"/>
      <c r="AH588" s="277" t="str">
        <f>CONCATENATE(YEAR(TAB_Offres[[#This Row],[Request date ]]),"-",MONTH(TAB_Offres[[#This Row],[Request date ]]))</f>
        <v>1900-1</v>
      </c>
      <c r="AI588" s="274" t="e">
        <f>IF(#REF!,1,0)</f>
        <v>#REF!</v>
      </c>
      <c r="AJ588" s="4"/>
      <c r="AK588" s="4"/>
      <c r="AL588" s="4"/>
      <c r="AN588" s="150"/>
      <c r="AQ588" s="4"/>
    </row>
    <row r="589" spans="1:43" x14ac:dyDescent="0.25">
      <c r="A589" s="258">
        <f>ROW(TAB_Offres[[#This Row],[Reference]])-ROW(TAB_Offres[[#Headers],[ID]])</f>
        <v>588</v>
      </c>
      <c r="B589" s="258"/>
      <c r="C589" s="258"/>
      <c r="D589" s="258"/>
      <c r="E589" s="263"/>
      <c r="F589" s="258"/>
      <c r="G589" s="263"/>
      <c r="H589" s="262"/>
      <c r="I589" s="262"/>
      <c r="J589" s="262"/>
      <c r="K589" s="262"/>
      <c r="L589" s="262"/>
      <c r="M589" s="264"/>
      <c r="N589" s="262"/>
      <c r="O589" s="262"/>
      <c r="P589" s="262"/>
      <c r="Q589" s="263"/>
      <c r="R589" s="263"/>
      <c r="S589" s="292"/>
      <c r="T589" s="261"/>
      <c r="U589" s="261"/>
      <c r="V589" s="268"/>
      <c r="W589" s="268"/>
      <c r="X589" s="268"/>
      <c r="Y589" s="268"/>
      <c r="Z589" s="471">
        <f>SUMIF(TAB_CS[Reference],TAB_Offres[[#This Row],[Reference]],TAB_CS[Commited days])</f>
        <v>0</v>
      </c>
      <c r="AA589" s="269">
        <f>SUMIF(TAB_CS[Reference],TAB_Offres[[#This Row],[Reference]],TAB_CS[Commited amount])</f>
        <v>0</v>
      </c>
      <c r="AB589" s="275"/>
      <c r="AC589" s="270"/>
      <c r="AD589" s="270"/>
      <c r="AE589" s="264"/>
      <c r="AF589" s="271"/>
      <c r="AG589" s="278"/>
      <c r="AH589" s="277" t="str">
        <f>CONCATENATE(YEAR(TAB_Offres[[#This Row],[Request date ]]),"-",MONTH(TAB_Offres[[#This Row],[Request date ]]))</f>
        <v>1900-1</v>
      </c>
      <c r="AI589" s="274" t="e">
        <f>IF(#REF!,1,0)</f>
        <v>#REF!</v>
      </c>
      <c r="AJ589" s="4"/>
      <c r="AK589" s="4"/>
      <c r="AL589" s="4"/>
      <c r="AN589" s="150"/>
      <c r="AQ589" s="4"/>
    </row>
    <row r="590" spans="1:43" x14ac:dyDescent="0.25">
      <c r="A590" s="258">
        <f>ROW(TAB_Offres[[#This Row],[Reference]])-ROW(TAB_Offres[[#Headers],[ID]])</f>
        <v>589</v>
      </c>
      <c r="B590" s="258"/>
      <c r="C590" s="258"/>
      <c r="D590" s="258"/>
      <c r="E590" s="263"/>
      <c r="F590" s="258"/>
      <c r="G590" s="263"/>
      <c r="H590" s="262"/>
      <c r="I590" s="262"/>
      <c r="J590" s="262"/>
      <c r="K590" s="262"/>
      <c r="L590" s="262"/>
      <c r="M590" s="264"/>
      <c r="N590" s="262"/>
      <c r="O590" s="262"/>
      <c r="P590" s="262"/>
      <c r="Q590" s="263"/>
      <c r="R590" s="263"/>
      <c r="S590" s="292"/>
      <c r="T590" s="261"/>
      <c r="U590" s="261"/>
      <c r="V590" s="268"/>
      <c r="W590" s="268"/>
      <c r="X590" s="268"/>
      <c r="Y590" s="268"/>
      <c r="Z590" s="471">
        <f>SUMIF(TAB_CS[Reference],TAB_Offres[[#This Row],[Reference]],TAB_CS[Commited days])</f>
        <v>0</v>
      </c>
      <c r="AA590" s="269">
        <f>SUMIF(TAB_CS[Reference],TAB_Offres[[#This Row],[Reference]],TAB_CS[Commited amount])</f>
        <v>0</v>
      </c>
      <c r="AB590" s="275"/>
      <c r="AC590" s="270"/>
      <c r="AD590" s="270"/>
      <c r="AE590" s="264"/>
      <c r="AF590" s="271"/>
      <c r="AG590" s="278"/>
      <c r="AH590" s="277" t="str">
        <f>CONCATENATE(YEAR(TAB_Offres[[#This Row],[Request date ]]),"-",MONTH(TAB_Offres[[#This Row],[Request date ]]))</f>
        <v>1900-1</v>
      </c>
      <c r="AI590" s="274" t="e">
        <f>IF(#REF!,1,0)</f>
        <v>#REF!</v>
      </c>
      <c r="AJ590" s="4"/>
      <c r="AK590" s="4"/>
      <c r="AL590" s="4"/>
      <c r="AN590" s="150"/>
      <c r="AQ590" s="4"/>
    </row>
    <row r="591" spans="1:43" x14ac:dyDescent="0.25">
      <c r="A591" s="258">
        <f>ROW(TAB_Offres[[#This Row],[Reference]])-ROW(TAB_Offres[[#Headers],[ID]])</f>
        <v>590</v>
      </c>
      <c r="B591" s="258"/>
      <c r="C591" s="258"/>
      <c r="D591" s="258"/>
      <c r="E591" s="263"/>
      <c r="F591" s="258"/>
      <c r="G591" s="263"/>
      <c r="H591" s="262"/>
      <c r="I591" s="262"/>
      <c r="J591" s="262"/>
      <c r="K591" s="262"/>
      <c r="L591" s="262"/>
      <c r="M591" s="264"/>
      <c r="N591" s="262"/>
      <c r="O591" s="262"/>
      <c r="P591" s="262"/>
      <c r="Q591" s="263"/>
      <c r="R591" s="263"/>
      <c r="S591" s="292"/>
      <c r="T591" s="261"/>
      <c r="U591" s="261"/>
      <c r="V591" s="268"/>
      <c r="W591" s="268"/>
      <c r="X591" s="268"/>
      <c r="Y591" s="268"/>
      <c r="Z591" s="471">
        <f>SUMIF(TAB_CS[Reference],TAB_Offres[[#This Row],[Reference]],TAB_CS[Commited days])</f>
        <v>0</v>
      </c>
      <c r="AA591" s="269">
        <f>SUMIF(TAB_CS[Reference],TAB_Offres[[#This Row],[Reference]],TAB_CS[Commited amount])</f>
        <v>0</v>
      </c>
      <c r="AB591" s="275"/>
      <c r="AC591" s="270"/>
      <c r="AD591" s="270"/>
      <c r="AE591" s="264"/>
      <c r="AF591" s="271"/>
      <c r="AG591" s="278"/>
      <c r="AH591" s="277" t="str">
        <f>CONCATENATE(YEAR(TAB_Offres[[#This Row],[Request date ]]),"-",MONTH(TAB_Offres[[#This Row],[Request date ]]))</f>
        <v>1900-1</v>
      </c>
      <c r="AI591" s="274" t="e">
        <f>IF(#REF!,1,0)</f>
        <v>#REF!</v>
      </c>
      <c r="AJ591" s="4"/>
      <c r="AK591" s="4"/>
      <c r="AL591" s="4"/>
      <c r="AN591" s="150"/>
      <c r="AQ591" s="4"/>
    </row>
    <row r="592" spans="1:43" x14ac:dyDescent="0.25">
      <c r="A592" s="258">
        <f>ROW(TAB_Offres[[#This Row],[Reference]])-ROW(TAB_Offres[[#Headers],[ID]])</f>
        <v>591</v>
      </c>
      <c r="B592" s="258"/>
      <c r="C592" s="258"/>
      <c r="D592" s="258"/>
      <c r="E592" s="263"/>
      <c r="F592" s="258"/>
      <c r="G592" s="263"/>
      <c r="H592" s="262"/>
      <c r="I592" s="262"/>
      <c r="J592" s="262"/>
      <c r="K592" s="262"/>
      <c r="L592" s="262"/>
      <c r="M592" s="264"/>
      <c r="N592" s="262"/>
      <c r="O592" s="262"/>
      <c r="P592" s="262"/>
      <c r="Q592" s="263"/>
      <c r="R592" s="263"/>
      <c r="S592" s="292"/>
      <c r="T592" s="261"/>
      <c r="U592" s="261"/>
      <c r="V592" s="268"/>
      <c r="W592" s="268"/>
      <c r="X592" s="268"/>
      <c r="Y592" s="268"/>
      <c r="Z592" s="471">
        <f>SUMIF(TAB_CS[Reference],TAB_Offres[[#This Row],[Reference]],TAB_CS[Commited days])</f>
        <v>0</v>
      </c>
      <c r="AA592" s="269">
        <f>SUMIF(TAB_CS[Reference],TAB_Offres[[#This Row],[Reference]],TAB_CS[Commited amount])</f>
        <v>0</v>
      </c>
      <c r="AB592" s="275"/>
      <c r="AC592" s="270"/>
      <c r="AD592" s="270"/>
      <c r="AE592" s="264"/>
      <c r="AF592" s="271"/>
      <c r="AG592" s="278"/>
      <c r="AH592" s="277" t="str">
        <f>CONCATENATE(YEAR(TAB_Offres[[#This Row],[Request date ]]),"-",MONTH(TAB_Offres[[#This Row],[Request date ]]))</f>
        <v>1900-1</v>
      </c>
      <c r="AI592" s="274" t="e">
        <f>IF(#REF!,1,0)</f>
        <v>#REF!</v>
      </c>
      <c r="AJ592" s="4"/>
      <c r="AK592" s="4"/>
      <c r="AL592" s="4"/>
      <c r="AN592" s="150"/>
      <c r="AQ592" s="4"/>
    </row>
    <row r="593" spans="1:43" x14ac:dyDescent="0.25">
      <c r="A593" s="258">
        <f>ROW(TAB_Offres[[#This Row],[Reference]])-ROW(TAB_Offres[[#Headers],[ID]])</f>
        <v>592</v>
      </c>
      <c r="B593" s="258"/>
      <c r="C593" s="258"/>
      <c r="D593" s="258"/>
      <c r="E593" s="263"/>
      <c r="F593" s="258"/>
      <c r="G593" s="263"/>
      <c r="H593" s="262"/>
      <c r="I593" s="262"/>
      <c r="J593" s="262"/>
      <c r="K593" s="262"/>
      <c r="L593" s="262"/>
      <c r="M593" s="264"/>
      <c r="N593" s="262"/>
      <c r="O593" s="262"/>
      <c r="P593" s="262"/>
      <c r="Q593" s="263"/>
      <c r="R593" s="263"/>
      <c r="S593" s="292"/>
      <c r="T593" s="261"/>
      <c r="U593" s="261"/>
      <c r="V593" s="268"/>
      <c r="W593" s="268"/>
      <c r="X593" s="268"/>
      <c r="Y593" s="268"/>
      <c r="Z593" s="471">
        <f>SUMIF(TAB_CS[Reference],TAB_Offres[[#This Row],[Reference]],TAB_CS[Commited days])</f>
        <v>0</v>
      </c>
      <c r="AA593" s="269">
        <f>SUMIF(TAB_CS[Reference],TAB_Offres[[#This Row],[Reference]],TAB_CS[Commited amount])</f>
        <v>0</v>
      </c>
      <c r="AB593" s="275"/>
      <c r="AC593" s="270"/>
      <c r="AD593" s="270"/>
      <c r="AE593" s="264"/>
      <c r="AF593" s="271"/>
      <c r="AG593" s="278"/>
      <c r="AH593" s="277" t="str">
        <f>CONCATENATE(YEAR(TAB_Offres[[#This Row],[Request date ]]),"-",MONTH(TAB_Offres[[#This Row],[Request date ]]))</f>
        <v>1900-1</v>
      </c>
      <c r="AI593" s="274" t="e">
        <f>IF(#REF!,1,0)</f>
        <v>#REF!</v>
      </c>
      <c r="AJ593" s="4"/>
      <c r="AK593" s="4"/>
      <c r="AL593" s="4"/>
      <c r="AN593" s="150"/>
      <c r="AQ593" s="4"/>
    </row>
    <row r="594" spans="1:43" x14ac:dyDescent="0.25">
      <c r="A594" s="258">
        <f>ROW(TAB_Offres[[#This Row],[Reference]])-ROW(TAB_Offres[[#Headers],[ID]])</f>
        <v>593</v>
      </c>
      <c r="B594" s="258"/>
      <c r="C594" s="258"/>
      <c r="D594" s="258"/>
      <c r="E594" s="263"/>
      <c r="F594" s="258"/>
      <c r="G594" s="263"/>
      <c r="H594" s="262"/>
      <c r="I594" s="262"/>
      <c r="J594" s="262"/>
      <c r="K594" s="262"/>
      <c r="L594" s="262"/>
      <c r="M594" s="264"/>
      <c r="N594" s="262"/>
      <c r="O594" s="262"/>
      <c r="P594" s="262"/>
      <c r="Q594" s="263"/>
      <c r="R594" s="263"/>
      <c r="S594" s="292"/>
      <c r="T594" s="261"/>
      <c r="U594" s="261"/>
      <c r="V594" s="268"/>
      <c r="W594" s="268"/>
      <c r="X594" s="268"/>
      <c r="Y594" s="268"/>
      <c r="Z594" s="471">
        <f>SUMIF(TAB_CS[Reference],TAB_Offres[[#This Row],[Reference]],TAB_CS[Commited days])</f>
        <v>0</v>
      </c>
      <c r="AA594" s="269">
        <f>SUMIF(TAB_CS[Reference],TAB_Offres[[#This Row],[Reference]],TAB_CS[Commited amount])</f>
        <v>0</v>
      </c>
      <c r="AB594" s="275"/>
      <c r="AC594" s="270"/>
      <c r="AD594" s="270"/>
      <c r="AE594" s="264"/>
      <c r="AF594" s="271"/>
      <c r="AG594" s="278"/>
      <c r="AH594" s="277" t="str">
        <f>CONCATENATE(YEAR(TAB_Offres[[#This Row],[Request date ]]),"-",MONTH(TAB_Offres[[#This Row],[Request date ]]))</f>
        <v>1900-1</v>
      </c>
      <c r="AI594" s="274" t="e">
        <f>IF(#REF!,1,0)</f>
        <v>#REF!</v>
      </c>
      <c r="AJ594" s="4"/>
      <c r="AK594" s="4"/>
      <c r="AL594" s="4"/>
      <c r="AN594" s="150"/>
      <c r="AQ594" s="4"/>
    </row>
    <row r="595" spans="1:43" x14ac:dyDescent="0.25">
      <c r="A595" s="258">
        <f>ROW(TAB_Offres[[#This Row],[Reference]])-ROW(TAB_Offres[[#Headers],[ID]])</f>
        <v>594</v>
      </c>
      <c r="B595" s="258"/>
      <c r="C595" s="258"/>
      <c r="D595" s="258"/>
      <c r="E595" s="263"/>
      <c r="F595" s="258"/>
      <c r="G595" s="263"/>
      <c r="H595" s="262"/>
      <c r="I595" s="262"/>
      <c r="J595" s="262"/>
      <c r="K595" s="262"/>
      <c r="L595" s="262"/>
      <c r="M595" s="264"/>
      <c r="N595" s="262"/>
      <c r="O595" s="262"/>
      <c r="P595" s="262"/>
      <c r="Q595" s="263"/>
      <c r="R595" s="263"/>
      <c r="S595" s="292"/>
      <c r="T595" s="261"/>
      <c r="U595" s="261"/>
      <c r="V595" s="268"/>
      <c r="W595" s="268"/>
      <c r="X595" s="268"/>
      <c r="Y595" s="268"/>
      <c r="Z595" s="471">
        <f>SUMIF(TAB_CS[Reference],TAB_Offres[[#This Row],[Reference]],TAB_CS[Commited days])</f>
        <v>0</v>
      </c>
      <c r="AA595" s="269">
        <f>SUMIF(TAB_CS[Reference],TAB_Offres[[#This Row],[Reference]],TAB_CS[Commited amount])</f>
        <v>0</v>
      </c>
      <c r="AB595" s="275"/>
      <c r="AC595" s="270"/>
      <c r="AD595" s="270"/>
      <c r="AE595" s="264"/>
      <c r="AF595" s="271"/>
      <c r="AG595" s="278"/>
      <c r="AH595" s="277" t="str">
        <f>CONCATENATE(YEAR(TAB_Offres[[#This Row],[Request date ]]),"-",MONTH(TAB_Offres[[#This Row],[Request date ]]))</f>
        <v>1900-1</v>
      </c>
      <c r="AI595" s="274" t="e">
        <f>IF(#REF!,1,0)</f>
        <v>#REF!</v>
      </c>
      <c r="AJ595" s="4"/>
      <c r="AK595" s="4"/>
      <c r="AL595" s="4"/>
      <c r="AN595" s="150"/>
      <c r="AQ595" s="4"/>
    </row>
    <row r="596" spans="1:43" x14ac:dyDescent="0.25">
      <c r="A596" s="258">
        <f>ROW(TAB_Offres[[#This Row],[Reference]])-ROW(TAB_Offres[[#Headers],[ID]])</f>
        <v>595</v>
      </c>
      <c r="B596" s="258"/>
      <c r="C596" s="258"/>
      <c r="D596" s="258"/>
      <c r="E596" s="263"/>
      <c r="F596" s="258"/>
      <c r="G596" s="263"/>
      <c r="H596" s="262"/>
      <c r="I596" s="262"/>
      <c r="J596" s="262"/>
      <c r="K596" s="262"/>
      <c r="L596" s="262"/>
      <c r="M596" s="264"/>
      <c r="N596" s="262"/>
      <c r="O596" s="262"/>
      <c r="P596" s="262"/>
      <c r="Q596" s="263"/>
      <c r="R596" s="263"/>
      <c r="S596" s="292"/>
      <c r="T596" s="261"/>
      <c r="U596" s="261"/>
      <c r="V596" s="268"/>
      <c r="W596" s="268"/>
      <c r="X596" s="268"/>
      <c r="Y596" s="268"/>
      <c r="Z596" s="471">
        <f>SUMIF(TAB_CS[Reference],TAB_Offres[[#This Row],[Reference]],TAB_CS[Commited days])</f>
        <v>0</v>
      </c>
      <c r="AA596" s="269">
        <f>SUMIF(TAB_CS[Reference],TAB_Offres[[#This Row],[Reference]],TAB_CS[Commited amount])</f>
        <v>0</v>
      </c>
      <c r="AB596" s="275"/>
      <c r="AC596" s="270"/>
      <c r="AD596" s="270"/>
      <c r="AE596" s="264"/>
      <c r="AF596" s="271"/>
      <c r="AG596" s="278"/>
      <c r="AH596" s="277" t="str">
        <f>CONCATENATE(YEAR(TAB_Offres[[#This Row],[Request date ]]),"-",MONTH(TAB_Offres[[#This Row],[Request date ]]))</f>
        <v>1900-1</v>
      </c>
      <c r="AI596" s="274" t="e">
        <f>IF(#REF!,1,0)</f>
        <v>#REF!</v>
      </c>
      <c r="AJ596" s="4"/>
      <c r="AK596" s="4"/>
      <c r="AL596" s="4"/>
      <c r="AN596" s="150"/>
      <c r="AQ596" s="4"/>
    </row>
    <row r="597" spans="1:43" x14ac:dyDescent="0.25">
      <c r="A597" s="258">
        <f>ROW(TAB_Offres[[#This Row],[Reference]])-ROW(TAB_Offres[[#Headers],[ID]])</f>
        <v>596</v>
      </c>
      <c r="B597" s="258"/>
      <c r="C597" s="258"/>
      <c r="D597" s="258"/>
      <c r="E597" s="263"/>
      <c r="F597" s="258"/>
      <c r="G597" s="263"/>
      <c r="H597" s="262"/>
      <c r="I597" s="262"/>
      <c r="J597" s="262"/>
      <c r="K597" s="262"/>
      <c r="L597" s="262"/>
      <c r="M597" s="264"/>
      <c r="N597" s="262"/>
      <c r="O597" s="262"/>
      <c r="P597" s="262"/>
      <c r="Q597" s="263"/>
      <c r="R597" s="263"/>
      <c r="S597" s="292"/>
      <c r="T597" s="261"/>
      <c r="U597" s="261"/>
      <c r="V597" s="268"/>
      <c r="W597" s="268"/>
      <c r="X597" s="268"/>
      <c r="Y597" s="268"/>
      <c r="Z597" s="471">
        <f>SUMIF(TAB_CS[Reference],TAB_Offres[[#This Row],[Reference]],TAB_CS[Commited days])</f>
        <v>0</v>
      </c>
      <c r="AA597" s="269">
        <f>SUMIF(TAB_CS[Reference],TAB_Offres[[#This Row],[Reference]],TAB_CS[Commited amount])</f>
        <v>0</v>
      </c>
      <c r="AB597" s="275"/>
      <c r="AC597" s="270"/>
      <c r="AD597" s="270"/>
      <c r="AE597" s="264"/>
      <c r="AF597" s="271"/>
      <c r="AG597" s="278"/>
      <c r="AH597" s="277" t="str">
        <f>CONCATENATE(YEAR(TAB_Offres[[#This Row],[Request date ]]),"-",MONTH(TAB_Offres[[#This Row],[Request date ]]))</f>
        <v>1900-1</v>
      </c>
      <c r="AI597" s="274" t="e">
        <f>IF(#REF!,1,0)</f>
        <v>#REF!</v>
      </c>
      <c r="AJ597" s="4"/>
      <c r="AK597" s="4"/>
      <c r="AL597" s="4"/>
      <c r="AN597" s="150"/>
      <c r="AQ597" s="4"/>
    </row>
    <row r="598" spans="1:43" x14ac:dyDescent="0.25">
      <c r="A598" s="258">
        <f>ROW(TAB_Offres[[#This Row],[Reference]])-ROW(TAB_Offres[[#Headers],[ID]])</f>
        <v>597</v>
      </c>
      <c r="B598" s="258"/>
      <c r="C598" s="258"/>
      <c r="D598" s="258"/>
      <c r="E598" s="263"/>
      <c r="F598" s="258"/>
      <c r="G598" s="263"/>
      <c r="H598" s="262"/>
      <c r="I598" s="262"/>
      <c r="J598" s="262"/>
      <c r="K598" s="262"/>
      <c r="L598" s="262"/>
      <c r="M598" s="264"/>
      <c r="N598" s="262"/>
      <c r="O598" s="262"/>
      <c r="P598" s="262"/>
      <c r="Q598" s="263"/>
      <c r="R598" s="263"/>
      <c r="S598" s="292"/>
      <c r="T598" s="261"/>
      <c r="U598" s="261"/>
      <c r="V598" s="268"/>
      <c r="W598" s="268"/>
      <c r="X598" s="268"/>
      <c r="Y598" s="268"/>
      <c r="Z598" s="471">
        <f>SUMIF(TAB_CS[Reference],TAB_Offres[[#This Row],[Reference]],TAB_CS[Commited days])</f>
        <v>0</v>
      </c>
      <c r="AA598" s="269">
        <f>SUMIF(TAB_CS[Reference],TAB_Offres[[#This Row],[Reference]],TAB_CS[Commited amount])</f>
        <v>0</v>
      </c>
      <c r="AB598" s="275"/>
      <c r="AC598" s="270"/>
      <c r="AD598" s="270"/>
      <c r="AE598" s="264"/>
      <c r="AF598" s="271"/>
      <c r="AG598" s="278"/>
      <c r="AH598" s="277" t="str">
        <f>CONCATENATE(YEAR(TAB_Offres[[#This Row],[Request date ]]),"-",MONTH(TAB_Offres[[#This Row],[Request date ]]))</f>
        <v>1900-1</v>
      </c>
      <c r="AI598" s="274" t="e">
        <f>IF(#REF!,1,0)</f>
        <v>#REF!</v>
      </c>
      <c r="AJ598" s="4"/>
      <c r="AK598" s="4"/>
      <c r="AL598" s="4"/>
      <c r="AN598" s="150"/>
      <c r="AQ598" s="4"/>
    </row>
    <row r="599" spans="1:43" x14ac:dyDescent="0.25">
      <c r="A599" s="258">
        <f>ROW(TAB_Offres[[#This Row],[Reference]])-ROW(TAB_Offres[[#Headers],[ID]])</f>
        <v>598</v>
      </c>
      <c r="B599" s="258"/>
      <c r="C599" s="258"/>
      <c r="D599" s="258"/>
      <c r="E599" s="263"/>
      <c r="F599" s="258"/>
      <c r="G599" s="263"/>
      <c r="H599" s="262"/>
      <c r="I599" s="262"/>
      <c r="J599" s="262"/>
      <c r="K599" s="262"/>
      <c r="L599" s="262"/>
      <c r="M599" s="264"/>
      <c r="N599" s="262"/>
      <c r="O599" s="262"/>
      <c r="P599" s="262"/>
      <c r="Q599" s="263"/>
      <c r="R599" s="263"/>
      <c r="S599" s="292"/>
      <c r="T599" s="261"/>
      <c r="U599" s="261"/>
      <c r="V599" s="268"/>
      <c r="W599" s="268"/>
      <c r="X599" s="268"/>
      <c r="Y599" s="268"/>
      <c r="Z599" s="471">
        <f>SUMIF(TAB_CS[Reference],TAB_Offres[[#This Row],[Reference]],TAB_CS[Commited days])</f>
        <v>0</v>
      </c>
      <c r="AA599" s="269">
        <f>SUMIF(TAB_CS[Reference],TAB_Offres[[#This Row],[Reference]],TAB_CS[Commited amount])</f>
        <v>0</v>
      </c>
      <c r="AB599" s="275"/>
      <c r="AC599" s="270"/>
      <c r="AD599" s="270"/>
      <c r="AE599" s="264"/>
      <c r="AF599" s="271"/>
      <c r="AG599" s="278"/>
      <c r="AH599" s="277" t="str">
        <f>CONCATENATE(YEAR(TAB_Offres[[#This Row],[Request date ]]),"-",MONTH(TAB_Offres[[#This Row],[Request date ]]))</f>
        <v>1900-1</v>
      </c>
      <c r="AI599" s="274" t="e">
        <f>IF(#REF!,1,0)</f>
        <v>#REF!</v>
      </c>
      <c r="AJ599" s="4"/>
      <c r="AK599" s="4"/>
      <c r="AL599" s="4"/>
      <c r="AN599" s="150"/>
      <c r="AQ599" s="4"/>
    </row>
    <row r="600" spans="1:43" x14ac:dyDescent="0.25">
      <c r="A600" s="258">
        <f>ROW(TAB_Offres[[#This Row],[Reference]])-ROW(TAB_Offres[[#Headers],[ID]])</f>
        <v>599</v>
      </c>
      <c r="B600" s="258"/>
      <c r="C600" s="258"/>
      <c r="D600" s="258"/>
      <c r="E600" s="263"/>
      <c r="F600" s="258"/>
      <c r="G600" s="263"/>
      <c r="H600" s="262"/>
      <c r="I600" s="262"/>
      <c r="J600" s="262"/>
      <c r="K600" s="262"/>
      <c r="L600" s="262"/>
      <c r="M600" s="264"/>
      <c r="N600" s="262"/>
      <c r="O600" s="262"/>
      <c r="P600" s="262"/>
      <c r="Q600" s="263"/>
      <c r="R600" s="263"/>
      <c r="S600" s="292"/>
      <c r="T600" s="261"/>
      <c r="U600" s="261"/>
      <c r="V600" s="268"/>
      <c r="W600" s="268"/>
      <c r="X600" s="268"/>
      <c r="Y600" s="268"/>
      <c r="Z600" s="471">
        <f>SUMIF(TAB_CS[Reference],TAB_Offres[[#This Row],[Reference]],TAB_CS[Commited days])</f>
        <v>0</v>
      </c>
      <c r="AA600" s="269">
        <f>SUMIF(TAB_CS[Reference],TAB_Offres[[#This Row],[Reference]],TAB_CS[Commited amount])</f>
        <v>0</v>
      </c>
      <c r="AB600" s="275"/>
      <c r="AC600" s="270"/>
      <c r="AD600" s="270"/>
      <c r="AE600" s="264"/>
      <c r="AF600" s="271"/>
      <c r="AG600" s="278"/>
      <c r="AH600" s="277" t="str">
        <f>CONCATENATE(YEAR(TAB_Offres[[#This Row],[Request date ]]),"-",MONTH(TAB_Offres[[#This Row],[Request date ]]))</f>
        <v>1900-1</v>
      </c>
      <c r="AI600" s="274" t="e">
        <f>IF(#REF!,1,0)</f>
        <v>#REF!</v>
      </c>
      <c r="AJ600" s="4"/>
      <c r="AK600" s="4"/>
      <c r="AL600" s="4"/>
      <c r="AN600" s="150"/>
      <c r="AQ600" s="4"/>
    </row>
    <row r="601" spans="1:43" x14ac:dyDescent="0.25">
      <c r="A601" s="258">
        <f>ROW(TAB_Offres[[#This Row],[Reference]])-ROW(TAB_Offres[[#Headers],[ID]])</f>
        <v>600</v>
      </c>
      <c r="B601" s="258"/>
      <c r="C601" s="258"/>
      <c r="D601" s="258"/>
      <c r="E601" s="263"/>
      <c r="F601" s="258"/>
      <c r="G601" s="263"/>
      <c r="H601" s="262"/>
      <c r="I601" s="262"/>
      <c r="J601" s="262"/>
      <c r="K601" s="262"/>
      <c r="L601" s="262"/>
      <c r="M601" s="264"/>
      <c r="N601" s="262"/>
      <c r="O601" s="262"/>
      <c r="P601" s="262"/>
      <c r="Q601" s="263"/>
      <c r="R601" s="263"/>
      <c r="S601" s="292"/>
      <c r="T601" s="261"/>
      <c r="U601" s="261"/>
      <c r="V601" s="268"/>
      <c r="W601" s="268"/>
      <c r="X601" s="268"/>
      <c r="Y601" s="268"/>
      <c r="Z601" s="471">
        <f>SUMIF(TAB_CS[Reference],TAB_Offres[[#This Row],[Reference]],TAB_CS[Commited days])</f>
        <v>0</v>
      </c>
      <c r="AA601" s="269">
        <f>SUMIF(TAB_CS[Reference],TAB_Offres[[#This Row],[Reference]],TAB_CS[Commited amount])</f>
        <v>0</v>
      </c>
      <c r="AB601" s="275"/>
      <c r="AC601" s="270"/>
      <c r="AD601" s="270"/>
      <c r="AE601" s="264"/>
      <c r="AF601" s="271"/>
      <c r="AG601" s="278"/>
      <c r="AH601" s="277" t="str">
        <f>CONCATENATE(YEAR(TAB_Offres[[#This Row],[Request date ]]),"-",MONTH(TAB_Offres[[#This Row],[Request date ]]))</f>
        <v>1900-1</v>
      </c>
      <c r="AI601" s="274" t="e">
        <f>IF(#REF!,1,0)</f>
        <v>#REF!</v>
      </c>
      <c r="AJ601" s="4"/>
      <c r="AK601" s="4"/>
      <c r="AL601" s="4"/>
      <c r="AN601" s="150"/>
      <c r="AQ601" s="4"/>
    </row>
    <row r="602" spans="1:43" x14ac:dyDescent="0.25">
      <c r="A602" s="258">
        <f>ROW(TAB_Offres[[#This Row],[Reference]])-ROW(TAB_Offres[[#Headers],[ID]])</f>
        <v>601</v>
      </c>
      <c r="B602" s="258"/>
      <c r="C602" s="258"/>
      <c r="D602" s="258"/>
      <c r="E602" s="263"/>
      <c r="F602" s="258"/>
      <c r="G602" s="263"/>
      <c r="H602" s="262"/>
      <c r="I602" s="262"/>
      <c r="J602" s="262"/>
      <c r="K602" s="262"/>
      <c r="L602" s="262"/>
      <c r="M602" s="264"/>
      <c r="N602" s="262"/>
      <c r="O602" s="262"/>
      <c r="P602" s="262"/>
      <c r="Q602" s="263"/>
      <c r="R602" s="263"/>
      <c r="S602" s="292"/>
      <c r="T602" s="261"/>
      <c r="U602" s="261"/>
      <c r="V602" s="268"/>
      <c r="W602" s="268"/>
      <c r="X602" s="268"/>
      <c r="Y602" s="268"/>
      <c r="Z602" s="471">
        <f>SUMIF(TAB_CS[Reference],TAB_Offres[[#This Row],[Reference]],TAB_CS[Commited days])</f>
        <v>0</v>
      </c>
      <c r="AA602" s="269">
        <f>SUMIF(TAB_CS[Reference],TAB_Offres[[#This Row],[Reference]],TAB_CS[Commited amount])</f>
        <v>0</v>
      </c>
      <c r="AB602" s="275"/>
      <c r="AC602" s="270"/>
      <c r="AD602" s="270"/>
      <c r="AE602" s="264"/>
      <c r="AF602" s="271"/>
      <c r="AG602" s="278"/>
      <c r="AH602" s="277" t="str">
        <f>CONCATENATE(YEAR(TAB_Offres[[#This Row],[Request date ]]),"-",MONTH(TAB_Offres[[#This Row],[Request date ]]))</f>
        <v>1900-1</v>
      </c>
      <c r="AI602" s="274" t="e">
        <f>IF(#REF!,1,0)</f>
        <v>#REF!</v>
      </c>
      <c r="AJ602" s="4"/>
      <c r="AK602" s="4"/>
      <c r="AL602" s="4"/>
      <c r="AN602" s="150"/>
      <c r="AQ602" s="4"/>
    </row>
    <row r="603" spans="1:43" x14ac:dyDescent="0.25">
      <c r="A603" s="258">
        <f>ROW(TAB_Offres[[#This Row],[Reference]])-ROW(TAB_Offres[[#Headers],[ID]])</f>
        <v>602</v>
      </c>
      <c r="B603" s="258"/>
      <c r="C603" s="258"/>
      <c r="D603" s="258"/>
      <c r="E603" s="263"/>
      <c r="F603" s="258"/>
      <c r="G603" s="263"/>
      <c r="H603" s="262"/>
      <c r="I603" s="262"/>
      <c r="J603" s="262"/>
      <c r="K603" s="262"/>
      <c r="L603" s="262"/>
      <c r="M603" s="264"/>
      <c r="N603" s="262"/>
      <c r="O603" s="262"/>
      <c r="P603" s="262"/>
      <c r="Q603" s="263"/>
      <c r="R603" s="263"/>
      <c r="S603" s="292"/>
      <c r="T603" s="261"/>
      <c r="U603" s="261"/>
      <c r="V603" s="268"/>
      <c r="W603" s="268"/>
      <c r="X603" s="268"/>
      <c r="Y603" s="268"/>
      <c r="Z603" s="471">
        <f>SUMIF(TAB_CS[Reference],TAB_Offres[[#This Row],[Reference]],TAB_CS[Commited days])</f>
        <v>0</v>
      </c>
      <c r="AA603" s="269">
        <f>SUMIF(TAB_CS[Reference],TAB_Offres[[#This Row],[Reference]],TAB_CS[Commited amount])</f>
        <v>0</v>
      </c>
      <c r="AB603" s="275"/>
      <c r="AC603" s="270"/>
      <c r="AD603" s="270"/>
      <c r="AE603" s="264"/>
      <c r="AF603" s="271"/>
      <c r="AG603" s="278"/>
      <c r="AH603" s="277" t="str">
        <f>CONCATENATE(YEAR(TAB_Offres[[#This Row],[Request date ]]),"-",MONTH(TAB_Offres[[#This Row],[Request date ]]))</f>
        <v>1900-1</v>
      </c>
      <c r="AI603" s="274" t="e">
        <f>IF(#REF!,1,0)</f>
        <v>#REF!</v>
      </c>
      <c r="AJ603" s="4"/>
      <c r="AK603" s="4"/>
      <c r="AL603" s="4"/>
      <c r="AN603" s="150"/>
      <c r="AQ603" s="4"/>
    </row>
    <row r="604" spans="1:43" x14ac:dyDescent="0.25">
      <c r="A604" s="258">
        <f>ROW(TAB_Offres[[#This Row],[Reference]])-ROW(TAB_Offres[[#Headers],[ID]])</f>
        <v>603</v>
      </c>
      <c r="B604" s="258"/>
      <c r="C604" s="258"/>
      <c r="D604" s="258"/>
      <c r="E604" s="263"/>
      <c r="F604" s="258"/>
      <c r="G604" s="263"/>
      <c r="H604" s="262"/>
      <c r="I604" s="262"/>
      <c r="J604" s="262"/>
      <c r="K604" s="262"/>
      <c r="L604" s="262"/>
      <c r="M604" s="264"/>
      <c r="N604" s="262"/>
      <c r="O604" s="262"/>
      <c r="P604" s="262"/>
      <c r="Q604" s="263"/>
      <c r="R604" s="263"/>
      <c r="S604" s="292"/>
      <c r="T604" s="261"/>
      <c r="U604" s="261"/>
      <c r="V604" s="268"/>
      <c r="W604" s="268"/>
      <c r="X604" s="268"/>
      <c r="Y604" s="268"/>
      <c r="Z604" s="471">
        <f>SUMIF(TAB_CS[Reference],TAB_Offres[[#This Row],[Reference]],TAB_CS[Commited days])</f>
        <v>0</v>
      </c>
      <c r="AA604" s="269">
        <f>SUMIF(TAB_CS[Reference],TAB_Offres[[#This Row],[Reference]],TAB_CS[Commited amount])</f>
        <v>0</v>
      </c>
      <c r="AB604" s="275"/>
      <c r="AC604" s="270"/>
      <c r="AD604" s="270"/>
      <c r="AE604" s="264"/>
      <c r="AF604" s="271"/>
      <c r="AG604" s="278"/>
      <c r="AH604" s="277" t="str">
        <f>CONCATENATE(YEAR(TAB_Offres[[#This Row],[Request date ]]),"-",MONTH(TAB_Offres[[#This Row],[Request date ]]))</f>
        <v>1900-1</v>
      </c>
      <c r="AI604" s="274" t="e">
        <f>IF(#REF!,1,0)</f>
        <v>#REF!</v>
      </c>
      <c r="AJ604" s="4"/>
      <c r="AK604" s="4"/>
      <c r="AL604" s="4"/>
      <c r="AN604" s="150"/>
      <c r="AQ604" s="4"/>
    </row>
    <row r="605" spans="1:43" x14ac:dyDescent="0.25">
      <c r="A605" s="258">
        <f>ROW(TAB_Offres[[#This Row],[Reference]])-ROW(TAB_Offres[[#Headers],[ID]])</f>
        <v>604</v>
      </c>
      <c r="B605" s="258"/>
      <c r="C605" s="258"/>
      <c r="D605" s="258"/>
      <c r="E605" s="263"/>
      <c r="F605" s="258"/>
      <c r="G605" s="263"/>
      <c r="H605" s="262"/>
      <c r="I605" s="262"/>
      <c r="J605" s="262"/>
      <c r="K605" s="262"/>
      <c r="L605" s="262"/>
      <c r="M605" s="264"/>
      <c r="N605" s="262"/>
      <c r="O605" s="262"/>
      <c r="P605" s="262"/>
      <c r="Q605" s="263"/>
      <c r="R605" s="263"/>
      <c r="S605" s="292"/>
      <c r="T605" s="261"/>
      <c r="U605" s="261"/>
      <c r="V605" s="268"/>
      <c r="W605" s="268"/>
      <c r="X605" s="268"/>
      <c r="Y605" s="268"/>
      <c r="Z605" s="471">
        <f>SUMIF(TAB_CS[Reference],TAB_Offres[[#This Row],[Reference]],TAB_CS[Commited days])</f>
        <v>0</v>
      </c>
      <c r="AA605" s="269">
        <f>SUMIF(TAB_CS[Reference],TAB_Offres[[#This Row],[Reference]],TAB_CS[Commited amount])</f>
        <v>0</v>
      </c>
      <c r="AB605" s="275"/>
      <c r="AC605" s="270"/>
      <c r="AD605" s="270"/>
      <c r="AE605" s="264"/>
      <c r="AF605" s="271"/>
      <c r="AG605" s="278"/>
      <c r="AH605" s="277" t="str">
        <f>CONCATENATE(YEAR(TAB_Offres[[#This Row],[Request date ]]),"-",MONTH(TAB_Offres[[#This Row],[Request date ]]))</f>
        <v>1900-1</v>
      </c>
      <c r="AI605" s="274" t="e">
        <f>IF(#REF!,1,0)</f>
        <v>#REF!</v>
      </c>
      <c r="AJ605" s="4"/>
      <c r="AK605" s="4"/>
      <c r="AL605" s="4"/>
      <c r="AN605" s="150"/>
      <c r="AQ605" s="4"/>
    </row>
    <row r="606" spans="1:43" x14ac:dyDescent="0.25">
      <c r="A606" s="258">
        <f>ROW(TAB_Offres[[#This Row],[Reference]])-ROW(TAB_Offres[[#Headers],[ID]])</f>
        <v>605</v>
      </c>
      <c r="B606" s="258"/>
      <c r="C606" s="258"/>
      <c r="D606" s="258"/>
      <c r="E606" s="263"/>
      <c r="F606" s="258"/>
      <c r="G606" s="263"/>
      <c r="H606" s="262"/>
      <c r="I606" s="262"/>
      <c r="J606" s="262"/>
      <c r="K606" s="262"/>
      <c r="L606" s="262"/>
      <c r="M606" s="264"/>
      <c r="N606" s="262"/>
      <c r="O606" s="262"/>
      <c r="P606" s="262"/>
      <c r="Q606" s="263"/>
      <c r="R606" s="263"/>
      <c r="S606" s="292"/>
      <c r="T606" s="261"/>
      <c r="U606" s="261"/>
      <c r="V606" s="268"/>
      <c r="W606" s="268"/>
      <c r="X606" s="268"/>
      <c r="Y606" s="268"/>
      <c r="Z606" s="471">
        <f>SUMIF(TAB_CS[Reference],TAB_Offres[[#This Row],[Reference]],TAB_CS[Commited days])</f>
        <v>0</v>
      </c>
      <c r="AA606" s="269">
        <f>SUMIF(TAB_CS[Reference],TAB_Offres[[#This Row],[Reference]],TAB_CS[Commited amount])</f>
        <v>0</v>
      </c>
      <c r="AB606" s="275"/>
      <c r="AC606" s="270"/>
      <c r="AD606" s="270"/>
      <c r="AE606" s="264"/>
      <c r="AF606" s="271"/>
      <c r="AG606" s="278"/>
      <c r="AH606" s="277" t="str">
        <f>CONCATENATE(YEAR(TAB_Offres[[#This Row],[Request date ]]),"-",MONTH(TAB_Offres[[#This Row],[Request date ]]))</f>
        <v>1900-1</v>
      </c>
      <c r="AI606" s="274" t="e">
        <f>IF(#REF!,1,0)</f>
        <v>#REF!</v>
      </c>
      <c r="AJ606" s="4"/>
      <c r="AK606" s="4"/>
      <c r="AL606" s="4"/>
      <c r="AN606" s="150"/>
      <c r="AQ606" s="4"/>
    </row>
    <row r="607" spans="1:43" x14ac:dyDescent="0.25">
      <c r="A607" s="258">
        <f>ROW(TAB_Offres[[#This Row],[Reference]])-ROW(TAB_Offres[[#Headers],[ID]])</f>
        <v>606</v>
      </c>
      <c r="B607" s="258"/>
      <c r="C607" s="258"/>
      <c r="D607" s="258"/>
      <c r="E607" s="263"/>
      <c r="F607" s="258"/>
      <c r="G607" s="263"/>
      <c r="H607" s="262"/>
      <c r="I607" s="262"/>
      <c r="J607" s="262"/>
      <c r="K607" s="262"/>
      <c r="L607" s="262"/>
      <c r="M607" s="264"/>
      <c r="N607" s="262"/>
      <c r="O607" s="262"/>
      <c r="P607" s="262"/>
      <c r="Q607" s="263"/>
      <c r="R607" s="263"/>
      <c r="S607" s="292"/>
      <c r="T607" s="261"/>
      <c r="U607" s="261"/>
      <c r="V607" s="268"/>
      <c r="W607" s="268"/>
      <c r="X607" s="268"/>
      <c r="Y607" s="268"/>
      <c r="Z607" s="471">
        <f>SUMIF(TAB_CS[Reference],TAB_Offres[[#This Row],[Reference]],TAB_CS[Commited days])</f>
        <v>0</v>
      </c>
      <c r="AA607" s="269">
        <f>SUMIF(TAB_CS[Reference],TAB_Offres[[#This Row],[Reference]],TAB_CS[Commited amount])</f>
        <v>0</v>
      </c>
      <c r="AB607" s="275"/>
      <c r="AC607" s="270"/>
      <c r="AD607" s="270"/>
      <c r="AE607" s="264"/>
      <c r="AF607" s="271"/>
      <c r="AG607" s="278"/>
      <c r="AH607" s="277" t="str">
        <f>CONCATENATE(YEAR(TAB_Offres[[#This Row],[Request date ]]),"-",MONTH(TAB_Offres[[#This Row],[Request date ]]))</f>
        <v>1900-1</v>
      </c>
      <c r="AI607" s="274" t="e">
        <f>IF(#REF!,1,0)</f>
        <v>#REF!</v>
      </c>
      <c r="AJ607" s="4"/>
      <c r="AK607" s="4"/>
      <c r="AL607" s="4"/>
      <c r="AN607" s="150"/>
      <c r="AQ607" s="4"/>
    </row>
    <row r="608" spans="1:43" x14ac:dyDescent="0.25">
      <c r="A608" s="258">
        <f>ROW(TAB_Offres[[#This Row],[Reference]])-ROW(TAB_Offres[[#Headers],[ID]])</f>
        <v>607</v>
      </c>
      <c r="B608" s="258"/>
      <c r="C608" s="258"/>
      <c r="D608" s="258"/>
      <c r="E608" s="263"/>
      <c r="F608" s="258"/>
      <c r="G608" s="263"/>
      <c r="H608" s="262"/>
      <c r="I608" s="262"/>
      <c r="J608" s="262"/>
      <c r="K608" s="262"/>
      <c r="L608" s="262"/>
      <c r="M608" s="264"/>
      <c r="N608" s="262"/>
      <c r="O608" s="262"/>
      <c r="P608" s="262"/>
      <c r="Q608" s="263"/>
      <c r="R608" s="263"/>
      <c r="S608" s="292"/>
      <c r="T608" s="261"/>
      <c r="U608" s="261"/>
      <c r="V608" s="268"/>
      <c r="W608" s="268"/>
      <c r="X608" s="268"/>
      <c r="Y608" s="268"/>
      <c r="Z608" s="471">
        <f>SUMIF(TAB_CS[Reference],TAB_Offres[[#This Row],[Reference]],TAB_CS[Commited days])</f>
        <v>0</v>
      </c>
      <c r="AA608" s="269">
        <f>SUMIF(TAB_CS[Reference],TAB_Offres[[#This Row],[Reference]],TAB_CS[Commited amount])</f>
        <v>0</v>
      </c>
      <c r="AB608" s="275"/>
      <c r="AC608" s="270"/>
      <c r="AD608" s="270"/>
      <c r="AE608" s="264"/>
      <c r="AF608" s="271"/>
      <c r="AG608" s="278"/>
      <c r="AH608" s="277" t="str">
        <f>CONCATENATE(YEAR(TAB_Offres[[#This Row],[Request date ]]),"-",MONTH(TAB_Offres[[#This Row],[Request date ]]))</f>
        <v>1900-1</v>
      </c>
      <c r="AI608" s="274" t="e">
        <f>IF(#REF!,1,0)</f>
        <v>#REF!</v>
      </c>
      <c r="AJ608" s="4"/>
      <c r="AK608" s="4"/>
      <c r="AL608" s="4"/>
      <c r="AN608" s="150"/>
      <c r="AQ608" s="4"/>
    </row>
    <row r="609" spans="1:43" x14ac:dyDescent="0.25">
      <c r="A609" s="258">
        <f>ROW(TAB_Offres[[#This Row],[Reference]])-ROW(TAB_Offres[[#Headers],[ID]])</f>
        <v>608</v>
      </c>
      <c r="B609" s="258"/>
      <c r="C609" s="258"/>
      <c r="D609" s="258"/>
      <c r="E609" s="263"/>
      <c r="F609" s="258"/>
      <c r="G609" s="263"/>
      <c r="H609" s="262"/>
      <c r="I609" s="262"/>
      <c r="J609" s="262"/>
      <c r="K609" s="262"/>
      <c r="L609" s="262"/>
      <c r="M609" s="264"/>
      <c r="N609" s="262"/>
      <c r="O609" s="262"/>
      <c r="P609" s="262"/>
      <c r="Q609" s="263"/>
      <c r="R609" s="263"/>
      <c r="S609" s="292"/>
      <c r="T609" s="261"/>
      <c r="U609" s="261"/>
      <c r="V609" s="268"/>
      <c r="W609" s="268"/>
      <c r="X609" s="268"/>
      <c r="Y609" s="268"/>
      <c r="Z609" s="471">
        <f>SUMIF(TAB_CS[Reference],TAB_Offres[[#This Row],[Reference]],TAB_CS[Commited days])</f>
        <v>0</v>
      </c>
      <c r="AA609" s="269">
        <f>SUMIF(TAB_CS[Reference],TAB_Offres[[#This Row],[Reference]],TAB_CS[Commited amount])</f>
        <v>0</v>
      </c>
      <c r="AB609" s="275"/>
      <c r="AC609" s="270"/>
      <c r="AD609" s="270"/>
      <c r="AE609" s="264"/>
      <c r="AF609" s="271"/>
      <c r="AG609" s="278"/>
      <c r="AH609" s="277" t="str">
        <f>CONCATENATE(YEAR(TAB_Offres[[#This Row],[Request date ]]),"-",MONTH(TAB_Offres[[#This Row],[Request date ]]))</f>
        <v>1900-1</v>
      </c>
      <c r="AI609" s="274" t="e">
        <f>IF(#REF!,1,0)</f>
        <v>#REF!</v>
      </c>
      <c r="AJ609" s="4"/>
      <c r="AK609" s="4"/>
      <c r="AL609" s="4"/>
      <c r="AN609" s="150"/>
      <c r="AQ609" s="4"/>
    </row>
    <row r="610" spans="1:43" x14ac:dyDescent="0.25">
      <c r="A610" s="258">
        <f>ROW(TAB_Offres[[#This Row],[Reference]])-ROW(TAB_Offres[[#Headers],[ID]])</f>
        <v>609</v>
      </c>
      <c r="B610" s="258"/>
      <c r="C610" s="258"/>
      <c r="D610" s="258"/>
      <c r="E610" s="263"/>
      <c r="F610" s="258"/>
      <c r="G610" s="263"/>
      <c r="H610" s="262"/>
      <c r="I610" s="262"/>
      <c r="J610" s="262"/>
      <c r="K610" s="262"/>
      <c r="L610" s="262"/>
      <c r="M610" s="264"/>
      <c r="N610" s="262"/>
      <c r="O610" s="262"/>
      <c r="P610" s="262"/>
      <c r="Q610" s="263"/>
      <c r="R610" s="263"/>
      <c r="S610" s="292"/>
      <c r="T610" s="261"/>
      <c r="U610" s="261"/>
      <c r="V610" s="268"/>
      <c r="W610" s="268"/>
      <c r="X610" s="268"/>
      <c r="Y610" s="268"/>
      <c r="Z610" s="471">
        <f>SUMIF(TAB_CS[Reference],TAB_Offres[[#This Row],[Reference]],TAB_CS[Commited days])</f>
        <v>0</v>
      </c>
      <c r="AA610" s="269">
        <f>SUMIF(TAB_CS[Reference],TAB_Offres[[#This Row],[Reference]],TAB_CS[Commited amount])</f>
        <v>0</v>
      </c>
      <c r="AB610" s="275"/>
      <c r="AC610" s="270"/>
      <c r="AD610" s="270"/>
      <c r="AE610" s="264"/>
      <c r="AF610" s="271"/>
      <c r="AG610" s="278"/>
      <c r="AH610" s="277" t="str">
        <f>CONCATENATE(YEAR(TAB_Offres[[#This Row],[Request date ]]),"-",MONTH(TAB_Offres[[#This Row],[Request date ]]))</f>
        <v>1900-1</v>
      </c>
      <c r="AI610" s="274" t="e">
        <f>IF(#REF!,1,0)</f>
        <v>#REF!</v>
      </c>
      <c r="AJ610" s="4"/>
      <c r="AK610" s="4"/>
      <c r="AL610" s="4"/>
      <c r="AN610" s="150"/>
      <c r="AQ610" s="4"/>
    </row>
    <row r="611" spans="1:43" x14ac:dyDescent="0.25">
      <c r="A611" s="258">
        <f>ROW(TAB_Offres[[#This Row],[Reference]])-ROW(TAB_Offres[[#Headers],[ID]])</f>
        <v>610</v>
      </c>
      <c r="B611" s="258"/>
      <c r="C611" s="258"/>
      <c r="D611" s="258"/>
      <c r="E611" s="263"/>
      <c r="F611" s="258"/>
      <c r="G611" s="263"/>
      <c r="H611" s="262"/>
      <c r="I611" s="262"/>
      <c r="J611" s="262"/>
      <c r="K611" s="262"/>
      <c r="L611" s="262"/>
      <c r="M611" s="264"/>
      <c r="N611" s="262"/>
      <c r="O611" s="262"/>
      <c r="P611" s="262"/>
      <c r="Q611" s="263"/>
      <c r="R611" s="263"/>
      <c r="S611" s="292"/>
      <c r="T611" s="261"/>
      <c r="U611" s="261"/>
      <c r="V611" s="268"/>
      <c r="W611" s="268"/>
      <c r="X611" s="268"/>
      <c r="Y611" s="268"/>
      <c r="Z611" s="471">
        <f>SUMIF(TAB_CS[Reference],TAB_Offres[[#This Row],[Reference]],TAB_CS[Commited days])</f>
        <v>0</v>
      </c>
      <c r="AA611" s="269">
        <f>SUMIF(TAB_CS[Reference],TAB_Offres[[#This Row],[Reference]],TAB_CS[Commited amount])</f>
        <v>0</v>
      </c>
      <c r="AB611" s="275"/>
      <c r="AC611" s="270"/>
      <c r="AD611" s="270"/>
      <c r="AE611" s="264"/>
      <c r="AF611" s="271"/>
      <c r="AG611" s="278"/>
      <c r="AH611" s="277" t="str">
        <f>CONCATENATE(YEAR(TAB_Offres[[#This Row],[Request date ]]),"-",MONTH(TAB_Offres[[#This Row],[Request date ]]))</f>
        <v>1900-1</v>
      </c>
      <c r="AI611" s="274" t="e">
        <f>IF(#REF!,1,0)</f>
        <v>#REF!</v>
      </c>
      <c r="AJ611" s="4"/>
      <c r="AK611" s="4"/>
      <c r="AL611" s="4"/>
      <c r="AN611" s="150"/>
      <c r="AQ611" s="4"/>
    </row>
    <row r="612" spans="1:43" x14ac:dyDescent="0.25">
      <c r="A612" s="258">
        <f>ROW(TAB_Offres[[#This Row],[Reference]])-ROW(TAB_Offres[[#Headers],[ID]])</f>
        <v>611</v>
      </c>
      <c r="B612" s="258"/>
      <c r="C612" s="258"/>
      <c r="D612" s="258"/>
      <c r="E612" s="263"/>
      <c r="F612" s="258"/>
      <c r="G612" s="263"/>
      <c r="H612" s="262"/>
      <c r="I612" s="262"/>
      <c r="J612" s="262"/>
      <c r="K612" s="262"/>
      <c r="L612" s="262"/>
      <c r="M612" s="264"/>
      <c r="N612" s="262"/>
      <c r="O612" s="262"/>
      <c r="P612" s="262"/>
      <c r="Q612" s="263"/>
      <c r="R612" s="263"/>
      <c r="S612" s="292"/>
      <c r="T612" s="261"/>
      <c r="U612" s="261"/>
      <c r="V612" s="268"/>
      <c r="W612" s="268"/>
      <c r="X612" s="268"/>
      <c r="Y612" s="268"/>
      <c r="Z612" s="471">
        <f>SUMIF(TAB_CS[Reference],TAB_Offres[[#This Row],[Reference]],TAB_CS[Commited days])</f>
        <v>0</v>
      </c>
      <c r="AA612" s="269">
        <f>SUMIF(TAB_CS[Reference],TAB_Offres[[#This Row],[Reference]],TAB_CS[Commited amount])</f>
        <v>0</v>
      </c>
      <c r="AB612" s="275"/>
      <c r="AC612" s="270"/>
      <c r="AD612" s="270"/>
      <c r="AE612" s="264"/>
      <c r="AF612" s="271"/>
      <c r="AG612" s="278"/>
      <c r="AH612" s="277" t="str">
        <f>CONCATENATE(YEAR(TAB_Offres[[#This Row],[Request date ]]),"-",MONTH(TAB_Offres[[#This Row],[Request date ]]))</f>
        <v>1900-1</v>
      </c>
      <c r="AI612" s="274" t="e">
        <f>IF(#REF!,1,0)</f>
        <v>#REF!</v>
      </c>
      <c r="AJ612" s="4"/>
      <c r="AK612" s="4"/>
      <c r="AL612" s="4"/>
      <c r="AN612" s="150"/>
      <c r="AQ612" s="4"/>
    </row>
    <row r="613" spans="1:43" x14ac:dyDescent="0.25">
      <c r="A613" s="258">
        <f>ROW(TAB_Offres[[#This Row],[Reference]])-ROW(TAB_Offres[[#Headers],[ID]])</f>
        <v>612</v>
      </c>
      <c r="B613" s="258"/>
      <c r="C613" s="258"/>
      <c r="D613" s="258"/>
      <c r="E613" s="263"/>
      <c r="F613" s="258"/>
      <c r="G613" s="263"/>
      <c r="H613" s="262"/>
      <c r="I613" s="262"/>
      <c r="J613" s="262"/>
      <c r="K613" s="262"/>
      <c r="L613" s="262"/>
      <c r="M613" s="264"/>
      <c r="N613" s="262"/>
      <c r="O613" s="262"/>
      <c r="P613" s="262"/>
      <c r="Q613" s="263"/>
      <c r="R613" s="263"/>
      <c r="S613" s="292"/>
      <c r="T613" s="261"/>
      <c r="U613" s="261"/>
      <c r="V613" s="268"/>
      <c r="W613" s="268"/>
      <c r="X613" s="268"/>
      <c r="Y613" s="268"/>
      <c r="Z613" s="471">
        <f>SUMIF(TAB_CS[Reference],TAB_Offres[[#This Row],[Reference]],TAB_CS[Commited days])</f>
        <v>0</v>
      </c>
      <c r="AA613" s="269">
        <f>SUMIF(TAB_CS[Reference],TAB_Offres[[#This Row],[Reference]],TAB_CS[Commited amount])</f>
        <v>0</v>
      </c>
      <c r="AB613" s="275"/>
      <c r="AC613" s="270"/>
      <c r="AD613" s="270"/>
      <c r="AE613" s="264"/>
      <c r="AF613" s="271"/>
      <c r="AG613" s="278"/>
      <c r="AH613" s="277" t="str">
        <f>CONCATENATE(YEAR(TAB_Offres[[#This Row],[Request date ]]),"-",MONTH(TAB_Offres[[#This Row],[Request date ]]))</f>
        <v>1900-1</v>
      </c>
      <c r="AI613" s="274" t="e">
        <f>IF(#REF!,1,0)</f>
        <v>#REF!</v>
      </c>
      <c r="AJ613" s="4"/>
      <c r="AK613" s="4"/>
      <c r="AL613" s="4"/>
      <c r="AN613" s="150"/>
      <c r="AQ613" s="4"/>
    </row>
    <row r="614" spans="1:43" x14ac:dyDescent="0.25">
      <c r="A614" s="258">
        <f>ROW(TAB_Offres[[#This Row],[Reference]])-ROW(TAB_Offres[[#Headers],[ID]])</f>
        <v>613</v>
      </c>
      <c r="B614" s="258"/>
      <c r="C614" s="258"/>
      <c r="D614" s="258"/>
      <c r="E614" s="263"/>
      <c r="F614" s="258"/>
      <c r="G614" s="263"/>
      <c r="H614" s="262"/>
      <c r="I614" s="262"/>
      <c r="J614" s="262"/>
      <c r="K614" s="262"/>
      <c r="L614" s="262"/>
      <c r="M614" s="264"/>
      <c r="N614" s="262"/>
      <c r="O614" s="262"/>
      <c r="P614" s="262"/>
      <c r="Q614" s="263"/>
      <c r="R614" s="263"/>
      <c r="S614" s="292"/>
      <c r="T614" s="261"/>
      <c r="U614" s="261"/>
      <c r="V614" s="268"/>
      <c r="W614" s="268"/>
      <c r="X614" s="268"/>
      <c r="Y614" s="268"/>
      <c r="Z614" s="471">
        <f>SUMIF(TAB_CS[Reference],TAB_Offres[[#This Row],[Reference]],TAB_CS[Commited days])</f>
        <v>0</v>
      </c>
      <c r="AA614" s="269">
        <f>SUMIF(TAB_CS[Reference],TAB_Offres[[#This Row],[Reference]],TAB_CS[Commited amount])</f>
        <v>0</v>
      </c>
      <c r="AB614" s="275"/>
      <c r="AC614" s="270"/>
      <c r="AD614" s="270"/>
      <c r="AE614" s="264"/>
      <c r="AF614" s="271"/>
      <c r="AG614" s="278"/>
      <c r="AH614" s="277" t="str">
        <f>CONCATENATE(YEAR(TAB_Offres[[#This Row],[Request date ]]),"-",MONTH(TAB_Offres[[#This Row],[Request date ]]))</f>
        <v>1900-1</v>
      </c>
      <c r="AI614" s="274" t="e">
        <f>IF(#REF!,1,0)</f>
        <v>#REF!</v>
      </c>
      <c r="AJ614" s="4"/>
      <c r="AK614" s="4"/>
      <c r="AL614" s="4"/>
      <c r="AN614" s="150"/>
      <c r="AQ614" s="4"/>
    </row>
    <row r="615" spans="1:43" x14ac:dyDescent="0.25">
      <c r="A615" s="258">
        <f>ROW(TAB_Offres[[#This Row],[Reference]])-ROW(TAB_Offres[[#Headers],[ID]])</f>
        <v>614</v>
      </c>
      <c r="B615" s="258"/>
      <c r="C615" s="258"/>
      <c r="D615" s="258"/>
      <c r="E615" s="263"/>
      <c r="F615" s="258"/>
      <c r="G615" s="263"/>
      <c r="H615" s="262"/>
      <c r="I615" s="262"/>
      <c r="J615" s="262"/>
      <c r="K615" s="262"/>
      <c r="L615" s="262"/>
      <c r="M615" s="264"/>
      <c r="N615" s="262"/>
      <c r="O615" s="262"/>
      <c r="P615" s="262"/>
      <c r="Q615" s="263"/>
      <c r="R615" s="263"/>
      <c r="S615" s="292"/>
      <c r="T615" s="261"/>
      <c r="U615" s="261"/>
      <c r="V615" s="268"/>
      <c r="W615" s="268"/>
      <c r="X615" s="268"/>
      <c r="Y615" s="268"/>
      <c r="Z615" s="471">
        <f>SUMIF(TAB_CS[Reference],TAB_Offres[[#This Row],[Reference]],TAB_CS[Commited days])</f>
        <v>0</v>
      </c>
      <c r="AA615" s="269">
        <f>SUMIF(TAB_CS[Reference],TAB_Offres[[#This Row],[Reference]],TAB_CS[Commited amount])</f>
        <v>0</v>
      </c>
      <c r="AB615" s="275"/>
      <c r="AC615" s="270"/>
      <c r="AD615" s="270"/>
      <c r="AE615" s="264"/>
      <c r="AF615" s="271"/>
      <c r="AG615" s="278"/>
      <c r="AH615" s="277" t="str">
        <f>CONCATENATE(YEAR(TAB_Offres[[#This Row],[Request date ]]),"-",MONTH(TAB_Offres[[#This Row],[Request date ]]))</f>
        <v>1900-1</v>
      </c>
      <c r="AI615" s="274" t="e">
        <f>IF(#REF!,1,0)</f>
        <v>#REF!</v>
      </c>
      <c r="AJ615" s="4"/>
      <c r="AK615" s="4"/>
      <c r="AL615" s="4"/>
      <c r="AN615" s="150"/>
      <c r="AQ615" s="4"/>
    </row>
    <row r="616" spans="1:43" x14ac:dyDescent="0.25">
      <c r="A616" s="258">
        <f>ROW(TAB_Offres[[#This Row],[Reference]])-ROW(TAB_Offres[[#Headers],[ID]])</f>
        <v>615</v>
      </c>
      <c r="B616" s="258"/>
      <c r="C616" s="258"/>
      <c r="D616" s="258"/>
      <c r="E616" s="263"/>
      <c r="F616" s="258"/>
      <c r="G616" s="263"/>
      <c r="H616" s="262"/>
      <c r="I616" s="262"/>
      <c r="J616" s="262"/>
      <c r="K616" s="262"/>
      <c r="L616" s="262"/>
      <c r="M616" s="264"/>
      <c r="N616" s="262"/>
      <c r="O616" s="262"/>
      <c r="P616" s="262"/>
      <c r="Q616" s="263"/>
      <c r="R616" s="263"/>
      <c r="S616" s="292"/>
      <c r="T616" s="261"/>
      <c r="U616" s="261"/>
      <c r="V616" s="268"/>
      <c r="W616" s="268"/>
      <c r="X616" s="268"/>
      <c r="Y616" s="268"/>
      <c r="Z616" s="471">
        <f>SUMIF(TAB_CS[Reference],TAB_Offres[[#This Row],[Reference]],TAB_CS[Commited days])</f>
        <v>0</v>
      </c>
      <c r="AA616" s="269">
        <f>SUMIF(TAB_CS[Reference],TAB_Offres[[#This Row],[Reference]],TAB_CS[Commited amount])</f>
        <v>0</v>
      </c>
      <c r="AB616" s="275"/>
      <c r="AC616" s="270"/>
      <c r="AD616" s="270"/>
      <c r="AE616" s="264"/>
      <c r="AF616" s="271"/>
      <c r="AG616" s="278"/>
      <c r="AH616" s="277" t="str">
        <f>CONCATENATE(YEAR(TAB_Offres[[#This Row],[Request date ]]),"-",MONTH(TAB_Offres[[#This Row],[Request date ]]))</f>
        <v>1900-1</v>
      </c>
      <c r="AI616" s="274" t="e">
        <f>IF(#REF!,1,0)</f>
        <v>#REF!</v>
      </c>
      <c r="AJ616" s="4"/>
      <c r="AK616" s="4"/>
      <c r="AL616" s="4"/>
      <c r="AN616" s="150"/>
      <c r="AQ616" s="4"/>
    </row>
    <row r="617" spans="1:43" x14ac:dyDescent="0.25">
      <c r="A617" s="258">
        <f>ROW(TAB_Offres[[#This Row],[Reference]])-ROW(TAB_Offres[[#Headers],[ID]])</f>
        <v>616</v>
      </c>
      <c r="B617" s="258"/>
      <c r="C617" s="258"/>
      <c r="D617" s="258"/>
      <c r="E617" s="263"/>
      <c r="F617" s="258"/>
      <c r="G617" s="263"/>
      <c r="H617" s="262"/>
      <c r="I617" s="262"/>
      <c r="J617" s="262"/>
      <c r="K617" s="262"/>
      <c r="L617" s="262"/>
      <c r="M617" s="264"/>
      <c r="N617" s="262"/>
      <c r="O617" s="262"/>
      <c r="P617" s="262"/>
      <c r="Q617" s="263"/>
      <c r="R617" s="263"/>
      <c r="S617" s="292"/>
      <c r="T617" s="261"/>
      <c r="U617" s="261"/>
      <c r="V617" s="268"/>
      <c r="W617" s="268"/>
      <c r="X617" s="268"/>
      <c r="Y617" s="268"/>
      <c r="Z617" s="471">
        <f>SUMIF(TAB_CS[Reference],TAB_Offres[[#This Row],[Reference]],TAB_CS[Commited days])</f>
        <v>0</v>
      </c>
      <c r="AA617" s="269">
        <f>SUMIF(TAB_CS[Reference],TAB_Offres[[#This Row],[Reference]],TAB_CS[Commited amount])</f>
        <v>0</v>
      </c>
      <c r="AB617" s="275"/>
      <c r="AC617" s="270"/>
      <c r="AD617" s="270"/>
      <c r="AE617" s="264"/>
      <c r="AF617" s="271"/>
      <c r="AG617" s="278"/>
      <c r="AH617" s="277" t="str">
        <f>CONCATENATE(YEAR(TAB_Offres[[#This Row],[Request date ]]),"-",MONTH(TAB_Offres[[#This Row],[Request date ]]))</f>
        <v>1900-1</v>
      </c>
      <c r="AI617" s="274" t="e">
        <f>IF(#REF!,1,0)</f>
        <v>#REF!</v>
      </c>
      <c r="AJ617" s="4"/>
      <c r="AK617" s="4"/>
      <c r="AL617" s="4"/>
      <c r="AN617" s="150"/>
      <c r="AQ617" s="4"/>
    </row>
    <row r="618" spans="1:43" x14ac:dyDescent="0.25">
      <c r="A618" s="258">
        <f>ROW(TAB_Offres[[#This Row],[Reference]])-ROW(TAB_Offres[[#Headers],[ID]])</f>
        <v>617</v>
      </c>
      <c r="B618" s="258"/>
      <c r="C618" s="258"/>
      <c r="D618" s="258"/>
      <c r="E618" s="263"/>
      <c r="F618" s="258"/>
      <c r="G618" s="263"/>
      <c r="H618" s="262"/>
      <c r="I618" s="262"/>
      <c r="J618" s="262"/>
      <c r="K618" s="262"/>
      <c r="L618" s="262"/>
      <c r="M618" s="264"/>
      <c r="N618" s="262"/>
      <c r="O618" s="262"/>
      <c r="P618" s="262"/>
      <c r="Q618" s="263"/>
      <c r="R618" s="263"/>
      <c r="S618" s="292"/>
      <c r="T618" s="261"/>
      <c r="U618" s="261"/>
      <c r="V618" s="268"/>
      <c r="W618" s="268"/>
      <c r="X618" s="268"/>
      <c r="Y618" s="268"/>
      <c r="Z618" s="471">
        <f>SUMIF(TAB_CS[Reference],TAB_Offres[[#This Row],[Reference]],TAB_CS[Commited days])</f>
        <v>0</v>
      </c>
      <c r="AA618" s="269">
        <f>SUMIF(TAB_CS[Reference],TAB_Offres[[#This Row],[Reference]],TAB_CS[Commited amount])</f>
        <v>0</v>
      </c>
      <c r="AB618" s="275"/>
      <c r="AC618" s="270"/>
      <c r="AD618" s="270"/>
      <c r="AE618" s="264"/>
      <c r="AF618" s="271"/>
      <c r="AG618" s="278"/>
      <c r="AH618" s="277" t="str">
        <f>CONCATENATE(YEAR(TAB_Offres[[#This Row],[Request date ]]),"-",MONTH(TAB_Offres[[#This Row],[Request date ]]))</f>
        <v>1900-1</v>
      </c>
      <c r="AI618" s="274" t="e">
        <f>IF(#REF!,1,0)</f>
        <v>#REF!</v>
      </c>
      <c r="AJ618" s="4"/>
      <c r="AK618" s="4"/>
      <c r="AL618" s="4"/>
      <c r="AN618" s="150"/>
      <c r="AQ618" s="4"/>
    </row>
    <row r="619" spans="1:43" x14ac:dyDescent="0.25">
      <c r="A619" s="258">
        <f>ROW(TAB_Offres[[#This Row],[Reference]])-ROW(TAB_Offres[[#Headers],[ID]])</f>
        <v>618</v>
      </c>
      <c r="B619" s="258"/>
      <c r="C619" s="258"/>
      <c r="D619" s="258"/>
      <c r="E619" s="263"/>
      <c r="F619" s="258"/>
      <c r="G619" s="263"/>
      <c r="H619" s="262"/>
      <c r="I619" s="262"/>
      <c r="J619" s="262"/>
      <c r="K619" s="262"/>
      <c r="L619" s="262"/>
      <c r="M619" s="264"/>
      <c r="N619" s="262"/>
      <c r="O619" s="262"/>
      <c r="P619" s="262"/>
      <c r="Q619" s="263"/>
      <c r="R619" s="263"/>
      <c r="S619" s="292"/>
      <c r="T619" s="261"/>
      <c r="U619" s="261"/>
      <c r="V619" s="268"/>
      <c r="W619" s="268"/>
      <c r="X619" s="268"/>
      <c r="Y619" s="268"/>
      <c r="Z619" s="471">
        <f>SUMIF(TAB_CS[Reference],TAB_Offres[[#This Row],[Reference]],TAB_CS[Commited days])</f>
        <v>0</v>
      </c>
      <c r="AA619" s="269">
        <f>SUMIF(TAB_CS[Reference],TAB_Offres[[#This Row],[Reference]],TAB_CS[Commited amount])</f>
        <v>0</v>
      </c>
      <c r="AB619" s="275"/>
      <c r="AC619" s="270"/>
      <c r="AD619" s="270"/>
      <c r="AE619" s="264"/>
      <c r="AF619" s="271"/>
      <c r="AG619" s="278"/>
      <c r="AH619" s="277" t="str">
        <f>CONCATENATE(YEAR(TAB_Offres[[#This Row],[Request date ]]),"-",MONTH(TAB_Offres[[#This Row],[Request date ]]))</f>
        <v>1900-1</v>
      </c>
      <c r="AI619" s="274" t="e">
        <f>IF(#REF!,1,0)</f>
        <v>#REF!</v>
      </c>
      <c r="AJ619" s="4"/>
      <c r="AK619" s="4"/>
      <c r="AL619" s="4"/>
      <c r="AN619" s="150"/>
      <c r="AQ619" s="4"/>
    </row>
    <row r="620" spans="1:43" x14ac:dyDescent="0.25">
      <c r="A620" s="258">
        <f>ROW(TAB_Offres[[#This Row],[Reference]])-ROW(TAB_Offres[[#Headers],[ID]])</f>
        <v>619</v>
      </c>
      <c r="B620" s="258"/>
      <c r="C620" s="258"/>
      <c r="D620" s="258"/>
      <c r="E620" s="263"/>
      <c r="F620" s="258"/>
      <c r="G620" s="263"/>
      <c r="H620" s="262"/>
      <c r="I620" s="262"/>
      <c r="J620" s="262"/>
      <c r="K620" s="262"/>
      <c r="L620" s="262"/>
      <c r="M620" s="264"/>
      <c r="N620" s="262"/>
      <c r="O620" s="262"/>
      <c r="P620" s="262"/>
      <c r="Q620" s="263"/>
      <c r="R620" s="263"/>
      <c r="S620" s="292"/>
      <c r="T620" s="261"/>
      <c r="U620" s="261"/>
      <c r="V620" s="268"/>
      <c r="W620" s="268"/>
      <c r="X620" s="268"/>
      <c r="Y620" s="268"/>
      <c r="Z620" s="471">
        <f>SUMIF(TAB_CS[Reference],TAB_Offres[[#This Row],[Reference]],TAB_CS[Commited days])</f>
        <v>0</v>
      </c>
      <c r="AA620" s="269">
        <f>SUMIF(TAB_CS[Reference],TAB_Offres[[#This Row],[Reference]],TAB_CS[Commited amount])</f>
        <v>0</v>
      </c>
      <c r="AB620" s="275"/>
      <c r="AC620" s="270"/>
      <c r="AD620" s="270"/>
      <c r="AE620" s="264"/>
      <c r="AF620" s="271"/>
      <c r="AG620" s="278"/>
      <c r="AH620" s="277" t="str">
        <f>CONCATENATE(YEAR(TAB_Offres[[#This Row],[Request date ]]),"-",MONTH(TAB_Offres[[#This Row],[Request date ]]))</f>
        <v>1900-1</v>
      </c>
      <c r="AI620" s="274" t="e">
        <f>IF(#REF!,1,0)</f>
        <v>#REF!</v>
      </c>
      <c r="AJ620" s="4"/>
      <c r="AK620" s="4"/>
      <c r="AL620" s="4"/>
      <c r="AN620" s="150"/>
      <c r="AQ620" s="4"/>
    </row>
    <row r="621" spans="1:43" x14ac:dyDescent="0.25">
      <c r="A621" s="258">
        <f>ROW(TAB_Offres[[#This Row],[Reference]])-ROW(TAB_Offres[[#Headers],[ID]])</f>
        <v>620</v>
      </c>
      <c r="B621" s="258"/>
      <c r="C621" s="258"/>
      <c r="D621" s="258"/>
      <c r="E621" s="263"/>
      <c r="F621" s="258"/>
      <c r="G621" s="263"/>
      <c r="H621" s="262"/>
      <c r="I621" s="262"/>
      <c r="J621" s="262"/>
      <c r="K621" s="262"/>
      <c r="L621" s="262"/>
      <c r="M621" s="264"/>
      <c r="N621" s="262"/>
      <c r="O621" s="262"/>
      <c r="P621" s="262"/>
      <c r="Q621" s="263"/>
      <c r="R621" s="263"/>
      <c r="S621" s="292"/>
      <c r="T621" s="261"/>
      <c r="U621" s="261"/>
      <c r="V621" s="268"/>
      <c r="W621" s="268"/>
      <c r="X621" s="268"/>
      <c r="Y621" s="268"/>
      <c r="Z621" s="471">
        <f>SUMIF(TAB_CS[Reference],TAB_Offres[[#This Row],[Reference]],TAB_CS[Commited days])</f>
        <v>0</v>
      </c>
      <c r="AA621" s="269">
        <f>SUMIF(TAB_CS[Reference],TAB_Offres[[#This Row],[Reference]],TAB_CS[Commited amount])</f>
        <v>0</v>
      </c>
      <c r="AB621" s="275"/>
      <c r="AC621" s="270"/>
      <c r="AD621" s="270"/>
      <c r="AE621" s="264"/>
      <c r="AF621" s="271"/>
      <c r="AG621" s="278"/>
      <c r="AH621" s="277" t="str">
        <f>CONCATENATE(YEAR(TAB_Offres[[#This Row],[Request date ]]),"-",MONTH(TAB_Offres[[#This Row],[Request date ]]))</f>
        <v>1900-1</v>
      </c>
      <c r="AI621" s="274" t="e">
        <f>IF(#REF!,1,0)</f>
        <v>#REF!</v>
      </c>
      <c r="AJ621" s="4"/>
      <c r="AK621" s="4"/>
      <c r="AL621" s="4"/>
      <c r="AN621" s="150"/>
      <c r="AQ621" s="4"/>
    </row>
    <row r="622" spans="1:43" x14ac:dyDescent="0.25">
      <c r="A622" s="258">
        <f>ROW(TAB_Offres[[#This Row],[Reference]])-ROW(TAB_Offres[[#Headers],[ID]])</f>
        <v>621</v>
      </c>
      <c r="B622" s="258"/>
      <c r="C622" s="258"/>
      <c r="D622" s="258"/>
      <c r="E622" s="263"/>
      <c r="F622" s="258"/>
      <c r="G622" s="263"/>
      <c r="H622" s="262"/>
      <c r="I622" s="262"/>
      <c r="J622" s="262"/>
      <c r="K622" s="262"/>
      <c r="L622" s="262"/>
      <c r="M622" s="264"/>
      <c r="N622" s="262"/>
      <c r="O622" s="262"/>
      <c r="P622" s="262"/>
      <c r="Q622" s="263"/>
      <c r="R622" s="263"/>
      <c r="S622" s="292"/>
      <c r="T622" s="261"/>
      <c r="U622" s="261"/>
      <c r="V622" s="268"/>
      <c r="W622" s="268"/>
      <c r="X622" s="268"/>
      <c r="Y622" s="268"/>
      <c r="Z622" s="471">
        <f>SUMIF(TAB_CS[Reference],TAB_Offres[[#This Row],[Reference]],TAB_CS[Commited days])</f>
        <v>0</v>
      </c>
      <c r="AA622" s="269">
        <f>SUMIF(TAB_CS[Reference],TAB_Offres[[#This Row],[Reference]],TAB_CS[Commited amount])</f>
        <v>0</v>
      </c>
      <c r="AB622" s="275"/>
      <c r="AC622" s="270"/>
      <c r="AD622" s="270"/>
      <c r="AE622" s="264"/>
      <c r="AF622" s="271"/>
      <c r="AG622" s="278"/>
      <c r="AH622" s="277" t="str">
        <f>CONCATENATE(YEAR(TAB_Offres[[#This Row],[Request date ]]),"-",MONTH(TAB_Offres[[#This Row],[Request date ]]))</f>
        <v>1900-1</v>
      </c>
      <c r="AI622" s="274" t="e">
        <f>IF(#REF!,1,0)</f>
        <v>#REF!</v>
      </c>
      <c r="AJ622" s="4"/>
      <c r="AK622" s="4"/>
      <c r="AL622" s="4"/>
      <c r="AN622" s="150"/>
      <c r="AQ622" s="4"/>
    </row>
    <row r="623" spans="1:43" x14ac:dyDescent="0.25">
      <c r="A623" s="258">
        <f>ROW(TAB_Offres[[#This Row],[Reference]])-ROW(TAB_Offres[[#Headers],[ID]])</f>
        <v>622</v>
      </c>
      <c r="B623" s="258"/>
      <c r="C623" s="258"/>
      <c r="D623" s="258"/>
      <c r="E623" s="263"/>
      <c r="F623" s="258"/>
      <c r="G623" s="263"/>
      <c r="H623" s="262"/>
      <c r="I623" s="262"/>
      <c r="J623" s="262"/>
      <c r="K623" s="262"/>
      <c r="L623" s="262"/>
      <c r="M623" s="264"/>
      <c r="N623" s="262"/>
      <c r="O623" s="262"/>
      <c r="P623" s="262"/>
      <c r="Q623" s="263"/>
      <c r="R623" s="263"/>
      <c r="S623" s="292"/>
      <c r="T623" s="261"/>
      <c r="U623" s="261"/>
      <c r="V623" s="268"/>
      <c r="W623" s="268"/>
      <c r="X623" s="268"/>
      <c r="Y623" s="268"/>
      <c r="Z623" s="471">
        <f>SUMIF(TAB_CS[Reference],TAB_Offres[[#This Row],[Reference]],TAB_CS[Commited days])</f>
        <v>0</v>
      </c>
      <c r="AA623" s="269">
        <f>SUMIF(TAB_CS[Reference],TAB_Offres[[#This Row],[Reference]],TAB_CS[Commited amount])</f>
        <v>0</v>
      </c>
      <c r="AB623" s="275"/>
      <c r="AC623" s="270"/>
      <c r="AD623" s="270"/>
      <c r="AE623" s="264"/>
      <c r="AF623" s="271"/>
      <c r="AG623" s="278"/>
      <c r="AH623" s="277" t="str">
        <f>CONCATENATE(YEAR(TAB_Offres[[#This Row],[Request date ]]),"-",MONTH(TAB_Offres[[#This Row],[Request date ]]))</f>
        <v>1900-1</v>
      </c>
      <c r="AI623" s="274" t="e">
        <f>IF(#REF!,1,0)</f>
        <v>#REF!</v>
      </c>
      <c r="AJ623" s="4"/>
      <c r="AK623" s="4"/>
      <c r="AL623" s="4"/>
      <c r="AN623" s="150"/>
      <c r="AQ623" s="4"/>
    </row>
    <row r="624" spans="1:43" x14ac:dyDescent="0.25">
      <c r="A624" s="258">
        <f>ROW(TAB_Offres[[#This Row],[Reference]])-ROW(TAB_Offres[[#Headers],[ID]])</f>
        <v>623</v>
      </c>
      <c r="B624" s="258"/>
      <c r="C624" s="258"/>
      <c r="D624" s="258"/>
      <c r="E624" s="263"/>
      <c r="F624" s="258"/>
      <c r="G624" s="263"/>
      <c r="H624" s="262"/>
      <c r="I624" s="262"/>
      <c r="J624" s="262"/>
      <c r="K624" s="262"/>
      <c r="L624" s="262"/>
      <c r="M624" s="264"/>
      <c r="N624" s="262"/>
      <c r="O624" s="262"/>
      <c r="P624" s="262"/>
      <c r="Q624" s="263"/>
      <c r="R624" s="263"/>
      <c r="S624" s="292"/>
      <c r="T624" s="261"/>
      <c r="U624" s="261"/>
      <c r="V624" s="268"/>
      <c r="W624" s="268"/>
      <c r="X624" s="268"/>
      <c r="Y624" s="268"/>
      <c r="Z624" s="471">
        <f>SUMIF(TAB_CS[Reference],TAB_Offres[[#This Row],[Reference]],TAB_CS[Commited days])</f>
        <v>0</v>
      </c>
      <c r="AA624" s="269">
        <f>SUMIF(TAB_CS[Reference],TAB_Offres[[#This Row],[Reference]],TAB_CS[Commited amount])</f>
        <v>0</v>
      </c>
      <c r="AB624" s="275"/>
      <c r="AC624" s="270"/>
      <c r="AD624" s="270"/>
      <c r="AE624" s="264"/>
      <c r="AF624" s="271"/>
      <c r="AG624" s="278"/>
      <c r="AH624" s="277" t="str">
        <f>CONCATENATE(YEAR(TAB_Offres[[#This Row],[Request date ]]),"-",MONTH(TAB_Offres[[#This Row],[Request date ]]))</f>
        <v>1900-1</v>
      </c>
      <c r="AI624" s="274" t="e">
        <f>IF(#REF!,1,0)</f>
        <v>#REF!</v>
      </c>
      <c r="AJ624" s="4"/>
      <c r="AK624" s="4"/>
      <c r="AL624" s="4"/>
      <c r="AN624" s="150"/>
      <c r="AQ624" s="4"/>
    </row>
    <row r="625" spans="1:43" x14ac:dyDescent="0.25">
      <c r="A625" s="258">
        <f>ROW(TAB_Offres[[#This Row],[Reference]])-ROW(TAB_Offres[[#Headers],[ID]])</f>
        <v>624</v>
      </c>
      <c r="B625" s="258"/>
      <c r="C625" s="258"/>
      <c r="D625" s="258"/>
      <c r="E625" s="263"/>
      <c r="F625" s="258"/>
      <c r="G625" s="263"/>
      <c r="H625" s="262"/>
      <c r="I625" s="262"/>
      <c r="J625" s="262"/>
      <c r="K625" s="262"/>
      <c r="L625" s="262"/>
      <c r="M625" s="264"/>
      <c r="N625" s="262"/>
      <c r="O625" s="262"/>
      <c r="P625" s="262"/>
      <c r="Q625" s="263"/>
      <c r="R625" s="263"/>
      <c r="S625" s="292"/>
      <c r="T625" s="261"/>
      <c r="U625" s="261"/>
      <c r="V625" s="268"/>
      <c r="W625" s="268"/>
      <c r="X625" s="268"/>
      <c r="Y625" s="268"/>
      <c r="Z625" s="471">
        <f>SUMIF(TAB_CS[Reference],TAB_Offres[[#This Row],[Reference]],TAB_CS[Commited days])</f>
        <v>0</v>
      </c>
      <c r="AA625" s="269">
        <f>SUMIF(TAB_CS[Reference],TAB_Offres[[#This Row],[Reference]],TAB_CS[Commited amount])</f>
        <v>0</v>
      </c>
      <c r="AB625" s="275"/>
      <c r="AC625" s="270"/>
      <c r="AD625" s="270"/>
      <c r="AE625" s="264"/>
      <c r="AF625" s="271"/>
      <c r="AG625" s="278"/>
      <c r="AH625" s="277" t="str">
        <f>CONCATENATE(YEAR(TAB_Offres[[#This Row],[Request date ]]),"-",MONTH(TAB_Offres[[#This Row],[Request date ]]))</f>
        <v>1900-1</v>
      </c>
      <c r="AI625" s="274" t="e">
        <f>IF(#REF!,1,0)</f>
        <v>#REF!</v>
      </c>
      <c r="AJ625" s="4"/>
      <c r="AK625" s="4"/>
      <c r="AL625" s="4"/>
      <c r="AN625" s="150"/>
      <c r="AQ625" s="4"/>
    </row>
    <row r="626" spans="1:43" x14ac:dyDescent="0.25">
      <c r="A626" s="258">
        <f>ROW(TAB_Offres[[#This Row],[Reference]])-ROW(TAB_Offres[[#Headers],[ID]])</f>
        <v>625</v>
      </c>
      <c r="B626" s="258"/>
      <c r="C626" s="258"/>
      <c r="D626" s="258"/>
      <c r="E626" s="263"/>
      <c r="F626" s="258"/>
      <c r="G626" s="263"/>
      <c r="H626" s="262"/>
      <c r="I626" s="262"/>
      <c r="J626" s="262"/>
      <c r="K626" s="262"/>
      <c r="L626" s="262"/>
      <c r="M626" s="264"/>
      <c r="N626" s="262"/>
      <c r="O626" s="262"/>
      <c r="P626" s="262"/>
      <c r="Q626" s="263"/>
      <c r="R626" s="263"/>
      <c r="S626" s="292"/>
      <c r="T626" s="261"/>
      <c r="U626" s="261"/>
      <c r="V626" s="268"/>
      <c r="W626" s="268"/>
      <c r="X626" s="268"/>
      <c r="Y626" s="268"/>
      <c r="Z626" s="471">
        <f>SUMIF(TAB_CS[Reference],TAB_Offres[[#This Row],[Reference]],TAB_CS[Commited days])</f>
        <v>0</v>
      </c>
      <c r="AA626" s="269">
        <f>SUMIF(TAB_CS[Reference],TAB_Offres[[#This Row],[Reference]],TAB_CS[Commited amount])</f>
        <v>0</v>
      </c>
      <c r="AB626" s="275"/>
      <c r="AC626" s="270"/>
      <c r="AD626" s="270"/>
      <c r="AE626" s="264"/>
      <c r="AF626" s="271"/>
      <c r="AG626" s="278"/>
      <c r="AH626" s="277" t="str">
        <f>CONCATENATE(YEAR(TAB_Offres[[#This Row],[Request date ]]),"-",MONTH(TAB_Offres[[#This Row],[Request date ]]))</f>
        <v>1900-1</v>
      </c>
      <c r="AI626" s="274" t="e">
        <f>IF(#REF!,1,0)</f>
        <v>#REF!</v>
      </c>
      <c r="AJ626" s="4"/>
      <c r="AK626" s="4"/>
      <c r="AL626" s="4"/>
      <c r="AN626" s="150"/>
      <c r="AQ626" s="4"/>
    </row>
    <row r="627" spans="1:43" x14ac:dyDescent="0.25">
      <c r="A627" s="258">
        <f>ROW(TAB_Offres[[#This Row],[Reference]])-ROW(TAB_Offres[[#Headers],[ID]])</f>
        <v>626</v>
      </c>
      <c r="B627" s="258"/>
      <c r="C627" s="258"/>
      <c r="D627" s="258"/>
      <c r="E627" s="263"/>
      <c r="F627" s="258"/>
      <c r="G627" s="263"/>
      <c r="H627" s="262"/>
      <c r="I627" s="262"/>
      <c r="J627" s="262"/>
      <c r="K627" s="262"/>
      <c r="L627" s="262"/>
      <c r="M627" s="264"/>
      <c r="N627" s="262"/>
      <c r="O627" s="262"/>
      <c r="P627" s="262"/>
      <c r="Q627" s="263"/>
      <c r="R627" s="263"/>
      <c r="S627" s="292"/>
      <c r="T627" s="261"/>
      <c r="U627" s="261"/>
      <c r="V627" s="268"/>
      <c r="W627" s="268"/>
      <c r="X627" s="268"/>
      <c r="Y627" s="268"/>
      <c r="Z627" s="471">
        <f>SUMIF(TAB_CS[Reference],TAB_Offres[[#This Row],[Reference]],TAB_CS[Commited days])</f>
        <v>0</v>
      </c>
      <c r="AA627" s="269">
        <f>SUMIF(TAB_CS[Reference],TAB_Offres[[#This Row],[Reference]],TAB_CS[Commited amount])</f>
        <v>0</v>
      </c>
      <c r="AB627" s="275"/>
      <c r="AC627" s="270"/>
      <c r="AD627" s="270"/>
      <c r="AE627" s="264"/>
      <c r="AF627" s="271"/>
      <c r="AG627" s="278"/>
      <c r="AH627" s="277" t="str">
        <f>CONCATENATE(YEAR(TAB_Offres[[#This Row],[Request date ]]),"-",MONTH(TAB_Offres[[#This Row],[Request date ]]))</f>
        <v>1900-1</v>
      </c>
      <c r="AI627" s="274" t="e">
        <f>IF(#REF!,1,0)</f>
        <v>#REF!</v>
      </c>
      <c r="AJ627" s="4"/>
      <c r="AK627" s="4"/>
      <c r="AL627" s="4"/>
      <c r="AN627" s="150"/>
      <c r="AQ627" s="4"/>
    </row>
    <row r="628" spans="1:43" x14ac:dyDescent="0.25">
      <c r="A628" s="258">
        <f>ROW(TAB_Offres[[#This Row],[Reference]])-ROW(TAB_Offres[[#Headers],[ID]])</f>
        <v>627</v>
      </c>
      <c r="B628" s="258"/>
      <c r="C628" s="258"/>
      <c r="D628" s="258"/>
      <c r="E628" s="263"/>
      <c r="F628" s="258"/>
      <c r="G628" s="263"/>
      <c r="H628" s="262"/>
      <c r="I628" s="262"/>
      <c r="J628" s="262"/>
      <c r="K628" s="262"/>
      <c r="L628" s="262"/>
      <c r="M628" s="264"/>
      <c r="N628" s="262"/>
      <c r="O628" s="262"/>
      <c r="P628" s="262"/>
      <c r="Q628" s="263"/>
      <c r="R628" s="263"/>
      <c r="S628" s="292"/>
      <c r="T628" s="261"/>
      <c r="U628" s="261"/>
      <c r="V628" s="268"/>
      <c r="W628" s="268"/>
      <c r="X628" s="268"/>
      <c r="Y628" s="268"/>
      <c r="Z628" s="471">
        <f>SUMIF(TAB_CS[Reference],TAB_Offres[[#This Row],[Reference]],TAB_CS[Commited days])</f>
        <v>0</v>
      </c>
      <c r="AA628" s="269">
        <f>SUMIF(TAB_CS[Reference],TAB_Offres[[#This Row],[Reference]],TAB_CS[Commited amount])</f>
        <v>0</v>
      </c>
      <c r="AB628" s="275"/>
      <c r="AC628" s="270"/>
      <c r="AD628" s="270"/>
      <c r="AE628" s="264"/>
      <c r="AF628" s="271"/>
      <c r="AG628" s="278"/>
      <c r="AH628" s="277" t="str">
        <f>CONCATENATE(YEAR(TAB_Offres[[#This Row],[Request date ]]),"-",MONTH(TAB_Offres[[#This Row],[Request date ]]))</f>
        <v>1900-1</v>
      </c>
      <c r="AI628" s="274" t="e">
        <f>IF(#REF!,1,0)</f>
        <v>#REF!</v>
      </c>
      <c r="AJ628" s="4"/>
      <c r="AK628" s="4"/>
      <c r="AL628" s="4"/>
      <c r="AN628" s="150"/>
      <c r="AQ628" s="4"/>
    </row>
    <row r="629" spans="1:43" x14ac:dyDescent="0.25">
      <c r="A629" s="258">
        <f>ROW(TAB_Offres[[#This Row],[Reference]])-ROW(TAB_Offres[[#Headers],[ID]])</f>
        <v>628</v>
      </c>
      <c r="B629" s="258"/>
      <c r="C629" s="258"/>
      <c r="D629" s="258"/>
      <c r="E629" s="263"/>
      <c r="F629" s="258"/>
      <c r="G629" s="263"/>
      <c r="H629" s="262"/>
      <c r="I629" s="262"/>
      <c r="J629" s="262"/>
      <c r="K629" s="262"/>
      <c r="L629" s="262"/>
      <c r="M629" s="264"/>
      <c r="N629" s="262"/>
      <c r="O629" s="262"/>
      <c r="P629" s="262"/>
      <c r="Q629" s="263"/>
      <c r="R629" s="263"/>
      <c r="S629" s="292"/>
      <c r="T629" s="261"/>
      <c r="U629" s="261"/>
      <c r="V629" s="268"/>
      <c r="W629" s="268"/>
      <c r="X629" s="268"/>
      <c r="Y629" s="268"/>
      <c r="Z629" s="471">
        <f>SUMIF(TAB_CS[Reference],TAB_Offres[[#This Row],[Reference]],TAB_CS[Commited days])</f>
        <v>0</v>
      </c>
      <c r="AA629" s="269">
        <f>SUMIF(TAB_CS[Reference],TAB_Offres[[#This Row],[Reference]],TAB_CS[Commited amount])</f>
        <v>0</v>
      </c>
      <c r="AB629" s="275"/>
      <c r="AC629" s="270"/>
      <c r="AD629" s="270"/>
      <c r="AE629" s="264"/>
      <c r="AF629" s="271"/>
      <c r="AG629" s="278"/>
      <c r="AH629" s="277" t="str">
        <f>CONCATENATE(YEAR(TAB_Offres[[#This Row],[Request date ]]),"-",MONTH(TAB_Offres[[#This Row],[Request date ]]))</f>
        <v>1900-1</v>
      </c>
      <c r="AI629" s="274" t="e">
        <f>IF(#REF!,1,0)</f>
        <v>#REF!</v>
      </c>
      <c r="AJ629" s="4"/>
      <c r="AK629" s="4"/>
      <c r="AL629" s="4"/>
      <c r="AN629" s="150"/>
      <c r="AQ629" s="4"/>
    </row>
    <row r="630" spans="1:43" x14ac:dyDescent="0.25">
      <c r="A630" s="258">
        <f>ROW(TAB_Offres[[#This Row],[Reference]])-ROW(TAB_Offres[[#Headers],[ID]])</f>
        <v>629</v>
      </c>
      <c r="B630" s="258"/>
      <c r="C630" s="258"/>
      <c r="D630" s="258"/>
      <c r="E630" s="263"/>
      <c r="F630" s="258"/>
      <c r="G630" s="263"/>
      <c r="H630" s="262"/>
      <c r="I630" s="262"/>
      <c r="J630" s="262"/>
      <c r="K630" s="262"/>
      <c r="L630" s="262"/>
      <c r="M630" s="264"/>
      <c r="N630" s="262"/>
      <c r="O630" s="262"/>
      <c r="P630" s="262"/>
      <c r="Q630" s="263"/>
      <c r="R630" s="263"/>
      <c r="S630" s="292"/>
      <c r="T630" s="261"/>
      <c r="U630" s="261"/>
      <c r="V630" s="268"/>
      <c r="W630" s="268"/>
      <c r="X630" s="268"/>
      <c r="Y630" s="268"/>
      <c r="Z630" s="471">
        <f>SUMIF(TAB_CS[Reference],TAB_Offres[[#This Row],[Reference]],TAB_CS[Commited days])</f>
        <v>0</v>
      </c>
      <c r="AA630" s="269">
        <f>SUMIF(TAB_CS[Reference],TAB_Offres[[#This Row],[Reference]],TAB_CS[Commited amount])</f>
        <v>0</v>
      </c>
      <c r="AB630" s="275"/>
      <c r="AC630" s="270"/>
      <c r="AD630" s="270"/>
      <c r="AE630" s="264"/>
      <c r="AF630" s="271"/>
      <c r="AG630" s="278"/>
      <c r="AH630" s="277" t="str">
        <f>CONCATENATE(YEAR(TAB_Offres[[#This Row],[Request date ]]),"-",MONTH(TAB_Offres[[#This Row],[Request date ]]))</f>
        <v>1900-1</v>
      </c>
      <c r="AI630" s="274" t="e">
        <f>IF(#REF!,1,0)</f>
        <v>#REF!</v>
      </c>
      <c r="AJ630" s="4"/>
      <c r="AK630" s="4"/>
      <c r="AL630" s="4"/>
      <c r="AN630" s="150"/>
      <c r="AQ630" s="4"/>
    </row>
    <row r="631" spans="1:43" x14ac:dyDescent="0.25">
      <c r="A631" s="258">
        <f>ROW(TAB_Offres[[#This Row],[Reference]])-ROW(TAB_Offres[[#Headers],[ID]])</f>
        <v>630</v>
      </c>
      <c r="B631" s="258"/>
      <c r="C631" s="258"/>
      <c r="D631" s="258"/>
      <c r="E631" s="263"/>
      <c r="F631" s="258"/>
      <c r="G631" s="263"/>
      <c r="H631" s="262"/>
      <c r="I631" s="262"/>
      <c r="J631" s="262"/>
      <c r="K631" s="262"/>
      <c r="L631" s="262"/>
      <c r="M631" s="264"/>
      <c r="N631" s="262"/>
      <c r="O631" s="262"/>
      <c r="P631" s="262"/>
      <c r="Q631" s="263"/>
      <c r="R631" s="263"/>
      <c r="S631" s="292"/>
      <c r="T631" s="261"/>
      <c r="U631" s="261"/>
      <c r="V631" s="268"/>
      <c r="W631" s="268"/>
      <c r="X631" s="268"/>
      <c r="Y631" s="268"/>
      <c r="Z631" s="471">
        <f>SUMIF(TAB_CS[Reference],TAB_Offres[[#This Row],[Reference]],TAB_CS[Commited days])</f>
        <v>0</v>
      </c>
      <c r="AA631" s="269">
        <f>SUMIF(TAB_CS[Reference],TAB_Offres[[#This Row],[Reference]],TAB_CS[Commited amount])</f>
        <v>0</v>
      </c>
      <c r="AB631" s="275"/>
      <c r="AC631" s="270"/>
      <c r="AD631" s="270"/>
      <c r="AE631" s="264"/>
      <c r="AF631" s="271"/>
      <c r="AG631" s="278"/>
      <c r="AH631" s="277" t="str">
        <f>CONCATENATE(YEAR(TAB_Offres[[#This Row],[Request date ]]),"-",MONTH(TAB_Offres[[#This Row],[Request date ]]))</f>
        <v>1900-1</v>
      </c>
      <c r="AI631" s="274" t="e">
        <f>IF(#REF!,1,0)</f>
        <v>#REF!</v>
      </c>
      <c r="AJ631" s="4"/>
      <c r="AK631" s="4"/>
      <c r="AL631" s="4"/>
      <c r="AN631" s="150"/>
      <c r="AQ631" s="4"/>
    </row>
    <row r="632" spans="1:43" x14ac:dyDescent="0.25">
      <c r="A632" s="258">
        <f>ROW(TAB_Offres[[#This Row],[Reference]])-ROW(TAB_Offres[[#Headers],[ID]])</f>
        <v>631</v>
      </c>
      <c r="B632" s="258"/>
      <c r="C632" s="258"/>
      <c r="D632" s="258"/>
      <c r="E632" s="263"/>
      <c r="F632" s="258"/>
      <c r="G632" s="263"/>
      <c r="H632" s="262"/>
      <c r="I632" s="262"/>
      <c r="J632" s="262"/>
      <c r="K632" s="262"/>
      <c r="L632" s="262"/>
      <c r="M632" s="264"/>
      <c r="N632" s="262"/>
      <c r="O632" s="262"/>
      <c r="P632" s="262"/>
      <c r="Q632" s="263"/>
      <c r="R632" s="263"/>
      <c r="S632" s="292"/>
      <c r="T632" s="261"/>
      <c r="U632" s="261"/>
      <c r="V632" s="268"/>
      <c r="W632" s="268"/>
      <c r="X632" s="268"/>
      <c r="Y632" s="268"/>
      <c r="Z632" s="471">
        <f>SUMIF(TAB_CS[Reference],TAB_Offres[[#This Row],[Reference]],TAB_CS[Commited days])</f>
        <v>0</v>
      </c>
      <c r="AA632" s="269">
        <f>SUMIF(TAB_CS[Reference],TAB_Offres[[#This Row],[Reference]],TAB_CS[Commited amount])</f>
        <v>0</v>
      </c>
      <c r="AB632" s="275"/>
      <c r="AC632" s="270"/>
      <c r="AD632" s="270"/>
      <c r="AE632" s="264"/>
      <c r="AF632" s="271"/>
      <c r="AG632" s="278"/>
      <c r="AH632" s="277" t="str">
        <f>CONCATENATE(YEAR(TAB_Offres[[#This Row],[Request date ]]),"-",MONTH(TAB_Offres[[#This Row],[Request date ]]))</f>
        <v>1900-1</v>
      </c>
      <c r="AI632" s="274" t="e">
        <f>IF(#REF!,1,0)</f>
        <v>#REF!</v>
      </c>
      <c r="AJ632" s="4"/>
      <c r="AK632" s="4"/>
      <c r="AL632" s="4"/>
      <c r="AN632" s="150"/>
      <c r="AQ632" s="4"/>
    </row>
    <row r="633" spans="1:43" x14ac:dyDescent="0.25">
      <c r="A633" s="258">
        <f>ROW(TAB_Offres[[#This Row],[Reference]])-ROW(TAB_Offres[[#Headers],[ID]])</f>
        <v>632</v>
      </c>
      <c r="B633" s="258"/>
      <c r="C633" s="258"/>
      <c r="D633" s="258"/>
      <c r="E633" s="263"/>
      <c r="F633" s="258"/>
      <c r="G633" s="263"/>
      <c r="H633" s="262"/>
      <c r="I633" s="262"/>
      <c r="J633" s="262"/>
      <c r="K633" s="262"/>
      <c r="L633" s="262"/>
      <c r="M633" s="264"/>
      <c r="N633" s="262"/>
      <c r="O633" s="262"/>
      <c r="P633" s="262"/>
      <c r="Q633" s="263"/>
      <c r="R633" s="263"/>
      <c r="S633" s="292"/>
      <c r="T633" s="261"/>
      <c r="U633" s="261"/>
      <c r="V633" s="268"/>
      <c r="W633" s="268"/>
      <c r="X633" s="268"/>
      <c r="Y633" s="268"/>
      <c r="Z633" s="471">
        <f>SUMIF(TAB_CS[Reference],TAB_Offres[[#This Row],[Reference]],TAB_CS[Commited days])</f>
        <v>0</v>
      </c>
      <c r="AA633" s="269">
        <f>SUMIF(TAB_CS[Reference],TAB_Offres[[#This Row],[Reference]],TAB_CS[Commited amount])</f>
        <v>0</v>
      </c>
      <c r="AB633" s="275"/>
      <c r="AC633" s="270"/>
      <c r="AD633" s="270"/>
      <c r="AE633" s="264"/>
      <c r="AF633" s="271"/>
      <c r="AG633" s="278"/>
      <c r="AH633" s="277" t="str">
        <f>CONCATENATE(YEAR(TAB_Offres[[#This Row],[Request date ]]),"-",MONTH(TAB_Offres[[#This Row],[Request date ]]))</f>
        <v>1900-1</v>
      </c>
      <c r="AI633" s="274" t="e">
        <f>IF(#REF!,1,0)</f>
        <v>#REF!</v>
      </c>
      <c r="AJ633" s="4"/>
      <c r="AK633" s="4"/>
      <c r="AL633" s="4"/>
      <c r="AN633" s="150"/>
      <c r="AQ633" s="4"/>
    </row>
    <row r="634" spans="1:43" x14ac:dyDescent="0.25">
      <c r="A634" s="258">
        <f>ROW(TAB_Offres[[#This Row],[Reference]])-ROW(TAB_Offres[[#Headers],[ID]])</f>
        <v>633</v>
      </c>
      <c r="B634" s="258"/>
      <c r="C634" s="258"/>
      <c r="D634" s="258"/>
      <c r="E634" s="263"/>
      <c r="F634" s="258"/>
      <c r="G634" s="263"/>
      <c r="H634" s="262"/>
      <c r="I634" s="262"/>
      <c r="J634" s="262"/>
      <c r="K634" s="262"/>
      <c r="L634" s="262"/>
      <c r="M634" s="264"/>
      <c r="N634" s="262"/>
      <c r="O634" s="262"/>
      <c r="P634" s="262"/>
      <c r="Q634" s="263"/>
      <c r="R634" s="263"/>
      <c r="S634" s="292"/>
      <c r="T634" s="261"/>
      <c r="U634" s="261"/>
      <c r="V634" s="268"/>
      <c r="W634" s="268"/>
      <c r="X634" s="268"/>
      <c r="Y634" s="268"/>
      <c r="Z634" s="471">
        <f>SUMIF(TAB_CS[Reference],TAB_Offres[[#This Row],[Reference]],TAB_CS[Commited days])</f>
        <v>0</v>
      </c>
      <c r="AA634" s="269">
        <f>SUMIF(TAB_CS[Reference],TAB_Offres[[#This Row],[Reference]],TAB_CS[Commited amount])</f>
        <v>0</v>
      </c>
      <c r="AB634" s="275"/>
      <c r="AC634" s="270"/>
      <c r="AD634" s="270"/>
      <c r="AE634" s="264"/>
      <c r="AF634" s="271"/>
      <c r="AG634" s="278"/>
      <c r="AH634" s="277" t="str">
        <f>CONCATENATE(YEAR(TAB_Offres[[#This Row],[Request date ]]),"-",MONTH(TAB_Offres[[#This Row],[Request date ]]))</f>
        <v>1900-1</v>
      </c>
      <c r="AI634" s="274" t="e">
        <f>IF(#REF!,1,0)</f>
        <v>#REF!</v>
      </c>
      <c r="AJ634" s="4"/>
      <c r="AK634" s="4"/>
      <c r="AL634" s="4"/>
      <c r="AN634" s="150"/>
      <c r="AQ634" s="4"/>
    </row>
    <row r="635" spans="1:43" x14ac:dyDescent="0.25">
      <c r="A635" s="258">
        <f>ROW(TAB_Offres[[#This Row],[Reference]])-ROW(TAB_Offres[[#Headers],[ID]])</f>
        <v>634</v>
      </c>
      <c r="B635" s="258"/>
      <c r="C635" s="258"/>
      <c r="D635" s="258"/>
      <c r="E635" s="263"/>
      <c r="F635" s="258"/>
      <c r="G635" s="263"/>
      <c r="H635" s="262"/>
      <c r="I635" s="262"/>
      <c r="J635" s="262"/>
      <c r="K635" s="262"/>
      <c r="L635" s="262"/>
      <c r="M635" s="264"/>
      <c r="N635" s="262"/>
      <c r="O635" s="262"/>
      <c r="P635" s="262"/>
      <c r="Q635" s="263"/>
      <c r="R635" s="263"/>
      <c r="S635" s="292"/>
      <c r="T635" s="261"/>
      <c r="U635" s="261"/>
      <c r="V635" s="268"/>
      <c r="W635" s="268"/>
      <c r="X635" s="268"/>
      <c r="Y635" s="268"/>
      <c r="Z635" s="471">
        <f>SUMIF(TAB_CS[Reference],TAB_Offres[[#This Row],[Reference]],TAB_CS[Commited days])</f>
        <v>0</v>
      </c>
      <c r="AA635" s="269">
        <f>SUMIF(TAB_CS[Reference],TAB_Offres[[#This Row],[Reference]],TAB_CS[Commited amount])</f>
        <v>0</v>
      </c>
      <c r="AB635" s="275"/>
      <c r="AC635" s="270"/>
      <c r="AD635" s="270"/>
      <c r="AE635" s="264"/>
      <c r="AF635" s="271"/>
      <c r="AG635" s="278"/>
      <c r="AH635" s="277" t="str">
        <f>CONCATENATE(YEAR(TAB_Offres[[#This Row],[Request date ]]),"-",MONTH(TAB_Offres[[#This Row],[Request date ]]))</f>
        <v>1900-1</v>
      </c>
      <c r="AI635" s="274" t="e">
        <f>IF(#REF!,1,0)</f>
        <v>#REF!</v>
      </c>
      <c r="AJ635" s="4"/>
      <c r="AK635" s="4"/>
      <c r="AL635" s="4"/>
      <c r="AN635" s="150"/>
      <c r="AQ635" s="4"/>
    </row>
    <row r="636" spans="1:43" x14ac:dyDescent="0.25">
      <c r="A636" s="258">
        <f>ROW(TAB_Offres[[#This Row],[Reference]])-ROW(TAB_Offres[[#Headers],[ID]])</f>
        <v>635</v>
      </c>
      <c r="B636" s="258"/>
      <c r="C636" s="258"/>
      <c r="D636" s="258"/>
      <c r="E636" s="263"/>
      <c r="F636" s="258"/>
      <c r="G636" s="263"/>
      <c r="H636" s="262"/>
      <c r="I636" s="262"/>
      <c r="J636" s="262"/>
      <c r="K636" s="262"/>
      <c r="L636" s="262"/>
      <c r="M636" s="264"/>
      <c r="N636" s="262"/>
      <c r="O636" s="262"/>
      <c r="P636" s="262"/>
      <c r="Q636" s="263"/>
      <c r="R636" s="263"/>
      <c r="S636" s="292"/>
      <c r="T636" s="261"/>
      <c r="U636" s="261"/>
      <c r="V636" s="268"/>
      <c r="W636" s="268"/>
      <c r="X636" s="268"/>
      <c r="Y636" s="268"/>
      <c r="Z636" s="471">
        <f>SUMIF(TAB_CS[Reference],TAB_Offres[[#This Row],[Reference]],TAB_CS[Commited days])</f>
        <v>0</v>
      </c>
      <c r="AA636" s="269">
        <f>SUMIF(TAB_CS[Reference],TAB_Offres[[#This Row],[Reference]],TAB_CS[Commited amount])</f>
        <v>0</v>
      </c>
      <c r="AB636" s="275"/>
      <c r="AC636" s="270"/>
      <c r="AD636" s="270"/>
      <c r="AE636" s="264"/>
      <c r="AF636" s="271"/>
      <c r="AG636" s="278"/>
      <c r="AH636" s="277" t="str">
        <f>CONCATENATE(YEAR(TAB_Offres[[#This Row],[Request date ]]),"-",MONTH(TAB_Offres[[#This Row],[Request date ]]))</f>
        <v>1900-1</v>
      </c>
      <c r="AI636" s="274" t="e">
        <f>IF(#REF!,1,0)</f>
        <v>#REF!</v>
      </c>
      <c r="AJ636" s="4"/>
      <c r="AK636" s="4"/>
      <c r="AL636" s="4"/>
      <c r="AN636" s="150"/>
      <c r="AQ636" s="4"/>
    </row>
    <row r="637" spans="1:43" x14ac:dyDescent="0.25">
      <c r="A637" s="258">
        <f>ROW(TAB_Offres[[#This Row],[Reference]])-ROW(TAB_Offres[[#Headers],[ID]])</f>
        <v>636</v>
      </c>
      <c r="B637" s="258"/>
      <c r="C637" s="258"/>
      <c r="D637" s="258"/>
      <c r="E637" s="263"/>
      <c r="F637" s="258"/>
      <c r="G637" s="263"/>
      <c r="H637" s="262"/>
      <c r="I637" s="262"/>
      <c r="J637" s="262"/>
      <c r="K637" s="262"/>
      <c r="L637" s="262"/>
      <c r="M637" s="264"/>
      <c r="N637" s="262"/>
      <c r="O637" s="262"/>
      <c r="P637" s="262"/>
      <c r="Q637" s="263"/>
      <c r="R637" s="263"/>
      <c r="S637" s="292"/>
      <c r="T637" s="261"/>
      <c r="U637" s="261"/>
      <c r="V637" s="268"/>
      <c r="W637" s="268"/>
      <c r="X637" s="268"/>
      <c r="Y637" s="268"/>
      <c r="Z637" s="471">
        <f>SUMIF(TAB_CS[Reference],TAB_Offres[[#This Row],[Reference]],TAB_CS[Commited days])</f>
        <v>0</v>
      </c>
      <c r="AA637" s="269">
        <f>SUMIF(TAB_CS[Reference],TAB_Offres[[#This Row],[Reference]],TAB_CS[Commited amount])</f>
        <v>0</v>
      </c>
      <c r="AB637" s="275"/>
      <c r="AC637" s="270"/>
      <c r="AD637" s="270"/>
      <c r="AE637" s="264"/>
      <c r="AF637" s="271"/>
      <c r="AG637" s="278"/>
      <c r="AH637" s="277" t="str">
        <f>CONCATENATE(YEAR(TAB_Offres[[#This Row],[Request date ]]),"-",MONTH(TAB_Offres[[#This Row],[Request date ]]))</f>
        <v>1900-1</v>
      </c>
      <c r="AI637" s="274" t="e">
        <f>IF(#REF!,1,0)</f>
        <v>#REF!</v>
      </c>
      <c r="AJ637" s="4"/>
      <c r="AK637" s="4"/>
      <c r="AL637" s="4"/>
      <c r="AN637" s="150"/>
      <c r="AQ637" s="4"/>
    </row>
    <row r="638" spans="1:43" x14ac:dyDescent="0.25">
      <c r="A638" s="258">
        <f>ROW(TAB_Offres[[#This Row],[Reference]])-ROW(TAB_Offres[[#Headers],[ID]])</f>
        <v>637</v>
      </c>
      <c r="B638" s="258"/>
      <c r="C638" s="258"/>
      <c r="D638" s="258"/>
      <c r="E638" s="263"/>
      <c r="F638" s="258"/>
      <c r="G638" s="263"/>
      <c r="H638" s="262"/>
      <c r="I638" s="262"/>
      <c r="J638" s="262"/>
      <c r="K638" s="262"/>
      <c r="L638" s="262"/>
      <c r="M638" s="264"/>
      <c r="N638" s="262"/>
      <c r="O638" s="262"/>
      <c r="P638" s="262"/>
      <c r="Q638" s="263"/>
      <c r="R638" s="263"/>
      <c r="S638" s="292"/>
      <c r="T638" s="261"/>
      <c r="U638" s="261"/>
      <c r="V638" s="268"/>
      <c r="W638" s="268"/>
      <c r="X638" s="268"/>
      <c r="Y638" s="268"/>
      <c r="Z638" s="471">
        <f>SUMIF(TAB_CS[Reference],TAB_Offres[[#This Row],[Reference]],TAB_CS[Commited days])</f>
        <v>0</v>
      </c>
      <c r="AA638" s="269">
        <f>SUMIF(TAB_CS[Reference],TAB_Offres[[#This Row],[Reference]],TAB_CS[Commited amount])</f>
        <v>0</v>
      </c>
      <c r="AB638" s="275"/>
      <c r="AC638" s="270"/>
      <c r="AD638" s="270"/>
      <c r="AE638" s="264"/>
      <c r="AF638" s="271"/>
      <c r="AG638" s="278"/>
      <c r="AH638" s="277" t="str">
        <f>CONCATENATE(YEAR(TAB_Offres[[#This Row],[Request date ]]),"-",MONTH(TAB_Offres[[#This Row],[Request date ]]))</f>
        <v>1900-1</v>
      </c>
      <c r="AI638" s="274" t="e">
        <f>IF(#REF!,1,0)</f>
        <v>#REF!</v>
      </c>
      <c r="AJ638" s="4"/>
      <c r="AK638" s="4"/>
      <c r="AL638" s="4"/>
      <c r="AN638" s="150"/>
      <c r="AQ638" s="4"/>
    </row>
    <row r="639" spans="1:43" x14ac:dyDescent="0.25">
      <c r="A639" s="258">
        <f>ROW(TAB_Offres[[#This Row],[Reference]])-ROW(TAB_Offres[[#Headers],[ID]])</f>
        <v>638</v>
      </c>
      <c r="B639" s="258"/>
      <c r="C639" s="258"/>
      <c r="D639" s="258"/>
      <c r="E639" s="263"/>
      <c r="F639" s="258"/>
      <c r="G639" s="263"/>
      <c r="H639" s="262"/>
      <c r="I639" s="262"/>
      <c r="J639" s="262"/>
      <c r="K639" s="262"/>
      <c r="L639" s="262"/>
      <c r="M639" s="264"/>
      <c r="N639" s="262"/>
      <c r="O639" s="262"/>
      <c r="P639" s="262"/>
      <c r="Q639" s="263"/>
      <c r="R639" s="263"/>
      <c r="S639" s="292"/>
      <c r="T639" s="261"/>
      <c r="U639" s="261"/>
      <c r="V639" s="268"/>
      <c r="W639" s="268"/>
      <c r="X639" s="268"/>
      <c r="Y639" s="268"/>
      <c r="Z639" s="471">
        <f>SUMIF(TAB_CS[Reference],TAB_Offres[[#This Row],[Reference]],TAB_CS[Commited days])</f>
        <v>0</v>
      </c>
      <c r="AA639" s="269">
        <f>SUMIF(TAB_CS[Reference],TAB_Offres[[#This Row],[Reference]],TAB_CS[Commited amount])</f>
        <v>0</v>
      </c>
      <c r="AB639" s="275"/>
      <c r="AC639" s="270"/>
      <c r="AD639" s="270"/>
      <c r="AE639" s="264"/>
      <c r="AF639" s="271"/>
      <c r="AG639" s="278"/>
      <c r="AH639" s="277" t="str">
        <f>CONCATENATE(YEAR(TAB_Offres[[#This Row],[Request date ]]),"-",MONTH(TAB_Offres[[#This Row],[Request date ]]))</f>
        <v>1900-1</v>
      </c>
      <c r="AI639" s="274" t="e">
        <f>IF(#REF!,1,0)</f>
        <v>#REF!</v>
      </c>
      <c r="AJ639" s="4"/>
      <c r="AK639" s="4"/>
      <c r="AL639" s="4"/>
      <c r="AN639" s="150"/>
      <c r="AQ639" s="4"/>
    </row>
    <row r="640" spans="1:43" x14ac:dyDescent="0.25">
      <c r="A640" s="258">
        <f>ROW(TAB_Offres[[#This Row],[Reference]])-ROW(TAB_Offres[[#Headers],[ID]])</f>
        <v>639</v>
      </c>
      <c r="B640" s="258"/>
      <c r="C640" s="258"/>
      <c r="D640" s="258"/>
      <c r="E640" s="263"/>
      <c r="F640" s="258"/>
      <c r="G640" s="263"/>
      <c r="H640" s="262"/>
      <c r="I640" s="262"/>
      <c r="J640" s="262"/>
      <c r="K640" s="262"/>
      <c r="L640" s="262"/>
      <c r="M640" s="264"/>
      <c r="N640" s="262"/>
      <c r="O640" s="262"/>
      <c r="P640" s="262"/>
      <c r="Q640" s="263"/>
      <c r="R640" s="263"/>
      <c r="S640" s="292"/>
      <c r="T640" s="261"/>
      <c r="U640" s="261"/>
      <c r="V640" s="268"/>
      <c r="W640" s="268"/>
      <c r="X640" s="268"/>
      <c r="Y640" s="268"/>
      <c r="Z640" s="471">
        <f>SUMIF(TAB_CS[Reference],TAB_Offres[[#This Row],[Reference]],TAB_CS[Commited days])</f>
        <v>0</v>
      </c>
      <c r="AA640" s="269">
        <f>SUMIF(TAB_CS[Reference],TAB_Offres[[#This Row],[Reference]],TAB_CS[Commited amount])</f>
        <v>0</v>
      </c>
      <c r="AB640" s="275"/>
      <c r="AC640" s="270"/>
      <c r="AD640" s="270"/>
      <c r="AE640" s="264"/>
      <c r="AF640" s="271"/>
      <c r="AG640" s="278"/>
      <c r="AH640" s="277" t="str">
        <f>CONCATENATE(YEAR(TAB_Offres[[#This Row],[Request date ]]),"-",MONTH(TAB_Offres[[#This Row],[Request date ]]))</f>
        <v>1900-1</v>
      </c>
      <c r="AI640" s="274" t="e">
        <f>IF(#REF!,1,0)</f>
        <v>#REF!</v>
      </c>
      <c r="AJ640" s="4"/>
      <c r="AK640" s="4"/>
      <c r="AL640" s="4"/>
      <c r="AN640" s="150"/>
      <c r="AQ640" s="4"/>
    </row>
    <row r="641" spans="1:43" x14ac:dyDescent="0.25">
      <c r="A641" s="258">
        <f>ROW(TAB_Offres[[#This Row],[Reference]])-ROW(TAB_Offres[[#Headers],[ID]])</f>
        <v>640</v>
      </c>
      <c r="B641" s="258"/>
      <c r="C641" s="258"/>
      <c r="D641" s="258"/>
      <c r="E641" s="263"/>
      <c r="F641" s="258"/>
      <c r="G641" s="263"/>
      <c r="H641" s="262"/>
      <c r="I641" s="262"/>
      <c r="J641" s="262"/>
      <c r="K641" s="262"/>
      <c r="L641" s="262"/>
      <c r="M641" s="264"/>
      <c r="N641" s="262"/>
      <c r="O641" s="262"/>
      <c r="P641" s="262"/>
      <c r="Q641" s="263"/>
      <c r="R641" s="263"/>
      <c r="S641" s="292"/>
      <c r="T641" s="261"/>
      <c r="U641" s="261"/>
      <c r="V641" s="268"/>
      <c r="W641" s="268"/>
      <c r="X641" s="268"/>
      <c r="Y641" s="268"/>
      <c r="Z641" s="471">
        <f>SUMIF(TAB_CS[Reference],TAB_Offres[[#This Row],[Reference]],TAB_CS[Commited days])</f>
        <v>0</v>
      </c>
      <c r="AA641" s="269">
        <f>SUMIF(TAB_CS[Reference],TAB_Offres[[#This Row],[Reference]],TAB_CS[Commited amount])</f>
        <v>0</v>
      </c>
      <c r="AB641" s="275"/>
      <c r="AC641" s="270"/>
      <c r="AD641" s="270"/>
      <c r="AE641" s="264"/>
      <c r="AF641" s="271"/>
      <c r="AG641" s="278"/>
      <c r="AH641" s="277" t="str">
        <f>CONCATENATE(YEAR(TAB_Offres[[#This Row],[Request date ]]),"-",MONTH(TAB_Offres[[#This Row],[Request date ]]))</f>
        <v>1900-1</v>
      </c>
      <c r="AI641" s="274" t="e">
        <f>IF(#REF!,1,0)</f>
        <v>#REF!</v>
      </c>
      <c r="AJ641" s="4"/>
      <c r="AK641" s="4"/>
      <c r="AL641" s="4"/>
      <c r="AN641" s="150"/>
      <c r="AQ641" s="4"/>
    </row>
    <row r="642" spans="1:43" x14ac:dyDescent="0.25">
      <c r="A642" s="258">
        <f>ROW(TAB_Offres[[#This Row],[Reference]])-ROW(TAB_Offres[[#Headers],[ID]])</f>
        <v>641</v>
      </c>
      <c r="B642" s="258"/>
      <c r="C642" s="258"/>
      <c r="D642" s="258"/>
      <c r="E642" s="263"/>
      <c r="F642" s="258"/>
      <c r="G642" s="263"/>
      <c r="H642" s="262"/>
      <c r="I642" s="262"/>
      <c r="J642" s="262"/>
      <c r="K642" s="262"/>
      <c r="L642" s="262"/>
      <c r="M642" s="264"/>
      <c r="N642" s="262"/>
      <c r="O642" s="262"/>
      <c r="P642" s="262"/>
      <c r="Q642" s="263"/>
      <c r="R642" s="263"/>
      <c r="S642" s="292"/>
      <c r="T642" s="261"/>
      <c r="U642" s="261"/>
      <c r="V642" s="268"/>
      <c r="W642" s="268"/>
      <c r="X642" s="268"/>
      <c r="Y642" s="268"/>
      <c r="Z642" s="471">
        <f>SUMIF(TAB_CS[Reference],TAB_Offres[[#This Row],[Reference]],TAB_CS[Commited days])</f>
        <v>0</v>
      </c>
      <c r="AA642" s="269">
        <f>SUMIF(TAB_CS[Reference],TAB_Offres[[#This Row],[Reference]],TAB_CS[Commited amount])</f>
        <v>0</v>
      </c>
      <c r="AB642" s="275"/>
      <c r="AC642" s="270"/>
      <c r="AD642" s="270"/>
      <c r="AE642" s="264"/>
      <c r="AF642" s="271"/>
      <c r="AG642" s="278"/>
      <c r="AH642" s="277" t="str">
        <f>CONCATENATE(YEAR(TAB_Offres[[#This Row],[Request date ]]),"-",MONTH(TAB_Offres[[#This Row],[Request date ]]))</f>
        <v>1900-1</v>
      </c>
      <c r="AI642" s="274" t="e">
        <f>IF(#REF!,1,0)</f>
        <v>#REF!</v>
      </c>
      <c r="AJ642" s="4"/>
      <c r="AK642" s="4"/>
      <c r="AL642" s="4"/>
      <c r="AN642" s="150"/>
      <c r="AQ642" s="4"/>
    </row>
    <row r="643" spans="1:43" x14ac:dyDescent="0.25">
      <c r="A643" s="258">
        <f>ROW(TAB_Offres[[#This Row],[Reference]])-ROW(TAB_Offres[[#Headers],[ID]])</f>
        <v>642</v>
      </c>
      <c r="B643" s="258"/>
      <c r="C643" s="258"/>
      <c r="D643" s="258"/>
      <c r="E643" s="263"/>
      <c r="F643" s="258"/>
      <c r="G643" s="263"/>
      <c r="H643" s="262"/>
      <c r="I643" s="262"/>
      <c r="J643" s="262"/>
      <c r="K643" s="262"/>
      <c r="L643" s="262"/>
      <c r="M643" s="264"/>
      <c r="N643" s="262"/>
      <c r="O643" s="262"/>
      <c r="P643" s="262"/>
      <c r="Q643" s="263"/>
      <c r="R643" s="263"/>
      <c r="S643" s="292"/>
      <c r="T643" s="261"/>
      <c r="U643" s="261"/>
      <c r="V643" s="268"/>
      <c r="W643" s="268"/>
      <c r="X643" s="268"/>
      <c r="Y643" s="268"/>
      <c r="Z643" s="471">
        <f>SUMIF(TAB_CS[Reference],TAB_Offres[[#This Row],[Reference]],TAB_CS[Commited days])</f>
        <v>0</v>
      </c>
      <c r="AA643" s="269">
        <f>SUMIF(TAB_CS[Reference],TAB_Offres[[#This Row],[Reference]],TAB_CS[Commited amount])</f>
        <v>0</v>
      </c>
      <c r="AB643" s="275"/>
      <c r="AC643" s="270"/>
      <c r="AD643" s="270"/>
      <c r="AE643" s="264"/>
      <c r="AF643" s="271"/>
      <c r="AG643" s="278"/>
      <c r="AH643" s="277" t="str">
        <f>CONCATENATE(YEAR(TAB_Offres[[#This Row],[Request date ]]),"-",MONTH(TAB_Offres[[#This Row],[Request date ]]))</f>
        <v>1900-1</v>
      </c>
      <c r="AI643" s="274" t="e">
        <f>IF(#REF!,1,0)</f>
        <v>#REF!</v>
      </c>
      <c r="AJ643" s="4"/>
      <c r="AK643" s="4"/>
      <c r="AL643" s="4"/>
      <c r="AN643" s="150"/>
      <c r="AQ643" s="4"/>
    </row>
    <row r="644" spans="1:43" x14ac:dyDescent="0.25">
      <c r="A644" s="258">
        <f>ROW(TAB_Offres[[#This Row],[Reference]])-ROW(TAB_Offres[[#Headers],[ID]])</f>
        <v>643</v>
      </c>
      <c r="B644" s="258"/>
      <c r="C644" s="258"/>
      <c r="D644" s="258"/>
      <c r="E644" s="263"/>
      <c r="F644" s="258"/>
      <c r="G644" s="263"/>
      <c r="H644" s="262"/>
      <c r="I644" s="262"/>
      <c r="J644" s="262"/>
      <c r="K644" s="262"/>
      <c r="L644" s="262"/>
      <c r="M644" s="264"/>
      <c r="N644" s="262"/>
      <c r="O644" s="262"/>
      <c r="P644" s="262"/>
      <c r="Q644" s="263"/>
      <c r="R644" s="263"/>
      <c r="S644" s="292"/>
      <c r="T644" s="261"/>
      <c r="U644" s="261"/>
      <c r="V644" s="268"/>
      <c r="W644" s="268"/>
      <c r="X644" s="268"/>
      <c r="Y644" s="268"/>
      <c r="Z644" s="471">
        <f>SUMIF(TAB_CS[Reference],TAB_Offres[[#This Row],[Reference]],TAB_CS[Commited days])</f>
        <v>0</v>
      </c>
      <c r="AA644" s="269">
        <f>SUMIF(TAB_CS[Reference],TAB_Offres[[#This Row],[Reference]],TAB_CS[Commited amount])</f>
        <v>0</v>
      </c>
      <c r="AB644" s="275"/>
      <c r="AC644" s="270"/>
      <c r="AD644" s="270"/>
      <c r="AE644" s="264"/>
      <c r="AF644" s="271"/>
      <c r="AG644" s="278"/>
      <c r="AH644" s="277" t="str">
        <f>CONCATENATE(YEAR(TAB_Offres[[#This Row],[Request date ]]),"-",MONTH(TAB_Offres[[#This Row],[Request date ]]))</f>
        <v>1900-1</v>
      </c>
      <c r="AI644" s="274" t="e">
        <f>IF(#REF!,1,0)</f>
        <v>#REF!</v>
      </c>
      <c r="AJ644" s="4"/>
      <c r="AK644" s="4"/>
      <c r="AL644" s="4"/>
      <c r="AN644" s="150"/>
      <c r="AQ644" s="4"/>
    </row>
    <row r="645" spans="1:43" x14ac:dyDescent="0.25">
      <c r="A645" s="258">
        <f>ROW(TAB_Offres[[#This Row],[Reference]])-ROW(TAB_Offres[[#Headers],[ID]])</f>
        <v>644</v>
      </c>
      <c r="B645" s="258"/>
      <c r="C645" s="258"/>
      <c r="D645" s="258"/>
      <c r="E645" s="263"/>
      <c r="F645" s="258"/>
      <c r="G645" s="263"/>
      <c r="H645" s="262"/>
      <c r="I645" s="262"/>
      <c r="J645" s="262"/>
      <c r="K645" s="262"/>
      <c r="L645" s="262"/>
      <c r="M645" s="264"/>
      <c r="N645" s="262"/>
      <c r="O645" s="262"/>
      <c r="P645" s="262"/>
      <c r="Q645" s="263"/>
      <c r="R645" s="263"/>
      <c r="S645" s="292"/>
      <c r="T645" s="261"/>
      <c r="U645" s="261"/>
      <c r="V645" s="268"/>
      <c r="W645" s="268"/>
      <c r="X645" s="268"/>
      <c r="Y645" s="268"/>
      <c r="Z645" s="471">
        <f>SUMIF(TAB_CS[Reference],TAB_Offres[[#This Row],[Reference]],TAB_CS[Commited days])</f>
        <v>0</v>
      </c>
      <c r="AA645" s="269">
        <f>SUMIF(TAB_CS[Reference],TAB_Offres[[#This Row],[Reference]],TAB_CS[Commited amount])</f>
        <v>0</v>
      </c>
      <c r="AB645" s="275"/>
      <c r="AC645" s="270"/>
      <c r="AD645" s="270"/>
      <c r="AE645" s="264"/>
      <c r="AF645" s="271"/>
      <c r="AG645" s="278"/>
      <c r="AH645" s="277" t="str">
        <f>CONCATENATE(YEAR(TAB_Offres[[#This Row],[Request date ]]),"-",MONTH(TAB_Offres[[#This Row],[Request date ]]))</f>
        <v>1900-1</v>
      </c>
      <c r="AI645" s="274" t="e">
        <f>IF(#REF!,1,0)</f>
        <v>#REF!</v>
      </c>
      <c r="AJ645" s="4"/>
      <c r="AK645" s="4"/>
      <c r="AL645" s="4"/>
      <c r="AN645" s="150"/>
      <c r="AQ645" s="4"/>
    </row>
    <row r="646" spans="1:43" x14ac:dyDescent="0.25">
      <c r="A646" s="258">
        <f>ROW(TAB_Offres[[#This Row],[Reference]])-ROW(TAB_Offres[[#Headers],[ID]])</f>
        <v>645</v>
      </c>
      <c r="B646" s="258"/>
      <c r="C646" s="258"/>
      <c r="D646" s="258"/>
      <c r="E646" s="263"/>
      <c r="F646" s="258"/>
      <c r="G646" s="263"/>
      <c r="H646" s="262"/>
      <c r="I646" s="262"/>
      <c r="J646" s="262"/>
      <c r="K646" s="262"/>
      <c r="L646" s="262"/>
      <c r="M646" s="264"/>
      <c r="N646" s="262"/>
      <c r="O646" s="262"/>
      <c r="P646" s="262"/>
      <c r="Q646" s="263"/>
      <c r="R646" s="263"/>
      <c r="S646" s="292"/>
      <c r="T646" s="261"/>
      <c r="U646" s="261"/>
      <c r="V646" s="268"/>
      <c r="W646" s="268"/>
      <c r="X646" s="268"/>
      <c r="Y646" s="268"/>
      <c r="Z646" s="471">
        <f>SUMIF(TAB_CS[Reference],TAB_Offres[[#This Row],[Reference]],TAB_CS[Commited days])</f>
        <v>0</v>
      </c>
      <c r="AA646" s="269">
        <f>SUMIF(TAB_CS[Reference],TAB_Offres[[#This Row],[Reference]],TAB_CS[Commited amount])</f>
        <v>0</v>
      </c>
      <c r="AB646" s="275"/>
      <c r="AC646" s="270"/>
      <c r="AD646" s="270"/>
      <c r="AE646" s="264"/>
      <c r="AF646" s="271"/>
      <c r="AG646" s="278"/>
      <c r="AH646" s="277" t="str">
        <f>CONCATENATE(YEAR(TAB_Offres[[#This Row],[Request date ]]),"-",MONTH(TAB_Offres[[#This Row],[Request date ]]))</f>
        <v>1900-1</v>
      </c>
      <c r="AI646" s="274" t="e">
        <f>IF(#REF!,1,0)</f>
        <v>#REF!</v>
      </c>
      <c r="AJ646" s="4"/>
      <c r="AK646" s="4"/>
      <c r="AL646" s="4"/>
      <c r="AN646" s="150"/>
      <c r="AQ646" s="4"/>
    </row>
    <row r="647" spans="1:43" x14ac:dyDescent="0.25">
      <c r="A647" s="258">
        <f>ROW(TAB_Offres[[#This Row],[Reference]])-ROW(TAB_Offres[[#Headers],[ID]])</f>
        <v>646</v>
      </c>
      <c r="B647" s="258"/>
      <c r="C647" s="258"/>
      <c r="D647" s="258"/>
      <c r="E647" s="263"/>
      <c r="F647" s="258"/>
      <c r="G647" s="263"/>
      <c r="H647" s="262"/>
      <c r="I647" s="262"/>
      <c r="J647" s="262"/>
      <c r="K647" s="262"/>
      <c r="L647" s="262"/>
      <c r="M647" s="264"/>
      <c r="N647" s="262"/>
      <c r="O647" s="262"/>
      <c r="P647" s="262"/>
      <c r="Q647" s="263"/>
      <c r="R647" s="263"/>
      <c r="S647" s="292"/>
      <c r="T647" s="261"/>
      <c r="U647" s="261"/>
      <c r="V647" s="268"/>
      <c r="W647" s="268"/>
      <c r="X647" s="268"/>
      <c r="Y647" s="268"/>
      <c r="Z647" s="471">
        <f>SUMIF(TAB_CS[Reference],TAB_Offres[[#This Row],[Reference]],TAB_CS[Commited days])</f>
        <v>0</v>
      </c>
      <c r="AA647" s="269">
        <f>SUMIF(TAB_CS[Reference],TAB_Offres[[#This Row],[Reference]],TAB_CS[Commited amount])</f>
        <v>0</v>
      </c>
      <c r="AB647" s="275"/>
      <c r="AC647" s="270"/>
      <c r="AD647" s="270"/>
      <c r="AE647" s="264"/>
      <c r="AF647" s="271"/>
      <c r="AG647" s="278"/>
      <c r="AH647" s="277" t="str">
        <f>CONCATENATE(YEAR(TAB_Offres[[#This Row],[Request date ]]),"-",MONTH(TAB_Offres[[#This Row],[Request date ]]))</f>
        <v>1900-1</v>
      </c>
      <c r="AI647" s="274" t="e">
        <f>IF(#REF!,1,0)</f>
        <v>#REF!</v>
      </c>
      <c r="AJ647" s="4"/>
      <c r="AK647" s="4"/>
      <c r="AL647" s="4"/>
      <c r="AN647" s="150"/>
      <c r="AQ647" s="4"/>
    </row>
    <row r="648" spans="1:43" x14ac:dyDescent="0.25">
      <c r="A648" s="258">
        <f>ROW(TAB_Offres[[#This Row],[Reference]])-ROW(TAB_Offres[[#Headers],[ID]])</f>
        <v>647</v>
      </c>
      <c r="B648" s="258"/>
      <c r="C648" s="258"/>
      <c r="D648" s="258"/>
      <c r="E648" s="263"/>
      <c r="F648" s="258"/>
      <c r="G648" s="263"/>
      <c r="H648" s="262"/>
      <c r="I648" s="262"/>
      <c r="J648" s="262"/>
      <c r="K648" s="262"/>
      <c r="L648" s="262"/>
      <c r="M648" s="264"/>
      <c r="N648" s="262"/>
      <c r="O648" s="262"/>
      <c r="P648" s="262"/>
      <c r="Q648" s="263"/>
      <c r="R648" s="263"/>
      <c r="S648" s="292"/>
      <c r="T648" s="261"/>
      <c r="U648" s="261"/>
      <c r="V648" s="268"/>
      <c r="W648" s="268"/>
      <c r="X648" s="268"/>
      <c r="Y648" s="268"/>
      <c r="Z648" s="471">
        <f>SUMIF(TAB_CS[Reference],TAB_Offres[[#This Row],[Reference]],TAB_CS[Commited days])</f>
        <v>0</v>
      </c>
      <c r="AA648" s="269">
        <f>SUMIF(TAB_CS[Reference],TAB_Offres[[#This Row],[Reference]],TAB_CS[Commited amount])</f>
        <v>0</v>
      </c>
      <c r="AB648" s="275"/>
      <c r="AC648" s="270"/>
      <c r="AD648" s="270"/>
      <c r="AE648" s="264"/>
      <c r="AF648" s="271"/>
      <c r="AG648" s="278"/>
      <c r="AH648" s="277" t="str">
        <f>CONCATENATE(YEAR(TAB_Offres[[#This Row],[Request date ]]),"-",MONTH(TAB_Offres[[#This Row],[Request date ]]))</f>
        <v>1900-1</v>
      </c>
      <c r="AI648" s="274" t="e">
        <f>IF(#REF!,1,0)</f>
        <v>#REF!</v>
      </c>
      <c r="AJ648" s="4"/>
      <c r="AK648" s="4"/>
      <c r="AL648" s="4"/>
      <c r="AN648" s="150"/>
      <c r="AQ648" s="4"/>
    </row>
    <row r="649" spans="1:43" x14ac:dyDescent="0.25">
      <c r="A649" s="258">
        <f>ROW(TAB_Offres[[#This Row],[Reference]])-ROW(TAB_Offres[[#Headers],[ID]])</f>
        <v>648</v>
      </c>
      <c r="B649" s="258"/>
      <c r="C649" s="258"/>
      <c r="D649" s="258"/>
      <c r="E649" s="263"/>
      <c r="F649" s="258"/>
      <c r="G649" s="263"/>
      <c r="H649" s="262"/>
      <c r="I649" s="262"/>
      <c r="J649" s="262"/>
      <c r="K649" s="262"/>
      <c r="L649" s="262"/>
      <c r="M649" s="264"/>
      <c r="N649" s="262"/>
      <c r="O649" s="262"/>
      <c r="P649" s="262"/>
      <c r="Q649" s="263"/>
      <c r="R649" s="263"/>
      <c r="S649" s="292"/>
      <c r="T649" s="261"/>
      <c r="U649" s="261"/>
      <c r="V649" s="268"/>
      <c r="W649" s="268"/>
      <c r="X649" s="268"/>
      <c r="Y649" s="268"/>
      <c r="Z649" s="471">
        <f>SUMIF(TAB_CS[Reference],TAB_Offres[[#This Row],[Reference]],TAB_CS[Commited days])</f>
        <v>0</v>
      </c>
      <c r="AA649" s="269">
        <f>SUMIF(TAB_CS[Reference],TAB_Offres[[#This Row],[Reference]],TAB_CS[Commited amount])</f>
        <v>0</v>
      </c>
      <c r="AB649" s="275"/>
      <c r="AC649" s="270"/>
      <c r="AD649" s="270"/>
      <c r="AE649" s="264"/>
      <c r="AF649" s="271"/>
      <c r="AG649" s="278"/>
      <c r="AH649" s="277" t="str">
        <f>CONCATENATE(YEAR(TAB_Offres[[#This Row],[Request date ]]),"-",MONTH(TAB_Offres[[#This Row],[Request date ]]))</f>
        <v>1900-1</v>
      </c>
      <c r="AI649" s="274" t="e">
        <f>IF(#REF!,1,0)</f>
        <v>#REF!</v>
      </c>
      <c r="AJ649" s="4"/>
      <c r="AK649" s="4"/>
      <c r="AL649" s="4"/>
      <c r="AN649" s="150"/>
      <c r="AQ649" s="4"/>
    </row>
    <row r="650" spans="1:43" x14ac:dyDescent="0.25">
      <c r="A650" s="258">
        <f>ROW(TAB_Offres[[#This Row],[Reference]])-ROW(TAB_Offres[[#Headers],[ID]])</f>
        <v>649</v>
      </c>
      <c r="B650" s="258"/>
      <c r="C650" s="258"/>
      <c r="D650" s="258"/>
      <c r="E650" s="263"/>
      <c r="F650" s="258"/>
      <c r="G650" s="263"/>
      <c r="H650" s="262"/>
      <c r="I650" s="262"/>
      <c r="J650" s="262"/>
      <c r="K650" s="262"/>
      <c r="L650" s="262"/>
      <c r="M650" s="264"/>
      <c r="N650" s="262"/>
      <c r="O650" s="262"/>
      <c r="P650" s="262"/>
      <c r="Q650" s="263"/>
      <c r="R650" s="263"/>
      <c r="S650" s="292"/>
      <c r="T650" s="261"/>
      <c r="U650" s="261"/>
      <c r="V650" s="268"/>
      <c r="W650" s="268"/>
      <c r="X650" s="268"/>
      <c r="Y650" s="268"/>
      <c r="Z650" s="471">
        <f>SUMIF(TAB_CS[Reference],TAB_Offres[[#This Row],[Reference]],TAB_CS[Commited days])</f>
        <v>0</v>
      </c>
      <c r="AA650" s="269">
        <f>SUMIF(TAB_CS[Reference],TAB_Offres[[#This Row],[Reference]],TAB_CS[Commited amount])</f>
        <v>0</v>
      </c>
      <c r="AB650" s="275"/>
      <c r="AC650" s="270"/>
      <c r="AD650" s="270"/>
      <c r="AE650" s="264"/>
      <c r="AF650" s="271"/>
      <c r="AG650" s="278"/>
      <c r="AH650" s="277" t="str">
        <f>CONCATENATE(YEAR(TAB_Offres[[#This Row],[Request date ]]),"-",MONTH(TAB_Offres[[#This Row],[Request date ]]))</f>
        <v>1900-1</v>
      </c>
      <c r="AI650" s="274" t="e">
        <f>IF(#REF!,1,0)</f>
        <v>#REF!</v>
      </c>
      <c r="AJ650" s="4"/>
      <c r="AK650" s="4"/>
      <c r="AL650" s="4"/>
      <c r="AN650" s="150"/>
      <c r="AQ650" s="4"/>
    </row>
    <row r="651" spans="1:43" x14ac:dyDescent="0.25">
      <c r="A651" s="258">
        <f>ROW(TAB_Offres[[#This Row],[Reference]])-ROW(TAB_Offres[[#Headers],[ID]])</f>
        <v>650</v>
      </c>
      <c r="B651" s="258"/>
      <c r="C651" s="258"/>
      <c r="D651" s="258"/>
      <c r="E651" s="263"/>
      <c r="F651" s="258"/>
      <c r="G651" s="263"/>
      <c r="H651" s="262"/>
      <c r="I651" s="262"/>
      <c r="J651" s="262"/>
      <c r="K651" s="262"/>
      <c r="L651" s="262"/>
      <c r="M651" s="264"/>
      <c r="N651" s="262"/>
      <c r="O651" s="262"/>
      <c r="P651" s="262"/>
      <c r="Q651" s="263"/>
      <c r="R651" s="263"/>
      <c r="S651" s="292"/>
      <c r="T651" s="261"/>
      <c r="U651" s="261"/>
      <c r="V651" s="268"/>
      <c r="W651" s="268"/>
      <c r="X651" s="268"/>
      <c r="Y651" s="268"/>
      <c r="Z651" s="471">
        <f>SUMIF(TAB_CS[Reference],TAB_Offres[[#This Row],[Reference]],TAB_CS[Commited days])</f>
        <v>0</v>
      </c>
      <c r="AA651" s="269">
        <f>SUMIF(TAB_CS[Reference],TAB_Offres[[#This Row],[Reference]],TAB_CS[Commited amount])</f>
        <v>0</v>
      </c>
      <c r="AB651" s="275"/>
      <c r="AC651" s="270"/>
      <c r="AD651" s="270"/>
      <c r="AE651" s="264"/>
      <c r="AF651" s="271"/>
      <c r="AG651" s="278"/>
      <c r="AH651" s="277" t="str">
        <f>CONCATENATE(YEAR(TAB_Offres[[#This Row],[Request date ]]),"-",MONTH(TAB_Offres[[#This Row],[Request date ]]))</f>
        <v>1900-1</v>
      </c>
      <c r="AI651" s="274" t="e">
        <f>IF(#REF!,1,0)</f>
        <v>#REF!</v>
      </c>
      <c r="AJ651" s="4"/>
      <c r="AK651" s="4"/>
      <c r="AL651" s="4"/>
      <c r="AN651" s="150"/>
      <c r="AQ651" s="4"/>
    </row>
    <row r="652" spans="1:43" x14ac:dyDescent="0.25">
      <c r="A652" s="258">
        <f>ROW(TAB_Offres[[#This Row],[Reference]])-ROW(TAB_Offres[[#Headers],[ID]])</f>
        <v>651</v>
      </c>
      <c r="B652" s="258"/>
      <c r="C652" s="258"/>
      <c r="D652" s="258"/>
      <c r="E652" s="263"/>
      <c r="F652" s="258"/>
      <c r="G652" s="263"/>
      <c r="H652" s="262"/>
      <c r="I652" s="262"/>
      <c r="J652" s="262"/>
      <c r="K652" s="262"/>
      <c r="L652" s="262"/>
      <c r="M652" s="264"/>
      <c r="N652" s="262"/>
      <c r="O652" s="262"/>
      <c r="P652" s="262"/>
      <c r="Q652" s="263"/>
      <c r="R652" s="263"/>
      <c r="S652" s="292"/>
      <c r="T652" s="261"/>
      <c r="U652" s="261"/>
      <c r="V652" s="268"/>
      <c r="W652" s="268"/>
      <c r="X652" s="268"/>
      <c r="Y652" s="268"/>
      <c r="Z652" s="471">
        <f>SUMIF(TAB_CS[Reference],TAB_Offres[[#This Row],[Reference]],TAB_CS[Commited days])</f>
        <v>0</v>
      </c>
      <c r="AA652" s="269">
        <f>SUMIF(TAB_CS[Reference],TAB_Offres[[#This Row],[Reference]],TAB_CS[Commited amount])</f>
        <v>0</v>
      </c>
      <c r="AB652" s="275"/>
      <c r="AC652" s="270"/>
      <c r="AD652" s="270"/>
      <c r="AE652" s="264"/>
      <c r="AF652" s="271"/>
      <c r="AG652" s="278"/>
      <c r="AH652" s="277" t="str">
        <f>CONCATENATE(YEAR(TAB_Offres[[#This Row],[Request date ]]),"-",MONTH(TAB_Offres[[#This Row],[Request date ]]))</f>
        <v>1900-1</v>
      </c>
      <c r="AI652" s="274" t="e">
        <f>IF(#REF!,1,0)</f>
        <v>#REF!</v>
      </c>
      <c r="AJ652" s="4"/>
      <c r="AK652" s="4"/>
      <c r="AL652" s="4"/>
      <c r="AN652" s="150"/>
      <c r="AQ652" s="4"/>
    </row>
    <row r="653" spans="1:43" x14ac:dyDescent="0.25">
      <c r="A653" s="258">
        <f>ROW(TAB_Offres[[#This Row],[Reference]])-ROW(TAB_Offres[[#Headers],[ID]])</f>
        <v>652</v>
      </c>
      <c r="B653" s="258"/>
      <c r="C653" s="258"/>
      <c r="D653" s="258"/>
      <c r="E653" s="263"/>
      <c r="F653" s="258"/>
      <c r="G653" s="263"/>
      <c r="H653" s="262"/>
      <c r="I653" s="262"/>
      <c r="J653" s="262"/>
      <c r="K653" s="262"/>
      <c r="L653" s="262"/>
      <c r="M653" s="264"/>
      <c r="N653" s="262"/>
      <c r="O653" s="262"/>
      <c r="P653" s="262"/>
      <c r="Q653" s="263"/>
      <c r="R653" s="263"/>
      <c r="S653" s="292"/>
      <c r="T653" s="261"/>
      <c r="U653" s="261"/>
      <c r="V653" s="268"/>
      <c r="W653" s="268"/>
      <c r="X653" s="268"/>
      <c r="Y653" s="268"/>
      <c r="Z653" s="471">
        <f>SUMIF(TAB_CS[Reference],TAB_Offres[[#This Row],[Reference]],TAB_CS[Commited days])</f>
        <v>0</v>
      </c>
      <c r="AA653" s="269">
        <f>SUMIF(TAB_CS[Reference],TAB_Offres[[#This Row],[Reference]],TAB_CS[Commited amount])</f>
        <v>0</v>
      </c>
      <c r="AB653" s="275"/>
      <c r="AC653" s="270"/>
      <c r="AD653" s="270"/>
      <c r="AE653" s="264"/>
      <c r="AF653" s="271"/>
      <c r="AG653" s="278"/>
      <c r="AH653" s="277" t="str">
        <f>CONCATENATE(YEAR(TAB_Offres[[#This Row],[Request date ]]),"-",MONTH(TAB_Offres[[#This Row],[Request date ]]))</f>
        <v>1900-1</v>
      </c>
      <c r="AI653" s="274" t="e">
        <f>IF(#REF!,1,0)</f>
        <v>#REF!</v>
      </c>
      <c r="AJ653" s="4"/>
      <c r="AK653" s="4"/>
      <c r="AL653" s="4"/>
      <c r="AN653" s="150"/>
      <c r="AQ653" s="4"/>
    </row>
    <row r="654" spans="1:43" x14ac:dyDescent="0.25">
      <c r="A654" s="258">
        <f>ROW(TAB_Offres[[#This Row],[Reference]])-ROW(TAB_Offres[[#Headers],[ID]])</f>
        <v>653</v>
      </c>
      <c r="B654" s="258"/>
      <c r="C654" s="258"/>
      <c r="D654" s="258"/>
      <c r="E654" s="263"/>
      <c r="F654" s="258"/>
      <c r="G654" s="263"/>
      <c r="H654" s="262"/>
      <c r="I654" s="262"/>
      <c r="J654" s="262"/>
      <c r="K654" s="262"/>
      <c r="L654" s="262"/>
      <c r="M654" s="264"/>
      <c r="N654" s="262"/>
      <c r="O654" s="262"/>
      <c r="P654" s="262"/>
      <c r="Q654" s="263"/>
      <c r="R654" s="263"/>
      <c r="S654" s="292"/>
      <c r="T654" s="261"/>
      <c r="U654" s="261"/>
      <c r="V654" s="268"/>
      <c r="W654" s="268"/>
      <c r="X654" s="268"/>
      <c r="Y654" s="268"/>
      <c r="Z654" s="471">
        <f>SUMIF(TAB_CS[Reference],TAB_Offres[[#This Row],[Reference]],TAB_CS[Commited days])</f>
        <v>0</v>
      </c>
      <c r="AA654" s="269">
        <f>SUMIF(TAB_CS[Reference],TAB_Offres[[#This Row],[Reference]],TAB_CS[Commited amount])</f>
        <v>0</v>
      </c>
      <c r="AB654" s="275"/>
      <c r="AC654" s="270"/>
      <c r="AD654" s="270"/>
      <c r="AE654" s="264"/>
      <c r="AF654" s="271"/>
      <c r="AG654" s="278"/>
      <c r="AH654" s="277" t="str">
        <f>CONCATENATE(YEAR(TAB_Offres[[#This Row],[Request date ]]),"-",MONTH(TAB_Offres[[#This Row],[Request date ]]))</f>
        <v>1900-1</v>
      </c>
      <c r="AI654" s="274" t="e">
        <f>IF(#REF!,1,0)</f>
        <v>#REF!</v>
      </c>
      <c r="AJ654" s="4"/>
      <c r="AK654" s="4"/>
      <c r="AL654" s="4"/>
      <c r="AN654" s="150"/>
      <c r="AQ654" s="4"/>
    </row>
    <row r="655" spans="1:43" x14ac:dyDescent="0.25">
      <c r="A655" s="258">
        <f>ROW(TAB_Offres[[#This Row],[Reference]])-ROW(TAB_Offres[[#Headers],[ID]])</f>
        <v>654</v>
      </c>
      <c r="B655" s="258"/>
      <c r="C655" s="258"/>
      <c r="D655" s="258"/>
      <c r="E655" s="263"/>
      <c r="F655" s="258"/>
      <c r="G655" s="263"/>
      <c r="H655" s="262"/>
      <c r="I655" s="262"/>
      <c r="J655" s="262"/>
      <c r="K655" s="262"/>
      <c r="L655" s="262"/>
      <c r="M655" s="264"/>
      <c r="N655" s="262"/>
      <c r="O655" s="262"/>
      <c r="P655" s="262"/>
      <c r="Q655" s="263"/>
      <c r="R655" s="263"/>
      <c r="S655" s="292"/>
      <c r="T655" s="261"/>
      <c r="U655" s="261"/>
      <c r="V655" s="268"/>
      <c r="W655" s="268"/>
      <c r="X655" s="268"/>
      <c r="Y655" s="268"/>
      <c r="Z655" s="471">
        <f>SUMIF(TAB_CS[Reference],TAB_Offres[[#This Row],[Reference]],TAB_CS[Commited days])</f>
        <v>0</v>
      </c>
      <c r="AA655" s="269">
        <f>SUMIF(TAB_CS[Reference],TAB_Offres[[#This Row],[Reference]],TAB_CS[Commited amount])</f>
        <v>0</v>
      </c>
      <c r="AB655" s="275"/>
      <c r="AC655" s="270"/>
      <c r="AD655" s="270"/>
      <c r="AE655" s="264"/>
      <c r="AF655" s="271"/>
      <c r="AG655" s="278"/>
      <c r="AH655" s="277" t="str">
        <f>CONCATENATE(YEAR(TAB_Offres[[#This Row],[Request date ]]),"-",MONTH(TAB_Offres[[#This Row],[Request date ]]))</f>
        <v>1900-1</v>
      </c>
      <c r="AI655" s="274" t="e">
        <f>IF(#REF!,1,0)</f>
        <v>#REF!</v>
      </c>
      <c r="AJ655" s="4"/>
      <c r="AK655" s="4"/>
      <c r="AL655" s="4"/>
      <c r="AN655" s="150"/>
      <c r="AQ655" s="4"/>
    </row>
    <row r="656" spans="1:43" x14ac:dyDescent="0.25">
      <c r="A656" s="258">
        <f>ROW(TAB_Offres[[#This Row],[Reference]])-ROW(TAB_Offres[[#Headers],[ID]])</f>
        <v>655</v>
      </c>
      <c r="B656" s="258"/>
      <c r="C656" s="258"/>
      <c r="D656" s="258"/>
      <c r="E656" s="263"/>
      <c r="F656" s="258"/>
      <c r="G656" s="263"/>
      <c r="H656" s="262"/>
      <c r="I656" s="262"/>
      <c r="J656" s="262"/>
      <c r="K656" s="262"/>
      <c r="L656" s="262"/>
      <c r="M656" s="264"/>
      <c r="N656" s="262"/>
      <c r="O656" s="262"/>
      <c r="P656" s="262"/>
      <c r="Q656" s="263"/>
      <c r="R656" s="263"/>
      <c r="S656" s="292"/>
      <c r="T656" s="261"/>
      <c r="U656" s="261"/>
      <c r="V656" s="268"/>
      <c r="W656" s="268"/>
      <c r="X656" s="268"/>
      <c r="Y656" s="268"/>
      <c r="Z656" s="471">
        <f>SUMIF(TAB_CS[Reference],TAB_Offres[[#This Row],[Reference]],TAB_CS[Commited days])</f>
        <v>0</v>
      </c>
      <c r="AA656" s="269">
        <f>SUMIF(TAB_CS[Reference],TAB_Offres[[#This Row],[Reference]],TAB_CS[Commited amount])</f>
        <v>0</v>
      </c>
      <c r="AB656" s="275"/>
      <c r="AC656" s="270"/>
      <c r="AD656" s="270"/>
      <c r="AE656" s="264"/>
      <c r="AF656" s="271"/>
      <c r="AG656" s="278"/>
      <c r="AH656" s="277" t="str">
        <f>CONCATENATE(YEAR(TAB_Offres[[#This Row],[Request date ]]),"-",MONTH(TAB_Offres[[#This Row],[Request date ]]))</f>
        <v>1900-1</v>
      </c>
      <c r="AI656" s="274" t="e">
        <f>IF(#REF!,1,0)</f>
        <v>#REF!</v>
      </c>
      <c r="AJ656" s="4"/>
      <c r="AK656" s="4"/>
      <c r="AL656" s="4"/>
      <c r="AN656" s="150"/>
      <c r="AQ656" s="4"/>
    </row>
    <row r="657" spans="1:43" x14ac:dyDescent="0.25">
      <c r="A657" s="258">
        <f>ROW(TAB_Offres[[#This Row],[Reference]])-ROW(TAB_Offres[[#Headers],[ID]])</f>
        <v>656</v>
      </c>
      <c r="B657" s="258"/>
      <c r="C657" s="258"/>
      <c r="D657" s="258"/>
      <c r="E657" s="263"/>
      <c r="F657" s="258"/>
      <c r="G657" s="263"/>
      <c r="H657" s="262"/>
      <c r="I657" s="262"/>
      <c r="J657" s="262"/>
      <c r="K657" s="262"/>
      <c r="L657" s="262"/>
      <c r="M657" s="264"/>
      <c r="N657" s="262"/>
      <c r="O657" s="262"/>
      <c r="P657" s="262"/>
      <c r="Q657" s="263"/>
      <c r="R657" s="263"/>
      <c r="S657" s="292"/>
      <c r="T657" s="261"/>
      <c r="U657" s="261"/>
      <c r="V657" s="268"/>
      <c r="W657" s="268"/>
      <c r="X657" s="268"/>
      <c r="Y657" s="268"/>
      <c r="Z657" s="471">
        <f>SUMIF(TAB_CS[Reference],TAB_Offres[[#This Row],[Reference]],TAB_CS[Commited days])</f>
        <v>0</v>
      </c>
      <c r="AA657" s="269">
        <f>SUMIF(TAB_CS[Reference],TAB_Offres[[#This Row],[Reference]],TAB_CS[Commited amount])</f>
        <v>0</v>
      </c>
      <c r="AB657" s="275"/>
      <c r="AC657" s="270"/>
      <c r="AD657" s="270"/>
      <c r="AE657" s="264"/>
      <c r="AF657" s="271"/>
      <c r="AG657" s="278"/>
      <c r="AH657" s="277" t="str">
        <f>CONCATENATE(YEAR(TAB_Offres[[#This Row],[Request date ]]),"-",MONTH(TAB_Offres[[#This Row],[Request date ]]))</f>
        <v>1900-1</v>
      </c>
      <c r="AI657" s="274" t="e">
        <f>IF(#REF!,1,0)</f>
        <v>#REF!</v>
      </c>
      <c r="AJ657" s="4"/>
      <c r="AK657" s="4"/>
      <c r="AL657" s="4"/>
      <c r="AN657" s="150"/>
      <c r="AQ657" s="4"/>
    </row>
    <row r="658" spans="1:43" x14ac:dyDescent="0.25">
      <c r="A658" s="258">
        <f>ROW(TAB_Offres[[#This Row],[Reference]])-ROW(TAB_Offres[[#Headers],[ID]])</f>
        <v>657</v>
      </c>
      <c r="B658" s="258"/>
      <c r="C658" s="258"/>
      <c r="D658" s="258"/>
      <c r="E658" s="263"/>
      <c r="F658" s="258"/>
      <c r="G658" s="263"/>
      <c r="H658" s="262"/>
      <c r="I658" s="262"/>
      <c r="J658" s="262"/>
      <c r="K658" s="262"/>
      <c r="L658" s="262"/>
      <c r="M658" s="264"/>
      <c r="N658" s="262"/>
      <c r="O658" s="262"/>
      <c r="P658" s="262"/>
      <c r="Q658" s="263"/>
      <c r="R658" s="263"/>
      <c r="S658" s="292"/>
      <c r="T658" s="261"/>
      <c r="U658" s="261"/>
      <c r="V658" s="268"/>
      <c r="W658" s="268"/>
      <c r="X658" s="268"/>
      <c r="Y658" s="268"/>
      <c r="Z658" s="471">
        <f>SUMIF(TAB_CS[Reference],TAB_Offres[[#This Row],[Reference]],TAB_CS[Commited days])</f>
        <v>0</v>
      </c>
      <c r="AA658" s="269">
        <f>SUMIF(TAB_CS[Reference],TAB_Offres[[#This Row],[Reference]],TAB_CS[Commited amount])</f>
        <v>0</v>
      </c>
      <c r="AB658" s="275"/>
      <c r="AC658" s="270"/>
      <c r="AD658" s="270"/>
      <c r="AE658" s="264"/>
      <c r="AF658" s="271"/>
      <c r="AG658" s="278"/>
      <c r="AH658" s="277" t="str">
        <f>CONCATENATE(YEAR(TAB_Offres[[#This Row],[Request date ]]),"-",MONTH(TAB_Offres[[#This Row],[Request date ]]))</f>
        <v>1900-1</v>
      </c>
      <c r="AI658" s="274" t="e">
        <f>IF(#REF!,1,0)</f>
        <v>#REF!</v>
      </c>
      <c r="AJ658" s="4"/>
      <c r="AK658" s="4"/>
      <c r="AL658" s="4"/>
      <c r="AN658" s="150"/>
      <c r="AQ658" s="4"/>
    </row>
    <row r="659" spans="1:43" x14ac:dyDescent="0.25">
      <c r="A659" s="258">
        <f>ROW(TAB_Offres[[#This Row],[Reference]])-ROW(TAB_Offres[[#Headers],[ID]])</f>
        <v>658</v>
      </c>
      <c r="B659" s="258"/>
      <c r="C659" s="258"/>
      <c r="D659" s="258"/>
      <c r="E659" s="263"/>
      <c r="F659" s="258"/>
      <c r="G659" s="263"/>
      <c r="H659" s="262"/>
      <c r="I659" s="262"/>
      <c r="J659" s="262"/>
      <c r="K659" s="262"/>
      <c r="L659" s="262"/>
      <c r="M659" s="264"/>
      <c r="N659" s="262"/>
      <c r="O659" s="262"/>
      <c r="P659" s="262"/>
      <c r="Q659" s="263"/>
      <c r="R659" s="263"/>
      <c r="S659" s="292"/>
      <c r="T659" s="261"/>
      <c r="U659" s="261"/>
      <c r="V659" s="268"/>
      <c r="W659" s="268"/>
      <c r="X659" s="268"/>
      <c r="Y659" s="268"/>
      <c r="Z659" s="471">
        <f>SUMIF(TAB_CS[Reference],TAB_Offres[[#This Row],[Reference]],TAB_CS[Commited days])</f>
        <v>0</v>
      </c>
      <c r="AA659" s="269">
        <f>SUMIF(TAB_CS[Reference],TAB_Offres[[#This Row],[Reference]],TAB_CS[Commited amount])</f>
        <v>0</v>
      </c>
      <c r="AB659" s="275"/>
      <c r="AC659" s="270"/>
      <c r="AD659" s="270"/>
      <c r="AE659" s="264"/>
      <c r="AF659" s="271"/>
      <c r="AG659" s="278"/>
      <c r="AH659" s="277" t="str">
        <f>CONCATENATE(YEAR(TAB_Offres[[#This Row],[Request date ]]),"-",MONTH(TAB_Offres[[#This Row],[Request date ]]))</f>
        <v>1900-1</v>
      </c>
      <c r="AI659" s="274" t="e">
        <f>IF(#REF!,1,0)</f>
        <v>#REF!</v>
      </c>
      <c r="AJ659" s="4"/>
      <c r="AK659" s="4"/>
      <c r="AL659" s="4"/>
      <c r="AN659" s="150"/>
      <c r="AQ659" s="4"/>
    </row>
    <row r="660" spans="1:43" x14ac:dyDescent="0.25">
      <c r="A660" s="258">
        <f>ROW(TAB_Offres[[#This Row],[Reference]])-ROW(TAB_Offres[[#Headers],[ID]])</f>
        <v>659</v>
      </c>
      <c r="B660" s="258"/>
      <c r="C660" s="258"/>
      <c r="D660" s="258"/>
      <c r="E660" s="263"/>
      <c r="F660" s="258"/>
      <c r="G660" s="263"/>
      <c r="H660" s="262"/>
      <c r="I660" s="262"/>
      <c r="J660" s="262"/>
      <c r="K660" s="262"/>
      <c r="L660" s="262"/>
      <c r="M660" s="264"/>
      <c r="N660" s="262"/>
      <c r="O660" s="262"/>
      <c r="P660" s="262"/>
      <c r="Q660" s="263"/>
      <c r="R660" s="263"/>
      <c r="S660" s="292"/>
      <c r="T660" s="261"/>
      <c r="U660" s="261"/>
      <c r="V660" s="268"/>
      <c r="W660" s="268"/>
      <c r="X660" s="268"/>
      <c r="Y660" s="268"/>
      <c r="Z660" s="471">
        <f>SUMIF(TAB_CS[Reference],TAB_Offres[[#This Row],[Reference]],TAB_CS[Commited days])</f>
        <v>0</v>
      </c>
      <c r="AA660" s="269">
        <f>SUMIF(TAB_CS[Reference],TAB_Offres[[#This Row],[Reference]],TAB_CS[Commited amount])</f>
        <v>0</v>
      </c>
      <c r="AB660" s="275"/>
      <c r="AC660" s="270"/>
      <c r="AD660" s="270"/>
      <c r="AE660" s="264"/>
      <c r="AF660" s="271"/>
      <c r="AG660" s="278"/>
      <c r="AH660" s="277" t="str">
        <f>CONCATENATE(YEAR(TAB_Offres[[#This Row],[Request date ]]),"-",MONTH(TAB_Offres[[#This Row],[Request date ]]))</f>
        <v>1900-1</v>
      </c>
      <c r="AI660" s="274" t="e">
        <f>IF(#REF!,1,0)</f>
        <v>#REF!</v>
      </c>
      <c r="AJ660" s="4"/>
      <c r="AK660" s="4"/>
      <c r="AL660" s="4"/>
      <c r="AN660" s="150"/>
      <c r="AQ660" s="4"/>
    </row>
    <row r="661" spans="1:43" x14ac:dyDescent="0.25">
      <c r="A661" s="258">
        <f>ROW(TAB_Offres[[#This Row],[Reference]])-ROW(TAB_Offres[[#Headers],[ID]])</f>
        <v>660</v>
      </c>
      <c r="B661" s="258"/>
      <c r="C661" s="258"/>
      <c r="D661" s="258"/>
      <c r="E661" s="263"/>
      <c r="F661" s="258"/>
      <c r="G661" s="263"/>
      <c r="H661" s="262"/>
      <c r="I661" s="262"/>
      <c r="J661" s="262"/>
      <c r="K661" s="262"/>
      <c r="L661" s="262"/>
      <c r="M661" s="264"/>
      <c r="N661" s="262"/>
      <c r="O661" s="262"/>
      <c r="P661" s="262"/>
      <c r="Q661" s="263"/>
      <c r="R661" s="263"/>
      <c r="S661" s="292"/>
      <c r="T661" s="261"/>
      <c r="U661" s="261"/>
      <c r="V661" s="268"/>
      <c r="W661" s="268"/>
      <c r="X661" s="268"/>
      <c r="Y661" s="268"/>
      <c r="Z661" s="471">
        <f>SUMIF(TAB_CS[Reference],TAB_Offres[[#This Row],[Reference]],TAB_CS[Commited days])</f>
        <v>0</v>
      </c>
      <c r="AA661" s="269">
        <f>SUMIF(TAB_CS[Reference],TAB_Offres[[#This Row],[Reference]],TAB_CS[Commited amount])</f>
        <v>0</v>
      </c>
      <c r="AB661" s="275"/>
      <c r="AC661" s="270"/>
      <c r="AD661" s="270"/>
      <c r="AE661" s="264"/>
      <c r="AF661" s="271"/>
      <c r="AG661" s="278"/>
      <c r="AH661" s="277" t="str">
        <f>CONCATENATE(YEAR(TAB_Offres[[#This Row],[Request date ]]),"-",MONTH(TAB_Offres[[#This Row],[Request date ]]))</f>
        <v>1900-1</v>
      </c>
      <c r="AI661" s="274" t="e">
        <f>IF(#REF!,1,0)</f>
        <v>#REF!</v>
      </c>
      <c r="AJ661" s="4"/>
      <c r="AK661" s="4"/>
      <c r="AL661" s="4"/>
      <c r="AN661" s="150"/>
      <c r="AQ661" s="4"/>
    </row>
    <row r="662" spans="1:43" x14ac:dyDescent="0.25">
      <c r="A662" s="258">
        <f>ROW(TAB_Offres[[#This Row],[Reference]])-ROW(TAB_Offres[[#Headers],[ID]])</f>
        <v>661</v>
      </c>
      <c r="B662" s="258"/>
      <c r="C662" s="258"/>
      <c r="D662" s="258"/>
      <c r="E662" s="263"/>
      <c r="F662" s="258"/>
      <c r="G662" s="263"/>
      <c r="H662" s="262"/>
      <c r="I662" s="262"/>
      <c r="J662" s="262"/>
      <c r="K662" s="262"/>
      <c r="L662" s="262"/>
      <c r="M662" s="264"/>
      <c r="N662" s="262"/>
      <c r="O662" s="262"/>
      <c r="P662" s="262"/>
      <c r="Q662" s="263"/>
      <c r="R662" s="263"/>
      <c r="S662" s="292"/>
      <c r="T662" s="261"/>
      <c r="U662" s="261"/>
      <c r="V662" s="268"/>
      <c r="W662" s="268"/>
      <c r="X662" s="268"/>
      <c r="Y662" s="268"/>
      <c r="Z662" s="471">
        <f>SUMIF(TAB_CS[Reference],TAB_Offres[[#This Row],[Reference]],TAB_CS[Commited days])</f>
        <v>0</v>
      </c>
      <c r="AA662" s="269">
        <f>SUMIF(TAB_CS[Reference],TAB_Offres[[#This Row],[Reference]],TAB_CS[Commited amount])</f>
        <v>0</v>
      </c>
      <c r="AB662" s="275"/>
      <c r="AC662" s="270"/>
      <c r="AD662" s="270"/>
      <c r="AE662" s="264"/>
      <c r="AF662" s="271"/>
      <c r="AG662" s="278"/>
      <c r="AH662" s="277" t="str">
        <f>CONCATENATE(YEAR(TAB_Offres[[#This Row],[Request date ]]),"-",MONTH(TAB_Offres[[#This Row],[Request date ]]))</f>
        <v>1900-1</v>
      </c>
      <c r="AI662" s="274" t="e">
        <f>IF(#REF!,1,0)</f>
        <v>#REF!</v>
      </c>
      <c r="AJ662" s="4"/>
      <c r="AK662" s="4"/>
      <c r="AL662" s="4"/>
      <c r="AN662" s="150"/>
      <c r="AQ662" s="4"/>
    </row>
    <row r="663" spans="1:43" x14ac:dyDescent="0.25">
      <c r="A663" s="258">
        <f>ROW(TAB_Offres[[#This Row],[Reference]])-ROW(TAB_Offres[[#Headers],[ID]])</f>
        <v>662</v>
      </c>
      <c r="B663" s="258"/>
      <c r="C663" s="258"/>
      <c r="D663" s="258"/>
      <c r="E663" s="263"/>
      <c r="F663" s="258"/>
      <c r="G663" s="263"/>
      <c r="H663" s="262"/>
      <c r="I663" s="262"/>
      <c r="J663" s="262"/>
      <c r="K663" s="262"/>
      <c r="L663" s="262"/>
      <c r="M663" s="264"/>
      <c r="N663" s="262"/>
      <c r="O663" s="262"/>
      <c r="P663" s="262"/>
      <c r="Q663" s="263"/>
      <c r="R663" s="263"/>
      <c r="S663" s="292"/>
      <c r="T663" s="261"/>
      <c r="U663" s="261"/>
      <c r="V663" s="268"/>
      <c r="W663" s="268"/>
      <c r="X663" s="268"/>
      <c r="Y663" s="268"/>
      <c r="Z663" s="471">
        <f>SUMIF(TAB_CS[Reference],TAB_Offres[[#This Row],[Reference]],TAB_CS[Commited days])</f>
        <v>0</v>
      </c>
      <c r="AA663" s="269">
        <f>SUMIF(TAB_CS[Reference],TAB_Offres[[#This Row],[Reference]],TAB_CS[Commited amount])</f>
        <v>0</v>
      </c>
      <c r="AB663" s="275"/>
      <c r="AC663" s="270"/>
      <c r="AD663" s="270"/>
      <c r="AE663" s="264"/>
      <c r="AF663" s="271"/>
      <c r="AG663" s="278"/>
      <c r="AH663" s="277" t="str">
        <f>CONCATENATE(YEAR(TAB_Offres[[#This Row],[Request date ]]),"-",MONTH(TAB_Offres[[#This Row],[Request date ]]))</f>
        <v>1900-1</v>
      </c>
      <c r="AI663" s="274" t="e">
        <f>IF(#REF!,1,0)</f>
        <v>#REF!</v>
      </c>
      <c r="AJ663" s="4"/>
      <c r="AK663" s="4"/>
      <c r="AL663" s="4"/>
      <c r="AN663" s="150"/>
      <c r="AQ663" s="4"/>
    </row>
    <row r="664" spans="1:43" x14ac:dyDescent="0.25">
      <c r="A664" s="258">
        <f>ROW(TAB_Offres[[#This Row],[Reference]])-ROW(TAB_Offres[[#Headers],[ID]])</f>
        <v>663</v>
      </c>
      <c r="B664" s="258"/>
      <c r="C664" s="258"/>
      <c r="D664" s="258"/>
      <c r="E664" s="263"/>
      <c r="F664" s="258"/>
      <c r="G664" s="263"/>
      <c r="H664" s="262"/>
      <c r="I664" s="262"/>
      <c r="J664" s="262"/>
      <c r="K664" s="262"/>
      <c r="L664" s="262"/>
      <c r="M664" s="264"/>
      <c r="N664" s="262"/>
      <c r="O664" s="262"/>
      <c r="P664" s="262"/>
      <c r="Q664" s="263"/>
      <c r="R664" s="263"/>
      <c r="S664" s="292"/>
      <c r="T664" s="261"/>
      <c r="U664" s="261"/>
      <c r="V664" s="268"/>
      <c r="W664" s="268"/>
      <c r="X664" s="268"/>
      <c r="Y664" s="268"/>
      <c r="Z664" s="471">
        <f>SUMIF(TAB_CS[Reference],TAB_Offres[[#This Row],[Reference]],TAB_CS[Commited days])</f>
        <v>0</v>
      </c>
      <c r="AA664" s="269">
        <f>SUMIF(TAB_CS[Reference],TAB_Offres[[#This Row],[Reference]],TAB_CS[Commited amount])</f>
        <v>0</v>
      </c>
      <c r="AB664" s="275"/>
      <c r="AC664" s="270"/>
      <c r="AD664" s="270"/>
      <c r="AE664" s="264"/>
      <c r="AF664" s="271"/>
      <c r="AG664" s="278"/>
      <c r="AH664" s="277" t="str">
        <f>CONCATENATE(YEAR(TAB_Offres[[#This Row],[Request date ]]),"-",MONTH(TAB_Offres[[#This Row],[Request date ]]))</f>
        <v>1900-1</v>
      </c>
      <c r="AI664" s="274" t="e">
        <f>IF(#REF!,1,0)</f>
        <v>#REF!</v>
      </c>
      <c r="AJ664" s="4"/>
      <c r="AK664" s="4"/>
      <c r="AL664" s="4"/>
      <c r="AN664" s="150"/>
      <c r="AQ664" s="4"/>
    </row>
    <row r="665" spans="1:43" x14ac:dyDescent="0.25">
      <c r="A665" s="258">
        <f>ROW(TAB_Offres[[#This Row],[Reference]])-ROW(TAB_Offres[[#Headers],[ID]])</f>
        <v>664</v>
      </c>
      <c r="B665" s="258"/>
      <c r="C665" s="258"/>
      <c r="D665" s="258"/>
      <c r="E665" s="263"/>
      <c r="F665" s="258"/>
      <c r="G665" s="263"/>
      <c r="H665" s="262"/>
      <c r="I665" s="262"/>
      <c r="J665" s="262"/>
      <c r="K665" s="262"/>
      <c r="L665" s="262"/>
      <c r="M665" s="264"/>
      <c r="N665" s="262"/>
      <c r="O665" s="262"/>
      <c r="P665" s="262"/>
      <c r="Q665" s="263"/>
      <c r="R665" s="263"/>
      <c r="S665" s="292"/>
      <c r="T665" s="261"/>
      <c r="U665" s="261"/>
      <c r="V665" s="268"/>
      <c r="W665" s="268"/>
      <c r="X665" s="268"/>
      <c r="Y665" s="268"/>
      <c r="Z665" s="471">
        <f>SUMIF(TAB_CS[Reference],TAB_Offres[[#This Row],[Reference]],TAB_CS[Commited days])</f>
        <v>0</v>
      </c>
      <c r="AA665" s="269">
        <f>SUMIF(TAB_CS[Reference],TAB_Offres[[#This Row],[Reference]],TAB_CS[Commited amount])</f>
        <v>0</v>
      </c>
      <c r="AB665" s="275"/>
      <c r="AC665" s="270"/>
      <c r="AD665" s="270"/>
      <c r="AE665" s="264"/>
      <c r="AF665" s="271"/>
      <c r="AG665" s="278"/>
      <c r="AH665" s="277" t="str">
        <f>CONCATENATE(YEAR(TAB_Offres[[#This Row],[Request date ]]),"-",MONTH(TAB_Offres[[#This Row],[Request date ]]))</f>
        <v>1900-1</v>
      </c>
      <c r="AI665" s="274" t="e">
        <f>IF(#REF!,1,0)</f>
        <v>#REF!</v>
      </c>
      <c r="AJ665" s="4"/>
      <c r="AK665" s="4"/>
      <c r="AL665" s="4"/>
      <c r="AN665" s="150"/>
      <c r="AQ665" s="4"/>
    </row>
    <row r="666" spans="1:43" x14ac:dyDescent="0.25">
      <c r="A666" s="258">
        <f>ROW(TAB_Offres[[#This Row],[Reference]])-ROW(TAB_Offres[[#Headers],[ID]])</f>
        <v>665</v>
      </c>
      <c r="B666" s="258"/>
      <c r="C666" s="258"/>
      <c r="D666" s="258"/>
      <c r="E666" s="263"/>
      <c r="F666" s="258"/>
      <c r="G666" s="263"/>
      <c r="H666" s="262"/>
      <c r="I666" s="262"/>
      <c r="J666" s="262"/>
      <c r="K666" s="262"/>
      <c r="L666" s="262"/>
      <c r="M666" s="264"/>
      <c r="N666" s="262"/>
      <c r="O666" s="262"/>
      <c r="P666" s="262"/>
      <c r="Q666" s="263"/>
      <c r="R666" s="263"/>
      <c r="S666" s="292"/>
      <c r="T666" s="261"/>
      <c r="U666" s="261"/>
      <c r="V666" s="268"/>
      <c r="W666" s="268"/>
      <c r="X666" s="268"/>
      <c r="Y666" s="268"/>
      <c r="Z666" s="471">
        <f>SUMIF(TAB_CS[Reference],TAB_Offres[[#This Row],[Reference]],TAB_CS[Commited days])</f>
        <v>0</v>
      </c>
      <c r="AA666" s="269">
        <f>SUMIF(TAB_CS[Reference],TAB_Offres[[#This Row],[Reference]],TAB_CS[Commited amount])</f>
        <v>0</v>
      </c>
      <c r="AB666" s="275"/>
      <c r="AC666" s="270"/>
      <c r="AD666" s="270"/>
      <c r="AE666" s="264"/>
      <c r="AF666" s="271"/>
      <c r="AG666" s="278"/>
      <c r="AH666" s="277" t="str">
        <f>CONCATENATE(YEAR(TAB_Offres[[#This Row],[Request date ]]),"-",MONTH(TAB_Offres[[#This Row],[Request date ]]))</f>
        <v>1900-1</v>
      </c>
      <c r="AI666" s="274" t="e">
        <f>IF(#REF!,1,0)</f>
        <v>#REF!</v>
      </c>
      <c r="AJ666" s="4"/>
      <c r="AK666" s="4"/>
      <c r="AL666" s="4"/>
      <c r="AN666" s="150"/>
      <c r="AQ666" s="4"/>
    </row>
    <row r="667" spans="1:43" x14ac:dyDescent="0.25">
      <c r="A667" s="258">
        <f>ROW(TAB_Offres[[#This Row],[Reference]])-ROW(TAB_Offres[[#Headers],[ID]])</f>
        <v>666</v>
      </c>
      <c r="B667" s="258"/>
      <c r="C667" s="258"/>
      <c r="D667" s="258"/>
      <c r="E667" s="263"/>
      <c r="F667" s="258"/>
      <c r="G667" s="263"/>
      <c r="H667" s="262"/>
      <c r="I667" s="262"/>
      <c r="J667" s="262"/>
      <c r="K667" s="262"/>
      <c r="L667" s="262"/>
      <c r="M667" s="264"/>
      <c r="N667" s="262"/>
      <c r="O667" s="262"/>
      <c r="P667" s="262"/>
      <c r="Q667" s="263"/>
      <c r="R667" s="263"/>
      <c r="S667" s="292"/>
      <c r="T667" s="261"/>
      <c r="U667" s="261"/>
      <c r="V667" s="268"/>
      <c r="W667" s="268"/>
      <c r="X667" s="268"/>
      <c r="Y667" s="268"/>
      <c r="Z667" s="471">
        <f>SUMIF(TAB_CS[Reference],TAB_Offres[[#This Row],[Reference]],TAB_CS[Commited days])</f>
        <v>0</v>
      </c>
      <c r="AA667" s="269">
        <f>SUMIF(TAB_CS[Reference],TAB_Offres[[#This Row],[Reference]],TAB_CS[Commited amount])</f>
        <v>0</v>
      </c>
      <c r="AB667" s="275"/>
      <c r="AC667" s="270"/>
      <c r="AD667" s="270"/>
      <c r="AE667" s="264"/>
      <c r="AF667" s="271"/>
      <c r="AG667" s="278"/>
      <c r="AH667" s="277" t="str">
        <f>CONCATENATE(YEAR(TAB_Offres[[#This Row],[Request date ]]),"-",MONTH(TAB_Offres[[#This Row],[Request date ]]))</f>
        <v>1900-1</v>
      </c>
      <c r="AI667" s="274" t="e">
        <f>IF(#REF!,1,0)</f>
        <v>#REF!</v>
      </c>
      <c r="AJ667" s="4"/>
      <c r="AK667" s="4"/>
      <c r="AL667" s="4"/>
      <c r="AN667" s="150"/>
      <c r="AQ667" s="4"/>
    </row>
    <row r="668" spans="1:43" x14ac:dyDescent="0.25">
      <c r="A668" s="258">
        <f>ROW(TAB_Offres[[#This Row],[Reference]])-ROW(TAB_Offres[[#Headers],[ID]])</f>
        <v>667</v>
      </c>
      <c r="B668" s="258"/>
      <c r="C668" s="258"/>
      <c r="D668" s="258"/>
      <c r="E668" s="263"/>
      <c r="F668" s="258"/>
      <c r="G668" s="263"/>
      <c r="H668" s="262"/>
      <c r="I668" s="262"/>
      <c r="J668" s="262"/>
      <c r="K668" s="262"/>
      <c r="L668" s="262"/>
      <c r="M668" s="264"/>
      <c r="N668" s="262"/>
      <c r="O668" s="262"/>
      <c r="P668" s="262"/>
      <c r="Q668" s="263"/>
      <c r="R668" s="263"/>
      <c r="S668" s="292"/>
      <c r="T668" s="261"/>
      <c r="U668" s="261"/>
      <c r="V668" s="268"/>
      <c r="W668" s="268"/>
      <c r="X668" s="268"/>
      <c r="Y668" s="268"/>
      <c r="Z668" s="471">
        <f>SUMIF(TAB_CS[Reference],TAB_Offres[[#This Row],[Reference]],TAB_CS[Commited days])</f>
        <v>0</v>
      </c>
      <c r="AA668" s="269">
        <f>SUMIF(TAB_CS[Reference],TAB_Offres[[#This Row],[Reference]],TAB_CS[Commited amount])</f>
        <v>0</v>
      </c>
      <c r="AB668" s="275"/>
      <c r="AC668" s="270"/>
      <c r="AD668" s="270"/>
      <c r="AE668" s="264"/>
      <c r="AF668" s="271"/>
      <c r="AG668" s="278"/>
      <c r="AH668" s="277" t="str">
        <f>CONCATENATE(YEAR(TAB_Offres[[#This Row],[Request date ]]),"-",MONTH(TAB_Offres[[#This Row],[Request date ]]))</f>
        <v>1900-1</v>
      </c>
      <c r="AI668" s="274" t="e">
        <f>IF(#REF!,1,0)</f>
        <v>#REF!</v>
      </c>
      <c r="AJ668" s="4"/>
      <c r="AK668" s="4"/>
      <c r="AL668" s="4"/>
      <c r="AN668" s="150"/>
      <c r="AQ668" s="4"/>
    </row>
    <row r="669" spans="1:43" x14ac:dyDescent="0.25">
      <c r="A669" s="258">
        <f>ROW(TAB_Offres[[#This Row],[Reference]])-ROW(TAB_Offres[[#Headers],[ID]])</f>
        <v>668</v>
      </c>
      <c r="B669" s="258"/>
      <c r="C669" s="258"/>
      <c r="D669" s="258"/>
      <c r="E669" s="263"/>
      <c r="F669" s="258"/>
      <c r="G669" s="263"/>
      <c r="H669" s="262"/>
      <c r="I669" s="262"/>
      <c r="J669" s="262"/>
      <c r="K669" s="262"/>
      <c r="L669" s="262"/>
      <c r="M669" s="264"/>
      <c r="N669" s="262"/>
      <c r="O669" s="262"/>
      <c r="P669" s="262"/>
      <c r="Q669" s="263"/>
      <c r="R669" s="263"/>
      <c r="S669" s="292"/>
      <c r="T669" s="261"/>
      <c r="U669" s="261"/>
      <c r="V669" s="268"/>
      <c r="W669" s="268"/>
      <c r="X669" s="268"/>
      <c r="Y669" s="268"/>
      <c r="Z669" s="471">
        <f>SUMIF(TAB_CS[Reference],TAB_Offres[[#This Row],[Reference]],TAB_CS[Commited days])</f>
        <v>0</v>
      </c>
      <c r="AA669" s="269">
        <f>SUMIF(TAB_CS[Reference],TAB_Offres[[#This Row],[Reference]],TAB_CS[Commited amount])</f>
        <v>0</v>
      </c>
      <c r="AB669" s="275"/>
      <c r="AC669" s="270"/>
      <c r="AD669" s="270"/>
      <c r="AE669" s="264"/>
      <c r="AF669" s="271"/>
      <c r="AG669" s="278"/>
      <c r="AH669" s="277" t="str">
        <f>CONCATENATE(YEAR(TAB_Offres[[#This Row],[Request date ]]),"-",MONTH(TAB_Offres[[#This Row],[Request date ]]))</f>
        <v>1900-1</v>
      </c>
      <c r="AI669" s="274" t="e">
        <f>IF(#REF!,1,0)</f>
        <v>#REF!</v>
      </c>
      <c r="AJ669" s="4"/>
      <c r="AK669" s="4"/>
      <c r="AL669" s="4"/>
      <c r="AN669" s="150"/>
      <c r="AQ669" s="4"/>
    </row>
    <row r="670" spans="1:43" x14ac:dyDescent="0.25">
      <c r="A670" s="258">
        <f>ROW(TAB_Offres[[#This Row],[Reference]])-ROW(TAB_Offres[[#Headers],[ID]])</f>
        <v>669</v>
      </c>
      <c r="B670" s="258"/>
      <c r="C670" s="258"/>
      <c r="D670" s="258"/>
      <c r="E670" s="263"/>
      <c r="F670" s="258"/>
      <c r="G670" s="263"/>
      <c r="H670" s="262"/>
      <c r="I670" s="262"/>
      <c r="J670" s="262"/>
      <c r="K670" s="262"/>
      <c r="L670" s="262"/>
      <c r="M670" s="264"/>
      <c r="N670" s="262"/>
      <c r="O670" s="262"/>
      <c r="P670" s="262"/>
      <c r="Q670" s="263"/>
      <c r="R670" s="263"/>
      <c r="S670" s="292"/>
      <c r="T670" s="261"/>
      <c r="U670" s="261"/>
      <c r="V670" s="268"/>
      <c r="W670" s="268"/>
      <c r="X670" s="268"/>
      <c r="Y670" s="268"/>
      <c r="Z670" s="471">
        <f>SUMIF(TAB_CS[Reference],TAB_Offres[[#This Row],[Reference]],TAB_CS[Commited days])</f>
        <v>0</v>
      </c>
      <c r="AA670" s="269">
        <f>SUMIF(TAB_CS[Reference],TAB_Offres[[#This Row],[Reference]],TAB_CS[Commited amount])</f>
        <v>0</v>
      </c>
      <c r="AB670" s="275"/>
      <c r="AC670" s="270"/>
      <c r="AD670" s="270"/>
      <c r="AE670" s="264"/>
      <c r="AF670" s="271"/>
      <c r="AG670" s="278"/>
      <c r="AH670" s="277" t="str">
        <f>CONCATENATE(YEAR(TAB_Offres[[#This Row],[Request date ]]),"-",MONTH(TAB_Offres[[#This Row],[Request date ]]))</f>
        <v>1900-1</v>
      </c>
      <c r="AI670" s="274" t="e">
        <f>IF(#REF!,1,0)</f>
        <v>#REF!</v>
      </c>
      <c r="AJ670" s="4"/>
      <c r="AK670" s="4"/>
      <c r="AL670" s="4"/>
      <c r="AN670" s="150"/>
      <c r="AQ670" s="4"/>
    </row>
    <row r="671" spans="1:43" x14ac:dyDescent="0.25">
      <c r="A671" s="258">
        <f>ROW(TAB_Offres[[#This Row],[Reference]])-ROW(TAB_Offres[[#Headers],[ID]])</f>
        <v>670</v>
      </c>
      <c r="B671" s="258"/>
      <c r="C671" s="258"/>
      <c r="D671" s="258"/>
      <c r="E671" s="263"/>
      <c r="F671" s="258"/>
      <c r="G671" s="263"/>
      <c r="H671" s="262"/>
      <c r="I671" s="262"/>
      <c r="J671" s="262"/>
      <c r="K671" s="262"/>
      <c r="L671" s="262"/>
      <c r="M671" s="264"/>
      <c r="N671" s="262"/>
      <c r="O671" s="262"/>
      <c r="P671" s="262"/>
      <c r="Q671" s="263"/>
      <c r="R671" s="263"/>
      <c r="S671" s="292"/>
      <c r="T671" s="261"/>
      <c r="U671" s="261"/>
      <c r="V671" s="268"/>
      <c r="W671" s="268"/>
      <c r="X671" s="268"/>
      <c r="Y671" s="268"/>
      <c r="Z671" s="471">
        <f>SUMIF(TAB_CS[Reference],TAB_Offres[[#This Row],[Reference]],TAB_CS[Commited days])</f>
        <v>0</v>
      </c>
      <c r="AA671" s="269">
        <f>SUMIF(TAB_CS[Reference],TAB_Offres[[#This Row],[Reference]],TAB_CS[Commited amount])</f>
        <v>0</v>
      </c>
      <c r="AB671" s="275"/>
      <c r="AC671" s="270"/>
      <c r="AD671" s="270"/>
      <c r="AE671" s="264"/>
      <c r="AF671" s="271"/>
      <c r="AG671" s="278"/>
      <c r="AH671" s="277" t="str">
        <f>CONCATENATE(YEAR(TAB_Offres[[#This Row],[Request date ]]),"-",MONTH(TAB_Offres[[#This Row],[Request date ]]))</f>
        <v>1900-1</v>
      </c>
      <c r="AI671" s="274" t="e">
        <f>IF(#REF!,1,0)</f>
        <v>#REF!</v>
      </c>
      <c r="AJ671" s="4"/>
      <c r="AK671" s="4"/>
      <c r="AL671" s="4"/>
      <c r="AN671" s="150"/>
      <c r="AQ671" s="4"/>
    </row>
    <row r="672" spans="1:43" x14ac:dyDescent="0.25">
      <c r="A672" s="258">
        <f>ROW(TAB_Offres[[#This Row],[Reference]])-ROW(TAB_Offres[[#Headers],[ID]])</f>
        <v>671</v>
      </c>
      <c r="B672" s="258"/>
      <c r="C672" s="258"/>
      <c r="D672" s="258"/>
      <c r="E672" s="263"/>
      <c r="F672" s="258"/>
      <c r="G672" s="263"/>
      <c r="H672" s="262"/>
      <c r="I672" s="262"/>
      <c r="J672" s="262"/>
      <c r="K672" s="262"/>
      <c r="L672" s="262"/>
      <c r="M672" s="264"/>
      <c r="N672" s="262"/>
      <c r="O672" s="262"/>
      <c r="P672" s="262"/>
      <c r="Q672" s="263"/>
      <c r="R672" s="263"/>
      <c r="S672" s="292"/>
      <c r="T672" s="261"/>
      <c r="U672" s="261"/>
      <c r="V672" s="268"/>
      <c r="W672" s="268"/>
      <c r="X672" s="268"/>
      <c r="Y672" s="268"/>
      <c r="Z672" s="471">
        <f>SUMIF(TAB_CS[Reference],TAB_Offres[[#This Row],[Reference]],TAB_CS[Commited days])</f>
        <v>0</v>
      </c>
      <c r="AA672" s="269">
        <f>SUMIF(TAB_CS[Reference],TAB_Offres[[#This Row],[Reference]],TAB_CS[Commited amount])</f>
        <v>0</v>
      </c>
      <c r="AB672" s="275"/>
      <c r="AC672" s="270"/>
      <c r="AD672" s="270"/>
      <c r="AE672" s="264"/>
      <c r="AF672" s="271"/>
      <c r="AG672" s="278"/>
      <c r="AH672" s="277" t="str">
        <f>CONCATENATE(YEAR(TAB_Offres[[#This Row],[Request date ]]),"-",MONTH(TAB_Offres[[#This Row],[Request date ]]))</f>
        <v>1900-1</v>
      </c>
      <c r="AI672" s="274" t="e">
        <f>IF(#REF!,1,0)</f>
        <v>#REF!</v>
      </c>
      <c r="AJ672" s="4"/>
      <c r="AK672" s="4"/>
      <c r="AL672" s="4"/>
      <c r="AN672" s="150"/>
      <c r="AQ672" s="4"/>
    </row>
    <row r="673" spans="1:43" x14ac:dyDescent="0.25">
      <c r="A673" s="258">
        <f>ROW(TAB_Offres[[#This Row],[Reference]])-ROW(TAB_Offres[[#Headers],[ID]])</f>
        <v>672</v>
      </c>
      <c r="B673" s="258"/>
      <c r="C673" s="258"/>
      <c r="D673" s="258"/>
      <c r="E673" s="263"/>
      <c r="F673" s="258"/>
      <c r="G673" s="263"/>
      <c r="H673" s="262"/>
      <c r="I673" s="262"/>
      <c r="J673" s="262"/>
      <c r="K673" s="262"/>
      <c r="L673" s="262"/>
      <c r="M673" s="264"/>
      <c r="N673" s="262"/>
      <c r="O673" s="262"/>
      <c r="P673" s="262"/>
      <c r="Q673" s="263"/>
      <c r="R673" s="263"/>
      <c r="S673" s="292"/>
      <c r="T673" s="261"/>
      <c r="U673" s="261"/>
      <c r="V673" s="268"/>
      <c r="W673" s="268"/>
      <c r="X673" s="268"/>
      <c r="Y673" s="268"/>
      <c r="Z673" s="471">
        <f>SUMIF(TAB_CS[Reference],TAB_Offres[[#This Row],[Reference]],TAB_CS[Commited days])</f>
        <v>0</v>
      </c>
      <c r="AA673" s="269">
        <f>SUMIF(TAB_CS[Reference],TAB_Offres[[#This Row],[Reference]],TAB_CS[Commited amount])</f>
        <v>0</v>
      </c>
      <c r="AB673" s="275"/>
      <c r="AC673" s="270"/>
      <c r="AD673" s="270"/>
      <c r="AE673" s="264"/>
      <c r="AF673" s="271"/>
      <c r="AG673" s="278"/>
      <c r="AH673" s="277" t="str">
        <f>CONCATENATE(YEAR(TAB_Offres[[#This Row],[Request date ]]),"-",MONTH(TAB_Offres[[#This Row],[Request date ]]))</f>
        <v>1900-1</v>
      </c>
      <c r="AI673" s="274" t="e">
        <f>IF(#REF!,1,0)</f>
        <v>#REF!</v>
      </c>
      <c r="AJ673" s="4"/>
      <c r="AK673" s="4"/>
      <c r="AL673" s="4"/>
      <c r="AN673" s="150"/>
      <c r="AQ673" s="4"/>
    </row>
    <row r="674" spans="1:43" x14ac:dyDescent="0.25">
      <c r="A674" s="258">
        <f>ROW(TAB_Offres[[#This Row],[Reference]])-ROW(TAB_Offres[[#Headers],[ID]])</f>
        <v>673</v>
      </c>
      <c r="B674" s="258"/>
      <c r="C674" s="258"/>
      <c r="D674" s="258"/>
      <c r="E674" s="263"/>
      <c r="F674" s="258"/>
      <c r="G674" s="263"/>
      <c r="H674" s="262"/>
      <c r="I674" s="262"/>
      <c r="J674" s="262"/>
      <c r="K674" s="262"/>
      <c r="L674" s="262"/>
      <c r="M674" s="264"/>
      <c r="N674" s="262"/>
      <c r="O674" s="262"/>
      <c r="P674" s="262"/>
      <c r="Q674" s="263"/>
      <c r="R674" s="263"/>
      <c r="S674" s="292"/>
      <c r="T674" s="261"/>
      <c r="U674" s="261"/>
      <c r="V674" s="268"/>
      <c r="W674" s="268"/>
      <c r="X674" s="268"/>
      <c r="Y674" s="268"/>
      <c r="Z674" s="471">
        <f>SUMIF(TAB_CS[Reference],TAB_Offres[[#This Row],[Reference]],TAB_CS[Commited days])</f>
        <v>0</v>
      </c>
      <c r="AA674" s="269">
        <f>SUMIF(TAB_CS[Reference],TAB_Offres[[#This Row],[Reference]],TAB_CS[Commited amount])</f>
        <v>0</v>
      </c>
      <c r="AB674" s="275"/>
      <c r="AC674" s="270"/>
      <c r="AD674" s="270"/>
      <c r="AE674" s="264"/>
      <c r="AF674" s="271"/>
      <c r="AG674" s="278"/>
      <c r="AH674" s="277" t="str">
        <f>CONCATENATE(YEAR(TAB_Offres[[#This Row],[Request date ]]),"-",MONTH(TAB_Offres[[#This Row],[Request date ]]))</f>
        <v>1900-1</v>
      </c>
      <c r="AI674" s="274" t="e">
        <f>IF(#REF!,1,0)</f>
        <v>#REF!</v>
      </c>
      <c r="AJ674" s="4"/>
      <c r="AK674" s="4"/>
      <c r="AL674" s="4"/>
      <c r="AN674" s="150"/>
      <c r="AQ674" s="4"/>
    </row>
    <row r="675" spans="1:43" x14ac:dyDescent="0.25">
      <c r="A675" s="258">
        <f>ROW(TAB_Offres[[#This Row],[Reference]])-ROW(TAB_Offres[[#Headers],[ID]])</f>
        <v>674</v>
      </c>
      <c r="B675" s="258"/>
      <c r="C675" s="258"/>
      <c r="D675" s="258"/>
      <c r="E675" s="263"/>
      <c r="F675" s="258"/>
      <c r="G675" s="263"/>
      <c r="H675" s="262"/>
      <c r="I675" s="262"/>
      <c r="J675" s="262"/>
      <c r="K675" s="262"/>
      <c r="L675" s="262"/>
      <c r="M675" s="264"/>
      <c r="N675" s="262"/>
      <c r="O675" s="262"/>
      <c r="P675" s="262"/>
      <c r="Q675" s="263"/>
      <c r="R675" s="263"/>
      <c r="S675" s="292"/>
      <c r="T675" s="261"/>
      <c r="U675" s="261"/>
      <c r="V675" s="268"/>
      <c r="W675" s="268"/>
      <c r="X675" s="268"/>
      <c r="Y675" s="268"/>
      <c r="Z675" s="471">
        <f>SUMIF(TAB_CS[Reference],TAB_Offres[[#This Row],[Reference]],TAB_CS[Commited days])</f>
        <v>0</v>
      </c>
      <c r="AA675" s="269">
        <f>SUMIF(TAB_CS[Reference],TAB_Offres[[#This Row],[Reference]],TAB_CS[Commited amount])</f>
        <v>0</v>
      </c>
      <c r="AB675" s="275"/>
      <c r="AC675" s="270"/>
      <c r="AD675" s="270"/>
      <c r="AE675" s="264"/>
      <c r="AF675" s="271"/>
      <c r="AG675" s="278"/>
      <c r="AH675" s="277" t="str">
        <f>CONCATENATE(YEAR(TAB_Offres[[#This Row],[Request date ]]),"-",MONTH(TAB_Offres[[#This Row],[Request date ]]))</f>
        <v>1900-1</v>
      </c>
      <c r="AI675" s="274" t="e">
        <f>IF(#REF!,1,0)</f>
        <v>#REF!</v>
      </c>
      <c r="AJ675" s="4"/>
      <c r="AK675" s="4"/>
      <c r="AL675" s="4"/>
      <c r="AN675" s="150"/>
      <c r="AQ675" s="4"/>
    </row>
    <row r="676" spans="1:43" x14ac:dyDescent="0.25">
      <c r="A676" s="258">
        <f>ROW(TAB_Offres[[#This Row],[Reference]])-ROW(TAB_Offres[[#Headers],[ID]])</f>
        <v>675</v>
      </c>
      <c r="B676" s="258"/>
      <c r="C676" s="258"/>
      <c r="D676" s="258"/>
      <c r="E676" s="263"/>
      <c r="F676" s="258"/>
      <c r="G676" s="263"/>
      <c r="H676" s="262"/>
      <c r="I676" s="262"/>
      <c r="J676" s="262"/>
      <c r="K676" s="262"/>
      <c r="L676" s="262"/>
      <c r="M676" s="264"/>
      <c r="N676" s="262"/>
      <c r="O676" s="262"/>
      <c r="P676" s="262"/>
      <c r="Q676" s="263"/>
      <c r="R676" s="263"/>
      <c r="S676" s="292"/>
      <c r="T676" s="261"/>
      <c r="U676" s="261"/>
      <c r="V676" s="268"/>
      <c r="W676" s="268"/>
      <c r="X676" s="268"/>
      <c r="Y676" s="268"/>
      <c r="Z676" s="471">
        <f>SUMIF(TAB_CS[Reference],TAB_Offres[[#This Row],[Reference]],TAB_CS[Commited days])</f>
        <v>0</v>
      </c>
      <c r="AA676" s="269">
        <f>SUMIF(TAB_CS[Reference],TAB_Offres[[#This Row],[Reference]],TAB_CS[Commited amount])</f>
        <v>0</v>
      </c>
      <c r="AB676" s="275"/>
      <c r="AC676" s="270"/>
      <c r="AD676" s="270"/>
      <c r="AE676" s="264"/>
      <c r="AF676" s="271"/>
      <c r="AG676" s="278"/>
      <c r="AH676" s="277" t="str">
        <f>CONCATENATE(YEAR(TAB_Offres[[#This Row],[Request date ]]),"-",MONTH(TAB_Offres[[#This Row],[Request date ]]))</f>
        <v>1900-1</v>
      </c>
      <c r="AI676" s="274" t="e">
        <f>IF(#REF!,1,0)</f>
        <v>#REF!</v>
      </c>
      <c r="AJ676" s="4"/>
      <c r="AK676" s="4"/>
      <c r="AL676" s="4"/>
      <c r="AN676" s="150"/>
      <c r="AQ676" s="4"/>
    </row>
    <row r="677" spans="1:43" x14ac:dyDescent="0.25">
      <c r="A677" s="258">
        <f>ROW(TAB_Offres[[#This Row],[Reference]])-ROW(TAB_Offres[[#Headers],[ID]])</f>
        <v>676</v>
      </c>
      <c r="B677" s="258"/>
      <c r="C677" s="258"/>
      <c r="D677" s="258"/>
      <c r="E677" s="263"/>
      <c r="F677" s="258"/>
      <c r="G677" s="263"/>
      <c r="H677" s="262"/>
      <c r="I677" s="262"/>
      <c r="J677" s="262"/>
      <c r="K677" s="262"/>
      <c r="L677" s="262"/>
      <c r="M677" s="264"/>
      <c r="N677" s="262"/>
      <c r="O677" s="262"/>
      <c r="P677" s="262"/>
      <c r="Q677" s="263"/>
      <c r="R677" s="263"/>
      <c r="S677" s="292"/>
      <c r="T677" s="261"/>
      <c r="U677" s="261"/>
      <c r="V677" s="268"/>
      <c r="W677" s="268"/>
      <c r="X677" s="268"/>
      <c r="Y677" s="268"/>
      <c r="Z677" s="471">
        <f>SUMIF(TAB_CS[Reference],TAB_Offres[[#This Row],[Reference]],TAB_CS[Commited days])</f>
        <v>0</v>
      </c>
      <c r="AA677" s="269">
        <f>SUMIF(TAB_CS[Reference],TAB_Offres[[#This Row],[Reference]],TAB_CS[Commited amount])</f>
        <v>0</v>
      </c>
      <c r="AB677" s="275"/>
      <c r="AC677" s="270"/>
      <c r="AD677" s="270"/>
      <c r="AE677" s="264"/>
      <c r="AF677" s="271"/>
      <c r="AG677" s="278"/>
      <c r="AH677" s="277" t="str">
        <f>CONCATENATE(YEAR(TAB_Offres[[#This Row],[Request date ]]),"-",MONTH(TAB_Offres[[#This Row],[Request date ]]))</f>
        <v>1900-1</v>
      </c>
      <c r="AI677" s="274" t="e">
        <f>IF(#REF!,1,0)</f>
        <v>#REF!</v>
      </c>
      <c r="AJ677" s="4"/>
      <c r="AK677" s="4"/>
      <c r="AL677" s="4"/>
      <c r="AN677" s="150"/>
      <c r="AQ677" s="4"/>
    </row>
    <row r="678" spans="1:43" x14ac:dyDescent="0.25">
      <c r="A678" s="258">
        <f>ROW(TAB_Offres[[#This Row],[Reference]])-ROW(TAB_Offres[[#Headers],[ID]])</f>
        <v>677</v>
      </c>
      <c r="B678" s="258"/>
      <c r="C678" s="258"/>
      <c r="D678" s="258"/>
      <c r="E678" s="263"/>
      <c r="F678" s="258"/>
      <c r="G678" s="263"/>
      <c r="H678" s="262"/>
      <c r="I678" s="262"/>
      <c r="J678" s="262"/>
      <c r="K678" s="262"/>
      <c r="L678" s="262"/>
      <c r="M678" s="264"/>
      <c r="N678" s="262"/>
      <c r="O678" s="262"/>
      <c r="P678" s="262"/>
      <c r="Q678" s="263"/>
      <c r="R678" s="263"/>
      <c r="S678" s="292"/>
      <c r="T678" s="261"/>
      <c r="U678" s="261"/>
      <c r="V678" s="268"/>
      <c r="W678" s="268"/>
      <c r="X678" s="268"/>
      <c r="Y678" s="268"/>
      <c r="Z678" s="471">
        <f>SUMIF(TAB_CS[Reference],TAB_Offres[[#This Row],[Reference]],TAB_CS[Commited days])</f>
        <v>0</v>
      </c>
      <c r="AA678" s="269">
        <f>SUMIF(TAB_CS[Reference],TAB_Offres[[#This Row],[Reference]],TAB_CS[Commited amount])</f>
        <v>0</v>
      </c>
      <c r="AB678" s="275"/>
      <c r="AC678" s="270"/>
      <c r="AD678" s="270"/>
      <c r="AE678" s="264"/>
      <c r="AF678" s="271"/>
      <c r="AG678" s="278"/>
      <c r="AH678" s="277" t="str">
        <f>CONCATENATE(YEAR(TAB_Offres[[#This Row],[Request date ]]),"-",MONTH(TAB_Offres[[#This Row],[Request date ]]))</f>
        <v>1900-1</v>
      </c>
      <c r="AI678" s="274" t="e">
        <f>IF(#REF!,1,0)</f>
        <v>#REF!</v>
      </c>
      <c r="AJ678" s="4"/>
      <c r="AK678" s="4"/>
      <c r="AL678" s="4"/>
      <c r="AN678" s="150"/>
      <c r="AQ678" s="4"/>
    </row>
    <row r="679" spans="1:43" x14ac:dyDescent="0.25">
      <c r="A679" s="258">
        <f>ROW(TAB_Offres[[#This Row],[Reference]])-ROW(TAB_Offres[[#Headers],[ID]])</f>
        <v>678</v>
      </c>
      <c r="B679" s="258"/>
      <c r="C679" s="258"/>
      <c r="D679" s="258"/>
      <c r="E679" s="263"/>
      <c r="F679" s="258"/>
      <c r="G679" s="263"/>
      <c r="H679" s="262"/>
      <c r="I679" s="262"/>
      <c r="J679" s="262"/>
      <c r="K679" s="262"/>
      <c r="L679" s="262"/>
      <c r="M679" s="264"/>
      <c r="N679" s="262"/>
      <c r="O679" s="262"/>
      <c r="P679" s="262"/>
      <c r="Q679" s="263"/>
      <c r="R679" s="263"/>
      <c r="S679" s="292"/>
      <c r="T679" s="261"/>
      <c r="U679" s="261"/>
      <c r="V679" s="268"/>
      <c r="W679" s="268"/>
      <c r="X679" s="268"/>
      <c r="Y679" s="268"/>
      <c r="Z679" s="471">
        <f>SUMIF(TAB_CS[Reference],TAB_Offres[[#This Row],[Reference]],TAB_CS[Commited days])</f>
        <v>0</v>
      </c>
      <c r="AA679" s="269">
        <f>SUMIF(TAB_CS[Reference],TAB_Offres[[#This Row],[Reference]],TAB_CS[Commited amount])</f>
        <v>0</v>
      </c>
      <c r="AB679" s="275"/>
      <c r="AC679" s="270"/>
      <c r="AD679" s="270"/>
      <c r="AE679" s="264"/>
      <c r="AF679" s="271"/>
      <c r="AG679" s="278"/>
      <c r="AH679" s="277" t="str">
        <f>CONCATENATE(YEAR(TAB_Offres[[#This Row],[Request date ]]),"-",MONTH(TAB_Offres[[#This Row],[Request date ]]))</f>
        <v>1900-1</v>
      </c>
      <c r="AI679" s="274" t="e">
        <f>IF(#REF!,1,0)</f>
        <v>#REF!</v>
      </c>
      <c r="AJ679" s="4"/>
      <c r="AK679" s="4"/>
      <c r="AL679" s="4"/>
      <c r="AN679" s="150"/>
      <c r="AQ679" s="4"/>
    </row>
    <row r="680" spans="1:43" x14ac:dyDescent="0.25">
      <c r="A680" s="258">
        <f>ROW(TAB_Offres[[#This Row],[Reference]])-ROW(TAB_Offres[[#Headers],[ID]])</f>
        <v>679</v>
      </c>
      <c r="B680" s="258"/>
      <c r="C680" s="258"/>
      <c r="D680" s="258"/>
      <c r="E680" s="263"/>
      <c r="F680" s="258"/>
      <c r="G680" s="263"/>
      <c r="H680" s="262"/>
      <c r="I680" s="262"/>
      <c r="J680" s="262"/>
      <c r="K680" s="262"/>
      <c r="L680" s="262"/>
      <c r="M680" s="264"/>
      <c r="N680" s="262"/>
      <c r="O680" s="262"/>
      <c r="P680" s="262"/>
      <c r="Q680" s="263"/>
      <c r="R680" s="263"/>
      <c r="S680" s="292"/>
      <c r="T680" s="261"/>
      <c r="U680" s="261"/>
      <c r="V680" s="268"/>
      <c r="W680" s="268"/>
      <c r="X680" s="268"/>
      <c r="Y680" s="268"/>
      <c r="Z680" s="471">
        <f>SUMIF(TAB_CS[Reference],TAB_Offres[[#This Row],[Reference]],TAB_CS[Commited days])</f>
        <v>0</v>
      </c>
      <c r="AA680" s="269">
        <f>SUMIF(TAB_CS[Reference],TAB_Offres[[#This Row],[Reference]],TAB_CS[Commited amount])</f>
        <v>0</v>
      </c>
      <c r="AB680" s="275"/>
      <c r="AC680" s="270"/>
      <c r="AD680" s="270"/>
      <c r="AE680" s="264"/>
      <c r="AF680" s="271"/>
      <c r="AG680" s="278"/>
      <c r="AH680" s="277" t="str">
        <f>CONCATENATE(YEAR(TAB_Offres[[#This Row],[Request date ]]),"-",MONTH(TAB_Offres[[#This Row],[Request date ]]))</f>
        <v>1900-1</v>
      </c>
      <c r="AI680" s="274" t="e">
        <f>IF(#REF!,1,0)</f>
        <v>#REF!</v>
      </c>
      <c r="AJ680" s="4"/>
      <c r="AK680" s="4"/>
      <c r="AL680" s="4"/>
      <c r="AN680" s="150"/>
      <c r="AQ680" s="4"/>
    </row>
    <row r="681" spans="1:43" x14ac:dyDescent="0.25">
      <c r="A681" s="258">
        <f>ROW(TAB_Offres[[#This Row],[Reference]])-ROW(TAB_Offres[[#Headers],[ID]])</f>
        <v>680</v>
      </c>
      <c r="B681" s="258"/>
      <c r="C681" s="258"/>
      <c r="D681" s="258"/>
      <c r="E681" s="263"/>
      <c r="F681" s="258"/>
      <c r="G681" s="263"/>
      <c r="H681" s="262"/>
      <c r="I681" s="262"/>
      <c r="J681" s="262"/>
      <c r="K681" s="262"/>
      <c r="L681" s="262"/>
      <c r="M681" s="264"/>
      <c r="N681" s="262"/>
      <c r="O681" s="262"/>
      <c r="P681" s="262"/>
      <c r="Q681" s="263"/>
      <c r="R681" s="263"/>
      <c r="S681" s="292"/>
      <c r="T681" s="261"/>
      <c r="U681" s="261"/>
      <c r="V681" s="268"/>
      <c r="W681" s="268"/>
      <c r="X681" s="268"/>
      <c r="Y681" s="268"/>
      <c r="Z681" s="471">
        <f>SUMIF(TAB_CS[Reference],TAB_Offres[[#This Row],[Reference]],TAB_CS[Commited days])</f>
        <v>0</v>
      </c>
      <c r="AA681" s="269">
        <f>SUMIF(TAB_CS[Reference],TAB_Offres[[#This Row],[Reference]],TAB_CS[Commited amount])</f>
        <v>0</v>
      </c>
      <c r="AB681" s="275"/>
      <c r="AC681" s="270"/>
      <c r="AD681" s="270"/>
      <c r="AE681" s="264"/>
      <c r="AF681" s="271"/>
      <c r="AG681" s="278"/>
      <c r="AH681" s="277" t="str">
        <f>CONCATENATE(YEAR(TAB_Offres[[#This Row],[Request date ]]),"-",MONTH(TAB_Offres[[#This Row],[Request date ]]))</f>
        <v>1900-1</v>
      </c>
      <c r="AI681" s="274" t="e">
        <f>IF(#REF!,1,0)</f>
        <v>#REF!</v>
      </c>
      <c r="AJ681" s="4"/>
      <c r="AK681" s="4"/>
      <c r="AL681" s="4"/>
      <c r="AN681" s="150"/>
      <c r="AQ681" s="4"/>
    </row>
    <row r="682" spans="1:43" x14ac:dyDescent="0.25">
      <c r="A682" s="258">
        <f>ROW(TAB_Offres[[#This Row],[Reference]])-ROW(TAB_Offres[[#Headers],[ID]])</f>
        <v>681</v>
      </c>
      <c r="B682" s="258"/>
      <c r="C682" s="258"/>
      <c r="D682" s="258"/>
      <c r="E682" s="263"/>
      <c r="F682" s="258"/>
      <c r="G682" s="263"/>
      <c r="H682" s="262"/>
      <c r="I682" s="262"/>
      <c r="J682" s="262"/>
      <c r="K682" s="262"/>
      <c r="L682" s="262"/>
      <c r="M682" s="264"/>
      <c r="N682" s="262"/>
      <c r="O682" s="262"/>
      <c r="P682" s="262"/>
      <c r="Q682" s="263"/>
      <c r="R682" s="263"/>
      <c r="S682" s="292"/>
      <c r="T682" s="261"/>
      <c r="U682" s="261"/>
      <c r="V682" s="268"/>
      <c r="W682" s="268"/>
      <c r="X682" s="268"/>
      <c r="Y682" s="268"/>
      <c r="Z682" s="471">
        <f>SUMIF(TAB_CS[Reference],TAB_Offres[[#This Row],[Reference]],TAB_CS[Commited days])</f>
        <v>0</v>
      </c>
      <c r="AA682" s="269">
        <f>SUMIF(TAB_CS[Reference],TAB_Offres[[#This Row],[Reference]],TAB_CS[Commited amount])</f>
        <v>0</v>
      </c>
      <c r="AB682" s="275"/>
      <c r="AC682" s="270"/>
      <c r="AD682" s="270"/>
      <c r="AE682" s="264"/>
      <c r="AF682" s="271"/>
      <c r="AG682" s="278"/>
      <c r="AH682" s="277" t="str">
        <f>CONCATENATE(YEAR(TAB_Offres[[#This Row],[Request date ]]),"-",MONTH(TAB_Offres[[#This Row],[Request date ]]))</f>
        <v>1900-1</v>
      </c>
      <c r="AI682" s="274" t="e">
        <f>IF(#REF!,1,0)</f>
        <v>#REF!</v>
      </c>
      <c r="AJ682" s="4"/>
      <c r="AK682" s="4"/>
      <c r="AL682" s="4"/>
      <c r="AN682" s="150"/>
      <c r="AQ682" s="4"/>
    </row>
    <row r="683" spans="1:43" x14ac:dyDescent="0.25">
      <c r="A683" s="258">
        <f>ROW(TAB_Offres[[#This Row],[Reference]])-ROW(TAB_Offres[[#Headers],[ID]])</f>
        <v>682</v>
      </c>
      <c r="B683" s="258"/>
      <c r="C683" s="258"/>
      <c r="D683" s="258"/>
      <c r="E683" s="263"/>
      <c r="F683" s="258"/>
      <c r="G683" s="263"/>
      <c r="H683" s="262"/>
      <c r="I683" s="262"/>
      <c r="J683" s="262"/>
      <c r="K683" s="262"/>
      <c r="L683" s="262"/>
      <c r="M683" s="264"/>
      <c r="N683" s="262"/>
      <c r="O683" s="262"/>
      <c r="P683" s="262"/>
      <c r="Q683" s="263"/>
      <c r="R683" s="263"/>
      <c r="S683" s="292"/>
      <c r="T683" s="261"/>
      <c r="U683" s="261"/>
      <c r="V683" s="268"/>
      <c r="W683" s="268"/>
      <c r="X683" s="268"/>
      <c r="Y683" s="268"/>
      <c r="Z683" s="471">
        <f>SUMIF(TAB_CS[Reference],TAB_Offres[[#This Row],[Reference]],TAB_CS[Commited days])</f>
        <v>0</v>
      </c>
      <c r="AA683" s="269">
        <f>SUMIF(TAB_CS[Reference],TAB_Offres[[#This Row],[Reference]],TAB_CS[Commited amount])</f>
        <v>0</v>
      </c>
      <c r="AB683" s="275"/>
      <c r="AC683" s="270"/>
      <c r="AD683" s="270"/>
      <c r="AE683" s="264"/>
      <c r="AF683" s="271"/>
      <c r="AG683" s="278"/>
      <c r="AH683" s="277" t="str">
        <f>CONCATENATE(YEAR(TAB_Offres[[#This Row],[Request date ]]),"-",MONTH(TAB_Offres[[#This Row],[Request date ]]))</f>
        <v>1900-1</v>
      </c>
      <c r="AI683" s="274" t="e">
        <f>IF(#REF!,1,0)</f>
        <v>#REF!</v>
      </c>
      <c r="AJ683" s="4"/>
      <c r="AK683" s="4"/>
      <c r="AL683" s="4"/>
      <c r="AN683" s="150"/>
      <c r="AQ683" s="4"/>
    </row>
    <row r="684" spans="1:43" x14ac:dyDescent="0.25">
      <c r="A684" s="258">
        <f>ROW(TAB_Offres[[#This Row],[Reference]])-ROW(TAB_Offres[[#Headers],[ID]])</f>
        <v>683</v>
      </c>
      <c r="B684" s="258"/>
      <c r="C684" s="258"/>
      <c r="D684" s="258"/>
      <c r="E684" s="263"/>
      <c r="F684" s="258"/>
      <c r="G684" s="263"/>
      <c r="H684" s="262"/>
      <c r="I684" s="262"/>
      <c r="J684" s="262"/>
      <c r="K684" s="262"/>
      <c r="L684" s="262"/>
      <c r="M684" s="264"/>
      <c r="N684" s="262"/>
      <c r="O684" s="262"/>
      <c r="P684" s="262"/>
      <c r="Q684" s="263"/>
      <c r="R684" s="263"/>
      <c r="S684" s="292"/>
      <c r="T684" s="261"/>
      <c r="U684" s="261"/>
      <c r="V684" s="268"/>
      <c r="W684" s="268"/>
      <c r="X684" s="268"/>
      <c r="Y684" s="268"/>
      <c r="Z684" s="471">
        <f>SUMIF(TAB_CS[Reference],TAB_Offres[[#This Row],[Reference]],TAB_CS[Commited days])</f>
        <v>0</v>
      </c>
      <c r="AA684" s="269">
        <f>SUMIF(TAB_CS[Reference],TAB_Offres[[#This Row],[Reference]],TAB_CS[Commited amount])</f>
        <v>0</v>
      </c>
      <c r="AB684" s="275"/>
      <c r="AC684" s="270"/>
      <c r="AD684" s="270"/>
      <c r="AE684" s="264"/>
      <c r="AF684" s="271"/>
      <c r="AG684" s="278"/>
      <c r="AH684" s="277" t="str">
        <f>CONCATENATE(YEAR(TAB_Offres[[#This Row],[Request date ]]),"-",MONTH(TAB_Offres[[#This Row],[Request date ]]))</f>
        <v>1900-1</v>
      </c>
      <c r="AI684" s="274" t="e">
        <f>IF(#REF!,1,0)</f>
        <v>#REF!</v>
      </c>
      <c r="AJ684" s="4"/>
      <c r="AK684" s="4"/>
      <c r="AL684" s="4"/>
      <c r="AN684" s="150"/>
      <c r="AQ684" s="4"/>
    </row>
    <row r="685" spans="1:43" x14ac:dyDescent="0.25">
      <c r="A685" s="258">
        <f>ROW(TAB_Offres[[#This Row],[Reference]])-ROW(TAB_Offres[[#Headers],[ID]])</f>
        <v>684</v>
      </c>
      <c r="B685" s="258"/>
      <c r="C685" s="258"/>
      <c r="D685" s="258"/>
      <c r="E685" s="263"/>
      <c r="F685" s="258"/>
      <c r="G685" s="263"/>
      <c r="H685" s="262"/>
      <c r="I685" s="262"/>
      <c r="J685" s="262"/>
      <c r="K685" s="262"/>
      <c r="L685" s="262"/>
      <c r="M685" s="264"/>
      <c r="N685" s="262"/>
      <c r="O685" s="262"/>
      <c r="P685" s="262"/>
      <c r="Q685" s="263"/>
      <c r="R685" s="263"/>
      <c r="S685" s="292"/>
      <c r="T685" s="261"/>
      <c r="U685" s="261"/>
      <c r="V685" s="268"/>
      <c r="W685" s="268"/>
      <c r="X685" s="268"/>
      <c r="Y685" s="268"/>
      <c r="Z685" s="471">
        <f>SUMIF(TAB_CS[Reference],TAB_Offres[[#This Row],[Reference]],TAB_CS[Commited days])</f>
        <v>0</v>
      </c>
      <c r="AA685" s="269">
        <f>SUMIF(TAB_CS[Reference],TAB_Offres[[#This Row],[Reference]],TAB_CS[Commited amount])</f>
        <v>0</v>
      </c>
      <c r="AB685" s="275"/>
      <c r="AC685" s="270"/>
      <c r="AD685" s="270"/>
      <c r="AE685" s="264"/>
      <c r="AF685" s="271"/>
      <c r="AG685" s="278"/>
      <c r="AH685" s="277" t="str">
        <f>CONCATENATE(YEAR(TAB_Offres[[#This Row],[Request date ]]),"-",MONTH(TAB_Offres[[#This Row],[Request date ]]))</f>
        <v>1900-1</v>
      </c>
      <c r="AI685" s="274" t="e">
        <f>IF(#REF!,1,0)</f>
        <v>#REF!</v>
      </c>
      <c r="AJ685" s="4"/>
      <c r="AK685" s="4"/>
      <c r="AL685" s="4"/>
      <c r="AN685" s="150"/>
      <c r="AQ685" s="4"/>
    </row>
    <row r="686" spans="1:43" x14ac:dyDescent="0.25">
      <c r="A686" s="258">
        <f>ROW(TAB_Offres[[#This Row],[Reference]])-ROW(TAB_Offres[[#Headers],[ID]])</f>
        <v>685</v>
      </c>
      <c r="B686" s="258"/>
      <c r="C686" s="258"/>
      <c r="D686" s="258"/>
      <c r="E686" s="263"/>
      <c r="F686" s="258"/>
      <c r="G686" s="263"/>
      <c r="H686" s="262"/>
      <c r="I686" s="262"/>
      <c r="J686" s="262"/>
      <c r="K686" s="262"/>
      <c r="L686" s="262"/>
      <c r="M686" s="264"/>
      <c r="N686" s="262"/>
      <c r="O686" s="262"/>
      <c r="P686" s="262"/>
      <c r="Q686" s="263"/>
      <c r="R686" s="263"/>
      <c r="S686" s="292"/>
      <c r="T686" s="261"/>
      <c r="U686" s="261"/>
      <c r="V686" s="268"/>
      <c r="W686" s="268"/>
      <c r="X686" s="268"/>
      <c r="Y686" s="268"/>
      <c r="Z686" s="471">
        <f>SUMIF(TAB_CS[Reference],TAB_Offres[[#This Row],[Reference]],TAB_CS[Commited days])</f>
        <v>0</v>
      </c>
      <c r="AA686" s="269">
        <f>SUMIF(TAB_CS[Reference],TAB_Offres[[#This Row],[Reference]],TAB_CS[Commited amount])</f>
        <v>0</v>
      </c>
      <c r="AB686" s="275"/>
      <c r="AC686" s="270"/>
      <c r="AD686" s="270"/>
      <c r="AE686" s="264"/>
      <c r="AF686" s="271"/>
      <c r="AG686" s="278"/>
      <c r="AH686" s="277" t="str">
        <f>CONCATENATE(YEAR(TAB_Offres[[#This Row],[Request date ]]),"-",MONTH(TAB_Offres[[#This Row],[Request date ]]))</f>
        <v>1900-1</v>
      </c>
      <c r="AI686" s="274" t="e">
        <f>IF(#REF!,1,0)</f>
        <v>#REF!</v>
      </c>
      <c r="AJ686" s="4"/>
      <c r="AK686" s="4"/>
      <c r="AL686" s="4"/>
      <c r="AN686" s="150"/>
      <c r="AQ686" s="4"/>
    </row>
    <row r="687" spans="1:43" x14ac:dyDescent="0.25">
      <c r="A687" s="258">
        <f>ROW(TAB_Offres[[#This Row],[Reference]])-ROW(TAB_Offres[[#Headers],[ID]])</f>
        <v>686</v>
      </c>
      <c r="B687" s="258"/>
      <c r="C687" s="258"/>
      <c r="D687" s="258"/>
      <c r="E687" s="263"/>
      <c r="F687" s="258"/>
      <c r="G687" s="263"/>
      <c r="H687" s="262"/>
      <c r="I687" s="262"/>
      <c r="J687" s="262"/>
      <c r="K687" s="262"/>
      <c r="L687" s="262"/>
      <c r="M687" s="264"/>
      <c r="N687" s="262"/>
      <c r="O687" s="262"/>
      <c r="P687" s="262"/>
      <c r="Q687" s="263"/>
      <c r="R687" s="263"/>
      <c r="S687" s="292"/>
      <c r="T687" s="261"/>
      <c r="U687" s="261"/>
      <c r="V687" s="268"/>
      <c r="W687" s="268"/>
      <c r="X687" s="268"/>
      <c r="Y687" s="268"/>
      <c r="Z687" s="471">
        <f>SUMIF(TAB_CS[Reference],TAB_Offres[[#This Row],[Reference]],TAB_CS[Commited days])</f>
        <v>0</v>
      </c>
      <c r="AA687" s="269">
        <f>SUMIF(TAB_CS[Reference],TAB_Offres[[#This Row],[Reference]],TAB_CS[Commited amount])</f>
        <v>0</v>
      </c>
      <c r="AB687" s="275"/>
      <c r="AC687" s="270"/>
      <c r="AD687" s="270"/>
      <c r="AE687" s="264"/>
      <c r="AF687" s="271"/>
      <c r="AG687" s="278"/>
      <c r="AH687" s="277" t="str">
        <f>CONCATENATE(YEAR(TAB_Offres[[#This Row],[Request date ]]),"-",MONTH(TAB_Offres[[#This Row],[Request date ]]))</f>
        <v>1900-1</v>
      </c>
      <c r="AI687" s="274" t="e">
        <f>IF(#REF!,1,0)</f>
        <v>#REF!</v>
      </c>
      <c r="AJ687" s="4"/>
      <c r="AK687" s="4"/>
      <c r="AL687" s="4"/>
      <c r="AN687" s="150"/>
      <c r="AQ687" s="4"/>
    </row>
    <row r="688" spans="1:43" x14ac:dyDescent="0.25">
      <c r="A688" s="258">
        <f>ROW(TAB_Offres[[#This Row],[Reference]])-ROW(TAB_Offres[[#Headers],[ID]])</f>
        <v>687</v>
      </c>
      <c r="B688" s="258"/>
      <c r="C688" s="258"/>
      <c r="D688" s="258"/>
      <c r="E688" s="263"/>
      <c r="F688" s="258"/>
      <c r="G688" s="263"/>
      <c r="H688" s="262"/>
      <c r="I688" s="262"/>
      <c r="J688" s="262"/>
      <c r="K688" s="262"/>
      <c r="L688" s="262"/>
      <c r="M688" s="264"/>
      <c r="N688" s="262"/>
      <c r="O688" s="262"/>
      <c r="P688" s="262"/>
      <c r="Q688" s="263"/>
      <c r="R688" s="263"/>
      <c r="S688" s="292"/>
      <c r="T688" s="261"/>
      <c r="U688" s="261"/>
      <c r="V688" s="268"/>
      <c r="W688" s="268"/>
      <c r="X688" s="268"/>
      <c r="Y688" s="268"/>
      <c r="Z688" s="471">
        <f>SUMIF(TAB_CS[Reference],TAB_Offres[[#This Row],[Reference]],TAB_CS[Commited days])</f>
        <v>0</v>
      </c>
      <c r="AA688" s="269">
        <f>SUMIF(TAB_CS[Reference],TAB_Offres[[#This Row],[Reference]],TAB_CS[Commited amount])</f>
        <v>0</v>
      </c>
      <c r="AB688" s="275"/>
      <c r="AC688" s="270"/>
      <c r="AD688" s="270"/>
      <c r="AE688" s="264"/>
      <c r="AF688" s="271"/>
      <c r="AG688" s="278"/>
      <c r="AH688" s="277" t="str">
        <f>CONCATENATE(YEAR(TAB_Offres[[#This Row],[Request date ]]),"-",MONTH(TAB_Offres[[#This Row],[Request date ]]))</f>
        <v>1900-1</v>
      </c>
      <c r="AI688" s="274" t="e">
        <f>IF(#REF!,1,0)</f>
        <v>#REF!</v>
      </c>
      <c r="AJ688" s="4"/>
      <c r="AK688" s="4"/>
      <c r="AL688" s="4"/>
      <c r="AN688" s="150"/>
      <c r="AQ688" s="4"/>
    </row>
    <row r="689" spans="1:43" x14ac:dyDescent="0.25">
      <c r="A689" s="258">
        <f>ROW(TAB_Offres[[#This Row],[Reference]])-ROW(TAB_Offres[[#Headers],[ID]])</f>
        <v>688</v>
      </c>
      <c r="B689" s="258"/>
      <c r="C689" s="258"/>
      <c r="D689" s="258"/>
      <c r="E689" s="263"/>
      <c r="F689" s="258"/>
      <c r="G689" s="263"/>
      <c r="H689" s="262"/>
      <c r="I689" s="262"/>
      <c r="J689" s="262"/>
      <c r="K689" s="262"/>
      <c r="L689" s="262"/>
      <c r="M689" s="264"/>
      <c r="N689" s="262"/>
      <c r="O689" s="262"/>
      <c r="P689" s="262"/>
      <c r="Q689" s="263"/>
      <c r="R689" s="263"/>
      <c r="S689" s="292"/>
      <c r="T689" s="261"/>
      <c r="U689" s="261"/>
      <c r="V689" s="268"/>
      <c r="W689" s="268"/>
      <c r="X689" s="268"/>
      <c r="Y689" s="268"/>
      <c r="Z689" s="471">
        <f>SUMIF(TAB_CS[Reference],TAB_Offres[[#This Row],[Reference]],TAB_CS[Commited days])</f>
        <v>0</v>
      </c>
      <c r="AA689" s="269">
        <f>SUMIF(TAB_CS[Reference],TAB_Offres[[#This Row],[Reference]],TAB_CS[Commited amount])</f>
        <v>0</v>
      </c>
      <c r="AB689" s="275"/>
      <c r="AC689" s="270"/>
      <c r="AD689" s="270"/>
      <c r="AE689" s="264"/>
      <c r="AF689" s="271"/>
      <c r="AG689" s="278"/>
      <c r="AH689" s="277" t="str">
        <f>CONCATENATE(YEAR(TAB_Offres[[#This Row],[Request date ]]),"-",MONTH(TAB_Offres[[#This Row],[Request date ]]))</f>
        <v>1900-1</v>
      </c>
      <c r="AI689" s="274" t="e">
        <f>IF(#REF!,1,0)</f>
        <v>#REF!</v>
      </c>
      <c r="AJ689" s="4"/>
      <c r="AK689" s="4"/>
      <c r="AL689" s="4"/>
      <c r="AN689" s="150"/>
      <c r="AQ689" s="4"/>
    </row>
    <row r="690" spans="1:43" x14ac:dyDescent="0.25">
      <c r="A690" s="258">
        <f>ROW(TAB_Offres[[#This Row],[Reference]])-ROW(TAB_Offres[[#Headers],[ID]])</f>
        <v>689</v>
      </c>
      <c r="B690" s="258"/>
      <c r="C690" s="258"/>
      <c r="D690" s="258"/>
      <c r="E690" s="263"/>
      <c r="F690" s="258"/>
      <c r="G690" s="263"/>
      <c r="H690" s="262"/>
      <c r="I690" s="262"/>
      <c r="J690" s="262"/>
      <c r="K690" s="262"/>
      <c r="L690" s="262"/>
      <c r="M690" s="264"/>
      <c r="N690" s="262"/>
      <c r="O690" s="262"/>
      <c r="P690" s="262"/>
      <c r="Q690" s="263"/>
      <c r="R690" s="263"/>
      <c r="S690" s="292"/>
      <c r="T690" s="261"/>
      <c r="U690" s="261"/>
      <c r="V690" s="268"/>
      <c r="W690" s="268"/>
      <c r="X690" s="268"/>
      <c r="Y690" s="268"/>
      <c r="Z690" s="471">
        <f>SUMIF(TAB_CS[Reference],TAB_Offres[[#This Row],[Reference]],TAB_CS[Commited days])</f>
        <v>0</v>
      </c>
      <c r="AA690" s="269">
        <f>SUMIF(TAB_CS[Reference],TAB_Offres[[#This Row],[Reference]],TAB_CS[Commited amount])</f>
        <v>0</v>
      </c>
      <c r="AB690" s="275"/>
      <c r="AC690" s="270"/>
      <c r="AD690" s="270"/>
      <c r="AE690" s="264"/>
      <c r="AF690" s="271"/>
      <c r="AG690" s="278"/>
      <c r="AH690" s="277" t="str">
        <f>CONCATENATE(YEAR(TAB_Offres[[#This Row],[Request date ]]),"-",MONTH(TAB_Offres[[#This Row],[Request date ]]))</f>
        <v>1900-1</v>
      </c>
      <c r="AI690" s="274" t="e">
        <f>IF(#REF!,1,0)</f>
        <v>#REF!</v>
      </c>
      <c r="AJ690" s="4"/>
      <c r="AK690" s="4"/>
      <c r="AL690" s="4"/>
      <c r="AN690" s="150"/>
      <c r="AQ690" s="4"/>
    </row>
    <row r="691" spans="1:43" x14ac:dyDescent="0.25">
      <c r="A691" s="258">
        <f>ROW(TAB_Offres[[#This Row],[Reference]])-ROW(TAB_Offres[[#Headers],[ID]])</f>
        <v>690</v>
      </c>
      <c r="B691" s="258"/>
      <c r="C691" s="258"/>
      <c r="D691" s="258"/>
      <c r="E691" s="263"/>
      <c r="F691" s="258"/>
      <c r="G691" s="263"/>
      <c r="H691" s="262"/>
      <c r="I691" s="262"/>
      <c r="J691" s="262"/>
      <c r="K691" s="262"/>
      <c r="L691" s="262"/>
      <c r="M691" s="264"/>
      <c r="N691" s="262"/>
      <c r="O691" s="262"/>
      <c r="P691" s="262"/>
      <c r="Q691" s="263"/>
      <c r="R691" s="263"/>
      <c r="S691" s="292"/>
      <c r="T691" s="261"/>
      <c r="U691" s="261"/>
      <c r="V691" s="268"/>
      <c r="W691" s="268"/>
      <c r="X691" s="268"/>
      <c r="Y691" s="268"/>
      <c r="Z691" s="471">
        <f>SUMIF(TAB_CS[Reference],TAB_Offres[[#This Row],[Reference]],TAB_CS[Commited days])</f>
        <v>0</v>
      </c>
      <c r="AA691" s="269">
        <f>SUMIF(TAB_CS[Reference],TAB_Offres[[#This Row],[Reference]],TAB_CS[Commited amount])</f>
        <v>0</v>
      </c>
      <c r="AB691" s="275"/>
      <c r="AC691" s="270"/>
      <c r="AD691" s="270"/>
      <c r="AE691" s="264"/>
      <c r="AF691" s="271"/>
      <c r="AG691" s="278"/>
      <c r="AH691" s="277" t="str">
        <f>CONCATENATE(YEAR(TAB_Offres[[#This Row],[Request date ]]),"-",MONTH(TAB_Offres[[#This Row],[Request date ]]))</f>
        <v>1900-1</v>
      </c>
      <c r="AI691" s="274" t="e">
        <f>IF(#REF!,1,0)</f>
        <v>#REF!</v>
      </c>
      <c r="AJ691" s="4"/>
      <c r="AK691" s="4"/>
      <c r="AL691" s="4"/>
      <c r="AN691" s="150"/>
      <c r="AQ691" s="4"/>
    </row>
    <row r="692" spans="1:43" x14ac:dyDescent="0.25">
      <c r="A692" s="258">
        <f>ROW(TAB_Offres[[#This Row],[Reference]])-ROW(TAB_Offres[[#Headers],[ID]])</f>
        <v>691</v>
      </c>
      <c r="B692" s="258"/>
      <c r="C692" s="258"/>
      <c r="D692" s="258"/>
      <c r="E692" s="263"/>
      <c r="F692" s="258"/>
      <c r="G692" s="263"/>
      <c r="H692" s="262"/>
      <c r="I692" s="262"/>
      <c r="J692" s="262"/>
      <c r="K692" s="262"/>
      <c r="L692" s="262"/>
      <c r="M692" s="264"/>
      <c r="N692" s="262"/>
      <c r="O692" s="262"/>
      <c r="P692" s="262"/>
      <c r="Q692" s="263"/>
      <c r="R692" s="263"/>
      <c r="S692" s="292"/>
      <c r="T692" s="261"/>
      <c r="U692" s="261"/>
      <c r="V692" s="268"/>
      <c r="W692" s="268"/>
      <c r="X692" s="268"/>
      <c r="Y692" s="268"/>
      <c r="Z692" s="471">
        <f>SUMIF(TAB_CS[Reference],TAB_Offres[[#This Row],[Reference]],TAB_CS[Commited days])</f>
        <v>0</v>
      </c>
      <c r="AA692" s="269">
        <f>SUMIF(TAB_CS[Reference],TAB_Offres[[#This Row],[Reference]],TAB_CS[Commited amount])</f>
        <v>0</v>
      </c>
      <c r="AB692" s="275"/>
      <c r="AC692" s="270"/>
      <c r="AD692" s="270"/>
      <c r="AE692" s="264"/>
      <c r="AF692" s="271"/>
      <c r="AG692" s="278"/>
      <c r="AH692" s="277" t="str">
        <f>CONCATENATE(YEAR(TAB_Offres[[#This Row],[Request date ]]),"-",MONTH(TAB_Offres[[#This Row],[Request date ]]))</f>
        <v>1900-1</v>
      </c>
      <c r="AI692" s="274" t="e">
        <f>IF(#REF!,1,0)</f>
        <v>#REF!</v>
      </c>
      <c r="AJ692" s="4"/>
      <c r="AK692" s="4"/>
      <c r="AL692" s="4"/>
      <c r="AN692" s="150"/>
      <c r="AQ692" s="4"/>
    </row>
    <row r="693" spans="1:43" x14ac:dyDescent="0.25">
      <c r="A693" s="258">
        <f>ROW(TAB_Offres[[#This Row],[Reference]])-ROW(TAB_Offres[[#Headers],[ID]])</f>
        <v>692</v>
      </c>
      <c r="B693" s="258"/>
      <c r="C693" s="258"/>
      <c r="D693" s="258"/>
      <c r="E693" s="263"/>
      <c r="F693" s="258"/>
      <c r="G693" s="263"/>
      <c r="H693" s="262"/>
      <c r="I693" s="262"/>
      <c r="J693" s="262"/>
      <c r="K693" s="262"/>
      <c r="L693" s="262"/>
      <c r="M693" s="264"/>
      <c r="N693" s="262"/>
      <c r="O693" s="262"/>
      <c r="P693" s="262"/>
      <c r="Q693" s="263"/>
      <c r="R693" s="263"/>
      <c r="S693" s="292"/>
      <c r="T693" s="261"/>
      <c r="U693" s="261"/>
      <c r="V693" s="268"/>
      <c r="W693" s="268"/>
      <c r="X693" s="268"/>
      <c r="Y693" s="268"/>
      <c r="Z693" s="471">
        <f>SUMIF(TAB_CS[Reference],TAB_Offres[[#This Row],[Reference]],TAB_CS[Commited days])</f>
        <v>0</v>
      </c>
      <c r="AA693" s="269">
        <f>SUMIF(TAB_CS[Reference],TAB_Offres[[#This Row],[Reference]],TAB_CS[Commited amount])</f>
        <v>0</v>
      </c>
      <c r="AB693" s="275"/>
      <c r="AC693" s="270"/>
      <c r="AD693" s="270"/>
      <c r="AE693" s="264"/>
      <c r="AF693" s="271"/>
      <c r="AG693" s="278"/>
      <c r="AH693" s="277" t="str">
        <f>CONCATENATE(YEAR(TAB_Offres[[#This Row],[Request date ]]),"-",MONTH(TAB_Offres[[#This Row],[Request date ]]))</f>
        <v>1900-1</v>
      </c>
      <c r="AI693" s="274" t="e">
        <f>IF(#REF!,1,0)</f>
        <v>#REF!</v>
      </c>
      <c r="AJ693" s="4"/>
      <c r="AK693" s="4"/>
      <c r="AL693" s="4"/>
      <c r="AN693" s="150"/>
      <c r="AQ693" s="4"/>
    </row>
    <row r="694" spans="1:43" x14ac:dyDescent="0.25">
      <c r="A694" s="258">
        <f>ROW(TAB_Offres[[#This Row],[Reference]])-ROW(TAB_Offres[[#Headers],[ID]])</f>
        <v>693</v>
      </c>
      <c r="B694" s="258"/>
      <c r="C694" s="258"/>
      <c r="D694" s="258"/>
      <c r="E694" s="263"/>
      <c r="F694" s="258"/>
      <c r="G694" s="263"/>
      <c r="H694" s="262"/>
      <c r="I694" s="262"/>
      <c r="J694" s="262"/>
      <c r="K694" s="262"/>
      <c r="L694" s="262"/>
      <c r="M694" s="264"/>
      <c r="N694" s="262"/>
      <c r="O694" s="262"/>
      <c r="P694" s="262"/>
      <c r="Q694" s="263"/>
      <c r="R694" s="263"/>
      <c r="S694" s="292"/>
      <c r="T694" s="261"/>
      <c r="U694" s="261"/>
      <c r="V694" s="268"/>
      <c r="W694" s="268"/>
      <c r="X694" s="268"/>
      <c r="Y694" s="268"/>
      <c r="Z694" s="471">
        <f>SUMIF(TAB_CS[Reference],TAB_Offres[[#This Row],[Reference]],TAB_CS[Commited days])</f>
        <v>0</v>
      </c>
      <c r="AA694" s="269">
        <f>SUMIF(TAB_CS[Reference],TAB_Offres[[#This Row],[Reference]],TAB_CS[Commited amount])</f>
        <v>0</v>
      </c>
      <c r="AB694" s="275"/>
      <c r="AC694" s="270"/>
      <c r="AD694" s="270"/>
      <c r="AE694" s="264"/>
      <c r="AF694" s="271"/>
      <c r="AG694" s="278"/>
      <c r="AH694" s="277" t="str">
        <f>CONCATENATE(YEAR(TAB_Offres[[#This Row],[Request date ]]),"-",MONTH(TAB_Offres[[#This Row],[Request date ]]))</f>
        <v>1900-1</v>
      </c>
      <c r="AI694" s="274" t="e">
        <f>IF(#REF!,1,0)</f>
        <v>#REF!</v>
      </c>
      <c r="AJ694" s="4"/>
      <c r="AK694" s="4"/>
      <c r="AL694" s="4"/>
      <c r="AN694" s="150"/>
      <c r="AQ694" s="4"/>
    </row>
    <row r="695" spans="1:43" x14ac:dyDescent="0.25">
      <c r="A695" s="258">
        <f>ROW(TAB_Offres[[#This Row],[Reference]])-ROW(TAB_Offres[[#Headers],[ID]])</f>
        <v>694</v>
      </c>
      <c r="B695" s="258"/>
      <c r="C695" s="258"/>
      <c r="D695" s="258"/>
      <c r="E695" s="263"/>
      <c r="F695" s="258"/>
      <c r="G695" s="263"/>
      <c r="H695" s="262"/>
      <c r="I695" s="262"/>
      <c r="J695" s="262"/>
      <c r="K695" s="262"/>
      <c r="L695" s="262"/>
      <c r="M695" s="264"/>
      <c r="N695" s="262"/>
      <c r="O695" s="262"/>
      <c r="P695" s="262"/>
      <c r="Q695" s="263"/>
      <c r="R695" s="263"/>
      <c r="S695" s="292"/>
      <c r="T695" s="261"/>
      <c r="U695" s="261"/>
      <c r="V695" s="268"/>
      <c r="W695" s="268"/>
      <c r="X695" s="268"/>
      <c r="Y695" s="268"/>
      <c r="Z695" s="471">
        <f>SUMIF(TAB_CS[Reference],TAB_Offres[[#This Row],[Reference]],TAB_CS[Commited days])</f>
        <v>0</v>
      </c>
      <c r="AA695" s="269">
        <f>SUMIF(TAB_CS[Reference],TAB_Offres[[#This Row],[Reference]],TAB_CS[Commited amount])</f>
        <v>0</v>
      </c>
      <c r="AB695" s="275"/>
      <c r="AC695" s="270"/>
      <c r="AD695" s="270"/>
      <c r="AE695" s="264"/>
      <c r="AF695" s="271"/>
      <c r="AG695" s="278"/>
      <c r="AH695" s="277" t="str">
        <f>CONCATENATE(YEAR(TAB_Offres[[#This Row],[Request date ]]),"-",MONTH(TAB_Offres[[#This Row],[Request date ]]))</f>
        <v>1900-1</v>
      </c>
      <c r="AI695" s="274" t="e">
        <f>IF(#REF!,1,0)</f>
        <v>#REF!</v>
      </c>
      <c r="AJ695" s="4"/>
      <c r="AK695" s="4"/>
      <c r="AL695" s="4"/>
      <c r="AN695" s="150"/>
      <c r="AQ695" s="4"/>
    </row>
    <row r="696" spans="1:43" x14ac:dyDescent="0.25">
      <c r="A696" s="258">
        <f>ROW(TAB_Offres[[#This Row],[Reference]])-ROW(TAB_Offres[[#Headers],[ID]])</f>
        <v>695</v>
      </c>
      <c r="B696" s="258"/>
      <c r="C696" s="258"/>
      <c r="D696" s="258"/>
      <c r="E696" s="263"/>
      <c r="F696" s="258"/>
      <c r="G696" s="263"/>
      <c r="H696" s="262"/>
      <c r="I696" s="262"/>
      <c r="J696" s="262"/>
      <c r="K696" s="262"/>
      <c r="L696" s="262"/>
      <c r="M696" s="264"/>
      <c r="N696" s="262"/>
      <c r="O696" s="262"/>
      <c r="P696" s="262"/>
      <c r="Q696" s="263"/>
      <c r="R696" s="263"/>
      <c r="S696" s="292"/>
      <c r="T696" s="261"/>
      <c r="U696" s="261"/>
      <c r="V696" s="268"/>
      <c r="W696" s="268"/>
      <c r="X696" s="268"/>
      <c r="Y696" s="268"/>
      <c r="Z696" s="471">
        <f>SUMIF(TAB_CS[Reference],TAB_Offres[[#This Row],[Reference]],TAB_CS[Commited days])</f>
        <v>0</v>
      </c>
      <c r="AA696" s="269">
        <f>SUMIF(TAB_CS[Reference],TAB_Offres[[#This Row],[Reference]],TAB_CS[Commited amount])</f>
        <v>0</v>
      </c>
      <c r="AB696" s="275"/>
      <c r="AC696" s="270"/>
      <c r="AD696" s="270"/>
      <c r="AE696" s="264"/>
      <c r="AF696" s="271"/>
      <c r="AG696" s="278"/>
      <c r="AH696" s="277" t="str">
        <f>CONCATENATE(YEAR(TAB_Offres[[#This Row],[Request date ]]),"-",MONTH(TAB_Offres[[#This Row],[Request date ]]))</f>
        <v>1900-1</v>
      </c>
      <c r="AI696" s="274" t="e">
        <f>IF(#REF!,1,0)</f>
        <v>#REF!</v>
      </c>
      <c r="AJ696" s="4"/>
      <c r="AK696" s="4"/>
      <c r="AL696" s="4"/>
      <c r="AN696" s="150"/>
      <c r="AQ696" s="4"/>
    </row>
    <row r="697" spans="1:43" x14ac:dyDescent="0.25">
      <c r="A697" s="258">
        <f>ROW(TAB_Offres[[#This Row],[Reference]])-ROW(TAB_Offres[[#Headers],[ID]])</f>
        <v>696</v>
      </c>
      <c r="B697" s="258"/>
      <c r="C697" s="258"/>
      <c r="D697" s="258"/>
      <c r="E697" s="263"/>
      <c r="F697" s="258"/>
      <c r="G697" s="263"/>
      <c r="H697" s="262"/>
      <c r="I697" s="262"/>
      <c r="J697" s="262"/>
      <c r="K697" s="262"/>
      <c r="L697" s="262"/>
      <c r="M697" s="264"/>
      <c r="N697" s="262"/>
      <c r="O697" s="262"/>
      <c r="P697" s="262"/>
      <c r="Q697" s="263"/>
      <c r="R697" s="263"/>
      <c r="S697" s="292"/>
      <c r="T697" s="261"/>
      <c r="U697" s="261"/>
      <c r="V697" s="268"/>
      <c r="W697" s="268"/>
      <c r="X697" s="268"/>
      <c r="Y697" s="268"/>
      <c r="Z697" s="471">
        <f>SUMIF(TAB_CS[Reference],TAB_Offres[[#This Row],[Reference]],TAB_CS[Commited days])</f>
        <v>0</v>
      </c>
      <c r="AA697" s="269">
        <f>SUMIF(TAB_CS[Reference],TAB_Offres[[#This Row],[Reference]],TAB_CS[Commited amount])</f>
        <v>0</v>
      </c>
      <c r="AB697" s="275"/>
      <c r="AC697" s="270"/>
      <c r="AD697" s="270"/>
      <c r="AE697" s="264"/>
      <c r="AF697" s="271"/>
      <c r="AG697" s="278"/>
      <c r="AH697" s="277" t="str">
        <f>CONCATENATE(YEAR(TAB_Offres[[#This Row],[Request date ]]),"-",MONTH(TAB_Offres[[#This Row],[Request date ]]))</f>
        <v>1900-1</v>
      </c>
      <c r="AI697" s="274" t="e">
        <f>IF(#REF!,1,0)</f>
        <v>#REF!</v>
      </c>
      <c r="AJ697" s="4"/>
      <c r="AK697" s="4"/>
      <c r="AL697" s="4"/>
      <c r="AN697" s="150"/>
      <c r="AQ697" s="4"/>
    </row>
    <row r="698" spans="1:43" x14ac:dyDescent="0.25">
      <c r="A698" s="258">
        <f>ROW(TAB_Offres[[#This Row],[Reference]])-ROW(TAB_Offres[[#Headers],[ID]])</f>
        <v>697</v>
      </c>
      <c r="B698" s="258"/>
      <c r="C698" s="258"/>
      <c r="D698" s="258"/>
      <c r="E698" s="263"/>
      <c r="F698" s="258"/>
      <c r="G698" s="263"/>
      <c r="H698" s="262"/>
      <c r="I698" s="262"/>
      <c r="J698" s="262"/>
      <c r="K698" s="262"/>
      <c r="L698" s="262"/>
      <c r="M698" s="264"/>
      <c r="N698" s="262"/>
      <c r="O698" s="262"/>
      <c r="P698" s="262"/>
      <c r="Q698" s="263"/>
      <c r="R698" s="263"/>
      <c r="S698" s="292"/>
      <c r="T698" s="261"/>
      <c r="U698" s="261"/>
      <c r="V698" s="268"/>
      <c r="W698" s="268"/>
      <c r="X698" s="268"/>
      <c r="Y698" s="268"/>
      <c r="Z698" s="471">
        <f>SUMIF(TAB_CS[Reference],TAB_Offres[[#This Row],[Reference]],TAB_CS[Commited days])</f>
        <v>0</v>
      </c>
      <c r="AA698" s="269">
        <f>SUMIF(TAB_CS[Reference],TAB_Offres[[#This Row],[Reference]],TAB_CS[Commited amount])</f>
        <v>0</v>
      </c>
      <c r="AB698" s="275"/>
      <c r="AC698" s="270"/>
      <c r="AD698" s="270"/>
      <c r="AE698" s="264"/>
      <c r="AF698" s="271"/>
      <c r="AG698" s="278"/>
      <c r="AH698" s="277" t="str">
        <f>CONCATENATE(YEAR(TAB_Offres[[#This Row],[Request date ]]),"-",MONTH(TAB_Offres[[#This Row],[Request date ]]))</f>
        <v>1900-1</v>
      </c>
      <c r="AI698" s="274" t="e">
        <f>IF(#REF!,1,0)</f>
        <v>#REF!</v>
      </c>
      <c r="AJ698" s="4"/>
      <c r="AK698" s="4"/>
      <c r="AL698" s="4"/>
      <c r="AN698" s="150"/>
      <c r="AQ698" s="4"/>
    </row>
    <row r="699" spans="1:43" x14ac:dyDescent="0.25">
      <c r="A699" s="258">
        <f>ROW(TAB_Offres[[#This Row],[Reference]])-ROW(TAB_Offres[[#Headers],[ID]])</f>
        <v>698</v>
      </c>
      <c r="B699" s="258"/>
      <c r="C699" s="258"/>
      <c r="D699" s="258"/>
      <c r="E699" s="263"/>
      <c r="F699" s="258"/>
      <c r="G699" s="263"/>
      <c r="H699" s="262"/>
      <c r="I699" s="262"/>
      <c r="J699" s="262"/>
      <c r="K699" s="262"/>
      <c r="L699" s="262"/>
      <c r="M699" s="264"/>
      <c r="N699" s="262"/>
      <c r="O699" s="262"/>
      <c r="P699" s="262"/>
      <c r="Q699" s="263"/>
      <c r="R699" s="263"/>
      <c r="S699" s="292"/>
      <c r="T699" s="261"/>
      <c r="U699" s="261"/>
      <c r="V699" s="268"/>
      <c r="W699" s="268"/>
      <c r="X699" s="268"/>
      <c r="Y699" s="268"/>
      <c r="Z699" s="471">
        <f>SUMIF(TAB_CS[Reference],TAB_Offres[[#This Row],[Reference]],TAB_CS[Commited days])</f>
        <v>0</v>
      </c>
      <c r="AA699" s="269">
        <f>SUMIF(TAB_CS[Reference],TAB_Offres[[#This Row],[Reference]],TAB_CS[Commited amount])</f>
        <v>0</v>
      </c>
      <c r="AB699" s="275"/>
      <c r="AC699" s="270"/>
      <c r="AD699" s="270"/>
      <c r="AE699" s="264"/>
      <c r="AF699" s="271"/>
      <c r="AG699" s="278"/>
      <c r="AH699" s="277" t="str">
        <f>CONCATENATE(YEAR(TAB_Offres[[#This Row],[Request date ]]),"-",MONTH(TAB_Offres[[#This Row],[Request date ]]))</f>
        <v>1900-1</v>
      </c>
      <c r="AI699" s="274" t="e">
        <f>IF(#REF!,1,0)</f>
        <v>#REF!</v>
      </c>
      <c r="AJ699" s="4"/>
      <c r="AK699" s="4"/>
      <c r="AL699" s="4"/>
      <c r="AN699" s="150"/>
      <c r="AQ699" s="4"/>
    </row>
    <row r="700" spans="1:43" x14ac:dyDescent="0.25">
      <c r="A700" s="258">
        <f>ROW(TAB_Offres[[#This Row],[Reference]])-ROW(TAB_Offres[[#Headers],[ID]])</f>
        <v>699</v>
      </c>
      <c r="B700" s="258"/>
      <c r="C700" s="258"/>
      <c r="D700" s="258"/>
      <c r="E700" s="263"/>
      <c r="F700" s="258"/>
      <c r="G700" s="263"/>
      <c r="H700" s="262"/>
      <c r="I700" s="262"/>
      <c r="J700" s="262"/>
      <c r="K700" s="262"/>
      <c r="L700" s="262"/>
      <c r="M700" s="264"/>
      <c r="N700" s="262"/>
      <c r="O700" s="262"/>
      <c r="P700" s="262"/>
      <c r="Q700" s="263"/>
      <c r="R700" s="263"/>
      <c r="S700" s="292"/>
      <c r="T700" s="261"/>
      <c r="U700" s="261"/>
      <c r="V700" s="268"/>
      <c r="W700" s="268"/>
      <c r="X700" s="268"/>
      <c r="Y700" s="268"/>
      <c r="Z700" s="471">
        <f>SUMIF(TAB_CS[Reference],TAB_Offres[[#This Row],[Reference]],TAB_CS[Commited days])</f>
        <v>0</v>
      </c>
      <c r="AA700" s="269">
        <f>SUMIF(TAB_CS[Reference],TAB_Offres[[#This Row],[Reference]],TAB_CS[Commited amount])</f>
        <v>0</v>
      </c>
      <c r="AB700" s="275"/>
      <c r="AC700" s="270"/>
      <c r="AD700" s="270"/>
      <c r="AE700" s="264"/>
      <c r="AF700" s="271"/>
      <c r="AG700" s="278"/>
      <c r="AH700" s="277" t="str">
        <f>CONCATENATE(YEAR(TAB_Offres[[#This Row],[Request date ]]),"-",MONTH(TAB_Offres[[#This Row],[Request date ]]))</f>
        <v>1900-1</v>
      </c>
      <c r="AI700" s="274" t="e">
        <f>IF(#REF!,1,0)</f>
        <v>#REF!</v>
      </c>
      <c r="AJ700" s="4"/>
      <c r="AK700" s="4"/>
      <c r="AL700" s="4"/>
      <c r="AN700" s="150"/>
      <c r="AQ700" s="4"/>
    </row>
    <row r="701" spans="1:43" x14ac:dyDescent="0.25">
      <c r="A701" s="258">
        <f>ROW(TAB_Offres[[#This Row],[Reference]])-ROW(TAB_Offres[[#Headers],[ID]])</f>
        <v>700</v>
      </c>
      <c r="B701" s="258"/>
      <c r="C701" s="258"/>
      <c r="D701" s="258"/>
      <c r="E701" s="263"/>
      <c r="F701" s="258"/>
      <c r="G701" s="263"/>
      <c r="H701" s="262"/>
      <c r="I701" s="262"/>
      <c r="J701" s="262"/>
      <c r="K701" s="262"/>
      <c r="L701" s="262"/>
      <c r="M701" s="264"/>
      <c r="N701" s="262"/>
      <c r="O701" s="262"/>
      <c r="P701" s="262"/>
      <c r="Q701" s="263"/>
      <c r="R701" s="263"/>
      <c r="S701" s="292"/>
      <c r="T701" s="261"/>
      <c r="U701" s="261"/>
      <c r="V701" s="268"/>
      <c r="W701" s="268"/>
      <c r="X701" s="268"/>
      <c r="Y701" s="268"/>
      <c r="Z701" s="471">
        <f>SUMIF(TAB_CS[Reference],TAB_Offres[[#This Row],[Reference]],TAB_CS[Commited days])</f>
        <v>0</v>
      </c>
      <c r="AA701" s="269">
        <f>SUMIF(TAB_CS[Reference],TAB_Offres[[#This Row],[Reference]],TAB_CS[Commited amount])</f>
        <v>0</v>
      </c>
      <c r="AB701" s="275"/>
      <c r="AC701" s="270"/>
      <c r="AD701" s="270"/>
      <c r="AE701" s="264"/>
      <c r="AF701" s="271"/>
      <c r="AG701" s="278"/>
      <c r="AH701" s="277" t="str">
        <f>CONCATENATE(YEAR(TAB_Offres[[#This Row],[Request date ]]),"-",MONTH(TAB_Offres[[#This Row],[Request date ]]))</f>
        <v>1900-1</v>
      </c>
      <c r="AI701" s="274" t="e">
        <f>IF(#REF!,1,0)</f>
        <v>#REF!</v>
      </c>
      <c r="AJ701" s="4"/>
      <c r="AK701" s="4"/>
      <c r="AL701" s="4"/>
      <c r="AN701" s="150"/>
      <c r="AQ701" s="4"/>
    </row>
    <row r="702" spans="1:43" x14ac:dyDescent="0.25">
      <c r="A702" s="258">
        <f>ROW(TAB_Offres[[#This Row],[Reference]])-ROW(TAB_Offres[[#Headers],[ID]])</f>
        <v>701</v>
      </c>
      <c r="B702" s="258"/>
      <c r="C702" s="258"/>
      <c r="D702" s="258"/>
      <c r="E702" s="263"/>
      <c r="F702" s="258"/>
      <c r="G702" s="263"/>
      <c r="H702" s="262"/>
      <c r="I702" s="262"/>
      <c r="J702" s="262"/>
      <c r="K702" s="262"/>
      <c r="L702" s="262"/>
      <c r="M702" s="264"/>
      <c r="N702" s="262"/>
      <c r="O702" s="262"/>
      <c r="P702" s="262"/>
      <c r="Q702" s="263"/>
      <c r="R702" s="263"/>
      <c r="S702" s="292"/>
      <c r="T702" s="261"/>
      <c r="U702" s="261"/>
      <c r="V702" s="268"/>
      <c r="W702" s="268"/>
      <c r="X702" s="268"/>
      <c r="Y702" s="268"/>
      <c r="Z702" s="471">
        <f>SUMIF(TAB_CS[Reference],TAB_Offres[[#This Row],[Reference]],TAB_CS[Commited days])</f>
        <v>0</v>
      </c>
      <c r="AA702" s="269">
        <f>SUMIF(TAB_CS[Reference],TAB_Offres[[#This Row],[Reference]],TAB_CS[Commited amount])</f>
        <v>0</v>
      </c>
      <c r="AB702" s="275"/>
      <c r="AC702" s="270"/>
      <c r="AD702" s="270"/>
      <c r="AE702" s="264"/>
      <c r="AF702" s="271"/>
      <c r="AG702" s="278"/>
      <c r="AH702" s="277" t="str">
        <f>CONCATENATE(YEAR(TAB_Offres[[#This Row],[Request date ]]),"-",MONTH(TAB_Offres[[#This Row],[Request date ]]))</f>
        <v>1900-1</v>
      </c>
      <c r="AI702" s="274" t="e">
        <f>IF(#REF!,1,0)</f>
        <v>#REF!</v>
      </c>
      <c r="AJ702" s="4"/>
      <c r="AK702" s="4"/>
      <c r="AL702" s="4"/>
      <c r="AN702" s="150"/>
      <c r="AQ702" s="4"/>
    </row>
    <row r="703" spans="1:43" x14ac:dyDescent="0.25">
      <c r="A703" s="258">
        <f>ROW(TAB_Offres[[#This Row],[Reference]])-ROW(TAB_Offres[[#Headers],[ID]])</f>
        <v>702</v>
      </c>
      <c r="B703" s="258"/>
      <c r="C703" s="258"/>
      <c r="D703" s="258"/>
      <c r="E703" s="263"/>
      <c r="F703" s="258"/>
      <c r="G703" s="263"/>
      <c r="H703" s="262"/>
      <c r="I703" s="262"/>
      <c r="J703" s="262"/>
      <c r="K703" s="262"/>
      <c r="L703" s="262"/>
      <c r="M703" s="264"/>
      <c r="N703" s="262"/>
      <c r="O703" s="262"/>
      <c r="P703" s="262"/>
      <c r="Q703" s="263"/>
      <c r="R703" s="263"/>
      <c r="S703" s="292"/>
      <c r="T703" s="261"/>
      <c r="U703" s="261"/>
      <c r="V703" s="268"/>
      <c r="W703" s="268"/>
      <c r="X703" s="268"/>
      <c r="Y703" s="268"/>
      <c r="Z703" s="471">
        <f>SUMIF(TAB_CS[Reference],TAB_Offres[[#This Row],[Reference]],TAB_CS[Commited days])</f>
        <v>0</v>
      </c>
      <c r="AA703" s="269">
        <f>SUMIF(TAB_CS[Reference],TAB_Offres[[#This Row],[Reference]],TAB_CS[Commited amount])</f>
        <v>0</v>
      </c>
      <c r="AB703" s="275"/>
      <c r="AC703" s="270"/>
      <c r="AD703" s="270"/>
      <c r="AE703" s="264"/>
      <c r="AF703" s="271"/>
      <c r="AG703" s="278"/>
      <c r="AH703" s="277" t="str">
        <f>CONCATENATE(YEAR(TAB_Offres[[#This Row],[Request date ]]),"-",MONTH(TAB_Offres[[#This Row],[Request date ]]))</f>
        <v>1900-1</v>
      </c>
      <c r="AI703" s="274" t="e">
        <f>IF(#REF!,1,0)</f>
        <v>#REF!</v>
      </c>
      <c r="AJ703" s="4"/>
      <c r="AK703" s="4"/>
      <c r="AL703" s="4"/>
      <c r="AN703" s="150"/>
      <c r="AQ703" s="4"/>
    </row>
    <row r="704" spans="1:43" x14ac:dyDescent="0.25">
      <c r="A704" s="258">
        <f>ROW(TAB_Offres[[#This Row],[Reference]])-ROW(TAB_Offres[[#Headers],[ID]])</f>
        <v>703</v>
      </c>
      <c r="B704" s="258"/>
      <c r="C704" s="258"/>
      <c r="D704" s="258"/>
      <c r="E704" s="263"/>
      <c r="F704" s="258"/>
      <c r="G704" s="263"/>
      <c r="H704" s="262"/>
      <c r="I704" s="262"/>
      <c r="J704" s="262"/>
      <c r="K704" s="262"/>
      <c r="L704" s="262"/>
      <c r="M704" s="264"/>
      <c r="N704" s="262"/>
      <c r="O704" s="262"/>
      <c r="P704" s="262"/>
      <c r="Q704" s="263"/>
      <c r="R704" s="263"/>
      <c r="S704" s="292"/>
      <c r="T704" s="261"/>
      <c r="U704" s="261"/>
      <c r="V704" s="268"/>
      <c r="W704" s="268"/>
      <c r="X704" s="268"/>
      <c r="Y704" s="268"/>
      <c r="Z704" s="471">
        <f>SUMIF(TAB_CS[Reference],TAB_Offres[[#This Row],[Reference]],TAB_CS[Commited days])</f>
        <v>0</v>
      </c>
      <c r="AA704" s="269">
        <f>SUMIF(TAB_CS[Reference],TAB_Offres[[#This Row],[Reference]],TAB_CS[Commited amount])</f>
        <v>0</v>
      </c>
      <c r="AB704" s="275"/>
      <c r="AC704" s="270"/>
      <c r="AD704" s="270"/>
      <c r="AE704" s="264"/>
      <c r="AF704" s="271"/>
      <c r="AG704" s="278"/>
      <c r="AH704" s="277" t="str">
        <f>CONCATENATE(YEAR(TAB_Offres[[#This Row],[Request date ]]),"-",MONTH(TAB_Offres[[#This Row],[Request date ]]))</f>
        <v>1900-1</v>
      </c>
      <c r="AI704" s="274" t="e">
        <f>IF(#REF!,1,0)</f>
        <v>#REF!</v>
      </c>
      <c r="AJ704" s="4"/>
      <c r="AK704" s="4"/>
      <c r="AL704" s="4"/>
      <c r="AN704" s="150"/>
      <c r="AQ704" s="4"/>
    </row>
    <row r="705" spans="1:43" x14ac:dyDescent="0.25">
      <c r="A705" s="258">
        <f>ROW(TAB_Offres[[#This Row],[Reference]])-ROW(TAB_Offres[[#Headers],[ID]])</f>
        <v>704</v>
      </c>
      <c r="B705" s="258"/>
      <c r="C705" s="258"/>
      <c r="D705" s="258"/>
      <c r="E705" s="263"/>
      <c r="F705" s="258"/>
      <c r="G705" s="263"/>
      <c r="H705" s="262"/>
      <c r="I705" s="262"/>
      <c r="J705" s="262"/>
      <c r="K705" s="262"/>
      <c r="L705" s="262"/>
      <c r="M705" s="264"/>
      <c r="N705" s="262"/>
      <c r="O705" s="262"/>
      <c r="P705" s="262"/>
      <c r="Q705" s="263"/>
      <c r="R705" s="263"/>
      <c r="S705" s="292"/>
      <c r="T705" s="261"/>
      <c r="U705" s="261"/>
      <c r="V705" s="268"/>
      <c r="W705" s="268"/>
      <c r="X705" s="268"/>
      <c r="Y705" s="268"/>
      <c r="Z705" s="471">
        <f>SUMIF(TAB_CS[Reference],TAB_Offres[[#This Row],[Reference]],TAB_CS[Commited days])</f>
        <v>0</v>
      </c>
      <c r="AA705" s="269">
        <f>SUMIF(TAB_CS[Reference],TAB_Offres[[#This Row],[Reference]],TAB_CS[Commited amount])</f>
        <v>0</v>
      </c>
      <c r="AB705" s="275"/>
      <c r="AC705" s="270"/>
      <c r="AD705" s="270"/>
      <c r="AE705" s="264"/>
      <c r="AF705" s="271"/>
      <c r="AG705" s="278"/>
      <c r="AH705" s="277" t="str">
        <f>CONCATENATE(YEAR(TAB_Offres[[#This Row],[Request date ]]),"-",MONTH(TAB_Offres[[#This Row],[Request date ]]))</f>
        <v>1900-1</v>
      </c>
      <c r="AI705" s="274" t="e">
        <f>IF(#REF!,1,0)</f>
        <v>#REF!</v>
      </c>
      <c r="AJ705" s="4"/>
      <c r="AK705" s="4"/>
      <c r="AL705" s="4"/>
      <c r="AN705" s="150"/>
      <c r="AQ705" s="4"/>
    </row>
    <row r="706" spans="1:43" x14ac:dyDescent="0.25">
      <c r="A706" s="258">
        <f>ROW(TAB_Offres[[#This Row],[Reference]])-ROW(TAB_Offres[[#Headers],[ID]])</f>
        <v>705</v>
      </c>
      <c r="B706" s="258"/>
      <c r="C706" s="258"/>
      <c r="D706" s="258"/>
      <c r="E706" s="263"/>
      <c r="F706" s="258"/>
      <c r="G706" s="263"/>
      <c r="H706" s="262"/>
      <c r="I706" s="262"/>
      <c r="J706" s="262"/>
      <c r="K706" s="262"/>
      <c r="L706" s="262"/>
      <c r="M706" s="264"/>
      <c r="N706" s="262"/>
      <c r="O706" s="262"/>
      <c r="P706" s="262"/>
      <c r="Q706" s="263"/>
      <c r="R706" s="263"/>
      <c r="S706" s="292"/>
      <c r="T706" s="261"/>
      <c r="U706" s="261"/>
      <c r="V706" s="268"/>
      <c r="W706" s="268"/>
      <c r="X706" s="268"/>
      <c r="Y706" s="268"/>
      <c r="Z706" s="471">
        <f>SUMIF(TAB_CS[Reference],TAB_Offres[[#This Row],[Reference]],TAB_CS[Commited days])</f>
        <v>0</v>
      </c>
      <c r="AA706" s="269">
        <f>SUMIF(TAB_CS[Reference],TAB_Offres[[#This Row],[Reference]],TAB_CS[Commited amount])</f>
        <v>0</v>
      </c>
      <c r="AB706" s="275"/>
      <c r="AC706" s="270"/>
      <c r="AD706" s="270"/>
      <c r="AE706" s="264"/>
      <c r="AF706" s="271"/>
      <c r="AG706" s="278"/>
      <c r="AH706" s="277" t="str">
        <f>CONCATENATE(YEAR(TAB_Offres[[#This Row],[Request date ]]),"-",MONTH(TAB_Offres[[#This Row],[Request date ]]))</f>
        <v>1900-1</v>
      </c>
      <c r="AI706" s="274" t="e">
        <f>IF(#REF!,1,0)</f>
        <v>#REF!</v>
      </c>
      <c r="AJ706" s="4"/>
      <c r="AK706" s="4"/>
      <c r="AL706" s="4"/>
      <c r="AN706" s="150"/>
      <c r="AQ706" s="4"/>
    </row>
    <row r="707" spans="1:43" x14ac:dyDescent="0.25">
      <c r="A707" s="258">
        <f>ROW(TAB_Offres[[#This Row],[Reference]])-ROW(TAB_Offres[[#Headers],[ID]])</f>
        <v>706</v>
      </c>
      <c r="B707" s="258"/>
      <c r="C707" s="258"/>
      <c r="D707" s="258"/>
      <c r="E707" s="263"/>
      <c r="F707" s="258"/>
      <c r="G707" s="263"/>
      <c r="H707" s="262"/>
      <c r="I707" s="262"/>
      <c r="J707" s="262"/>
      <c r="K707" s="262"/>
      <c r="L707" s="262"/>
      <c r="M707" s="264"/>
      <c r="N707" s="262"/>
      <c r="O707" s="262"/>
      <c r="P707" s="262"/>
      <c r="Q707" s="263"/>
      <c r="R707" s="263"/>
      <c r="S707" s="292"/>
      <c r="T707" s="261"/>
      <c r="U707" s="261"/>
      <c r="V707" s="268"/>
      <c r="W707" s="268"/>
      <c r="X707" s="268"/>
      <c r="Y707" s="268"/>
      <c r="Z707" s="471">
        <f>SUMIF(TAB_CS[Reference],TAB_Offres[[#This Row],[Reference]],TAB_CS[Commited days])</f>
        <v>0</v>
      </c>
      <c r="AA707" s="269">
        <f>SUMIF(TAB_CS[Reference],TAB_Offres[[#This Row],[Reference]],TAB_CS[Commited amount])</f>
        <v>0</v>
      </c>
      <c r="AB707" s="275"/>
      <c r="AC707" s="270"/>
      <c r="AD707" s="270"/>
      <c r="AE707" s="264"/>
      <c r="AF707" s="271"/>
      <c r="AG707" s="278"/>
      <c r="AH707" s="277" t="str">
        <f>CONCATENATE(YEAR(TAB_Offres[[#This Row],[Request date ]]),"-",MONTH(TAB_Offres[[#This Row],[Request date ]]))</f>
        <v>1900-1</v>
      </c>
      <c r="AI707" s="274" t="e">
        <f>IF(#REF!,1,0)</f>
        <v>#REF!</v>
      </c>
      <c r="AJ707" s="4"/>
      <c r="AK707" s="4"/>
      <c r="AL707" s="4"/>
      <c r="AN707" s="150"/>
      <c r="AQ707" s="4"/>
    </row>
    <row r="708" spans="1:43" x14ac:dyDescent="0.25">
      <c r="A708" s="258">
        <f>ROW(TAB_Offres[[#This Row],[Reference]])-ROW(TAB_Offres[[#Headers],[ID]])</f>
        <v>707</v>
      </c>
      <c r="B708" s="258"/>
      <c r="C708" s="258"/>
      <c r="D708" s="258"/>
      <c r="E708" s="263"/>
      <c r="F708" s="258"/>
      <c r="G708" s="263"/>
      <c r="H708" s="262"/>
      <c r="I708" s="262"/>
      <c r="J708" s="262"/>
      <c r="K708" s="262"/>
      <c r="L708" s="262"/>
      <c r="M708" s="264"/>
      <c r="N708" s="262"/>
      <c r="O708" s="262"/>
      <c r="P708" s="262"/>
      <c r="Q708" s="263"/>
      <c r="R708" s="263"/>
      <c r="S708" s="292"/>
      <c r="T708" s="261"/>
      <c r="U708" s="261"/>
      <c r="V708" s="268"/>
      <c r="W708" s="268"/>
      <c r="X708" s="268"/>
      <c r="Y708" s="268"/>
      <c r="Z708" s="471">
        <f>SUMIF(TAB_CS[Reference],TAB_Offres[[#This Row],[Reference]],TAB_CS[Commited days])</f>
        <v>0</v>
      </c>
      <c r="AA708" s="269">
        <f>SUMIF(TAB_CS[Reference],TAB_Offres[[#This Row],[Reference]],TAB_CS[Commited amount])</f>
        <v>0</v>
      </c>
      <c r="AB708" s="275"/>
      <c r="AC708" s="270"/>
      <c r="AD708" s="270"/>
      <c r="AE708" s="264"/>
      <c r="AF708" s="271"/>
      <c r="AG708" s="278"/>
      <c r="AH708" s="277" t="str">
        <f>CONCATENATE(YEAR(TAB_Offres[[#This Row],[Request date ]]),"-",MONTH(TAB_Offres[[#This Row],[Request date ]]))</f>
        <v>1900-1</v>
      </c>
      <c r="AI708" s="274" t="e">
        <f>IF(#REF!,1,0)</f>
        <v>#REF!</v>
      </c>
      <c r="AJ708" s="4"/>
      <c r="AK708" s="4"/>
      <c r="AL708" s="4"/>
      <c r="AN708" s="150"/>
      <c r="AQ708" s="4"/>
    </row>
    <row r="709" spans="1:43" x14ac:dyDescent="0.25">
      <c r="A709" s="258">
        <f>ROW(TAB_Offres[[#This Row],[Reference]])-ROW(TAB_Offres[[#Headers],[ID]])</f>
        <v>708</v>
      </c>
      <c r="B709" s="258"/>
      <c r="C709" s="258"/>
      <c r="D709" s="258"/>
      <c r="E709" s="263"/>
      <c r="F709" s="258"/>
      <c r="G709" s="263"/>
      <c r="H709" s="262"/>
      <c r="I709" s="262"/>
      <c r="J709" s="262"/>
      <c r="K709" s="262"/>
      <c r="L709" s="262"/>
      <c r="M709" s="264"/>
      <c r="N709" s="262"/>
      <c r="O709" s="262"/>
      <c r="P709" s="262"/>
      <c r="Q709" s="263"/>
      <c r="R709" s="263"/>
      <c r="S709" s="292"/>
      <c r="T709" s="261"/>
      <c r="U709" s="261"/>
      <c r="V709" s="268"/>
      <c r="W709" s="268"/>
      <c r="X709" s="268"/>
      <c r="Y709" s="268"/>
      <c r="Z709" s="471">
        <f>SUMIF(TAB_CS[Reference],TAB_Offres[[#This Row],[Reference]],TAB_CS[Commited days])</f>
        <v>0</v>
      </c>
      <c r="AA709" s="269">
        <f>SUMIF(TAB_CS[Reference],TAB_Offres[[#This Row],[Reference]],TAB_CS[Commited amount])</f>
        <v>0</v>
      </c>
      <c r="AB709" s="275"/>
      <c r="AC709" s="270"/>
      <c r="AD709" s="270"/>
      <c r="AE709" s="264"/>
      <c r="AF709" s="271"/>
      <c r="AG709" s="278"/>
      <c r="AH709" s="277" t="str">
        <f>CONCATENATE(YEAR(TAB_Offres[[#This Row],[Request date ]]),"-",MONTH(TAB_Offres[[#This Row],[Request date ]]))</f>
        <v>1900-1</v>
      </c>
      <c r="AI709" s="274" t="e">
        <f>IF(#REF!,1,0)</f>
        <v>#REF!</v>
      </c>
      <c r="AJ709" s="4"/>
      <c r="AK709" s="4"/>
      <c r="AL709" s="4"/>
      <c r="AN709" s="150"/>
      <c r="AQ709" s="4"/>
    </row>
    <row r="710" spans="1:43" x14ac:dyDescent="0.25">
      <c r="A710" s="258">
        <f>ROW(TAB_Offres[[#This Row],[Reference]])-ROW(TAB_Offres[[#Headers],[ID]])</f>
        <v>709</v>
      </c>
      <c r="B710" s="258"/>
      <c r="C710" s="258"/>
      <c r="D710" s="258"/>
      <c r="E710" s="263"/>
      <c r="F710" s="258"/>
      <c r="G710" s="263"/>
      <c r="H710" s="262"/>
      <c r="I710" s="262"/>
      <c r="J710" s="262"/>
      <c r="K710" s="262"/>
      <c r="L710" s="262"/>
      <c r="M710" s="264"/>
      <c r="N710" s="262"/>
      <c r="O710" s="262"/>
      <c r="P710" s="262"/>
      <c r="Q710" s="263"/>
      <c r="R710" s="263"/>
      <c r="S710" s="292"/>
      <c r="T710" s="261"/>
      <c r="U710" s="261"/>
      <c r="V710" s="268"/>
      <c r="W710" s="268"/>
      <c r="X710" s="268"/>
      <c r="Y710" s="268"/>
      <c r="Z710" s="471">
        <f>SUMIF(TAB_CS[Reference],TAB_Offres[[#This Row],[Reference]],TAB_CS[Commited days])</f>
        <v>0</v>
      </c>
      <c r="AA710" s="269">
        <f>SUMIF(TAB_CS[Reference],TAB_Offres[[#This Row],[Reference]],TAB_CS[Commited amount])</f>
        <v>0</v>
      </c>
      <c r="AB710" s="275"/>
      <c r="AC710" s="270"/>
      <c r="AD710" s="270"/>
      <c r="AE710" s="264"/>
      <c r="AF710" s="271"/>
      <c r="AG710" s="278"/>
      <c r="AH710" s="277" t="str">
        <f>CONCATENATE(YEAR(TAB_Offres[[#This Row],[Request date ]]),"-",MONTH(TAB_Offres[[#This Row],[Request date ]]))</f>
        <v>1900-1</v>
      </c>
      <c r="AI710" s="274" t="e">
        <f>IF(#REF!,1,0)</f>
        <v>#REF!</v>
      </c>
      <c r="AJ710" s="4"/>
      <c r="AK710" s="4"/>
      <c r="AL710" s="4"/>
      <c r="AN710" s="150"/>
      <c r="AQ710" s="4"/>
    </row>
    <row r="711" spans="1:43" x14ac:dyDescent="0.25">
      <c r="A711" s="258">
        <f>ROW(TAB_Offres[[#This Row],[Reference]])-ROW(TAB_Offres[[#Headers],[ID]])</f>
        <v>710</v>
      </c>
      <c r="B711" s="258"/>
      <c r="C711" s="258"/>
      <c r="D711" s="258"/>
      <c r="E711" s="263"/>
      <c r="F711" s="258"/>
      <c r="G711" s="263"/>
      <c r="H711" s="262"/>
      <c r="I711" s="262"/>
      <c r="J711" s="262"/>
      <c r="K711" s="262"/>
      <c r="L711" s="262"/>
      <c r="M711" s="264"/>
      <c r="N711" s="262"/>
      <c r="O711" s="262"/>
      <c r="P711" s="262"/>
      <c r="Q711" s="263"/>
      <c r="R711" s="263"/>
      <c r="S711" s="292"/>
      <c r="T711" s="261"/>
      <c r="U711" s="261"/>
      <c r="V711" s="268"/>
      <c r="W711" s="268"/>
      <c r="X711" s="268"/>
      <c r="Y711" s="268"/>
      <c r="Z711" s="471">
        <f>SUMIF(TAB_CS[Reference],TAB_Offres[[#This Row],[Reference]],TAB_CS[Commited days])</f>
        <v>0</v>
      </c>
      <c r="AA711" s="269">
        <f>SUMIF(TAB_CS[Reference],TAB_Offres[[#This Row],[Reference]],TAB_CS[Commited amount])</f>
        <v>0</v>
      </c>
      <c r="AB711" s="275"/>
      <c r="AC711" s="270"/>
      <c r="AD711" s="270"/>
      <c r="AE711" s="264"/>
      <c r="AF711" s="271"/>
      <c r="AG711" s="278"/>
      <c r="AH711" s="277" t="str">
        <f>CONCATENATE(YEAR(TAB_Offres[[#This Row],[Request date ]]),"-",MONTH(TAB_Offres[[#This Row],[Request date ]]))</f>
        <v>1900-1</v>
      </c>
      <c r="AI711" s="274" t="e">
        <f>IF(#REF!,1,0)</f>
        <v>#REF!</v>
      </c>
      <c r="AJ711" s="4"/>
      <c r="AK711" s="4"/>
      <c r="AL711" s="4"/>
      <c r="AN711" s="150"/>
      <c r="AQ711" s="4"/>
    </row>
    <row r="712" spans="1:43" x14ac:dyDescent="0.25">
      <c r="A712" s="258">
        <f>ROW(TAB_Offres[[#This Row],[Reference]])-ROW(TAB_Offres[[#Headers],[ID]])</f>
        <v>711</v>
      </c>
      <c r="B712" s="258"/>
      <c r="C712" s="258"/>
      <c r="D712" s="258"/>
      <c r="E712" s="263"/>
      <c r="F712" s="258"/>
      <c r="G712" s="263"/>
      <c r="H712" s="262"/>
      <c r="I712" s="262"/>
      <c r="J712" s="262"/>
      <c r="K712" s="262"/>
      <c r="L712" s="262"/>
      <c r="M712" s="264"/>
      <c r="N712" s="262"/>
      <c r="O712" s="262"/>
      <c r="P712" s="262"/>
      <c r="Q712" s="263"/>
      <c r="R712" s="263"/>
      <c r="S712" s="292"/>
      <c r="T712" s="261"/>
      <c r="U712" s="261"/>
      <c r="V712" s="268"/>
      <c r="W712" s="268"/>
      <c r="X712" s="268"/>
      <c r="Y712" s="268"/>
      <c r="Z712" s="471">
        <f>SUMIF(TAB_CS[Reference],TAB_Offres[[#This Row],[Reference]],TAB_CS[Commited days])</f>
        <v>0</v>
      </c>
      <c r="AA712" s="269">
        <f>SUMIF(TAB_CS[Reference],TAB_Offres[[#This Row],[Reference]],TAB_CS[Commited amount])</f>
        <v>0</v>
      </c>
      <c r="AB712" s="275"/>
      <c r="AC712" s="270"/>
      <c r="AD712" s="270"/>
      <c r="AE712" s="264"/>
      <c r="AF712" s="271"/>
      <c r="AG712" s="278"/>
      <c r="AH712" s="277" t="str">
        <f>CONCATENATE(YEAR(TAB_Offres[[#This Row],[Request date ]]),"-",MONTH(TAB_Offres[[#This Row],[Request date ]]))</f>
        <v>1900-1</v>
      </c>
      <c r="AI712" s="274" t="e">
        <f>IF(#REF!,1,0)</f>
        <v>#REF!</v>
      </c>
      <c r="AJ712" s="4"/>
      <c r="AK712" s="4"/>
      <c r="AL712" s="4"/>
      <c r="AN712" s="150"/>
      <c r="AQ712" s="4"/>
    </row>
    <row r="713" spans="1:43" x14ac:dyDescent="0.25">
      <c r="A713" s="258">
        <f>ROW(TAB_Offres[[#This Row],[Reference]])-ROW(TAB_Offres[[#Headers],[ID]])</f>
        <v>712</v>
      </c>
      <c r="B713" s="258"/>
      <c r="C713" s="258"/>
      <c r="D713" s="258"/>
      <c r="E713" s="263"/>
      <c r="F713" s="258"/>
      <c r="G713" s="263"/>
      <c r="H713" s="262"/>
      <c r="I713" s="262"/>
      <c r="J713" s="262"/>
      <c r="K713" s="262"/>
      <c r="L713" s="262"/>
      <c r="M713" s="264"/>
      <c r="N713" s="262"/>
      <c r="O713" s="262"/>
      <c r="P713" s="262"/>
      <c r="Q713" s="263"/>
      <c r="R713" s="263"/>
      <c r="S713" s="292"/>
      <c r="T713" s="261"/>
      <c r="U713" s="261"/>
      <c r="V713" s="268"/>
      <c r="W713" s="268"/>
      <c r="X713" s="268"/>
      <c r="Y713" s="268"/>
      <c r="Z713" s="471">
        <f>SUMIF(TAB_CS[Reference],TAB_Offres[[#This Row],[Reference]],TAB_CS[Commited days])</f>
        <v>0</v>
      </c>
      <c r="AA713" s="269">
        <f>SUMIF(TAB_CS[Reference],TAB_Offres[[#This Row],[Reference]],TAB_CS[Commited amount])</f>
        <v>0</v>
      </c>
      <c r="AB713" s="275"/>
      <c r="AC713" s="270"/>
      <c r="AD713" s="270"/>
      <c r="AE713" s="264"/>
      <c r="AF713" s="271"/>
      <c r="AG713" s="278"/>
      <c r="AH713" s="277" t="str">
        <f>CONCATENATE(YEAR(TAB_Offres[[#This Row],[Request date ]]),"-",MONTH(TAB_Offres[[#This Row],[Request date ]]))</f>
        <v>1900-1</v>
      </c>
      <c r="AI713" s="274" t="e">
        <f>IF(#REF!,1,0)</f>
        <v>#REF!</v>
      </c>
      <c r="AJ713" s="4"/>
      <c r="AK713" s="4"/>
      <c r="AL713" s="4"/>
      <c r="AN713" s="150"/>
      <c r="AQ713" s="4"/>
    </row>
    <row r="714" spans="1:43" x14ac:dyDescent="0.25">
      <c r="A714" s="258">
        <f>ROW(TAB_Offres[[#This Row],[Reference]])-ROW(TAB_Offres[[#Headers],[ID]])</f>
        <v>713</v>
      </c>
      <c r="B714" s="258"/>
      <c r="C714" s="258"/>
      <c r="D714" s="258"/>
      <c r="E714" s="263"/>
      <c r="F714" s="258"/>
      <c r="G714" s="263"/>
      <c r="H714" s="262"/>
      <c r="I714" s="262"/>
      <c r="J714" s="262"/>
      <c r="K714" s="262"/>
      <c r="L714" s="262"/>
      <c r="M714" s="264"/>
      <c r="N714" s="262"/>
      <c r="O714" s="262"/>
      <c r="P714" s="262"/>
      <c r="Q714" s="263"/>
      <c r="R714" s="263"/>
      <c r="S714" s="292"/>
      <c r="T714" s="261"/>
      <c r="U714" s="261"/>
      <c r="V714" s="268"/>
      <c r="W714" s="268"/>
      <c r="X714" s="268"/>
      <c r="Y714" s="268"/>
      <c r="Z714" s="471">
        <f>SUMIF(TAB_CS[Reference],TAB_Offres[[#This Row],[Reference]],TAB_CS[Commited days])</f>
        <v>0</v>
      </c>
      <c r="AA714" s="269">
        <f>SUMIF(TAB_CS[Reference],TAB_Offres[[#This Row],[Reference]],TAB_CS[Commited amount])</f>
        <v>0</v>
      </c>
      <c r="AB714" s="275"/>
      <c r="AC714" s="270"/>
      <c r="AD714" s="270"/>
      <c r="AE714" s="264"/>
      <c r="AF714" s="271"/>
      <c r="AG714" s="278"/>
      <c r="AH714" s="277" t="str">
        <f>CONCATENATE(YEAR(TAB_Offres[[#This Row],[Request date ]]),"-",MONTH(TAB_Offres[[#This Row],[Request date ]]))</f>
        <v>1900-1</v>
      </c>
      <c r="AI714" s="274" t="e">
        <f>IF(#REF!,1,0)</f>
        <v>#REF!</v>
      </c>
      <c r="AJ714" s="4"/>
      <c r="AK714" s="4"/>
      <c r="AL714" s="4"/>
      <c r="AN714" s="150"/>
      <c r="AQ714" s="4"/>
    </row>
    <row r="715" spans="1:43" x14ac:dyDescent="0.25">
      <c r="A715" s="258">
        <f>ROW(TAB_Offres[[#This Row],[Reference]])-ROW(TAB_Offres[[#Headers],[ID]])</f>
        <v>714</v>
      </c>
      <c r="B715" s="258"/>
      <c r="C715" s="258"/>
      <c r="D715" s="258"/>
      <c r="E715" s="263"/>
      <c r="F715" s="258"/>
      <c r="G715" s="263"/>
      <c r="H715" s="262"/>
      <c r="I715" s="262"/>
      <c r="J715" s="262"/>
      <c r="K715" s="262"/>
      <c r="L715" s="262"/>
      <c r="M715" s="264"/>
      <c r="N715" s="262"/>
      <c r="O715" s="262"/>
      <c r="P715" s="262"/>
      <c r="Q715" s="263"/>
      <c r="R715" s="263"/>
      <c r="S715" s="292"/>
      <c r="T715" s="261"/>
      <c r="U715" s="261"/>
      <c r="V715" s="268"/>
      <c r="W715" s="268"/>
      <c r="X715" s="268"/>
      <c r="Y715" s="268"/>
      <c r="Z715" s="471">
        <f>SUMIF(TAB_CS[Reference],TAB_Offres[[#This Row],[Reference]],TAB_CS[Commited days])</f>
        <v>0</v>
      </c>
      <c r="AA715" s="269">
        <f>SUMIF(TAB_CS[Reference],TAB_Offres[[#This Row],[Reference]],TAB_CS[Commited amount])</f>
        <v>0</v>
      </c>
      <c r="AB715" s="275"/>
      <c r="AC715" s="270"/>
      <c r="AD715" s="270"/>
      <c r="AE715" s="264"/>
      <c r="AF715" s="271"/>
      <c r="AG715" s="278"/>
      <c r="AH715" s="277" t="str">
        <f>CONCATENATE(YEAR(TAB_Offres[[#This Row],[Request date ]]),"-",MONTH(TAB_Offres[[#This Row],[Request date ]]))</f>
        <v>1900-1</v>
      </c>
      <c r="AI715" s="274" t="e">
        <f>IF(#REF!,1,0)</f>
        <v>#REF!</v>
      </c>
      <c r="AJ715" s="4"/>
      <c r="AK715" s="4"/>
      <c r="AL715" s="4"/>
      <c r="AN715" s="150"/>
      <c r="AQ715" s="4"/>
    </row>
    <row r="716" spans="1:43" x14ac:dyDescent="0.25">
      <c r="A716" s="258">
        <f>ROW(TAB_Offres[[#This Row],[Reference]])-ROW(TAB_Offres[[#Headers],[ID]])</f>
        <v>715</v>
      </c>
      <c r="B716" s="258"/>
      <c r="C716" s="258"/>
      <c r="D716" s="258"/>
      <c r="E716" s="263"/>
      <c r="F716" s="258"/>
      <c r="G716" s="263"/>
      <c r="H716" s="262"/>
      <c r="I716" s="262"/>
      <c r="J716" s="262"/>
      <c r="K716" s="262"/>
      <c r="L716" s="262"/>
      <c r="M716" s="264"/>
      <c r="N716" s="262"/>
      <c r="O716" s="262"/>
      <c r="P716" s="262"/>
      <c r="Q716" s="263"/>
      <c r="R716" s="263"/>
      <c r="S716" s="292"/>
      <c r="T716" s="261"/>
      <c r="U716" s="261"/>
      <c r="V716" s="268"/>
      <c r="W716" s="268"/>
      <c r="X716" s="268"/>
      <c r="Y716" s="268"/>
      <c r="Z716" s="471">
        <f>SUMIF(TAB_CS[Reference],TAB_Offres[[#This Row],[Reference]],TAB_CS[Commited days])</f>
        <v>0</v>
      </c>
      <c r="AA716" s="269">
        <f>SUMIF(TAB_CS[Reference],TAB_Offres[[#This Row],[Reference]],TAB_CS[Commited amount])</f>
        <v>0</v>
      </c>
      <c r="AB716" s="275"/>
      <c r="AC716" s="270"/>
      <c r="AD716" s="270"/>
      <c r="AE716" s="264"/>
      <c r="AF716" s="271"/>
      <c r="AG716" s="278"/>
      <c r="AH716" s="277" t="str">
        <f>CONCATENATE(YEAR(TAB_Offres[[#This Row],[Request date ]]),"-",MONTH(TAB_Offres[[#This Row],[Request date ]]))</f>
        <v>1900-1</v>
      </c>
      <c r="AI716" s="274" t="e">
        <f>IF(#REF!,1,0)</f>
        <v>#REF!</v>
      </c>
      <c r="AJ716" s="4"/>
      <c r="AK716" s="4"/>
      <c r="AL716" s="4"/>
      <c r="AN716" s="150"/>
      <c r="AQ716" s="4"/>
    </row>
    <row r="717" spans="1:43" x14ac:dyDescent="0.25">
      <c r="A717" s="258">
        <f>ROW(TAB_Offres[[#This Row],[Reference]])-ROW(TAB_Offres[[#Headers],[ID]])</f>
        <v>716</v>
      </c>
      <c r="B717" s="258"/>
      <c r="C717" s="258"/>
      <c r="D717" s="258"/>
      <c r="E717" s="263"/>
      <c r="F717" s="258"/>
      <c r="G717" s="263"/>
      <c r="H717" s="262"/>
      <c r="I717" s="262"/>
      <c r="J717" s="262"/>
      <c r="K717" s="262"/>
      <c r="L717" s="262"/>
      <c r="M717" s="264"/>
      <c r="N717" s="262"/>
      <c r="O717" s="262"/>
      <c r="P717" s="262"/>
      <c r="Q717" s="263"/>
      <c r="R717" s="263"/>
      <c r="S717" s="292"/>
      <c r="T717" s="261"/>
      <c r="U717" s="261"/>
      <c r="V717" s="268"/>
      <c r="W717" s="268"/>
      <c r="X717" s="268"/>
      <c r="Y717" s="268"/>
      <c r="Z717" s="471">
        <f>SUMIF(TAB_CS[Reference],TAB_Offres[[#This Row],[Reference]],TAB_CS[Commited days])</f>
        <v>0</v>
      </c>
      <c r="AA717" s="269">
        <f>SUMIF(TAB_CS[Reference],TAB_Offres[[#This Row],[Reference]],TAB_CS[Commited amount])</f>
        <v>0</v>
      </c>
      <c r="AB717" s="275"/>
      <c r="AC717" s="270"/>
      <c r="AD717" s="270"/>
      <c r="AE717" s="264"/>
      <c r="AF717" s="271"/>
      <c r="AG717" s="278"/>
      <c r="AH717" s="277" t="str">
        <f>CONCATENATE(YEAR(TAB_Offres[[#This Row],[Request date ]]),"-",MONTH(TAB_Offres[[#This Row],[Request date ]]))</f>
        <v>1900-1</v>
      </c>
      <c r="AI717" s="274" t="e">
        <f>IF(#REF!,1,0)</f>
        <v>#REF!</v>
      </c>
      <c r="AJ717" s="4"/>
      <c r="AK717" s="4"/>
      <c r="AL717" s="4"/>
      <c r="AN717" s="150"/>
      <c r="AQ717" s="4"/>
    </row>
    <row r="718" spans="1:43" x14ac:dyDescent="0.25">
      <c r="A718" s="258">
        <f>ROW(TAB_Offres[[#This Row],[Reference]])-ROW(TAB_Offres[[#Headers],[ID]])</f>
        <v>717</v>
      </c>
      <c r="B718" s="258"/>
      <c r="C718" s="258"/>
      <c r="D718" s="258"/>
      <c r="E718" s="263"/>
      <c r="F718" s="258"/>
      <c r="G718" s="263"/>
      <c r="H718" s="262"/>
      <c r="I718" s="262"/>
      <c r="J718" s="262"/>
      <c r="K718" s="262"/>
      <c r="L718" s="262"/>
      <c r="M718" s="264"/>
      <c r="N718" s="262"/>
      <c r="O718" s="262"/>
      <c r="P718" s="262"/>
      <c r="Q718" s="263"/>
      <c r="R718" s="263"/>
      <c r="S718" s="292"/>
      <c r="T718" s="261"/>
      <c r="U718" s="261"/>
      <c r="V718" s="268"/>
      <c r="W718" s="268"/>
      <c r="X718" s="268"/>
      <c r="Y718" s="268"/>
      <c r="Z718" s="471">
        <f>SUMIF(TAB_CS[Reference],TAB_Offres[[#This Row],[Reference]],TAB_CS[Commited days])</f>
        <v>0</v>
      </c>
      <c r="AA718" s="269">
        <f>SUMIF(TAB_CS[Reference],TAB_Offres[[#This Row],[Reference]],TAB_CS[Commited amount])</f>
        <v>0</v>
      </c>
      <c r="AB718" s="275"/>
      <c r="AC718" s="270"/>
      <c r="AD718" s="270"/>
      <c r="AE718" s="264"/>
      <c r="AF718" s="271"/>
      <c r="AG718" s="278"/>
      <c r="AH718" s="277" t="str">
        <f>CONCATENATE(YEAR(TAB_Offres[[#This Row],[Request date ]]),"-",MONTH(TAB_Offres[[#This Row],[Request date ]]))</f>
        <v>1900-1</v>
      </c>
      <c r="AI718" s="274" t="e">
        <f>IF(#REF!,1,0)</f>
        <v>#REF!</v>
      </c>
      <c r="AJ718" s="4"/>
      <c r="AK718" s="4"/>
      <c r="AL718" s="4"/>
      <c r="AN718" s="150"/>
      <c r="AQ718" s="4"/>
    </row>
    <row r="719" spans="1:43" x14ac:dyDescent="0.25">
      <c r="A719" s="258">
        <f>ROW(TAB_Offres[[#This Row],[Reference]])-ROW(TAB_Offres[[#Headers],[ID]])</f>
        <v>718</v>
      </c>
      <c r="B719" s="258"/>
      <c r="C719" s="258"/>
      <c r="D719" s="258"/>
      <c r="E719" s="263"/>
      <c r="F719" s="258"/>
      <c r="G719" s="263"/>
      <c r="H719" s="262"/>
      <c r="I719" s="262"/>
      <c r="J719" s="262"/>
      <c r="K719" s="262"/>
      <c r="L719" s="262"/>
      <c r="M719" s="264"/>
      <c r="N719" s="262"/>
      <c r="O719" s="262"/>
      <c r="P719" s="262"/>
      <c r="Q719" s="263"/>
      <c r="R719" s="263"/>
      <c r="S719" s="292"/>
      <c r="T719" s="261"/>
      <c r="U719" s="261"/>
      <c r="V719" s="268"/>
      <c r="W719" s="268"/>
      <c r="X719" s="268"/>
      <c r="Y719" s="268"/>
      <c r="Z719" s="471">
        <f>SUMIF(TAB_CS[Reference],TAB_Offres[[#This Row],[Reference]],TAB_CS[Commited days])</f>
        <v>0</v>
      </c>
      <c r="AA719" s="269">
        <f>SUMIF(TAB_CS[Reference],TAB_Offres[[#This Row],[Reference]],TAB_CS[Commited amount])</f>
        <v>0</v>
      </c>
      <c r="AB719" s="275"/>
      <c r="AC719" s="270"/>
      <c r="AD719" s="270"/>
      <c r="AE719" s="264"/>
      <c r="AF719" s="271"/>
      <c r="AG719" s="278"/>
      <c r="AH719" s="277" t="str">
        <f>CONCATENATE(YEAR(TAB_Offres[[#This Row],[Request date ]]),"-",MONTH(TAB_Offres[[#This Row],[Request date ]]))</f>
        <v>1900-1</v>
      </c>
      <c r="AI719" s="274" t="e">
        <f>IF(#REF!,1,0)</f>
        <v>#REF!</v>
      </c>
      <c r="AJ719" s="4"/>
      <c r="AK719" s="4"/>
      <c r="AL719" s="4"/>
      <c r="AN719" s="150"/>
      <c r="AQ719" s="4"/>
    </row>
    <row r="720" spans="1:43" x14ac:dyDescent="0.25">
      <c r="A720" s="258">
        <f>ROW(TAB_Offres[[#This Row],[Reference]])-ROW(TAB_Offres[[#Headers],[ID]])</f>
        <v>719</v>
      </c>
      <c r="B720" s="258"/>
      <c r="C720" s="258"/>
      <c r="D720" s="258"/>
      <c r="E720" s="263"/>
      <c r="F720" s="258"/>
      <c r="G720" s="263"/>
      <c r="H720" s="262"/>
      <c r="I720" s="262"/>
      <c r="J720" s="262"/>
      <c r="K720" s="262"/>
      <c r="L720" s="262"/>
      <c r="M720" s="264"/>
      <c r="N720" s="262"/>
      <c r="O720" s="262"/>
      <c r="P720" s="262"/>
      <c r="Q720" s="263"/>
      <c r="R720" s="263"/>
      <c r="S720" s="292"/>
      <c r="T720" s="261"/>
      <c r="U720" s="261"/>
      <c r="V720" s="268"/>
      <c r="W720" s="268"/>
      <c r="X720" s="268"/>
      <c r="Y720" s="268"/>
      <c r="Z720" s="471">
        <f>SUMIF(TAB_CS[Reference],TAB_Offres[[#This Row],[Reference]],TAB_CS[Commited days])</f>
        <v>0</v>
      </c>
      <c r="AA720" s="269">
        <f>SUMIF(TAB_CS[Reference],TAB_Offres[[#This Row],[Reference]],TAB_CS[Commited amount])</f>
        <v>0</v>
      </c>
      <c r="AB720" s="275"/>
      <c r="AC720" s="270"/>
      <c r="AD720" s="270"/>
      <c r="AE720" s="264"/>
      <c r="AF720" s="271"/>
      <c r="AG720" s="278"/>
      <c r="AH720" s="277" t="str">
        <f>CONCATENATE(YEAR(TAB_Offres[[#This Row],[Request date ]]),"-",MONTH(TAB_Offres[[#This Row],[Request date ]]))</f>
        <v>1900-1</v>
      </c>
      <c r="AI720" s="274" t="e">
        <f>IF(#REF!,1,0)</f>
        <v>#REF!</v>
      </c>
      <c r="AJ720" s="4"/>
      <c r="AK720" s="4"/>
      <c r="AL720" s="4"/>
      <c r="AN720" s="150"/>
      <c r="AQ720" s="4"/>
    </row>
    <row r="721" spans="1:43" x14ac:dyDescent="0.25">
      <c r="A721" s="258">
        <f>ROW(TAB_Offres[[#This Row],[Reference]])-ROW(TAB_Offres[[#Headers],[ID]])</f>
        <v>720</v>
      </c>
      <c r="B721" s="258"/>
      <c r="C721" s="258"/>
      <c r="D721" s="258"/>
      <c r="E721" s="263"/>
      <c r="F721" s="258"/>
      <c r="G721" s="263"/>
      <c r="H721" s="262"/>
      <c r="I721" s="262"/>
      <c r="J721" s="262"/>
      <c r="K721" s="262"/>
      <c r="L721" s="262"/>
      <c r="M721" s="264"/>
      <c r="N721" s="262"/>
      <c r="O721" s="262"/>
      <c r="P721" s="262"/>
      <c r="Q721" s="263"/>
      <c r="R721" s="263"/>
      <c r="S721" s="292"/>
      <c r="T721" s="261"/>
      <c r="U721" s="261"/>
      <c r="V721" s="268"/>
      <c r="W721" s="268"/>
      <c r="X721" s="268"/>
      <c r="Y721" s="268"/>
      <c r="Z721" s="471">
        <f>SUMIF(TAB_CS[Reference],TAB_Offres[[#This Row],[Reference]],TAB_CS[Commited days])</f>
        <v>0</v>
      </c>
      <c r="AA721" s="269">
        <f>SUMIF(TAB_CS[Reference],TAB_Offres[[#This Row],[Reference]],TAB_CS[Commited amount])</f>
        <v>0</v>
      </c>
      <c r="AB721" s="275"/>
      <c r="AC721" s="270"/>
      <c r="AD721" s="270"/>
      <c r="AE721" s="264"/>
      <c r="AF721" s="271"/>
      <c r="AG721" s="278"/>
      <c r="AH721" s="277" t="str">
        <f>CONCATENATE(YEAR(TAB_Offres[[#This Row],[Request date ]]),"-",MONTH(TAB_Offres[[#This Row],[Request date ]]))</f>
        <v>1900-1</v>
      </c>
      <c r="AI721" s="274" t="e">
        <f>IF(#REF!,1,0)</f>
        <v>#REF!</v>
      </c>
      <c r="AJ721" s="4"/>
      <c r="AK721" s="4"/>
      <c r="AL721" s="4"/>
      <c r="AN721" s="150"/>
      <c r="AQ721" s="4"/>
    </row>
    <row r="722" spans="1:43" x14ac:dyDescent="0.25">
      <c r="A722" s="258">
        <f>ROW(TAB_Offres[[#This Row],[Reference]])-ROW(TAB_Offres[[#Headers],[ID]])</f>
        <v>721</v>
      </c>
      <c r="B722" s="258"/>
      <c r="C722" s="258"/>
      <c r="D722" s="258"/>
      <c r="E722" s="263"/>
      <c r="F722" s="258"/>
      <c r="G722" s="263"/>
      <c r="H722" s="262"/>
      <c r="I722" s="262"/>
      <c r="J722" s="262"/>
      <c r="K722" s="262"/>
      <c r="L722" s="262"/>
      <c r="M722" s="264"/>
      <c r="N722" s="262"/>
      <c r="O722" s="262"/>
      <c r="P722" s="262"/>
      <c r="Q722" s="263"/>
      <c r="R722" s="263"/>
      <c r="S722" s="292"/>
      <c r="T722" s="261"/>
      <c r="U722" s="261"/>
      <c r="V722" s="268"/>
      <c r="W722" s="268"/>
      <c r="X722" s="268"/>
      <c r="Y722" s="268"/>
      <c r="Z722" s="471">
        <f>SUMIF(TAB_CS[Reference],TAB_Offres[[#This Row],[Reference]],TAB_CS[Commited days])</f>
        <v>0</v>
      </c>
      <c r="AA722" s="269">
        <f>SUMIF(TAB_CS[Reference],TAB_Offres[[#This Row],[Reference]],TAB_CS[Commited amount])</f>
        <v>0</v>
      </c>
      <c r="AB722" s="275"/>
      <c r="AC722" s="270"/>
      <c r="AD722" s="270"/>
      <c r="AE722" s="264"/>
      <c r="AF722" s="271"/>
      <c r="AG722" s="278"/>
      <c r="AH722" s="277" t="str">
        <f>CONCATENATE(YEAR(TAB_Offres[[#This Row],[Request date ]]),"-",MONTH(TAB_Offres[[#This Row],[Request date ]]))</f>
        <v>1900-1</v>
      </c>
      <c r="AI722" s="274" t="e">
        <f>IF(#REF!,1,0)</f>
        <v>#REF!</v>
      </c>
      <c r="AJ722" s="4"/>
      <c r="AK722" s="4"/>
      <c r="AL722" s="4"/>
      <c r="AN722" s="150"/>
      <c r="AQ722" s="4"/>
    </row>
    <row r="723" spans="1:43" x14ac:dyDescent="0.25">
      <c r="A723" s="258">
        <f>ROW(TAB_Offres[[#This Row],[Reference]])-ROW(TAB_Offres[[#Headers],[ID]])</f>
        <v>722</v>
      </c>
      <c r="B723" s="258"/>
      <c r="C723" s="258"/>
      <c r="D723" s="258"/>
      <c r="E723" s="263"/>
      <c r="F723" s="258"/>
      <c r="G723" s="263"/>
      <c r="H723" s="262"/>
      <c r="I723" s="262"/>
      <c r="J723" s="262"/>
      <c r="K723" s="262"/>
      <c r="L723" s="262"/>
      <c r="M723" s="264"/>
      <c r="N723" s="262"/>
      <c r="O723" s="262"/>
      <c r="P723" s="262"/>
      <c r="Q723" s="263"/>
      <c r="R723" s="263"/>
      <c r="S723" s="292"/>
      <c r="T723" s="261"/>
      <c r="U723" s="261"/>
      <c r="V723" s="268"/>
      <c r="W723" s="268"/>
      <c r="X723" s="268"/>
      <c r="Y723" s="268"/>
      <c r="Z723" s="471">
        <f>SUMIF(TAB_CS[Reference],TAB_Offres[[#This Row],[Reference]],TAB_CS[Commited days])</f>
        <v>0</v>
      </c>
      <c r="AA723" s="269">
        <f>SUMIF(TAB_CS[Reference],TAB_Offres[[#This Row],[Reference]],TAB_CS[Commited amount])</f>
        <v>0</v>
      </c>
      <c r="AB723" s="275"/>
      <c r="AC723" s="270"/>
      <c r="AD723" s="270"/>
      <c r="AE723" s="264"/>
      <c r="AF723" s="271"/>
      <c r="AG723" s="278"/>
      <c r="AH723" s="277" t="str">
        <f>CONCATENATE(YEAR(TAB_Offres[[#This Row],[Request date ]]),"-",MONTH(TAB_Offres[[#This Row],[Request date ]]))</f>
        <v>1900-1</v>
      </c>
      <c r="AI723" s="274" t="e">
        <f>IF(#REF!,1,0)</f>
        <v>#REF!</v>
      </c>
      <c r="AJ723" s="4"/>
      <c r="AK723" s="4"/>
      <c r="AL723" s="4"/>
      <c r="AN723" s="150"/>
      <c r="AQ723" s="4"/>
    </row>
    <row r="724" spans="1:43" x14ac:dyDescent="0.25">
      <c r="A724" s="258">
        <f>ROW(TAB_Offres[[#This Row],[Reference]])-ROW(TAB_Offres[[#Headers],[ID]])</f>
        <v>723</v>
      </c>
      <c r="B724" s="258"/>
      <c r="C724" s="258"/>
      <c r="D724" s="258"/>
      <c r="E724" s="263"/>
      <c r="F724" s="258"/>
      <c r="G724" s="263"/>
      <c r="H724" s="262"/>
      <c r="I724" s="262"/>
      <c r="J724" s="262"/>
      <c r="K724" s="262"/>
      <c r="L724" s="262"/>
      <c r="M724" s="264"/>
      <c r="N724" s="262"/>
      <c r="O724" s="262"/>
      <c r="P724" s="262"/>
      <c r="Q724" s="263"/>
      <c r="R724" s="263"/>
      <c r="S724" s="292"/>
      <c r="T724" s="261"/>
      <c r="U724" s="261"/>
      <c r="V724" s="268"/>
      <c r="W724" s="268"/>
      <c r="X724" s="268"/>
      <c r="Y724" s="268"/>
      <c r="Z724" s="471">
        <f>SUMIF(TAB_CS[Reference],TAB_Offres[[#This Row],[Reference]],TAB_CS[Commited days])</f>
        <v>0</v>
      </c>
      <c r="AA724" s="269">
        <f>SUMIF(TAB_CS[Reference],TAB_Offres[[#This Row],[Reference]],TAB_CS[Commited amount])</f>
        <v>0</v>
      </c>
      <c r="AB724" s="275"/>
      <c r="AC724" s="270"/>
      <c r="AD724" s="270"/>
      <c r="AE724" s="264"/>
      <c r="AF724" s="271"/>
      <c r="AG724" s="278"/>
      <c r="AH724" s="277" t="str">
        <f>CONCATENATE(YEAR(TAB_Offres[[#This Row],[Request date ]]),"-",MONTH(TAB_Offres[[#This Row],[Request date ]]))</f>
        <v>1900-1</v>
      </c>
      <c r="AI724" s="274" t="e">
        <f>IF(#REF!,1,0)</f>
        <v>#REF!</v>
      </c>
      <c r="AJ724" s="4"/>
      <c r="AK724" s="4"/>
      <c r="AL724" s="4"/>
      <c r="AN724" s="150"/>
      <c r="AQ724" s="4"/>
    </row>
    <row r="725" spans="1:43" x14ac:dyDescent="0.25">
      <c r="A725" s="258">
        <f>ROW(TAB_Offres[[#This Row],[Reference]])-ROW(TAB_Offres[[#Headers],[ID]])</f>
        <v>724</v>
      </c>
      <c r="B725" s="258"/>
      <c r="C725" s="258"/>
      <c r="D725" s="258"/>
      <c r="E725" s="263"/>
      <c r="F725" s="258"/>
      <c r="G725" s="263"/>
      <c r="H725" s="262"/>
      <c r="I725" s="262"/>
      <c r="J725" s="262"/>
      <c r="K725" s="262"/>
      <c r="L725" s="262"/>
      <c r="M725" s="264"/>
      <c r="N725" s="262"/>
      <c r="O725" s="262"/>
      <c r="P725" s="262"/>
      <c r="Q725" s="263"/>
      <c r="R725" s="263"/>
      <c r="S725" s="292"/>
      <c r="T725" s="261"/>
      <c r="U725" s="261"/>
      <c r="V725" s="268"/>
      <c r="W725" s="268"/>
      <c r="X725" s="268"/>
      <c r="Y725" s="268"/>
      <c r="Z725" s="471">
        <f>SUMIF(TAB_CS[Reference],TAB_Offres[[#This Row],[Reference]],TAB_CS[Commited days])</f>
        <v>0</v>
      </c>
      <c r="AA725" s="269">
        <f>SUMIF(TAB_CS[Reference],TAB_Offres[[#This Row],[Reference]],TAB_CS[Commited amount])</f>
        <v>0</v>
      </c>
      <c r="AB725" s="275"/>
      <c r="AC725" s="270"/>
      <c r="AD725" s="270"/>
      <c r="AE725" s="264"/>
      <c r="AF725" s="271"/>
      <c r="AG725" s="278"/>
      <c r="AH725" s="277" t="str">
        <f>CONCATENATE(YEAR(TAB_Offres[[#This Row],[Request date ]]),"-",MONTH(TAB_Offres[[#This Row],[Request date ]]))</f>
        <v>1900-1</v>
      </c>
      <c r="AI725" s="274" t="e">
        <f>IF(#REF!,1,0)</f>
        <v>#REF!</v>
      </c>
      <c r="AJ725" s="4"/>
      <c r="AK725" s="4"/>
      <c r="AL725" s="4"/>
      <c r="AN725" s="150"/>
      <c r="AQ725" s="4"/>
    </row>
    <row r="726" spans="1:43" x14ac:dyDescent="0.25">
      <c r="A726" s="258">
        <f>ROW(TAB_Offres[[#This Row],[Reference]])-ROW(TAB_Offres[[#Headers],[ID]])</f>
        <v>725</v>
      </c>
      <c r="B726" s="258"/>
      <c r="C726" s="258"/>
      <c r="D726" s="258"/>
      <c r="E726" s="263"/>
      <c r="F726" s="258"/>
      <c r="G726" s="263"/>
      <c r="H726" s="262"/>
      <c r="I726" s="262"/>
      <c r="J726" s="262"/>
      <c r="K726" s="262"/>
      <c r="L726" s="262"/>
      <c r="M726" s="264"/>
      <c r="N726" s="262"/>
      <c r="O726" s="262"/>
      <c r="P726" s="262"/>
      <c r="Q726" s="263"/>
      <c r="R726" s="263"/>
      <c r="S726" s="292"/>
      <c r="T726" s="261"/>
      <c r="U726" s="261"/>
      <c r="V726" s="268"/>
      <c r="W726" s="268"/>
      <c r="X726" s="268"/>
      <c r="Y726" s="268"/>
      <c r="Z726" s="471">
        <f>SUMIF(TAB_CS[Reference],TAB_Offres[[#This Row],[Reference]],TAB_CS[Commited days])</f>
        <v>0</v>
      </c>
      <c r="AA726" s="269">
        <f>SUMIF(TAB_CS[Reference],TAB_Offres[[#This Row],[Reference]],TAB_CS[Commited amount])</f>
        <v>0</v>
      </c>
      <c r="AB726" s="275"/>
      <c r="AC726" s="270"/>
      <c r="AD726" s="270"/>
      <c r="AE726" s="264"/>
      <c r="AF726" s="271"/>
      <c r="AG726" s="278"/>
      <c r="AH726" s="277" t="str">
        <f>CONCATENATE(YEAR(TAB_Offres[[#This Row],[Request date ]]),"-",MONTH(TAB_Offres[[#This Row],[Request date ]]))</f>
        <v>1900-1</v>
      </c>
      <c r="AI726" s="274" t="e">
        <f>IF(#REF!,1,0)</f>
        <v>#REF!</v>
      </c>
      <c r="AJ726" s="4"/>
      <c r="AK726" s="4"/>
      <c r="AL726" s="4"/>
      <c r="AN726" s="150"/>
      <c r="AQ726" s="4"/>
    </row>
    <row r="727" spans="1:43" x14ac:dyDescent="0.25">
      <c r="A727" s="258">
        <f>ROW(TAB_Offres[[#This Row],[Reference]])-ROW(TAB_Offres[[#Headers],[ID]])</f>
        <v>726</v>
      </c>
      <c r="B727" s="258"/>
      <c r="C727" s="258"/>
      <c r="D727" s="258"/>
      <c r="E727" s="263"/>
      <c r="F727" s="258"/>
      <c r="G727" s="263"/>
      <c r="H727" s="262"/>
      <c r="I727" s="262"/>
      <c r="J727" s="262"/>
      <c r="K727" s="262"/>
      <c r="L727" s="262"/>
      <c r="M727" s="264"/>
      <c r="N727" s="262"/>
      <c r="O727" s="262"/>
      <c r="P727" s="262"/>
      <c r="Q727" s="263"/>
      <c r="R727" s="263"/>
      <c r="S727" s="292"/>
      <c r="T727" s="261"/>
      <c r="U727" s="261"/>
      <c r="V727" s="268"/>
      <c r="W727" s="268"/>
      <c r="X727" s="268"/>
      <c r="Y727" s="268"/>
      <c r="Z727" s="471">
        <f>SUMIF(TAB_CS[Reference],TAB_Offres[[#This Row],[Reference]],TAB_CS[Commited days])</f>
        <v>0</v>
      </c>
      <c r="AA727" s="269">
        <f>SUMIF(TAB_CS[Reference],TAB_Offres[[#This Row],[Reference]],TAB_CS[Commited amount])</f>
        <v>0</v>
      </c>
      <c r="AB727" s="275"/>
      <c r="AC727" s="270"/>
      <c r="AD727" s="270"/>
      <c r="AE727" s="264"/>
      <c r="AF727" s="271"/>
      <c r="AG727" s="278"/>
      <c r="AH727" s="277" t="str">
        <f>CONCATENATE(YEAR(TAB_Offres[[#This Row],[Request date ]]),"-",MONTH(TAB_Offres[[#This Row],[Request date ]]))</f>
        <v>1900-1</v>
      </c>
      <c r="AI727" s="274" t="e">
        <f>IF(#REF!,1,0)</f>
        <v>#REF!</v>
      </c>
      <c r="AJ727" s="4"/>
      <c r="AK727" s="4"/>
      <c r="AL727" s="4"/>
      <c r="AN727" s="150"/>
      <c r="AQ727" s="4"/>
    </row>
    <row r="728" spans="1:43" x14ac:dyDescent="0.25">
      <c r="A728" s="258">
        <f>ROW(TAB_Offres[[#This Row],[Reference]])-ROW(TAB_Offres[[#Headers],[ID]])</f>
        <v>727</v>
      </c>
      <c r="B728" s="258"/>
      <c r="C728" s="258"/>
      <c r="D728" s="258"/>
      <c r="E728" s="263"/>
      <c r="F728" s="258"/>
      <c r="G728" s="263"/>
      <c r="H728" s="262"/>
      <c r="I728" s="262"/>
      <c r="J728" s="262"/>
      <c r="K728" s="262"/>
      <c r="L728" s="262"/>
      <c r="M728" s="264"/>
      <c r="N728" s="262"/>
      <c r="O728" s="262"/>
      <c r="P728" s="262"/>
      <c r="Q728" s="263"/>
      <c r="R728" s="263"/>
      <c r="S728" s="292"/>
      <c r="T728" s="261"/>
      <c r="U728" s="261"/>
      <c r="V728" s="268"/>
      <c r="W728" s="268"/>
      <c r="X728" s="268"/>
      <c r="Y728" s="268"/>
      <c r="Z728" s="471">
        <f>SUMIF(TAB_CS[Reference],TAB_Offres[[#This Row],[Reference]],TAB_CS[Commited days])</f>
        <v>0</v>
      </c>
      <c r="AA728" s="269">
        <f>SUMIF(TAB_CS[Reference],TAB_Offres[[#This Row],[Reference]],TAB_CS[Commited amount])</f>
        <v>0</v>
      </c>
      <c r="AB728" s="275"/>
      <c r="AC728" s="270"/>
      <c r="AD728" s="270"/>
      <c r="AE728" s="264"/>
      <c r="AF728" s="271"/>
      <c r="AG728" s="278"/>
      <c r="AH728" s="277" t="str">
        <f>CONCATENATE(YEAR(TAB_Offres[[#This Row],[Request date ]]),"-",MONTH(TAB_Offres[[#This Row],[Request date ]]))</f>
        <v>1900-1</v>
      </c>
      <c r="AI728" s="274" t="e">
        <f>IF(#REF!,1,0)</f>
        <v>#REF!</v>
      </c>
      <c r="AJ728" s="4"/>
      <c r="AK728" s="4"/>
      <c r="AL728" s="4"/>
      <c r="AN728" s="150"/>
      <c r="AQ728" s="4"/>
    </row>
    <row r="729" spans="1:43" x14ac:dyDescent="0.25">
      <c r="A729" s="258">
        <f>ROW(TAB_Offres[[#This Row],[Reference]])-ROW(TAB_Offres[[#Headers],[ID]])</f>
        <v>728</v>
      </c>
      <c r="B729" s="258"/>
      <c r="C729" s="258"/>
      <c r="D729" s="258"/>
      <c r="E729" s="263"/>
      <c r="F729" s="258"/>
      <c r="G729" s="263"/>
      <c r="H729" s="262"/>
      <c r="I729" s="262"/>
      <c r="J729" s="262"/>
      <c r="K729" s="262"/>
      <c r="L729" s="262"/>
      <c r="M729" s="264"/>
      <c r="N729" s="262"/>
      <c r="O729" s="262"/>
      <c r="P729" s="262"/>
      <c r="Q729" s="263"/>
      <c r="R729" s="263"/>
      <c r="S729" s="292"/>
      <c r="T729" s="261"/>
      <c r="U729" s="261"/>
      <c r="V729" s="268"/>
      <c r="W729" s="268"/>
      <c r="X729" s="268"/>
      <c r="Y729" s="268"/>
      <c r="Z729" s="471">
        <f>SUMIF(TAB_CS[Reference],TAB_Offres[[#This Row],[Reference]],TAB_CS[Commited days])</f>
        <v>0</v>
      </c>
      <c r="AA729" s="269">
        <f>SUMIF(TAB_CS[Reference],TAB_Offres[[#This Row],[Reference]],TAB_CS[Commited amount])</f>
        <v>0</v>
      </c>
      <c r="AB729" s="275"/>
      <c r="AC729" s="270"/>
      <c r="AD729" s="270"/>
      <c r="AE729" s="264"/>
      <c r="AF729" s="271"/>
      <c r="AG729" s="278"/>
      <c r="AH729" s="277" t="str">
        <f>CONCATENATE(YEAR(TAB_Offres[[#This Row],[Request date ]]),"-",MONTH(TAB_Offres[[#This Row],[Request date ]]))</f>
        <v>1900-1</v>
      </c>
      <c r="AI729" s="274" t="e">
        <f>IF(#REF!,1,0)</f>
        <v>#REF!</v>
      </c>
      <c r="AJ729" s="4"/>
      <c r="AK729" s="4"/>
      <c r="AL729" s="4"/>
      <c r="AN729" s="150"/>
      <c r="AQ729" s="4"/>
    </row>
    <row r="730" spans="1:43" x14ac:dyDescent="0.25">
      <c r="A730" s="258">
        <f>ROW(TAB_Offres[[#This Row],[Reference]])-ROW(TAB_Offres[[#Headers],[ID]])</f>
        <v>729</v>
      </c>
      <c r="B730" s="258"/>
      <c r="C730" s="258"/>
      <c r="D730" s="258"/>
      <c r="E730" s="263"/>
      <c r="F730" s="258"/>
      <c r="G730" s="263"/>
      <c r="H730" s="262"/>
      <c r="I730" s="262"/>
      <c r="J730" s="262"/>
      <c r="K730" s="262"/>
      <c r="L730" s="262"/>
      <c r="M730" s="264"/>
      <c r="N730" s="262"/>
      <c r="O730" s="262"/>
      <c r="P730" s="262"/>
      <c r="Q730" s="263"/>
      <c r="R730" s="263"/>
      <c r="S730" s="292"/>
      <c r="T730" s="261"/>
      <c r="U730" s="261"/>
      <c r="V730" s="268"/>
      <c r="W730" s="268"/>
      <c r="X730" s="268"/>
      <c r="Y730" s="268"/>
      <c r="Z730" s="471">
        <f>SUMIF(TAB_CS[Reference],TAB_Offres[[#This Row],[Reference]],TAB_CS[Commited days])</f>
        <v>0</v>
      </c>
      <c r="AA730" s="269">
        <f>SUMIF(TAB_CS[Reference],TAB_Offres[[#This Row],[Reference]],TAB_CS[Commited amount])</f>
        <v>0</v>
      </c>
      <c r="AB730" s="275"/>
      <c r="AC730" s="270"/>
      <c r="AD730" s="270"/>
      <c r="AE730" s="264"/>
      <c r="AF730" s="271"/>
      <c r="AG730" s="278"/>
      <c r="AH730" s="277" t="str">
        <f>CONCATENATE(YEAR(TAB_Offres[[#This Row],[Request date ]]),"-",MONTH(TAB_Offres[[#This Row],[Request date ]]))</f>
        <v>1900-1</v>
      </c>
      <c r="AI730" s="274" t="e">
        <f>IF(#REF!,1,0)</f>
        <v>#REF!</v>
      </c>
      <c r="AJ730" s="4"/>
      <c r="AK730" s="4"/>
      <c r="AL730" s="4"/>
      <c r="AN730" s="150"/>
      <c r="AQ730" s="4"/>
    </row>
    <row r="731" spans="1:43" x14ac:dyDescent="0.25">
      <c r="A731" s="258">
        <f>ROW(TAB_Offres[[#This Row],[Reference]])-ROW(TAB_Offres[[#Headers],[ID]])</f>
        <v>730</v>
      </c>
      <c r="B731" s="258"/>
      <c r="C731" s="258"/>
      <c r="D731" s="258"/>
      <c r="E731" s="263"/>
      <c r="F731" s="258"/>
      <c r="G731" s="263"/>
      <c r="H731" s="262"/>
      <c r="I731" s="262"/>
      <c r="J731" s="262"/>
      <c r="K731" s="262"/>
      <c r="L731" s="262"/>
      <c r="M731" s="264"/>
      <c r="N731" s="262"/>
      <c r="O731" s="262"/>
      <c r="P731" s="262"/>
      <c r="Q731" s="263"/>
      <c r="R731" s="263"/>
      <c r="S731" s="292"/>
      <c r="T731" s="261"/>
      <c r="U731" s="261"/>
      <c r="V731" s="268"/>
      <c r="W731" s="268"/>
      <c r="X731" s="268"/>
      <c r="Y731" s="268"/>
      <c r="Z731" s="471">
        <f>SUMIF(TAB_CS[Reference],TAB_Offres[[#This Row],[Reference]],TAB_CS[Commited days])</f>
        <v>0</v>
      </c>
      <c r="AA731" s="269">
        <f>SUMIF(TAB_CS[Reference],TAB_Offres[[#This Row],[Reference]],TAB_CS[Commited amount])</f>
        <v>0</v>
      </c>
      <c r="AB731" s="275"/>
      <c r="AC731" s="270"/>
      <c r="AD731" s="270"/>
      <c r="AE731" s="264"/>
      <c r="AF731" s="271"/>
      <c r="AG731" s="278"/>
      <c r="AH731" s="277" t="str">
        <f>CONCATENATE(YEAR(TAB_Offres[[#This Row],[Request date ]]),"-",MONTH(TAB_Offres[[#This Row],[Request date ]]))</f>
        <v>1900-1</v>
      </c>
      <c r="AI731" s="274" t="e">
        <f>IF(#REF!,1,0)</f>
        <v>#REF!</v>
      </c>
      <c r="AJ731" s="4"/>
      <c r="AK731" s="4"/>
      <c r="AL731" s="4"/>
      <c r="AN731" s="150"/>
      <c r="AQ731" s="4"/>
    </row>
    <row r="732" spans="1:43" x14ac:dyDescent="0.25">
      <c r="A732" s="258">
        <f>ROW(TAB_Offres[[#This Row],[Reference]])-ROW(TAB_Offres[[#Headers],[ID]])</f>
        <v>731</v>
      </c>
      <c r="B732" s="258"/>
      <c r="C732" s="258"/>
      <c r="D732" s="258"/>
      <c r="E732" s="263"/>
      <c r="F732" s="258"/>
      <c r="G732" s="263"/>
      <c r="H732" s="262"/>
      <c r="I732" s="262"/>
      <c r="J732" s="262"/>
      <c r="K732" s="262"/>
      <c r="L732" s="262"/>
      <c r="M732" s="264"/>
      <c r="N732" s="262"/>
      <c r="O732" s="262"/>
      <c r="P732" s="262"/>
      <c r="Q732" s="263"/>
      <c r="R732" s="263"/>
      <c r="S732" s="292"/>
      <c r="T732" s="261"/>
      <c r="U732" s="261"/>
      <c r="V732" s="268"/>
      <c r="W732" s="268"/>
      <c r="X732" s="268"/>
      <c r="Y732" s="268"/>
      <c r="Z732" s="471">
        <f>SUMIF(TAB_CS[Reference],TAB_Offres[[#This Row],[Reference]],TAB_CS[Commited days])</f>
        <v>0</v>
      </c>
      <c r="AA732" s="269">
        <f>SUMIF(TAB_CS[Reference],TAB_Offres[[#This Row],[Reference]],TAB_CS[Commited amount])</f>
        <v>0</v>
      </c>
      <c r="AB732" s="275"/>
      <c r="AC732" s="270"/>
      <c r="AD732" s="270"/>
      <c r="AE732" s="264"/>
      <c r="AF732" s="271"/>
      <c r="AG732" s="278"/>
      <c r="AH732" s="277" t="str">
        <f>CONCATENATE(YEAR(TAB_Offres[[#This Row],[Request date ]]),"-",MONTH(TAB_Offres[[#This Row],[Request date ]]))</f>
        <v>1900-1</v>
      </c>
      <c r="AI732" s="274" t="e">
        <f>IF(#REF!,1,0)</f>
        <v>#REF!</v>
      </c>
      <c r="AJ732" s="4"/>
      <c r="AK732" s="4"/>
      <c r="AL732" s="4"/>
      <c r="AN732" s="150"/>
      <c r="AQ732" s="4"/>
    </row>
    <row r="733" spans="1:43" x14ac:dyDescent="0.25">
      <c r="A733" s="258">
        <f>ROW(TAB_Offres[[#This Row],[Reference]])-ROW(TAB_Offres[[#Headers],[ID]])</f>
        <v>732</v>
      </c>
      <c r="B733" s="258"/>
      <c r="C733" s="258"/>
      <c r="D733" s="258"/>
      <c r="E733" s="263"/>
      <c r="F733" s="258"/>
      <c r="G733" s="263"/>
      <c r="H733" s="262"/>
      <c r="I733" s="262"/>
      <c r="J733" s="262"/>
      <c r="K733" s="262"/>
      <c r="L733" s="262"/>
      <c r="M733" s="264"/>
      <c r="N733" s="262"/>
      <c r="O733" s="262"/>
      <c r="P733" s="262"/>
      <c r="Q733" s="263"/>
      <c r="R733" s="263"/>
      <c r="S733" s="292"/>
      <c r="T733" s="261"/>
      <c r="U733" s="261"/>
      <c r="V733" s="268"/>
      <c r="W733" s="268"/>
      <c r="X733" s="268"/>
      <c r="Y733" s="268"/>
      <c r="Z733" s="471">
        <f>SUMIF(TAB_CS[Reference],TAB_Offres[[#This Row],[Reference]],TAB_CS[Commited days])</f>
        <v>0</v>
      </c>
      <c r="AA733" s="269">
        <f>SUMIF(TAB_CS[Reference],TAB_Offres[[#This Row],[Reference]],TAB_CS[Commited amount])</f>
        <v>0</v>
      </c>
      <c r="AB733" s="275"/>
      <c r="AC733" s="270"/>
      <c r="AD733" s="270"/>
      <c r="AE733" s="264"/>
      <c r="AF733" s="271"/>
      <c r="AG733" s="278"/>
      <c r="AH733" s="277" t="str">
        <f>CONCATENATE(YEAR(TAB_Offres[[#This Row],[Request date ]]),"-",MONTH(TAB_Offres[[#This Row],[Request date ]]))</f>
        <v>1900-1</v>
      </c>
      <c r="AI733" s="274" t="e">
        <f>IF(#REF!,1,0)</f>
        <v>#REF!</v>
      </c>
      <c r="AJ733" s="4"/>
      <c r="AK733" s="4"/>
      <c r="AL733" s="4"/>
      <c r="AN733" s="150"/>
      <c r="AQ733" s="4"/>
    </row>
    <row r="734" spans="1:43" x14ac:dyDescent="0.25">
      <c r="A734" s="258">
        <f>ROW(TAB_Offres[[#This Row],[Reference]])-ROW(TAB_Offres[[#Headers],[ID]])</f>
        <v>733</v>
      </c>
      <c r="B734" s="258"/>
      <c r="C734" s="258"/>
      <c r="D734" s="258"/>
      <c r="E734" s="263"/>
      <c r="F734" s="258"/>
      <c r="G734" s="263"/>
      <c r="H734" s="262"/>
      <c r="I734" s="262"/>
      <c r="J734" s="262"/>
      <c r="K734" s="262"/>
      <c r="L734" s="262"/>
      <c r="M734" s="264"/>
      <c r="N734" s="262"/>
      <c r="O734" s="262"/>
      <c r="P734" s="262"/>
      <c r="Q734" s="263"/>
      <c r="R734" s="263"/>
      <c r="S734" s="292"/>
      <c r="T734" s="261"/>
      <c r="U734" s="261"/>
      <c r="V734" s="268"/>
      <c r="W734" s="268"/>
      <c r="X734" s="268"/>
      <c r="Y734" s="268"/>
      <c r="Z734" s="471">
        <f>SUMIF(TAB_CS[Reference],TAB_Offres[[#This Row],[Reference]],TAB_CS[Commited days])</f>
        <v>0</v>
      </c>
      <c r="AA734" s="269">
        <f>SUMIF(TAB_CS[Reference],TAB_Offres[[#This Row],[Reference]],TAB_CS[Commited amount])</f>
        <v>0</v>
      </c>
      <c r="AB734" s="275"/>
      <c r="AC734" s="270"/>
      <c r="AD734" s="270"/>
      <c r="AE734" s="264"/>
      <c r="AF734" s="271"/>
      <c r="AG734" s="278"/>
      <c r="AH734" s="277" t="str">
        <f>CONCATENATE(YEAR(TAB_Offres[[#This Row],[Request date ]]),"-",MONTH(TAB_Offres[[#This Row],[Request date ]]))</f>
        <v>1900-1</v>
      </c>
      <c r="AI734" s="274" t="e">
        <f>IF(#REF!,1,0)</f>
        <v>#REF!</v>
      </c>
      <c r="AJ734" s="4"/>
      <c r="AK734" s="4"/>
      <c r="AL734" s="4"/>
      <c r="AN734" s="150"/>
      <c r="AQ734" s="4"/>
    </row>
    <row r="735" spans="1:43" x14ac:dyDescent="0.25">
      <c r="A735" s="258">
        <f>ROW(TAB_Offres[[#This Row],[Reference]])-ROW(TAB_Offres[[#Headers],[ID]])</f>
        <v>734</v>
      </c>
      <c r="B735" s="258"/>
      <c r="C735" s="258"/>
      <c r="D735" s="258"/>
      <c r="E735" s="263"/>
      <c r="F735" s="258"/>
      <c r="G735" s="263"/>
      <c r="H735" s="262"/>
      <c r="I735" s="262"/>
      <c r="J735" s="262"/>
      <c r="K735" s="262"/>
      <c r="L735" s="262"/>
      <c r="M735" s="264"/>
      <c r="N735" s="262"/>
      <c r="O735" s="262"/>
      <c r="P735" s="262"/>
      <c r="Q735" s="263"/>
      <c r="R735" s="263"/>
      <c r="S735" s="292"/>
      <c r="T735" s="261"/>
      <c r="U735" s="261"/>
      <c r="V735" s="268"/>
      <c r="W735" s="268"/>
      <c r="X735" s="268"/>
      <c r="Y735" s="268"/>
      <c r="Z735" s="471">
        <f>SUMIF(TAB_CS[Reference],TAB_Offres[[#This Row],[Reference]],TAB_CS[Commited days])</f>
        <v>0</v>
      </c>
      <c r="AA735" s="269">
        <f>SUMIF(TAB_CS[Reference],TAB_Offres[[#This Row],[Reference]],TAB_CS[Commited amount])</f>
        <v>0</v>
      </c>
      <c r="AB735" s="275"/>
      <c r="AC735" s="270"/>
      <c r="AD735" s="270"/>
      <c r="AE735" s="264"/>
      <c r="AF735" s="271"/>
      <c r="AG735" s="278"/>
      <c r="AH735" s="277" t="str">
        <f>CONCATENATE(YEAR(TAB_Offres[[#This Row],[Request date ]]),"-",MONTH(TAB_Offres[[#This Row],[Request date ]]))</f>
        <v>1900-1</v>
      </c>
      <c r="AI735" s="274" t="e">
        <f>IF(#REF!,1,0)</f>
        <v>#REF!</v>
      </c>
      <c r="AJ735" s="4"/>
      <c r="AK735" s="4"/>
      <c r="AL735" s="4"/>
      <c r="AN735" s="150"/>
      <c r="AQ735" s="4"/>
    </row>
    <row r="736" spans="1:43" x14ac:dyDescent="0.25">
      <c r="A736" s="258">
        <f>ROW(TAB_Offres[[#This Row],[Reference]])-ROW(TAB_Offres[[#Headers],[ID]])</f>
        <v>735</v>
      </c>
      <c r="B736" s="258"/>
      <c r="C736" s="258"/>
      <c r="D736" s="258"/>
      <c r="E736" s="263"/>
      <c r="F736" s="258"/>
      <c r="G736" s="263"/>
      <c r="H736" s="262"/>
      <c r="I736" s="262"/>
      <c r="J736" s="262"/>
      <c r="K736" s="262"/>
      <c r="L736" s="262"/>
      <c r="M736" s="264"/>
      <c r="N736" s="262"/>
      <c r="O736" s="262"/>
      <c r="P736" s="262"/>
      <c r="Q736" s="263"/>
      <c r="R736" s="263"/>
      <c r="S736" s="292"/>
      <c r="T736" s="261"/>
      <c r="U736" s="261"/>
      <c r="V736" s="268"/>
      <c r="W736" s="268"/>
      <c r="X736" s="268"/>
      <c r="Y736" s="268"/>
      <c r="Z736" s="471">
        <f>SUMIF(TAB_CS[Reference],TAB_Offres[[#This Row],[Reference]],TAB_CS[Commited days])</f>
        <v>0</v>
      </c>
      <c r="AA736" s="269">
        <f>SUMIF(TAB_CS[Reference],TAB_Offres[[#This Row],[Reference]],TAB_CS[Commited amount])</f>
        <v>0</v>
      </c>
      <c r="AB736" s="275"/>
      <c r="AC736" s="270"/>
      <c r="AD736" s="270"/>
      <c r="AE736" s="264"/>
      <c r="AF736" s="271"/>
      <c r="AG736" s="278"/>
      <c r="AH736" s="277" t="str">
        <f>CONCATENATE(YEAR(TAB_Offres[[#This Row],[Request date ]]),"-",MONTH(TAB_Offres[[#This Row],[Request date ]]))</f>
        <v>1900-1</v>
      </c>
      <c r="AI736" s="274" t="e">
        <f>IF(#REF!,1,0)</f>
        <v>#REF!</v>
      </c>
      <c r="AJ736" s="4"/>
      <c r="AK736" s="4"/>
      <c r="AL736" s="4"/>
      <c r="AN736" s="150"/>
      <c r="AQ736" s="4"/>
    </row>
    <row r="737" spans="1:43" x14ac:dyDescent="0.25">
      <c r="A737" s="258">
        <f>ROW(TAB_Offres[[#This Row],[Reference]])-ROW(TAB_Offres[[#Headers],[ID]])</f>
        <v>736</v>
      </c>
      <c r="B737" s="258"/>
      <c r="C737" s="258"/>
      <c r="D737" s="258"/>
      <c r="E737" s="263"/>
      <c r="F737" s="258"/>
      <c r="G737" s="263"/>
      <c r="H737" s="262"/>
      <c r="I737" s="262"/>
      <c r="J737" s="262"/>
      <c r="K737" s="262"/>
      <c r="L737" s="262"/>
      <c r="M737" s="264"/>
      <c r="N737" s="262"/>
      <c r="O737" s="262"/>
      <c r="P737" s="262"/>
      <c r="Q737" s="263"/>
      <c r="R737" s="263"/>
      <c r="S737" s="292"/>
      <c r="T737" s="261"/>
      <c r="U737" s="261"/>
      <c r="V737" s="268"/>
      <c r="W737" s="268"/>
      <c r="X737" s="268"/>
      <c r="Y737" s="268"/>
      <c r="Z737" s="471">
        <f>SUMIF(TAB_CS[Reference],TAB_Offres[[#This Row],[Reference]],TAB_CS[Commited days])</f>
        <v>0</v>
      </c>
      <c r="AA737" s="269">
        <f>SUMIF(TAB_CS[Reference],TAB_Offres[[#This Row],[Reference]],TAB_CS[Commited amount])</f>
        <v>0</v>
      </c>
      <c r="AB737" s="275"/>
      <c r="AC737" s="270"/>
      <c r="AD737" s="270"/>
      <c r="AE737" s="264"/>
      <c r="AF737" s="271"/>
      <c r="AG737" s="278"/>
      <c r="AH737" s="277" t="str">
        <f>CONCATENATE(YEAR(TAB_Offres[[#This Row],[Request date ]]),"-",MONTH(TAB_Offres[[#This Row],[Request date ]]))</f>
        <v>1900-1</v>
      </c>
      <c r="AI737" s="274" t="e">
        <f>IF(#REF!,1,0)</f>
        <v>#REF!</v>
      </c>
      <c r="AJ737" s="4"/>
      <c r="AK737" s="4"/>
      <c r="AL737" s="4"/>
      <c r="AN737" s="150"/>
      <c r="AQ737" s="4"/>
    </row>
    <row r="738" spans="1:43" x14ac:dyDescent="0.25">
      <c r="A738" s="258">
        <f>ROW(TAB_Offres[[#This Row],[Reference]])-ROW(TAB_Offres[[#Headers],[ID]])</f>
        <v>737</v>
      </c>
      <c r="B738" s="258"/>
      <c r="C738" s="258"/>
      <c r="D738" s="258"/>
      <c r="E738" s="263"/>
      <c r="F738" s="258"/>
      <c r="G738" s="263"/>
      <c r="H738" s="262"/>
      <c r="I738" s="262"/>
      <c r="J738" s="262"/>
      <c r="K738" s="262"/>
      <c r="L738" s="262"/>
      <c r="M738" s="264"/>
      <c r="N738" s="262"/>
      <c r="O738" s="262"/>
      <c r="P738" s="262"/>
      <c r="Q738" s="263"/>
      <c r="R738" s="263"/>
      <c r="S738" s="292"/>
      <c r="T738" s="261"/>
      <c r="U738" s="261"/>
      <c r="V738" s="268"/>
      <c r="W738" s="268"/>
      <c r="X738" s="268"/>
      <c r="Y738" s="268"/>
      <c r="Z738" s="471">
        <f>SUMIF(TAB_CS[Reference],TAB_Offres[[#This Row],[Reference]],TAB_CS[Commited days])</f>
        <v>0</v>
      </c>
      <c r="AA738" s="269">
        <f>SUMIF(TAB_CS[Reference],TAB_Offres[[#This Row],[Reference]],TAB_CS[Commited amount])</f>
        <v>0</v>
      </c>
      <c r="AB738" s="275"/>
      <c r="AC738" s="270"/>
      <c r="AD738" s="270"/>
      <c r="AE738" s="264"/>
      <c r="AF738" s="271"/>
      <c r="AG738" s="278"/>
      <c r="AH738" s="277" t="str">
        <f>CONCATENATE(YEAR(TAB_Offres[[#This Row],[Request date ]]),"-",MONTH(TAB_Offres[[#This Row],[Request date ]]))</f>
        <v>1900-1</v>
      </c>
      <c r="AI738" s="274" t="e">
        <f>IF(#REF!,1,0)</f>
        <v>#REF!</v>
      </c>
      <c r="AJ738" s="4"/>
      <c r="AK738" s="4"/>
      <c r="AL738" s="4"/>
      <c r="AN738" s="150"/>
      <c r="AQ738" s="4"/>
    </row>
    <row r="739" spans="1:43" x14ac:dyDescent="0.25">
      <c r="A739" s="258">
        <f>ROW(TAB_Offres[[#This Row],[Reference]])-ROW(TAB_Offres[[#Headers],[ID]])</f>
        <v>738</v>
      </c>
      <c r="B739" s="258"/>
      <c r="C739" s="258"/>
      <c r="D739" s="258"/>
      <c r="E739" s="263"/>
      <c r="F739" s="258"/>
      <c r="G739" s="263"/>
      <c r="H739" s="262"/>
      <c r="I739" s="262"/>
      <c r="J739" s="262"/>
      <c r="K739" s="262"/>
      <c r="L739" s="262"/>
      <c r="M739" s="264"/>
      <c r="N739" s="262"/>
      <c r="O739" s="262"/>
      <c r="P739" s="262"/>
      <c r="Q739" s="263"/>
      <c r="R739" s="263"/>
      <c r="S739" s="292"/>
      <c r="T739" s="261"/>
      <c r="U739" s="261"/>
      <c r="V739" s="268"/>
      <c r="W739" s="268"/>
      <c r="X739" s="268"/>
      <c r="Y739" s="268"/>
      <c r="Z739" s="471">
        <f>SUMIF(TAB_CS[Reference],TAB_Offres[[#This Row],[Reference]],TAB_CS[Commited days])</f>
        <v>0</v>
      </c>
      <c r="AA739" s="269">
        <f>SUMIF(TAB_CS[Reference],TAB_Offres[[#This Row],[Reference]],TAB_CS[Commited amount])</f>
        <v>0</v>
      </c>
      <c r="AB739" s="275"/>
      <c r="AC739" s="270"/>
      <c r="AD739" s="270"/>
      <c r="AE739" s="264"/>
      <c r="AF739" s="271"/>
      <c r="AG739" s="278"/>
      <c r="AH739" s="277" t="str">
        <f>CONCATENATE(YEAR(TAB_Offres[[#This Row],[Request date ]]),"-",MONTH(TAB_Offres[[#This Row],[Request date ]]))</f>
        <v>1900-1</v>
      </c>
      <c r="AI739" s="274" t="e">
        <f>IF(#REF!,1,0)</f>
        <v>#REF!</v>
      </c>
      <c r="AJ739" s="4"/>
      <c r="AK739" s="4"/>
      <c r="AL739" s="4"/>
      <c r="AN739" s="150"/>
      <c r="AQ739" s="4"/>
    </row>
    <row r="740" spans="1:43" x14ac:dyDescent="0.25">
      <c r="A740" s="258">
        <f>ROW(TAB_Offres[[#This Row],[Reference]])-ROW(TAB_Offres[[#Headers],[ID]])</f>
        <v>739</v>
      </c>
      <c r="B740" s="258"/>
      <c r="C740" s="258"/>
      <c r="D740" s="258"/>
      <c r="E740" s="263"/>
      <c r="F740" s="258"/>
      <c r="G740" s="263"/>
      <c r="H740" s="262"/>
      <c r="I740" s="262"/>
      <c r="J740" s="262"/>
      <c r="K740" s="262"/>
      <c r="L740" s="262"/>
      <c r="M740" s="264"/>
      <c r="N740" s="262"/>
      <c r="O740" s="262"/>
      <c r="P740" s="262"/>
      <c r="Q740" s="263"/>
      <c r="R740" s="263"/>
      <c r="S740" s="292"/>
      <c r="T740" s="261"/>
      <c r="U740" s="261"/>
      <c r="V740" s="268"/>
      <c r="W740" s="268"/>
      <c r="X740" s="268"/>
      <c r="Y740" s="268"/>
      <c r="Z740" s="471">
        <f>SUMIF(TAB_CS[Reference],TAB_Offres[[#This Row],[Reference]],TAB_CS[Commited days])</f>
        <v>0</v>
      </c>
      <c r="AA740" s="269">
        <f>SUMIF(TAB_CS[Reference],TAB_Offres[[#This Row],[Reference]],TAB_CS[Commited amount])</f>
        <v>0</v>
      </c>
      <c r="AB740" s="275"/>
      <c r="AC740" s="270"/>
      <c r="AD740" s="270"/>
      <c r="AE740" s="264"/>
      <c r="AF740" s="271"/>
      <c r="AG740" s="278"/>
      <c r="AH740" s="277" t="str">
        <f>CONCATENATE(YEAR(TAB_Offres[[#This Row],[Request date ]]),"-",MONTH(TAB_Offres[[#This Row],[Request date ]]))</f>
        <v>1900-1</v>
      </c>
      <c r="AI740" s="274" t="e">
        <f>IF(#REF!,1,0)</f>
        <v>#REF!</v>
      </c>
      <c r="AJ740" s="4"/>
      <c r="AK740" s="4"/>
      <c r="AL740" s="4"/>
      <c r="AN740" s="150"/>
      <c r="AQ740" s="4"/>
    </row>
    <row r="741" spans="1:43" x14ac:dyDescent="0.25">
      <c r="A741" s="258">
        <f>ROW(TAB_Offres[[#This Row],[Reference]])-ROW(TAB_Offres[[#Headers],[ID]])</f>
        <v>740</v>
      </c>
      <c r="B741" s="258"/>
      <c r="C741" s="258"/>
      <c r="D741" s="258"/>
      <c r="E741" s="263"/>
      <c r="F741" s="258"/>
      <c r="G741" s="263"/>
      <c r="H741" s="262"/>
      <c r="I741" s="262"/>
      <c r="J741" s="262"/>
      <c r="K741" s="262"/>
      <c r="L741" s="262"/>
      <c r="M741" s="264"/>
      <c r="N741" s="262"/>
      <c r="O741" s="262"/>
      <c r="P741" s="262"/>
      <c r="Q741" s="263"/>
      <c r="R741" s="263"/>
      <c r="S741" s="292"/>
      <c r="T741" s="261"/>
      <c r="U741" s="261"/>
      <c r="V741" s="268"/>
      <c r="W741" s="268"/>
      <c r="X741" s="268"/>
      <c r="Y741" s="268"/>
      <c r="Z741" s="471">
        <f>SUMIF(TAB_CS[Reference],TAB_Offres[[#This Row],[Reference]],TAB_CS[Commited days])</f>
        <v>0</v>
      </c>
      <c r="AA741" s="269">
        <f>SUMIF(TAB_CS[Reference],TAB_Offres[[#This Row],[Reference]],TAB_CS[Commited amount])</f>
        <v>0</v>
      </c>
      <c r="AB741" s="275"/>
      <c r="AC741" s="270"/>
      <c r="AD741" s="270"/>
      <c r="AE741" s="264"/>
      <c r="AF741" s="271"/>
      <c r="AG741" s="278"/>
      <c r="AH741" s="277" t="str">
        <f>CONCATENATE(YEAR(TAB_Offres[[#This Row],[Request date ]]),"-",MONTH(TAB_Offres[[#This Row],[Request date ]]))</f>
        <v>1900-1</v>
      </c>
      <c r="AI741" s="274" t="e">
        <f>IF(#REF!,1,0)</f>
        <v>#REF!</v>
      </c>
      <c r="AJ741" s="4"/>
      <c r="AK741" s="4"/>
      <c r="AL741" s="4"/>
      <c r="AN741" s="150"/>
      <c r="AQ741" s="4"/>
    </row>
    <row r="742" spans="1:43" x14ac:dyDescent="0.25">
      <c r="A742" s="258">
        <f>ROW(TAB_Offres[[#This Row],[Reference]])-ROW(TAB_Offres[[#Headers],[ID]])</f>
        <v>741</v>
      </c>
      <c r="B742" s="258"/>
      <c r="C742" s="258"/>
      <c r="D742" s="258"/>
      <c r="E742" s="263"/>
      <c r="F742" s="258"/>
      <c r="G742" s="263"/>
      <c r="H742" s="262"/>
      <c r="I742" s="262"/>
      <c r="J742" s="262"/>
      <c r="K742" s="262"/>
      <c r="L742" s="262"/>
      <c r="M742" s="264"/>
      <c r="N742" s="262"/>
      <c r="O742" s="262"/>
      <c r="P742" s="262"/>
      <c r="Q742" s="263"/>
      <c r="R742" s="263"/>
      <c r="S742" s="292"/>
      <c r="T742" s="261"/>
      <c r="U742" s="261"/>
      <c r="V742" s="268"/>
      <c r="W742" s="268"/>
      <c r="X742" s="268"/>
      <c r="Y742" s="268"/>
      <c r="Z742" s="471">
        <f>SUMIF(TAB_CS[Reference],TAB_Offres[[#This Row],[Reference]],TAB_CS[Commited days])</f>
        <v>0</v>
      </c>
      <c r="AA742" s="269">
        <f>SUMIF(TAB_CS[Reference],TAB_Offres[[#This Row],[Reference]],TAB_CS[Commited amount])</f>
        <v>0</v>
      </c>
      <c r="AB742" s="275"/>
      <c r="AC742" s="270"/>
      <c r="AD742" s="270"/>
      <c r="AE742" s="264"/>
      <c r="AF742" s="271"/>
      <c r="AG742" s="278"/>
      <c r="AH742" s="277" t="str">
        <f>CONCATENATE(YEAR(TAB_Offres[[#This Row],[Request date ]]),"-",MONTH(TAB_Offres[[#This Row],[Request date ]]))</f>
        <v>1900-1</v>
      </c>
      <c r="AI742" s="274" t="e">
        <f>IF(#REF!,1,0)</f>
        <v>#REF!</v>
      </c>
      <c r="AJ742" s="4"/>
      <c r="AK742" s="4"/>
      <c r="AL742" s="4"/>
      <c r="AN742" s="150"/>
      <c r="AQ742" s="4"/>
    </row>
    <row r="743" spans="1:43" x14ac:dyDescent="0.25">
      <c r="A743" s="258">
        <f>ROW(TAB_Offres[[#This Row],[Reference]])-ROW(TAB_Offres[[#Headers],[ID]])</f>
        <v>742</v>
      </c>
      <c r="B743" s="258"/>
      <c r="C743" s="258"/>
      <c r="D743" s="258"/>
      <c r="E743" s="263"/>
      <c r="F743" s="258"/>
      <c r="G743" s="263"/>
      <c r="H743" s="262"/>
      <c r="I743" s="262"/>
      <c r="J743" s="262"/>
      <c r="K743" s="262"/>
      <c r="L743" s="262"/>
      <c r="M743" s="264"/>
      <c r="N743" s="262"/>
      <c r="O743" s="262"/>
      <c r="P743" s="262"/>
      <c r="Q743" s="263"/>
      <c r="R743" s="263"/>
      <c r="S743" s="292"/>
      <c r="T743" s="261"/>
      <c r="U743" s="261"/>
      <c r="V743" s="268"/>
      <c r="W743" s="268"/>
      <c r="X743" s="268"/>
      <c r="Y743" s="268"/>
      <c r="Z743" s="471">
        <f>SUMIF(TAB_CS[Reference],TAB_Offres[[#This Row],[Reference]],TAB_CS[Commited days])</f>
        <v>0</v>
      </c>
      <c r="AA743" s="269">
        <f>SUMIF(TAB_CS[Reference],TAB_Offres[[#This Row],[Reference]],TAB_CS[Commited amount])</f>
        <v>0</v>
      </c>
      <c r="AB743" s="275"/>
      <c r="AC743" s="270"/>
      <c r="AD743" s="270"/>
      <c r="AE743" s="264"/>
      <c r="AF743" s="271"/>
      <c r="AG743" s="278"/>
      <c r="AH743" s="277" t="str">
        <f>CONCATENATE(YEAR(TAB_Offres[[#This Row],[Request date ]]),"-",MONTH(TAB_Offres[[#This Row],[Request date ]]))</f>
        <v>1900-1</v>
      </c>
      <c r="AI743" s="274" t="e">
        <f>IF(#REF!,1,0)</f>
        <v>#REF!</v>
      </c>
      <c r="AJ743" s="4"/>
      <c r="AK743" s="4"/>
      <c r="AL743" s="4"/>
      <c r="AN743" s="150"/>
      <c r="AQ743" s="4"/>
    </row>
    <row r="744" spans="1:43" x14ac:dyDescent="0.25">
      <c r="A744" s="258">
        <f>ROW(TAB_Offres[[#This Row],[Reference]])-ROW(TAB_Offres[[#Headers],[ID]])</f>
        <v>743</v>
      </c>
      <c r="B744" s="258"/>
      <c r="C744" s="258"/>
      <c r="D744" s="258"/>
      <c r="E744" s="263"/>
      <c r="F744" s="258"/>
      <c r="G744" s="263"/>
      <c r="H744" s="262"/>
      <c r="I744" s="262"/>
      <c r="J744" s="262"/>
      <c r="K744" s="262"/>
      <c r="L744" s="262"/>
      <c r="M744" s="264"/>
      <c r="N744" s="262"/>
      <c r="O744" s="262"/>
      <c r="P744" s="262"/>
      <c r="Q744" s="263"/>
      <c r="R744" s="263"/>
      <c r="S744" s="292"/>
      <c r="T744" s="261"/>
      <c r="U744" s="261"/>
      <c r="V744" s="268"/>
      <c r="W744" s="268"/>
      <c r="X744" s="268"/>
      <c r="Y744" s="268"/>
      <c r="Z744" s="471">
        <f>SUMIF(TAB_CS[Reference],TAB_Offres[[#This Row],[Reference]],TAB_CS[Commited days])</f>
        <v>0</v>
      </c>
      <c r="AA744" s="269">
        <f>SUMIF(TAB_CS[Reference],TAB_Offres[[#This Row],[Reference]],TAB_CS[Commited amount])</f>
        <v>0</v>
      </c>
      <c r="AB744" s="275"/>
      <c r="AC744" s="270"/>
      <c r="AD744" s="270"/>
      <c r="AE744" s="264"/>
      <c r="AF744" s="271"/>
      <c r="AG744" s="278"/>
      <c r="AH744" s="277" t="str">
        <f>CONCATENATE(YEAR(TAB_Offres[[#This Row],[Request date ]]),"-",MONTH(TAB_Offres[[#This Row],[Request date ]]))</f>
        <v>1900-1</v>
      </c>
      <c r="AI744" s="274" t="e">
        <f>IF(#REF!,1,0)</f>
        <v>#REF!</v>
      </c>
      <c r="AJ744" s="4"/>
      <c r="AK744" s="4"/>
      <c r="AL744" s="4"/>
      <c r="AN744" s="150"/>
      <c r="AQ744" s="4"/>
    </row>
    <row r="745" spans="1:43" x14ac:dyDescent="0.25">
      <c r="A745" s="258">
        <f>ROW(TAB_Offres[[#This Row],[Reference]])-ROW(TAB_Offres[[#Headers],[ID]])</f>
        <v>744</v>
      </c>
      <c r="B745" s="258"/>
      <c r="C745" s="258"/>
      <c r="D745" s="258"/>
      <c r="E745" s="263"/>
      <c r="F745" s="258"/>
      <c r="G745" s="263"/>
      <c r="H745" s="262"/>
      <c r="I745" s="262"/>
      <c r="J745" s="262"/>
      <c r="K745" s="262"/>
      <c r="L745" s="262"/>
      <c r="M745" s="264"/>
      <c r="N745" s="262"/>
      <c r="O745" s="262"/>
      <c r="P745" s="262"/>
      <c r="Q745" s="263"/>
      <c r="R745" s="263"/>
      <c r="S745" s="292"/>
      <c r="T745" s="261"/>
      <c r="U745" s="261"/>
      <c r="V745" s="268"/>
      <c r="W745" s="268"/>
      <c r="X745" s="268"/>
      <c r="Y745" s="268"/>
      <c r="Z745" s="471">
        <f>SUMIF(TAB_CS[Reference],TAB_Offres[[#This Row],[Reference]],TAB_CS[Commited days])</f>
        <v>0</v>
      </c>
      <c r="AA745" s="269">
        <f>SUMIF(TAB_CS[Reference],TAB_Offres[[#This Row],[Reference]],TAB_CS[Commited amount])</f>
        <v>0</v>
      </c>
      <c r="AB745" s="275"/>
      <c r="AC745" s="270"/>
      <c r="AD745" s="270"/>
      <c r="AE745" s="264"/>
      <c r="AF745" s="271"/>
      <c r="AG745" s="278"/>
      <c r="AH745" s="277" t="str">
        <f>CONCATENATE(YEAR(TAB_Offres[[#This Row],[Request date ]]),"-",MONTH(TAB_Offres[[#This Row],[Request date ]]))</f>
        <v>1900-1</v>
      </c>
      <c r="AI745" s="274" t="e">
        <f>IF(#REF!,1,0)</f>
        <v>#REF!</v>
      </c>
      <c r="AJ745" s="4"/>
      <c r="AK745" s="4"/>
      <c r="AL745" s="4"/>
      <c r="AN745" s="150"/>
      <c r="AQ745" s="4"/>
    </row>
    <row r="746" spans="1:43" x14ac:dyDescent="0.25">
      <c r="A746" s="258">
        <f>ROW(TAB_Offres[[#This Row],[Reference]])-ROW(TAB_Offres[[#Headers],[ID]])</f>
        <v>745</v>
      </c>
      <c r="B746" s="258"/>
      <c r="C746" s="258"/>
      <c r="D746" s="258"/>
      <c r="E746" s="263"/>
      <c r="F746" s="258"/>
      <c r="G746" s="263"/>
      <c r="H746" s="262"/>
      <c r="I746" s="262"/>
      <c r="J746" s="262"/>
      <c r="K746" s="262"/>
      <c r="L746" s="262"/>
      <c r="M746" s="264"/>
      <c r="N746" s="262"/>
      <c r="O746" s="262"/>
      <c r="P746" s="262"/>
      <c r="Q746" s="263"/>
      <c r="R746" s="263"/>
      <c r="S746" s="292"/>
      <c r="T746" s="261"/>
      <c r="U746" s="261"/>
      <c r="V746" s="268"/>
      <c r="W746" s="268"/>
      <c r="X746" s="268"/>
      <c r="Y746" s="268"/>
      <c r="Z746" s="471">
        <f>SUMIF(TAB_CS[Reference],TAB_Offres[[#This Row],[Reference]],TAB_CS[Commited days])</f>
        <v>0</v>
      </c>
      <c r="AA746" s="269">
        <f>SUMIF(TAB_CS[Reference],TAB_Offres[[#This Row],[Reference]],TAB_CS[Commited amount])</f>
        <v>0</v>
      </c>
      <c r="AB746" s="275"/>
      <c r="AC746" s="270"/>
      <c r="AD746" s="270"/>
      <c r="AE746" s="264"/>
      <c r="AF746" s="271"/>
      <c r="AG746" s="278"/>
      <c r="AH746" s="277" t="str">
        <f>CONCATENATE(YEAR(TAB_Offres[[#This Row],[Request date ]]),"-",MONTH(TAB_Offres[[#This Row],[Request date ]]))</f>
        <v>1900-1</v>
      </c>
      <c r="AI746" s="274" t="e">
        <f>IF(#REF!,1,0)</f>
        <v>#REF!</v>
      </c>
      <c r="AJ746" s="4"/>
      <c r="AK746" s="4"/>
      <c r="AL746" s="4"/>
      <c r="AN746" s="150"/>
      <c r="AQ746" s="4"/>
    </row>
    <row r="747" spans="1:43" x14ac:dyDescent="0.25">
      <c r="A747" s="258">
        <f>ROW(TAB_Offres[[#This Row],[Reference]])-ROW(TAB_Offres[[#Headers],[ID]])</f>
        <v>746</v>
      </c>
      <c r="B747" s="258"/>
      <c r="C747" s="258"/>
      <c r="D747" s="258"/>
      <c r="E747" s="263"/>
      <c r="F747" s="258"/>
      <c r="G747" s="263"/>
      <c r="H747" s="262"/>
      <c r="I747" s="262"/>
      <c r="J747" s="262"/>
      <c r="K747" s="262"/>
      <c r="L747" s="262"/>
      <c r="M747" s="264"/>
      <c r="N747" s="262"/>
      <c r="O747" s="262"/>
      <c r="P747" s="262"/>
      <c r="Q747" s="263"/>
      <c r="R747" s="263"/>
      <c r="S747" s="292"/>
      <c r="T747" s="261"/>
      <c r="U747" s="261"/>
      <c r="V747" s="268"/>
      <c r="W747" s="268"/>
      <c r="X747" s="268"/>
      <c r="Y747" s="268"/>
      <c r="Z747" s="471">
        <f>SUMIF(TAB_CS[Reference],TAB_Offres[[#This Row],[Reference]],TAB_CS[Commited days])</f>
        <v>0</v>
      </c>
      <c r="AA747" s="269">
        <f>SUMIF(TAB_CS[Reference],TAB_Offres[[#This Row],[Reference]],TAB_CS[Commited amount])</f>
        <v>0</v>
      </c>
      <c r="AB747" s="275"/>
      <c r="AC747" s="270"/>
      <c r="AD747" s="270"/>
      <c r="AE747" s="264"/>
      <c r="AF747" s="271"/>
      <c r="AG747" s="278"/>
      <c r="AH747" s="277" t="str">
        <f>CONCATENATE(YEAR(TAB_Offres[[#This Row],[Request date ]]),"-",MONTH(TAB_Offres[[#This Row],[Request date ]]))</f>
        <v>1900-1</v>
      </c>
      <c r="AI747" s="274" t="e">
        <f>IF(#REF!,1,0)</f>
        <v>#REF!</v>
      </c>
      <c r="AJ747" s="4"/>
      <c r="AK747" s="4"/>
      <c r="AL747" s="4"/>
      <c r="AN747" s="150"/>
      <c r="AQ747" s="4"/>
    </row>
    <row r="748" spans="1:43" x14ac:dyDescent="0.25">
      <c r="A748" s="258">
        <f>ROW(TAB_Offres[[#This Row],[Reference]])-ROW(TAB_Offres[[#Headers],[ID]])</f>
        <v>747</v>
      </c>
      <c r="B748" s="258"/>
      <c r="C748" s="258"/>
      <c r="D748" s="258"/>
      <c r="E748" s="263"/>
      <c r="F748" s="258"/>
      <c r="G748" s="263"/>
      <c r="H748" s="262"/>
      <c r="I748" s="262"/>
      <c r="J748" s="262"/>
      <c r="K748" s="262"/>
      <c r="L748" s="262"/>
      <c r="M748" s="264"/>
      <c r="N748" s="262"/>
      <c r="O748" s="262"/>
      <c r="P748" s="262"/>
      <c r="Q748" s="263"/>
      <c r="R748" s="263"/>
      <c r="S748" s="292"/>
      <c r="T748" s="261"/>
      <c r="U748" s="261"/>
      <c r="V748" s="268"/>
      <c r="W748" s="268"/>
      <c r="X748" s="268"/>
      <c r="Y748" s="268"/>
      <c r="Z748" s="471">
        <f>SUMIF(TAB_CS[Reference],TAB_Offres[[#This Row],[Reference]],TAB_CS[Commited days])</f>
        <v>0</v>
      </c>
      <c r="AA748" s="269">
        <f>SUMIF(TAB_CS[Reference],TAB_Offres[[#This Row],[Reference]],TAB_CS[Commited amount])</f>
        <v>0</v>
      </c>
      <c r="AB748" s="275"/>
      <c r="AC748" s="270"/>
      <c r="AD748" s="270"/>
      <c r="AE748" s="264"/>
      <c r="AF748" s="271"/>
      <c r="AG748" s="278"/>
      <c r="AH748" s="277" t="str">
        <f>CONCATENATE(YEAR(TAB_Offres[[#This Row],[Request date ]]),"-",MONTH(TAB_Offres[[#This Row],[Request date ]]))</f>
        <v>1900-1</v>
      </c>
      <c r="AI748" s="274" t="e">
        <f>IF(#REF!,1,0)</f>
        <v>#REF!</v>
      </c>
      <c r="AJ748" s="4"/>
      <c r="AK748" s="4"/>
      <c r="AL748" s="4"/>
      <c r="AN748" s="150"/>
      <c r="AQ748" s="4"/>
    </row>
    <row r="749" spans="1:43" x14ac:dyDescent="0.25">
      <c r="A749" s="258">
        <f>ROW(TAB_Offres[[#This Row],[Reference]])-ROW(TAB_Offres[[#Headers],[ID]])</f>
        <v>748</v>
      </c>
      <c r="B749" s="258"/>
      <c r="C749" s="258"/>
      <c r="D749" s="258"/>
      <c r="E749" s="263"/>
      <c r="F749" s="258"/>
      <c r="G749" s="263"/>
      <c r="H749" s="262"/>
      <c r="I749" s="262"/>
      <c r="J749" s="262"/>
      <c r="K749" s="262"/>
      <c r="L749" s="262"/>
      <c r="M749" s="264"/>
      <c r="N749" s="262"/>
      <c r="O749" s="262"/>
      <c r="P749" s="262"/>
      <c r="Q749" s="263"/>
      <c r="R749" s="263"/>
      <c r="S749" s="292"/>
      <c r="T749" s="261"/>
      <c r="U749" s="261"/>
      <c r="V749" s="268"/>
      <c r="W749" s="268"/>
      <c r="X749" s="268"/>
      <c r="Y749" s="268"/>
      <c r="Z749" s="471">
        <f>SUMIF(TAB_CS[Reference],TAB_Offres[[#This Row],[Reference]],TAB_CS[Commited days])</f>
        <v>0</v>
      </c>
      <c r="AA749" s="269">
        <f>SUMIF(TAB_CS[Reference],TAB_Offres[[#This Row],[Reference]],TAB_CS[Commited amount])</f>
        <v>0</v>
      </c>
      <c r="AB749" s="275"/>
      <c r="AC749" s="270"/>
      <c r="AD749" s="270"/>
      <c r="AE749" s="264"/>
      <c r="AF749" s="271"/>
      <c r="AG749" s="278"/>
      <c r="AH749" s="277" t="str">
        <f>CONCATENATE(YEAR(TAB_Offres[[#This Row],[Request date ]]),"-",MONTH(TAB_Offres[[#This Row],[Request date ]]))</f>
        <v>1900-1</v>
      </c>
      <c r="AI749" s="274" t="e">
        <f>IF(#REF!,1,0)</f>
        <v>#REF!</v>
      </c>
      <c r="AJ749" s="4"/>
      <c r="AK749" s="4"/>
      <c r="AL749" s="4"/>
      <c r="AN749" s="150"/>
      <c r="AQ749" s="4"/>
    </row>
    <row r="750" spans="1:43" x14ac:dyDescent="0.25">
      <c r="A750" s="258">
        <f>ROW(TAB_Offres[[#This Row],[Reference]])-ROW(TAB_Offres[[#Headers],[ID]])</f>
        <v>749</v>
      </c>
      <c r="B750" s="258"/>
      <c r="C750" s="258"/>
      <c r="D750" s="258"/>
      <c r="E750" s="263"/>
      <c r="F750" s="258"/>
      <c r="G750" s="263"/>
      <c r="H750" s="262"/>
      <c r="I750" s="262"/>
      <c r="J750" s="262"/>
      <c r="K750" s="262"/>
      <c r="L750" s="262"/>
      <c r="M750" s="264"/>
      <c r="N750" s="262"/>
      <c r="O750" s="262"/>
      <c r="P750" s="262"/>
      <c r="Q750" s="263"/>
      <c r="R750" s="263"/>
      <c r="S750" s="292"/>
      <c r="T750" s="261"/>
      <c r="U750" s="261"/>
      <c r="V750" s="268"/>
      <c r="W750" s="268"/>
      <c r="X750" s="268"/>
      <c r="Y750" s="268"/>
      <c r="Z750" s="471">
        <f>SUMIF(TAB_CS[Reference],TAB_Offres[[#This Row],[Reference]],TAB_CS[Commited days])</f>
        <v>0</v>
      </c>
      <c r="AA750" s="269">
        <f>SUMIF(TAB_CS[Reference],TAB_Offres[[#This Row],[Reference]],TAB_CS[Commited amount])</f>
        <v>0</v>
      </c>
      <c r="AB750" s="275"/>
      <c r="AC750" s="270"/>
      <c r="AD750" s="270"/>
      <c r="AE750" s="264"/>
      <c r="AF750" s="271"/>
      <c r="AG750" s="278"/>
      <c r="AH750" s="277" t="str">
        <f>CONCATENATE(YEAR(TAB_Offres[[#This Row],[Request date ]]),"-",MONTH(TAB_Offres[[#This Row],[Request date ]]))</f>
        <v>1900-1</v>
      </c>
      <c r="AI750" s="274" t="e">
        <f>IF(#REF!,1,0)</f>
        <v>#REF!</v>
      </c>
      <c r="AJ750" s="4"/>
      <c r="AK750" s="4"/>
      <c r="AL750" s="4"/>
      <c r="AN750" s="150"/>
      <c r="AQ750" s="4"/>
    </row>
    <row r="751" spans="1:43" x14ac:dyDescent="0.25">
      <c r="A751" s="258">
        <f>ROW(TAB_Offres[[#This Row],[Reference]])-ROW(TAB_Offres[[#Headers],[ID]])</f>
        <v>750</v>
      </c>
      <c r="B751" s="258"/>
      <c r="C751" s="258"/>
      <c r="D751" s="258"/>
      <c r="E751" s="263"/>
      <c r="F751" s="258"/>
      <c r="G751" s="263"/>
      <c r="H751" s="262"/>
      <c r="I751" s="262"/>
      <c r="J751" s="262"/>
      <c r="K751" s="262"/>
      <c r="L751" s="262"/>
      <c r="M751" s="264"/>
      <c r="N751" s="262"/>
      <c r="O751" s="262"/>
      <c r="P751" s="262"/>
      <c r="Q751" s="263"/>
      <c r="R751" s="263"/>
      <c r="S751" s="292"/>
      <c r="T751" s="261"/>
      <c r="U751" s="261"/>
      <c r="V751" s="268"/>
      <c r="W751" s="268"/>
      <c r="X751" s="268"/>
      <c r="Y751" s="268"/>
      <c r="Z751" s="471">
        <f>SUMIF(TAB_CS[Reference],TAB_Offres[[#This Row],[Reference]],TAB_CS[Commited days])</f>
        <v>0</v>
      </c>
      <c r="AA751" s="269">
        <f>SUMIF(TAB_CS[Reference],TAB_Offres[[#This Row],[Reference]],TAB_CS[Commited amount])</f>
        <v>0</v>
      </c>
      <c r="AB751" s="275"/>
      <c r="AC751" s="270"/>
      <c r="AD751" s="270"/>
      <c r="AE751" s="264"/>
      <c r="AF751" s="271"/>
      <c r="AG751" s="278"/>
      <c r="AH751" s="277" t="str">
        <f>CONCATENATE(YEAR(TAB_Offres[[#This Row],[Request date ]]),"-",MONTH(TAB_Offres[[#This Row],[Request date ]]))</f>
        <v>1900-1</v>
      </c>
      <c r="AI751" s="274" t="e">
        <f>IF(#REF!,1,0)</f>
        <v>#REF!</v>
      </c>
      <c r="AJ751" s="4"/>
      <c r="AK751" s="4"/>
      <c r="AL751" s="4"/>
      <c r="AN751" s="150"/>
      <c r="AQ751" s="4"/>
    </row>
    <row r="752" spans="1:43" x14ac:dyDescent="0.25">
      <c r="A752" s="258">
        <f>ROW(TAB_Offres[[#This Row],[Reference]])-ROW(TAB_Offres[[#Headers],[ID]])</f>
        <v>751</v>
      </c>
      <c r="B752" s="258"/>
      <c r="C752" s="258"/>
      <c r="D752" s="258"/>
      <c r="E752" s="263"/>
      <c r="F752" s="258"/>
      <c r="G752" s="263"/>
      <c r="H752" s="262"/>
      <c r="I752" s="262"/>
      <c r="J752" s="262"/>
      <c r="K752" s="262"/>
      <c r="L752" s="262"/>
      <c r="M752" s="264"/>
      <c r="N752" s="262"/>
      <c r="O752" s="262"/>
      <c r="P752" s="262"/>
      <c r="Q752" s="263"/>
      <c r="R752" s="263"/>
      <c r="S752" s="292"/>
      <c r="T752" s="261"/>
      <c r="U752" s="261"/>
      <c r="V752" s="268"/>
      <c r="W752" s="268"/>
      <c r="X752" s="268"/>
      <c r="Y752" s="268"/>
      <c r="Z752" s="471">
        <f>SUMIF(TAB_CS[Reference],TAB_Offres[[#This Row],[Reference]],TAB_CS[Commited days])</f>
        <v>0</v>
      </c>
      <c r="AA752" s="269">
        <f>SUMIF(TAB_CS[Reference],TAB_Offres[[#This Row],[Reference]],TAB_CS[Commited amount])</f>
        <v>0</v>
      </c>
      <c r="AB752" s="275"/>
      <c r="AC752" s="270"/>
      <c r="AD752" s="270"/>
      <c r="AE752" s="264"/>
      <c r="AF752" s="271"/>
      <c r="AG752" s="278"/>
      <c r="AH752" s="277" t="str">
        <f>CONCATENATE(YEAR(TAB_Offres[[#This Row],[Request date ]]),"-",MONTH(TAB_Offres[[#This Row],[Request date ]]))</f>
        <v>1900-1</v>
      </c>
      <c r="AI752" s="274" t="e">
        <f>IF(#REF!,1,0)</f>
        <v>#REF!</v>
      </c>
      <c r="AJ752" s="4"/>
      <c r="AK752" s="4"/>
      <c r="AL752" s="4"/>
      <c r="AN752" s="150"/>
      <c r="AQ752" s="4"/>
    </row>
    <row r="753" spans="1:43" x14ac:dyDescent="0.25">
      <c r="A753" s="258">
        <f>ROW(TAB_Offres[[#This Row],[Reference]])-ROW(TAB_Offres[[#Headers],[ID]])</f>
        <v>752</v>
      </c>
      <c r="B753" s="258"/>
      <c r="C753" s="258"/>
      <c r="D753" s="258"/>
      <c r="E753" s="263"/>
      <c r="F753" s="258"/>
      <c r="G753" s="263"/>
      <c r="H753" s="262"/>
      <c r="I753" s="262"/>
      <c r="J753" s="262"/>
      <c r="K753" s="262"/>
      <c r="L753" s="262"/>
      <c r="M753" s="264"/>
      <c r="N753" s="262"/>
      <c r="O753" s="262"/>
      <c r="P753" s="262"/>
      <c r="Q753" s="263"/>
      <c r="R753" s="263"/>
      <c r="S753" s="292"/>
      <c r="T753" s="261"/>
      <c r="U753" s="261"/>
      <c r="V753" s="268"/>
      <c r="W753" s="268"/>
      <c r="X753" s="268"/>
      <c r="Y753" s="268"/>
      <c r="Z753" s="471">
        <f>SUMIF(TAB_CS[Reference],TAB_Offres[[#This Row],[Reference]],TAB_CS[Commited days])</f>
        <v>0</v>
      </c>
      <c r="AA753" s="269">
        <f>SUMIF(TAB_CS[Reference],TAB_Offres[[#This Row],[Reference]],TAB_CS[Commited amount])</f>
        <v>0</v>
      </c>
      <c r="AB753" s="275"/>
      <c r="AC753" s="270"/>
      <c r="AD753" s="270"/>
      <c r="AE753" s="264"/>
      <c r="AF753" s="271"/>
      <c r="AG753" s="278"/>
      <c r="AH753" s="277" t="str">
        <f>CONCATENATE(YEAR(TAB_Offres[[#This Row],[Request date ]]),"-",MONTH(TAB_Offres[[#This Row],[Request date ]]))</f>
        <v>1900-1</v>
      </c>
      <c r="AI753" s="274" t="e">
        <f>IF(#REF!,1,0)</f>
        <v>#REF!</v>
      </c>
      <c r="AJ753" s="4"/>
      <c r="AK753" s="4"/>
      <c r="AL753" s="4"/>
      <c r="AN753" s="150"/>
      <c r="AQ753" s="4"/>
    </row>
    <row r="754" spans="1:43" x14ac:dyDescent="0.25">
      <c r="A754" s="258">
        <f>ROW(TAB_Offres[[#This Row],[Reference]])-ROW(TAB_Offres[[#Headers],[ID]])</f>
        <v>753</v>
      </c>
      <c r="B754" s="258"/>
      <c r="C754" s="258"/>
      <c r="D754" s="258"/>
      <c r="E754" s="263"/>
      <c r="F754" s="258"/>
      <c r="G754" s="263"/>
      <c r="H754" s="262"/>
      <c r="I754" s="262"/>
      <c r="J754" s="262"/>
      <c r="K754" s="262"/>
      <c r="L754" s="262"/>
      <c r="M754" s="264"/>
      <c r="N754" s="262"/>
      <c r="O754" s="262"/>
      <c r="P754" s="262"/>
      <c r="Q754" s="263"/>
      <c r="R754" s="263"/>
      <c r="S754" s="292"/>
      <c r="T754" s="261"/>
      <c r="U754" s="261"/>
      <c r="V754" s="268"/>
      <c r="W754" s="268"/>
      <c r="X754" s="268"/>
      <c r="Y754" s="268"/>
      <c r="Z754" s="471">
        <f>SUMIF(TAB_CS[Reference],TAB_Offres[[#This Row],[Reference]],TAB_CS[Commited days])</f>
        <v>0</v>
      </c>
      <c r="AA754" s="269">
        <f>SUMIF(TAB_CS[Reference],TAB_Offres[[#This Row],[Reference]],TAB_CS[Commited amount])</f>
        <v>0</v>
      </c>
      <c r="AB754" s="275"/>
      <c r="AC754" s="270"/>
      <c r="AD754" s="270"/>
      <c r="AE754" s="264"/>
      <c r="AF754" s="271"/>
      <c r="AG754" s="278"/>
      <c r="AH754" s="277" t="str">
        <f>CONCATENATE(YEAR(TAB_Offres[[#This Row],[Request date ]]),"-",MONTH(TAB_Offres[[#This Row],[Request date ]]))</f>
        <v>1900-1</v>
      </c>
      <c r="AI754" s="274" t="e">
        <f>IF(#REF!,1,0)</f>
        <v>#REF!</v>
      </c>
      <c r="AJ754" s="4"/>
      <c r="AK754" s="4"/>
      <c r="AL754" s="4"/>
      <c r="AN754" s="150"/>
      <c r="AQ754" s="4"/>
    </row>
    <row r="755" spans="1:43" x14ac:dyDescent="0.25">
      <c r="A755" s="258">
        <f>ROW(TAB_Offres[[#This Row],[Reference]])-ROW(TAB_Offres[[#Headers],[ID]])</f>
        <v>754</v>
      </c>
      <c r="B755" s="258"/>
      <c r="C755" s="258"/>
      <c r="D755" s="258"/>
      <c r="E755" s="263"/>
      <c r="F755" s="258"/>
      <c r="G755" s="263"/>
      <c r="H755" s="262"/>
      <c r="I755" s="262"/>
      <c r="J755" s="262"/>
      <c r="K755" s="262"/>
      <c r="L755" s="262"/>
      <c r="M755" s="264"/>
      <c r="N755" s="262"/>
      <c r="O755" s="262"/>
      <c r="P755" s="262"/>
      <c r="Q755" s="263"/>
      <c r="R755" s="263"/>
      <c r="S755" s="292"/>
      <c r="T755" s="261"/>
      <c r="U755" s="261"/>
      <c r="V755" s="268"/>
      <c r="W755" s="268"/>
      <c r="X755" s="268"/>
      <c r="Y755" s="268"/>
      <c r="Z755" s="471">
        <f>SUMIF(TAB_CS[Reference],TAB_Offres[[#This Row],[Reference]],TAB_CS[Commited days])</f>
        <v>0</v>
      </c>
      <c r="AA755" s="269">
        <f>SUMIF(TAB_CS[Reference],TAB_Offres[[#This Row],[Reference]],TAB_CS[Commited amount])</f>
        <v>0</v>
      </c>
      <c r="AB755" s="275"/>
      <c r="AC755" s="270"/>
      <c r="AD755" s="270"/>
      <c r="AE755" s="264"/>
      <c r="AF755" s="271"/>
      <c r="AG755" s="278"/>
      <c r="AH755" s="277" t="str">
        <f>CONCATENATE(YEAR(TAB_Offres[[#This Row],[Request date ]]),"-",MONTH(TAB_Offres[[#This Row],[Request date ]]))</f>
        <v>1900-1</v>
      </c>
      <c r="AI755" s="274" t="e">
        <f>IF(#REF!,1,0)</f>
        <v>#REF!</v>
      </c>
      <c r="AJ755" s="4"/>
      <c r="AK755" s="4"/>
      <c r="AL755" s="4"/>
      <c r="AN755" s="150"/>
      <c r="AQ755" s="4"/>
    </row>
    <row r="756" spans="1:43" x14ac:dyDescent="0.25">
      <c r="A756" s="258">
        <f>ROW(TAB_Offres[[#This Row],[Reference]])-ROW(TAB_Offres[[#Headers],[ID]])</f>
        <v>755</v>
      </c>
      <c r="B756" s="258"/>
      <c r="C756" s="258"/>
      <c r="D756" s="258"/>
      <c r="E756" s="263"/>
      <c r="F756" s="258"/>
      <c r="G756" s="263"/>
      <c r="H756" s="262"/>
      <c r="I756" s="262"/>
      <c r="J756" s="262"/>
      <c r="K756" s="262"/>
      <c r="L756" s="262"/>
      <c r="M756" s="264"/>
      <c r="N756" s="262"/>
      <c r="O756" s="262"/>
      <c r="P756" s="262"/>
      <c r="Q756" s="263"/>
      <c r="R756" s="263"/>
      <c r="S756" s="292"/>
      <c r="T756" s="261"/>
      <c r="U756" s="261"/>
      <c r="V756" s="268"/>
      <c r="W756" s="268"/>
      <c r="X756" s="268"/>
      <c r="Y756" s="268"/>
      <c r="Z756" s="471">
        <f>SUMIF(TAB_CS[Reference],TAB_Offres[[#This Row],[Reference]],TAB_CS[Commited days])</f>
        <v>0</v>
      </c>
      <c r="AA756" s="269">
        <f>SUMIF(TAB_CS[Reference],TAB_Offres[[#This Row],[Reference]],TAB_CS[Commited amount])</f>
        <v>0</v>
      </c>
      <c r="AB756" s="275"/>
      <c r="AC756" s="270"/>
      <c r="AD756" s="270"/>
      <c r="AE756" s="264"/>
      <c r="AF756" s="271"/>
      <c r="AG756" s="278"/>
      <c r="AH756" s="277" t="str">
        <f>CONCATENATE(YEAR(TAB_Offres[[#This Row],[Request date ]]),"-",MONTH(TAB_Offres[[#This Row],[Request date ]]))</f>
        <v>1900-1</v>
      </c>
      <c r="AI756" s="274" t="e">
        <f>IF(#REF!,1,0)</f>
        <v>#REF!</v>
      </c>
      <c r="AJ756" s="4"/>
      <c r="AK756" s="4"/>
      <c r="AL756" s="4"/>
      <c r="AN756" s="150"/>
      <c r="AQ756" s="4"/>
    </row>
    <row r="757" spans="1:43" x14ac:dyDescent="0.25">
      <c r="A757" s="258">
        <f>ROW(TAB_Offres[[#This Row],[Reference]])-ROW(TAB_Offres[[#Headers],[ID]])</f>
        <v>756</v>
      </c>
      <c r="B757" s="258"/>
      <c r="C757" s="258"/>
      <c r="D757" s="258"/>
      <c r="E757" s="263"/>
      <c r="F757" s="258"/>
      <c r="G757" s="263"/>
      <c r="H757" s="262"/>
      <c r="I757" s="262"/>
      <c r="J757" s="262"/>
      <c r="K757" s="262"/>
      <c r="L757" s="262"/>
      <c r="M757" s="264"/>
      <c r="N757" s="262"/>
      <c r="O757" s="262"/>
      <c r="P757" s="262"/>
      <c r="Q757" s="263"/>
      <c r="R757" s="263"/>
      <c r="S757" s="292"/>
      <c r="T757" s="261"/>
      <c r="U757" s="261"/>
      <c r="V757" s="268"/>
      <c r="W757" s="268"/>
      <c r="X757" s="268"/>
      <c r="Y757" s="268"/>
      <c r="Z757" s="471">
        <f>SUMIF(TAB_CS[Reference],TAB_Offres[[#This Row],[Reference]],TAB_CS[Commited days])</f>
        <v>0</v>
      </c>
      <c r="AA757" s="269">
        <f>SUMIF(TAB_CS[Reference],TAB_Offres[[#This Row],[Reference]],TAB_CS[Commited amount])</f>
        <v>0</v>
      </c>
      <c r="AB757" s="275"/>
      <c r="AC757" s="270"/>
      <c r="AD757" s="270"/>
      <c r="AE757" s="264"/>
      <c r="AF757" s="271"/>
      <c r="AG757" s="278"/>
      <c r="AH757" s="277" t="str">
        <f>CONCATENATE(YEAR(TAB_Offres[[#This Row],[Request date ]]),"-",MONTH(TAB_Offres[[#This Row],[Request date ]]))</f>
        <v>1900-1</v>
      </c>
      <c r="AI757" s="274" t="e">
        <f>IF(#REF!,1,0)</f>
        <v>#REF!</v>
      </c>
      <c r="AJ757" s="4"/>
      <c r="AK757" s="4"/>
      <c r="AL757" s="4"/>
      <c r="AN757" s="150"/>
      <c r="AQ757" s="4"/>
    </row>
    <row r="758" spans="1:43" x14ac:dyDescent="0.25">
      <c r="A758" s="258">
        <f>ROW(TAB_Offres[[#This Row],[Reference]])-ROW(TAB_Offres[[#Headers],[ID]])</f>
        <v>757</v>
      </c>
      <c r="B758" s="258"/>
      <c r="C758" s="258"/>
      <c r="D758" s="258"/>
      <c r="E758" s="263"/>
      <c r="F758" s="258"/>
      <c r="G758" s="263"/>
      <c r="H758" s="262"/>
      <c r="I758" s="262"/>
      <c r="J758" s="262"/>
      <c r="K758" s="262"/>
      <c r="L758" s="262"/>
      <c r="M758" s="264"/>
      <c r="N758" s="262"/>
      <c r="O758" s="262"/>
      <c r="P758" s="262"/>
      <c r="Q758" s="263"/>
      <c r="R758" s="263"/>
      <c r="S758" s="292"/>
      <c r="T758" s="261"/>
      <c r="U758" s="261"/>
      <c r="V758" s="268"/>
      <c r="W758" s="268"/>
      <c r="X758" s="268"/>
      <c r="Y758" s="268"/>
      <c r="Z758" s="471">
        <f>SUMIF(TAB_CS[Reference],TAB_Offres[[#This Row],[Reference]],TAB_CS[Commited days])</f>
        <v>0</v>
      </c>
      <c r="AA758" s="269">
        <f>SUMIF(TAB_CS[Reference],TAB_Offres[[#This Row],[Reference]],TAB_CS[Commited amount])</f>
        <v>0</v>
      </c>
      <c r="AB758" s="275"/>
      <c r="AC758" s="270"/>
      <c r="AD758" s="270"/>
      <c r="AE758" s="264"/>
      <c r="AF758" s="271"/>
      <c r="AG758" s="278"/>
      <c r="AH758" s="277" t="str">
        <f>CONCATENATE(YEAR(TAB_Offres[[#This Row],[Request date ]]),"-",MONTH(TAB_Offres[[#This Row],[Request date ]]))</f>
        <v>1900-1</v>
      </c>
      <c r="AI758" s="274" t="e">
        <f>IF(#REF!,1,0)</f>
        <v>#REF!</v>
      </c>
      <c r="AJ758" s="4"/>
      <c r="AK758" s="4"/>
      <c r="AL758" s="4"/>
      <c r="AN758" s="150"/>
      <c r="AQ758" s="4"/>
    </row>
    <row r="759" spans="1:43" x14ac:dyDescent="0.25">
      <c r="A759" s="258">
        <f>ROW(TAB_Offres[[#This Row],[Reference]])-ROW(TAB_Offres[[#Headers],[ID]])</f>
        <v>758</v>
      </c>
      <c r="B759" s="258"/>
      <c r="C759" s="258"/>
      <c r="D759" s="258"/>
      <c r="E759" s="263"/>
      <c r="F759" s="258"/>
      <c r="G759" s="263"/>
      <c r="H759" s="262"/>
      <c r="I759" s="262"/>
      <c r="J759" s="262"/>
      <c r="K759" s="262"/>
      <c r="L759" s="262"/>
      <c r="M759" s="264"/>
      <c r="N759" s="262"/>
      <c r="O759" s="262"/>
      <c r="P759" s="262"/>
      <c r="Q759" s="263"/>
      <c r="R759" s="263"/>
      <c r="S759" s="292"/>
      <c r="T759" s="261"/>
      <c r="U759" s="261"/>
      <c r="V759" s="268"/>
      <c r="W759" s="268"/>
      <c r="X759" s="268"/>
      <c r="Y759" s="268"/>
      <c r="Z759" s="471">
        <f>SUMIF(TAB_CS[Reference],TAB_Offres[[#This Row],[Reference]],TAB_CS[Commited days])</f>
        <v>0</v>
      </c>
      <c r="AA759" s="269">
        <f>SUMIF(TAB_CS[Reference],TAB_Offres[[#This Row],[Reference]],TAB_CS[Commited amount])</f>
        <v>0</v>
      </c>
      <c r="AB759" s="275"/>
      <c r="AC759" s="270"/>
      <c r="AD759" s="270"/>
      <c r="AE759" s="264"/>
      <c r="AF759" s="271"/>
      <c r="AG759" s="278"/>
      <c r="AH759" s="277" t="str">
        <f>CONCATENATE(YEAR(TAB_Offres[[#This Row],[Request date ]]),"-",MONTH(TAB_Offres[[#This Row],[Request date ]]))</f>
        <v>1900-1</v>
      </c>
      <c r="AI759" s="274" t="e">
        <f>IF(#REF!,1,0)</f>
        <v>#REF!</v>
      </c>
      <c r="AJ759" s="4"/>
      <c r="AK759" s="4"/>
      <c r="AL759" s="4"/>
      <c r="AN759" s="150"/>
      <c r="AQ759" s="4"/>
    </row>
    <row r="760" spans="1:43" x14ac:dyDescent="0.25">
      <c r="A760" s="258">
        <f>ROW(TAB_Offres[[#This Row],[Reference]])-ROW(TAB_Offres[[#Headers],[ID]])</f>
        <v>759</v>
      </c>
      <c r="B760" s="258"/>
      <c r="C760" s="258"/>
      <c r="D760" s="258"/>
      <c r="E760" s="263"/>
      <c r="F760" s="258"/>
      <c r="G760" s="263"/>
      <c r="H760" s="262"/>
      <c r="I760" s="262"/>
      <c r="J760" s="262"/>
      <c r="K760" s="262"/>
      <c r="L760" s="262"/>
      <c r="M760" s="264"/>
      <c r="N760" s="262"/>
      <c r="O760" s="262"/>
      <c r="P760" s="262"/>
      <c r="Q760" s="263"/>
      <c r="R760" s="263"/>
      <c r="S760" s="292"/>
      <c r="T760" s="261"/>
      <c r="U760" s="261"/>
      <c r="V760" s="268"/>
      <c r="W760" s="268"/>
      <c r="X760" s="268"/>
      <c r="Y760" s="268"/>
      <c r="Z760" s="471">
        <f>SUMIF(TAB_CS[Reference],TAB_Offres[[#This Row],[Reference]],TAB_CS[Commited days])</f>
        <v>0</v>
      </c>
      <c r="AA760" s="269">
        <f>SUMIF(TAB_CS[Reference],TAB_Offres[[#This Row],[Reference]],TAB_CS[Commited amount])</f>
        <v>0</v>
      </c>
      <c r="AB760" s="275"/>
      <c r="AC760" s="270"/>
      <c r="AD760" s="270"/>
      <c r="AE760" s="264"/>
      <c r="AF760" s="271"/>
      <c r="AG760" s="278"/>
      <c r="AH760" s="277" t="str">
        <f>CONCATENATE(YEAR(TAB_Offres[[#This Row],[Request date ]]),"-",MONTH(TAB_Offres[[#This Row],[Request date ]]))</f>
        <v>1900-1</v>
      </c>
      <c r="AI760" s="274" t="e">
        <f>IF(#REF!,1,0)</f>
        <v>#REF!</v>
      </c>
      <c r="AJ760" s="4"/>
      <c r="AK760" s="4"/>
      <c r="AL760" s="4"/>
      <c r="AN760" s="150"/>
      <c r="AQ760" s="4"/>
    </row>
    <row r="761" spans="1:43" x14ac:dyDescent="0.25">
      <c r="A761" s="258">
        <f>ROW(TAB_Offres[[#This Row],[Reference]])-ROW(TAB_Offres[[#Headers],[ID]])</f>
        <v>760</v>
      </c>
      <c r="B761" s="258"/>
      <c r="C761" s="258"/>
      <c r="D761" s="258"/>
      <c r="E761" s="263"/>
      <c r="F761" s="258"/>
      <c r="G761" s="263"/>
      <c r="H761" s="262"/>
      <c r="I761" s="262"/>
      <c r="J761" s="262"/>
      <c r="K761" s="262"/>
      <c r="L761" s="262"/>
      <c r="M761" s="264"/>
      <c r="N761" s="262"/>
      <c r="O761" s="262"/>
      <c r="P761" s="262"/>
      <c r="Q761" s="263"/>
      <c r="R761" s="263"/>
      <c r="S761" s="292"/>
      <c r="T761" s="261"/>
      <c r="U761" s="261"/>
      <c r="V761" s="268"/>
      <c r="W761" s="268"/>
      <c r="X761" s="268"/>
      <c r="Y761" s="268"/>
      <c r="Z761" s="471">
        <f>SUMIF(TAB_CS[Reference],TAB_Offres[[#This Row],[Reference]],TAB_CS[Commited days])</f>
        <v>0</v>
      </c>
      <c r="AA761" s="269">
        <f>SUMIF(TAB_CS[Reference],TAB_Offres[[#This Row],[Reference]],TAB_CS[Commited amount])</f>
        <v>0</v>
      </c>
      <c r="AB761" s="275"/>
      <c r="AC761" s="270"/>
      <c r="AD761" s="270"/>
      <c r="AE761" s="264"/>
      <c r="AF761" s="271"/>
      <c r="AG761" s="278"/>
      <c r="AH761" s="277" t="str">
        <f>CONCATENATE(YEAR(TAB_Offres[[#This Row],[Request date ]]),"-",MONTH(TAB_Offres[[#This Row],[Request date ]]))</f>
        <v>1900-1</v>
      </c>
      <c r="AI761" s="274" t="e">
        <f>IF(#REF!,1,0)</f>
        <v>#REF!</v>
      </c>
      <c r="AJ761" s="4"/>
      <c r="AK761" s="4"/>
      <c r="AL761" s="4"/>
      <c r="AN761" s="150"/>
      <c r="AQ761" s="4"/>
    </row>
    <row r="762" spans="1:43" x14ac:dyDescent="0.25">
      <c r="A762" s="258">
        <f>ROW(TAB_Offres[[#This Row],[Reference]])-ROW(TAB_Offres[[#Headers],[ID]])</f>
        <v>761</v>
      </c>
      <c r="B762" s="258"/>
      <c r="C762" s="258"/>
      <c r="D762" s="258"/>
      <c r="E762" s="263"/>
      <c r="F762" s="258"/>
      <c r="G762" s="263"/>
      <c r="H762" s="262"/>
      <c r="I762" s="262"/>
      <c r="J762" s="262"/>
      <c r="K762" s="262"/>
      <c r="L762" s="262"/>
      <c r="M762" s="264"/>
      <c r="N762" s="262"/>
      <c r="O762" s="262"/>
      <c r="P762" s="262"/>
      <c r="Q762" s="263"/>
      <c r="R762" s="263"/>
      <c r="S762" s="292"/>
      <c r="T762" s="261"/>
      <c r="U762" s="261"/>
      <c r="V762" s="268"/>
      <c r="W762" s="268"/>
      <c r="X762" s="268"/>
      <c r="Y762" s="268"/>
      <c r="Z762" s="471">
        <f>SUMIF(TAB_CS[Reference],TAB_Offres[[#This Row],[Reference]],TAB_CS[Commited days])</f>
        <v>0</v>
      </c>
      <c r="AA762" s="269">
        <f>SUMIF(TAB_CS[Reference],TAB_Offres[[#This Row],[Reference]],TAB_CS[Commited amount])</f>
        <v>0</v>
      </c>
      <c r="AB762" s="275"/>
      <c r="AC762" s="270"/>
      <c r="AD762" s="270"/>
      <c r="AE762" s="264"/>
      <c r="AF762" s="271"/>
      <c r="AG762" s="278"/>
      <c r="AH762" s="277" t="str">
        <f>CONCATENATE(YEAR(TAB_Offres[[#This Row],[Request date ]]),"-",MONTH(TAB_Offres[[#This Row],[Request date ]]))</f>
        <v>1900-1</v>
      </c>
      <c r="AI762" s="274" t="e">
        <f>IF(#REF!,1,0)</f>
        <v>#REF!</v>
      </c>
      <c r="AJ762" s="4"/>
      <c r="AK762" s="4"/>
      <c r="AL762" s="4"/>
      <c r="AN762" s="150"/>
      <c r="AQ762" s="4"/>
    </row>
    <row r="763" spans="1:43" x14ac:dyDescent="0.25">
      <c r="A763" s="258">
        <f>ROW(TAB_Offres[[#This Row],[Reference]])-ROW(TAB_Offres[[#Headers],[ID]])</f>
        <v>762</v>
      </c>
      <c r="B763" s="258"/>
      <c r="C763" s="258"/>
      <c r="D763" s="258"/>
      <c r="E763" s="263"/>
      <c r="F763" s="258"/>
      <c r="G763" s="263"/>
      <c r="H763" s="262"/>
      <c r="I763" s="262"/>
      <c r="J763" s="262"/>
      <c r="K763" s="262"/>
      <c r="L763" s="262"/>
      <c r="M763" s="264"/>
      <c r="N763" s="262"/>
      <c r="O763" s="262"/>
      <c r="P763" s="262"/>
      <c r="Q763" s="263"/>
      <c r="R763" s="263"/>
      <c r="S763" s="292"/>
      <c r="T763" s="261"/>
      <c r="U763" s="261"/>
      <c r="V763" s="268"/>
      <c r="W763" s="268"/>
      <c r="X763" s="268"/>
      <c r="Y763" s="268"/>
      <c r="Z763" s="471">
        <f>SUMIF(TAB_CS[Reference],TAB_Offres[[#This Row],[Reference]],TAB_CS[Commited days])</f>
        <v>0</v>
      </c>
      <c r="AA763" s="269">
        <f>SUMIF(TAB_CS[Reference],TAB_Offres[[#This Row],[Reference]],TAB_CS[Commited amount])</f>
        <v>0</v>
      </c>
      <c r="AB763" s="275"/>
      <c r="AC763" s="270"/>
      <c r="AD763" s="270"/>
      <c r="AE763" s="264"/>
      <c r="AF763" s="271"/>
      <c r="AG763" s="278"/>
      <c r="AH763" s="277" t="str">
        <f>CONCATENATE(YEAR(TAB_Offres[[#This Row],[Request date ]]),"-",MONTH(TAB_Offres[[#This Row],[Request date ]]))</f>
        <v>1900-1</v>
      </c>
      <c r="AI763" s="274" t="e">
        <f>IF(#REF!,1,0)</f>
        <v>#REF!</v>
      </c>
      <c r="AJ763" s="4"/>
      <c r="AK763" s="4"/>
      <c r="AL763" s="4"/>
      <c r="AN763" s="150"/>
      <c r="AQ763" s="4"/>
    </row>
    <row r="764" spans="1:43" x14ac:dyDescent="0.25">
      <c r="A764" s="258">
        <f>ROW(TAB_Offres[[#This Row],[Reference]])-ROW(TAB_Offres[[#Headers],[ID]])</f>
        <v>763</v>
      </c>
      <c r="B764" s="258"/>
      <c r="C764" s="258"/>
      <c r="D764" s="258"/>
      <c r="E764" s="263"/>
      <c r="F764" s="258"/>
      <c r="G764" s="263"/>
      <c r="H764" s="262"/>
      <c r="I764" s="262"/>
      <c r="J764" s="262"/>
      <c r="K764" s="262"/>
      <c r="L764" s="262"/>
      <c r="M764" s="264"/>
      <c r="N764" s="262"/>
      <c r="O764" s="262"/>
      <c r="P764" s="262"/>
      <c r="Q764" s="263"/>
      <c r="R764" s="263"/>
      <c r="S764" s="292"/>
      <c r="T764" s="261"/>
      <c r="U764" s="261"/>
      <c r="V764" s="268"/>
      <c r="W764" s="268"/>
      <c r="X764" s="268"/>
      <c r="Y764" s="268"/>
      <c r="Z764" s="471">
        <f>SUMIF(TAB_CS[Reference],TAB_Offres[[#This Row],[Reference]],TAB_CS[Commited days])</f>
        <v>0</v>
      </c>
      <c r="AA764" s="269">
        <f>SUMIF(TAB_CS[Reference],TAB_Offres[[#This Row],[Reference]],TAB_CS[Commited amount])</f>
        <v>0</v>
      </c>
      <c r="AB764" s="275"/>
      <c r="AC764" s="270"/>
      <c r="AD764" s="270"/>
      <c r="AE764" s="264"/>
      <c r="AF764" s="271"/>
      <c r="AG764" s="278"/>
      <c r="AH764" s="277" t="str">
        <f>CONCATENATE(YEAR(TAB_Offres[[#This Row],[Request date ]]),"-",MONTH(TAB_Offres[[#This Row],[Request date ]]))</f>
        <v>1900-1</v>
      </c>
      <c r="AI764" s="274" t="e">
        <f>IF(#REF!,1,0)</f>
        <v>#REF!</v>
      </c>
      <c r="AJ764" s="4"/>
      <c r="AK764" s="4"/>
      <c r="AL764" s="4"/>
      <c r="AN764" s="150"/>
      <c r="AQ764" s="4"/>
    </row>
    <row r="765" spans="1:43" x14ac:dyDescent="0.25">
      <c r="A765" s="258">
        <f>ROW(TAB_Offres[[#This Row],[Reference]])-ROW(TAB_Offres[[#Headers],[ID]])</f>
        <v>764</v>
      </c>
      <c r="B765" s="258"/>
      <c r="C765" s="258"/>
      <c r="D765" s="258"/>
      <c r="E765" s="263"/>
      <c r="F765" s="258"/>
      <c r="G765" s="263"/>
      <c r="H765" s="262"/>
      <c r="I765" s="262"/>
      <c r="J765" s="262"/>
      <c r="K765" s="262"/>
      <c r="L765" s="262"/>
      <c r="M765" s="264"/>
      <c r="N765" s="262"/>
      <c r="O765" s="262"/>
      <c r="P765" s="262"/>
      <c r="Q765" s="263"/>
      <c r="R765" s="263"/>
      <c r="S765" s="292"/>
      <c r="T765" s="261"/>
      <c r="U765" s="261"/>
      <c r="V765" s="268"/>
      <c r="W765" s="268"/>
      <c r="X765" s="268"/>
      <c r="Y765" s="268"/>
      <c r="Z765" s="471">
        <f>SUMIF(TAB_CS[Reference],TAB_Offres[[#This Row],[Reference]],TAB_CS[Commited days])</f>
        <v>0</v>
      </c>
      <c r="AA765" s="269">
        <f>SUMIF(TAB_CS[Reference],TAB_Offres[[#This Row],[Reference]],TAB_CS[Commited amount])</f>
        <v>0</v>
      </c>
      <c r="AB765" s="275"/>
      <c r="AC765" s="270"/>
      <c r="AD765" s="270"/>
      <c r="AE765" s="264"/>
      <c r="AF765" s="271"/>
      <c r="AG765" s="278"/>
      <c r="AH765" s="277" t="str">
        <f>CONCATENATE(YEAR(TAB_Offres[[#This Row],[Request date ]]),"-",MONTH(TAB_Offres[[#This Row],[Request date ]]))</f>
        <v>1900-1</v>
      </c>
      <c r="AI765" s="274" t="e">
        <f>IF(#REF!,1,0)</f>
        <v>#REF!</v>
      </c>
      <c r="AJ765" s="4"/>
      <c r="AK765" s="4"/>
      <c r="AL765" s="4"/>
      <c r="AN765" s="150"/>
      <c r="AQ765" s="4"/>
    </row>
    <row r="766" spans="1:43" x14ac:dyDescent="0.25">
      <c r="A766" s="258">
        <f>ROW(TAB_Offres[[#This Row],[Reference]])-ROW(TAB_Offres[[#Headers],[ID]])</f>
        <v>765</v>
      </c>
      <c r="B766" s="258"/>
      <c r="C766" s="258"/>
      <c r="D766" s="258"/>
      <c r="E766" s="263"/>
      <c r="F766" s="258"/>
      <c r="G766" s="263"/>
      <c r="H766" s="262"/>
      <c r="I766" s="262"/>
      <c r="J766" s="262"/>
      <c r="K766" s="262"/>
      <c r="L766" s="262"/>
      <c r="M766" s="264"/>
      <c r="N766" s="262"/>
      <c r="O766" s="262"/>
      <c r="P766" s="262"/>
      <c r="Q766" s="263"/>
      <c r="R766" s="263"/>
      <c r="S766" s="292"/>
      <c r="T766" s="261"/>
      <c r="U766" s="261"/>
      <c r="V766" s="268"/>
      <c r="W766" s="268"/>
      <c r="X766" s="268"/>
      <c r="Y766" s="268"/>
      <c r="Z766" s="471">
        <f>SUMIF(TAB_CS[Reference],TAB_Offres[[#This Row],[Reference]],TAB_CS[Commited days])</f>
        <v>0</v>
      </c>
      <c r="AA766" s="269">
        <f>SUMIF(TAB_CS[Reference],TAB_Offres[[#This Row],[Reference]],TAB_CS[Commited amount])</f>
        <v>0</v>
      </c>
      <c r="AB766" s="275"/>
      <c r="AC766" s="270"/>
      <c r="AD766" s="270"/>
      <c r="AE766" s="264"/>
      <c r="AF766" s="271"/>
      <c r="AG766" s="278"/>
      <c r="AH766" s="277" t="str">
        <f>CONCATENATE(YEAR(TAB_Offres[[#This Row],[Request date ]]),"-",MONTH(TAB_Offres[[#This Row],[Request date ]]))</f>
        <v>1900-1</v>
      </c>
      <c r="AI766" s="274" t="e">
        <f>IF(#REF!,1,0)</f>
        <v>#REF!</v>
      </c>
      <c r="AJ766" s="4"/>
      <c r="AK766" s="4"/>
      <c r="AL766" s="4"/>
      <c r="AN766" s="150"/>
      <c r="AQ766" s="4"/>
    </row>
    <row r="767" spans="1:43" x14ac:dyDescent="0.25">
      <c r="A767" s="258">
        <f>ROW(TAB_Offres[[#This Row],[Reference]])-ROW(TAB_Offres[[#Headers],[ID]])</f>
        <v>766</v>
      </c>
      <c r="B767" s="258"/>
      <c r="C767" s="258"/>
      <c r="D767" s="258"/>
      <c r="E767" s="263"/>
      <c r="F767" s="258"/>
      <c r="G767" s="263"/>
      <c r="H767" s="262"/>
      <c r="I767" s="262"/>
      <c r="J767" s="262"/>
      <c r="K767" s="262"/>
      <c r="L767" s="262"/>
      <c r="M767" s="264"/>
      <c r="N767" s="262"/>
      <c r="O767" s="262"/>
      <c r="P767" s="262"/>
      <c r="Q767" s="263"/>
      <c r="R767" s="263"/>
      <c r="S767" s="292"/>
      <c r="T767" s="261"/>
      <c r="U767" s="261"/>
      <c r="V767" s="268"/>
      <c r="W767" s="268"/>
      <c r="X767" s="268"/>
      <c r="Y767" s="268"/>
      <c r="Z767" s="471">
        <f>SUMIF(TAB_CS[Reference],TAB_Offres[[#This Row],[Reference]],TAB_CS[Commited days])</f>
        <v>0</v>
      </c>
      <c r="AA767" s="269">
        <f>SUMIF(TAB_CS[Reference],TAB_Offres[[#This Row],[Reference]],TAB_CS[Commited amount])</f>
        <v>0</v>
      </c>
      <c r="AB767" s="275"/>
      <c r="AC767" s="270"/>
      <c r="AD767" s="270"/>
      <c r="AE767" s="264"/>
      <c r="AF767" s="271"/>
      <c r="AG767" s="278"/>
      <c r="AH767" s="277" t="str">
        <f>CONCATENATE(YEAR(TAB_Offres[[#This Row],[Request date ]]),"-",MONTH(TAB_Offres[[#This Row],[Request date ]]))</f>
        <v>1900-1</v>
      </c>
      <c r="AI767" s="274" t="e">
        <f>IF(#REF!,1,0)</f>
        <v>#REF!</v>
      </c>
      <c r="AJ767" s="4"/>
      <c r="AK767" s="4"/>
      <c r="AL767" s="4"/>
      <c r="AN767" s="150"/>
      <c r="AQ767" s="4"/>
    </row>
    <row r="768" spans="1:43" x14ac:dyDescent="0.25">
      <c r="A768" s="258">
        <f>ROW(TAB_Offres[[#This Row],[Reference]])-ROW(TAB_Offres[[#Headers],[ID]])</f>
        <v>767</v>
      </c>
      <c r="B768" s="258"/>
      <c r="C768" s="258"/>
      <c r="D768" s="258"/>
      <c r="E768" s="263"/>
      <c r="F768" s="258"/>
      <c r="G768" s="263"/>
      <c r="H768" s="262"/>
      <c r="I768" s="262"/>
      <c r="J768" s="262"/>
      <c r="K768" s="262"/>
      <c r="L768" s="262"/>
      <c r="M768" s="264"/>
      <c r="N768" s="262"/>
      <c r="O768" s="262"/>
      <c r="P768" s="262"/>
      <c r="Q768" s="263"/>
      <c r="R768" s="263"/>
      <c r="S768" s="292"/>
      <c r="T768" s="261"/>
      <c r="U768" s="261"/>
      <c r="V768" s="268"/>
      <c r="W768" s="268"/>
      <c r="X768" s="268"/>
      <c r="Y768" s="268"/>
      <c r="Z768" s="471">
        <f>SUMIF(TAB_CS[Reference],TAB_Offres[[#This Row],[Reference]],TAB_CS[Commited days])</f>
        <v>0</v>
      </c>
      <c r="AA768" s="269">
        <f>SUMIF(TAB_CS[Reference],TAB_Offres[[#This Row],[Reference]],TAB_CS[Commited amount])</f>
        <v>0</v>
      </c>
      <c r="AB768" s="275"/>
      <c r="AC768" s="270"/>
      <c r="AD768" s="270"/>
      <c r="AE768" s="264"/>
      <c r="AF768" s="271"/>
      <c r="AG768" s="278"/>
      <c r="AH768" s="277" t="str">
        <f>CONCATENATE(YEAR(TAB_Offres[[#This Row],[Request date ]]),"-",MONTH(TAB_Offres[[#This Row],[Request date ]]))</f>
        <v>1900-1</v>
      </c>
      <c r="AI768" s="274" t="e">
        <f>IF(#REF!,1,0)</f>
        <v>#REF!</v>
      </c>
      <c r="AJ768" s="4"/>
      <c r="AK768" s="4"/>
      <c r="AL768" s="4"/>
      <c r="AN768" s="150"/>
      <c r="AQ768" s="4"/>
    </row>
    <row r="769" spans="1:43" x14ac:dyDescent="0.25">
      <c r="A769" s="258">
        <f>ROW(TAB_Offres[[#This Row],[Reference]])-ROW(TAB_Offres[[#Headers],[ID]])</f>
        <v>768</v>
      </c>
      <c r="B769" s="258"/>
      <c r="C769" s="258"/>
      <c r="D769" s="258"/>
      <c r="E769" s="263"/>
      <c r="F769" s="258"/>
      <c r="G769" s="263"/>
      <c r="H769" s="262"/>
      <c r="I769" s="262"/>
      <c r="J769" s="262"/>
      <c r="K769" s="262"/>
      <c r="L769" s="262"/>
      <c r="M769" s="264"/>
      <c r="N769" s="262"/>
      <c r="O769" s="262"/>
      <c r="P769" s="262"/>
      <c r="Q769" s="263"/>
      <c r="R769" s="263"/>
      <c r="S769" s="292"/>
      <c r="T769" s="261"/>
      <c r="U769" s="261"/>
      <c r="V769" s="268"/>
      <c r="W769" s="268"/>
      <c r="X769" s="268"/>
      <c r="Y769" s="268"/>
      <c r="Z769" s="471">
        <f>SUMIF(TAB_CS[Reference],TAB_Offres[[#This Row],[Reference]],TAB_CS[Commited days])</f>
        <v>0</v>
      </c>
      <c r="AA769" s="269">
        <f>SUMIF(TAB_CS[Reference],TAB_Offres[[#This Row],[Reference]],TAB_CS[Commited amount])</f>
        <v>0</v>
      </c>
      <c r="AB769" s="275"/>
      <c r="AC769" s="270"/>
      <c r="AD769" s="270"/>
      <c r="AE769" s="264"/>
      <c r="AF769" s="271"/>
      <c r="AG769" s="278"/>
      <c r="AH769" s="277" t="str">
        <f>CONCATENATE(YEAR(TAB_Offres[[#This Row],[Request date ]]),"-",MONTH(TAB_Offres[[#This Row],[Request date ]]))</f>
        <v>1900-1</v>
      </c>
      <c r="AI769" s="274" t="e">
        <f>IF(#REF!,1,0)</f>
        <v>#REF!</v>
      </c>
      <c r="AJ769" s="4"/>
      <c r="AK769" s="4"/>
      <c r="AL769" s="4"/>
      <c r="AN769" s="150"/>
      <c r="AQ769" s="4"/>
    </row>
    <row r="770" spans="1:43" x14ac:dyDescent="0.25">
      <c r="A770" s="258">
        <f>ROW(TAB_Offres[[#This Row],[Reference]])-ROW(TAB_Offres[[#Headers],[ID]])</f>
        <v>769</v>
      </c>
      <c r="B770" s="258"/>
      <c r="C770" s="258"/>
      <c r="D770" s="258"/>
      <c r="E770" s="263"/>
      <c r="F770" s="258"/>
      <c r="G770" s="263"/>
      <c r="H770" s="262"/>
      <c r="I770" s="262"/>
      <c r="J770" s="262"/>
      <c r="K770" s="262"/>
      <c r="L770" s="262"/>
      <c r="M770" s="264"/>
      <c r="N770" s="262"/>
      <c r="O770" s="262"/>
      <c r="P770" s="262"/>
      <c r="Q770" s="263"/>
      <c r="R770" s="263"/>
      <c r="S770" s="292"/>
      <c r="T770" s="261"/>
      <c r="U770" s="261"/>
      <c r="V770" s="268"/>
      <c r="W770" s="268"/>
      <c r="X770" s="268"/>
      <c r="Y770" s="268"/>
      <c r="Z770" s="471">
        <f>SUMIF(TAB_CS[Reference],TAB_Offres[[#This Row],[Reference]],TAB_CS[Commited days])</f>
        <v>0</v>
      </c>
      <c r="AA770" s="269">
        <f>SUMIF(TAB_CS[Reference],TAB_Offres[[#This Row],[Reference]],TAB_CS[Commited amount])</f>
        <v>0</v>
      </c>
      <c r="AB770" s="275"/>
      <c r="AC770" s="270"/>
      <c r="AD770" s="270"/>
      <c r="AE770" s="264"/>
      <c r="AF770" s="271"/>
      <c r="AG770" s="278"/>
      <c r="AH770" s="277" t="str">
        <f>CONCATENATE(YEAR(TAB_Offres[[#This Row],[Request date ]]),"-",MONTH(TAB_Offres[[#This Row],[Request date ]]))</f>
        <v>1900-1</v>
      </c>
      <c r="AI770" s="274" t="e">
        <f>IF(#REF!,1,0)</f>
        <v>#REF!</v>
      </c>
      <c r="AJ770" s="4"/>
      <c r="AK770" s="4"/>
      <c r="AL770" s="4"/>
      <c r="AN770" s="150"/>
      <c r="AQ770" s="4"/>
    </row>
    <row r="771" spans="1:43" x14ac:dyDescent="0.25">
      <c r="A771" s="258">
        <f>ROW(TAB_Offres[[#This Row],[Reference]])-ROW(TAB_Offres[[#Headers],[ID]])</f>
        <v>770</v>
      </c>
      <c r="B771" s="258"/>
      <c r="C771" s="258"/>
      <c r="D771" s="258"/>
      <c r="E771" s="263"/>
      <c r="F771" s="258"/>
      <c r="G771" s="263"/>
      <c r="H771" s="262"/>
      <c r="I771" s="262"/>
      <c r="J771" s="262"/>
      <c r="K771" s="262"/>
      <c r="L771" s="262"/>
      <c r="M771" s="264"/>
      <c r="N771" s="262"/>
      <c r="O771" s="262"/>
      <c r="P771" s="262"/>
      <c r="Q771" s="263"/>
      <c r="R771" s="263"/>
      <c r="S771" s="292"/>
      <c r="T771" s="261"/>
      <c r="U771" s="261"/>
      <c r="V771" s="268"/>
      <c r="W771" s="268"/>
      <c r="X771" s="268"/>
      <c r="Y771" s="268"/>
      <c r="Z771" s="471">
        <f>SUMIF(TAB_CS[Reference],TAB_Offres[[#This Row],[Reference]],TAB_CS[Commited days])</f>
        <v>0</v>
      </c>
      <c r="AA771" s="269">
        <f>SUMIF(TAB_CS[Reference],TAB_Offres[[#This Row],[Reference]],TAB_CS[Commited amount])</f>
        <v>0</v>
      </c>
      <c r="AB771" s="275"/>
      <c r="AC771" s="270"/>
      <c r="AD771" s="270"/>
      <c r="AE771" s="264"/>
      <c r="AF771" s="271"/>
      <c r="AG771" s="278"/>
      <c r="AH771" s="277" t="str">
        <f>CONCATENATE(YEAR(TAB_Offres[[#This Row],[Request date ]]),"-",MONTH(TAB_Offres[[#This Row],[Request date ]]))</f>
        <v>1900-1</v>
      </c>
      <c r="AI771" s="274" t="e">
        <f>IF(#REF!,1,0)</f>
        <v>#REF!</v>
      </c>
      <c r="AJ771" s="4"/>
      <c r="AK771" s="4"/>
      <c r="AL771" s="4"/>
      <c r="AN771" s="150"/>
      <c r="AQ771" s="4"/>
    </row>
    <row r="772" spans="1:43" x14ac:dyDescent="0.25">
      <c r="A772" s="258">
        <f>ROW(TAB_Offres[[#This Row],[Reference]])-ROW(TAB_Offres[[#Headers],[ID]])</f>
        <v>771</v>
      </c>
      <c r="B772" s="258"/>
      <c r="C772" s="258"/>
      <c r="D772" s="258"/>
      <c r="E772" s="263"/>
      <c r="F772" s="258"/>
      <c r="G772" s="263"/>
      <c r="H772" s="262"/>
      <c r="I772" s="262"/>
      <c r="J772" s="262"/>
      <c r="K772" s="262"/>
      <c r="L772" s="262"/>
      <c r="M772" s="264"/>
      <c r="N772" s="262"/>
      <c r="O772" s="262"/>
      <c r="P772" s="262"/>
      <c r="Q772" s="263"/>
      <c r="R772" s="263"/>
      <c r="S772" s="292"/>
      <c r="T772" s="261"/>
      <c r="U772" s="261"/>
      <c r="V772" s="268"/>
      <c r="W772" s="268"/>
      <c r="X772" s="268"/>
      <c r="Y772" s="268"/>
      <c r="Z772" s="471">
        <f>SUMIF(TAB_CS[Reference],TAB_Offres[[#This Row],[Reference]],TAB_CS[Commited days])</f>
        <v>0</v>
      </c>
      <c r="AA772" s="269">
        <f>SUMIF(TAB_CS[Reference],TAB_Offres[[#This Row],[Reference]],TAB_CS[Commited amount])</f>
        <v>0</v>
      </c>
      <c r="AB772" s="275"/>
      <c r="AC772" s="270"/>
      <c r="AD772" s="270"/>
      <c r="AE772" s="264"/>
      <c r="AF772" s="271"/>
      <c r="AG772" s="278"/>
      <c r="AH772" s="277" t="str">
        <f>CONCATENATE(YEAR(TAB_Offres[[#This Row],[Request date ]]),"-",MONTH(TAB_Offres[[#This Row],[Request date ]]))</f>
        <v>1900-1</v>
      </c>
      <c r="AI772" s="274" t="e">
        <f>IF(#REF!,1,0)</f>
        <v>#REF!</v>
      </c>
      <c r="AJ772" s="4"/>
      <c r="AK772" s="4"/>
      <c r="AL772" s="4"/>
      <c r="AN772" s="150"/>
      <c r="AQ772" s="4"/>
    </row>
    <row r="773" spans="1:43" x14ac:dyDescent="0.25">
      <c r="A773" s="258">
        <f>ROW(TAB_Offres[[#This Row],[Reference]])-ROW(TAB_Offres[[#Headers],[ID]])</f>
        <v>772</v>
      </c>
      <c r="B773" s="258"/>
      <c r="C773" s="258"/>
      <c r="D773" s="258"/>
      <c r="E773" s="263"/>
      <c r="F773" s="258"/>
      <c r="G773" s="263"/>
      <c r="H773" s="262"/>
      <c r="I773" s="262"/>
      <c r="J773" s="262"/>
      <c r="K773" s="262"/>
      <c r="L773" s="262"/>
      <c r="M773" s="264"/>
      <c r="N773" s="262"/>
      <c r="O773" s="262"/>
      <c r="P773" s="262"/>
      <c r="Q773" s="263"/>
      <c r="R773" s="263"/>
      <c r="S773" s="292"/>
      <c r="T773" s="261"/>
      <c r="U773" s="261"/>
      <c r="V773" s="268"/>
      <c r="W773" s="268"/>
      <c r="X773" s="268"/>
      <c r="Y773" s="268"/>
      <c r="Z773" s="471">
        <f>SUMIF(TAB_CS[Reference],TAB_Offres[[#This Row],[Reference]],TAB_CS[Commited days])</f>
        <v>0</v>
      </c>
      <c r="AA773" s="269">
        <f>SUMIF(TAB_CS[Reference],TAB_Offres[[#This Row],[Reference]],TAB_CS[Commited amount])</f>
        <v>0</v>
      </c>
      <c r="AB773" s="275"/>
      <c r="AC773" s="270"/>
      <c r="AD773" s="270"/>
      <c r="AE773" s="264"/>
      <c r="AF773" s="271"/>
      <c r="AG773" s="278"/>
      <c r="AH773" s="277" t="str">
        <f>CONCATENATE(YEAR(TAB_Offres[[#This Row],[Request date ]]),"-",MONTH(TAB_Offres[[#This Row],[Request date ]]))</f>
        <v>1900-1</v>
      </c>
      <c r="AI773" s="274" t="e">
        <f>IF(#REF!,1,0)</f>
        <v>#REF!</v>
      </c>
      <c r="AJ773" s="4"/>
      <c r="AK773" s="4"/>
      <c r="AL773" s="4"/>
      <c r="AN773" s="150"/>
      <c r="AQ773" s="4"/>
    </row>
    <row r="774" spans="1:43" x14ac:dyDescent="0.25">
      <c r="A774" s="258">
        <f>ROW(TAB_Offres[[#This Row],[Reference]])-ROW(TAB_Offres[[#Headers],[ID]])</f>
        <v>773</v>
      </c>
      <c r="B774" s="258"/>
      <c r="C774" s="258"/>
      <c r="D774" s="258"/>
      <c r="E774" s="263"/>
      <c r="F774" s="258"/>
      <c r="G774" s="263"/>
      <c r="H774" s="262"/>
      <c r="I774" s="262"/>
      <c r="J774" s="262"/>
      <c r="K774" s="262"/>
      <c r="L774" s="262"/>
      <c r="M774" s="264"/>
      <c r="N774" s="262"/>
      <c r="O774" s="262"/>
      <c r="P774" s="262"/>
      <c r="Q774" s="263"/>
      <c r="R774" s="263"/>
      <c r="S774" s="292"/>
      <c r="T774" s="261"/>
      <c r="U774" s="261"/>
      <c r="V774" s="268"/>
      <c r="W774" s="268"/>
      <c r="X774" s="268"/>
      <c r="Y774" s="268"/>
      <c r="Z774" s="471">
        <f>SUMIF(TAB_CS[Reference],TAB_Offres[[#This Row],[Reference]],TAB_CS[Commited days])</f>
        <v>0</v>
      </c>
      <c r="AA774" s="269">
        <f>SUMIF(TAB_CS[Reference],TAB_Offres[[#This Row],[Reference]],TAB_CS[Commited amount])</f>
        <v>0</v>
      </c>
      <c r="AB774" s="275"/>
      <c r="AC774" s="270"/>
      <c r="AD774" s="270"/>
      <c r="AE774" s="264"/>
      <c r="AF774" s="271"/>
      <c r="AG774" s="278"/>
      <c r="AH774" s="277" t="str">
        <f>CONCATENATE(YEAR(TAB_Offres[[#This Row],[Request date ]]),"-",MONTH(TAB_Offres[[#This Row],[Request date ]]))</f>
        <v>1900-1</v>
      </c>
      <c r="AI774" s="274" t="e">
        <f>IF(#REF!,1,0)</f>
        <v>#REF!</v>
      </c>
      <c r="AJ774" s="4"/>
      <c r="AK774" s="4"/>
      <c r="AL774" s="4"/>
      <c r="AN774" s="150"/>
      <c r="AQ774" s="4"/>
    </row>
    <row r="775" spans="1:43" x14ac:dyDescent="0.25">
      <c r="A775" s="258">
        <f>ROW(TAB_Offres[[#This Row],[Reference]])-ROW(TAB_Offres[[#Headers],[ID]])</f>
        <v>774</v>
      </c>
      <c r="B775" s="258"/>
      <c r="C775" s="258"/>
      <c r="D775" s="258"/>
      <c r="E775" s="263"/>
      <c r="F775" s="258"/>
      <c r="G775" s="263"/>
      <c r="H775" s="262"/>
      <c r="I775" s="262"/>
      <c r="J775" s="262"/>
      <c r="K775" s="262"/>
      <c r="L775" s="262"/>
      <c r="M775" s="264"/>
      <c r="N775" s="262"/>
      <c r="O775" s="262"/>
      <c r="P775" s="262"/>
      <c r="Q775" s="263"/>
      <c r="R775" s="263"/>
      <c r="S775" s="292"/>
      <c r="T775" s="261"/>
      <c r="U775" s="261"/>
      <c r="V775" s="268"/>
      <c r="W775" s="268"/>
      <c r="X775" s="268"/>
      <c r="Y775" s="268"/>
      <c r="Z775" s="471">
        <f>SUMIF(TAB_CS[Reference],TAB_Offres[[#This Row],[Reference]],TAB_CS[Commited days])</f>
        <v>0</v>
      </c>
      <c r="AA775" s="269">
        <f>SUMIF(TAB_CS[Reference],TAB_Offres[[#This Row],[Reference]],TAB_CS[Commited amount])</f>
        <v>0</v>
      </c>
      <c r="AB775" s="275"/>
      <c r="AC775" s="270"/>
      <c r="AD775" s="270"/>
      <c r="AE775" s="264"/>
      <c r="AF775" s="271"/>
      <c r="AG775" s="278"/>
      <c r="AH775" s="277" t="str">
        <f>CONCATENATE(YEAR(TAB_Offres[[#This Row],[Request date ]]),"-",MONTH(TAB_Offres[[#This Row],[Request date ]]))</f>
        <v>1900-1</v>
      </c>
      <c r="AI775" s="274" t="e">
        <f>IF(#REF!,1,0)</f>
        <v>#REF!</v>
      </c>
      <c r="AJ775" s="4"/>
      <c r="AK775" s="4"/>
      <c r="AL775" s="4"/>
      <c r="AN775" s="150"/>
      <c r="AQ775" s="4"/>
    </row>
    <row r="776" spans="1:43" x14ac:dyDescent="0.25">
      <c r="A776" s="258">
        <f>ROW(TAB_Offres[[#This Row],[Reference]])-ROW(TAB_Offres[[#Headers],[ID]])</f>
        <v>775</v>
      </c>
      <c r="B776" s="258"/>
      <c r="C776" s="258"/>
      <c r="D776" s="258"/>
      <c r="E776" s="263"/>
      <c r="F776" s="258"/>
      <c r="G776" s="263"/>
      <c r="H776" s="262"/>
      <c r="I776" s="262"/>
      <c r="J776" s="262"/>
      <c r="K776" s="262"/>
      <c r="L776" s="262"/>
      <c r="M776" s="264"/>
      <c r="N776" s="262"/>
      <c r="O776" s="262"/>
      <c r="P776" s="262"/>
      <c r="Q776" s="263"/>
      <c r="R776" s="263"/>
      <c r="S776" s="292"/>
      <c r="T776" s="261"/>
      <c r="U776" s="261"/>
      <c r="V776" s="268"/>
      <c r="W776" s="268"/>
      <c r="X776" s="268"/>
      <c r="Y776" s="268"/>
      <c r="Z776" s="471">
        <f>SUMIF(TAB_CS[Reference],TAB_Offres[[#This Row],[Reference]],TAB_CS[Commited days])</f>
        <v>0</v>
      </c>
      <c r="AA776" s="269">
        <f>SUMIF(TAB_CS[Reference],TAB_Offres[[#This Row],[Reference]],TAB_CS[Commited amount])</f>
        <v>0</v>
      </c>
      <c r="AB776" s="275"/>
      <c r="AC776" s="270"/>
      <c r="AD776" s="270"/>
      <c r="AE776" s="264"/>
      <c r="AF776" s="271"/>
      <c r="AG776" s="278"/>
      <c r="AH776" s="277" t="str">
        <f>CONCATENATE(YEAR(TAB_Offres[[#This Row],[Request date ]]),"-",MONTH(TAB_Offres[[#This Row],[Request date ]]))</f>
        <v>1900-1</v>
      </c>
      <c r="AI776" s="274" t="e">
        <f>IF(#REF!,1,0)</f>
        <v>#REF!</v>
      </c>
      <c r="AJ776" s="4"/>
      <c r="AK776" s="4"/>
      <c r="AL776" s="4"/>
      <c r="AN776" s="150"/>
      <c r="AQ776" s="4"/>
    </row>
    <row r="777" spans="1:43" x14ac:dyDescent="0.25">
      <c r="A777" s="258">
        <f>ROW(TAB_Offres[[#This Row],[Reference]])-ROW(TAB_Offres[[#Headers],[ID]])</f>
        <v>776</v>
      </c>
      <c r="B777" s="258"/>
      <c r="C777" s="258"/>
      <c r="D777" s="258"/>
      <c r="E777" s="263"/>
      <c r="F777" s="258"/>
      <c r="G777" s="263"/>
      <c r="H777" s="262"/>
      <c r="I777" s="262"/>
      <c r="J777" s="262"/>
      <c r="K777" s="262"/>
      <c r="L777" s="262"/>
      <c r="M777" s="264"/>
      <c r="N777" s="262"/>
      <c r="O777" s="262"/>
      <c r="P777" s="262"/>
      <c r="Q777" s="263"/>
      <c r="R777" s="263"/>
      <c r="S777" s="292"/>
      <c r="T777" s="261"/>
      <c r="U777" s="261"/>
      <c r="V777" s="268"/>
      <c r="W777" s="268"/>
      <c r="X777" s="268"/>
      <c r="Y777" s="268"/>
      <c r="Z777" s="471">
        <f>SUMIF(TAB_CS[Reference],TAB_Offres[[#This Row],[Reference]],TAB_CS[Commited days])</f>
        <v>0</v>
      </c>
      <c r="AA777" s="269">
        <f>SUMIF(TAB_CS[Reference],TAB_Offres[[#This Row],[Reference]],TAB_CS[Commited amount])</f>
        <v>0</v>
      </c>
      <c r="AB777" s="275"/>
      <c r="AC777" s="270"/>
      <c r="AD777" s="270"/>
      <c r="AE777" s="264"/>
      <c r="AF777" s="271"/>
      <c r="AG777" s="278"/>
      <c r="AH777" s="277" t="str">
        <f>CONCATENATE(YEAR(TAB_Offres[[#This Row],[Request date ]]),"-",MONTH(TAB_Offres[[#This Row],[Request date ]]))</f>
        <v>1900-1</v>
      </c>
      <c r="AI777" s="274" t="e">
        <f>IF(#REF!,1,0)</f>
        <v>#REF!</v>
      </c>
      <c r="AJ777" s="4"/>
      <c r="AK777" s="4"/>
      <c r="AL777" s="4"/>
      <c r="AN777" s="150"/>
      <c r="AQ777" s="4"/>
    </row>
    <row r="778" spans="1:43" x14ac:dyDescent="0.25">
      <c r="A778" s="258">
        <f>ROW(TAB_Offres[[#This Row],[Reference]])-ROW(TAB_Offres[[#Headers],[ID]])</f>
        <v>777</v>
      </c>
      <c r="B778" s="258"/>
      <c r="C778" s="258"/>
      <c r="D778" s="258"/>
      <c r="E778" s="263"/>
      <c r="F778" s="258"/>
      <c r="G778" s="263"/>
      <c r="H778" s="262"/>
      <c r="I778" s="262"/>
      <c r="J778" s="262"/>
      <c r="K778" s="262"/>
      <c r="L778" s="262"/>
      <c r="M778" s="264"/>
      <c r="N778" s="262"/>
      <c r="O778" s="262"/>
      <c r="P778" s="262"/>
      <c r="Q778" s="263"/>
      <c r="R778" s="263"/>
      <c r="S778" s="292"/>
      <c r="T778" s="261"/>
      <c r="U778" s="261"/>
      <c r="V778" s="268"/>
      <c r="W778" s="268"/>
      <c r="X778" s="268"/>
      <c r="Y778" s="268"/>
      <c r="Z778" s="471">
        <f>SUMIF(TAB_CS[Reference],TAB_Offres[[#This Row],[Reference]],TAB_CS[Commited days])</f>
        <v>0</v>
      </c>
      <c r="AA778" s="269">
        <f>SUMIF(TAB_CS[Reference],TAB_Offres[[#This Row],[Reference]],TAB_CS[Commited amount])</f>
        <v>0</v>
      </c>
      <c r="AB778" s="275"/>
      <c r="AC778" s="270"/>
      <c r="AD778" s="270"/>
      <c r="AE778" s="264"/>
      <c r="AF778" s="271"/>
      <c r="AG778" s="278"/>
      <c r="AH778" s="277" t="str">
        <f>CONCATENATE(YEAR(TAB_Offres[[#This Row],[Request date ]]),"-",MONTH(TAB_Offres[[#This Row],[Request date ]]))</f>
        <v>1900-1</v>
      </c>
      <c r="AI778" s="274" t="e">
        <f>IF(#REF!,1,0)</f>
        <v>#REF!</v>
      </c>
      <c r="AJ778" s="4"/>
      <c r="AK778" s="4"/>
      <c r="AL778" s="4"/>
      <c r="AN778" s="150"/>
      <c r="AQ778" s="4"/>
    </row>
    <row r="779" spans="1:43" x14ac:dyDescent="0.25">
      <c r="A779" s="258">
        <f>ROW(TAB_Offres[[#This Row],[Reference]])-ROW(TAB_Offres[[#Headers],[ID]])</f>
        <v>778</v>
      </c>
      <c r="B779" s="258"/>
      <c r="C779" s="258"/>
      <c r="D779" s="258"/>
      <c r="E779" s="263"/>
      <c r="F779" s="258"/>
      <c r="G779" s="263"/>
      <c r="H779" s="262"/>
      <c r="I779" s="262"/>
      <c r="J779" s="262"/>
      <c r="K779" s="262"/>
      <c r="L779" s="262"/>
      <c r="M779" s="264"/>
      <c r="N779" s="262"/>
      <c r="O779" s="262"/>
      <c r="P779" s="262"/>
      <c r="Q779" s="263"/>
      <c r="R779" s="263"/>
      <c r="S779" s="292"/>
      <c r="T779" s="261"/>
      <c r="U779" s="261"/>
      <c r="V779" s="268"/>
      <c r="W779" s="268"/>
      <c r="X779" s="268"/>
      <c r="Y779" s="268"/>
      <c r="Z779" s="471">
        <f>SUMIF(TAB_CS[Reference],TAB_Offres[[#This Row],[Reference]],TAB_CS[Commited days])</f>
        <v>0</v>
      </c>
      <c r="AA779" s="269">
        <f>SUMIF(TAB_CS[Reference],TAB_Offres[[#This Row],[Reference]],TAB_CS[Commited amount])</f>
        <v>0</v>
      </c>
      <c r="AB779" s="275"/>
      <c r="AC779" s="270"/>
      <c r="AD779" s="270"/>
      <c r="AE779" s="264"/>
      <c r="AF779" s="271"/>
      <c r="AG779" s="278"/>
      <c r="AH779" s="277" t="str">
        <f>CONCATENATE(YEAR(TAB_Offres[[#This Row],[Request date ]]),"-",MONTH(TAB_Offres[[#This Row],[Request date ]]))</f>
        <v>1900-1</v>
      </c>
      <c r="AI779" s="274" t="e">
        <f>IF(#REF!,1,0)</f>
        <v>#REF!</v>
      </c>
      <c r="AJ779" s="4"/>
      <c r="AK779" s="4"/>
      <c r="AL779" s="4"/>
      <c r="AN779" s="150"/>
      <c r="AQ779" s="4"/>
    </row>
    <row r="780" spans="1:43" x14ac:dyDescent="0.25">
      <c r="A780" s="258">
        <f>ROW(TAB_Offres[[#This Row],[Reference]])-ROW(TAB_Offres[[#Headers],[ID]])</f>
        <v>779</v>
      </c>
      <c r="B780" s="258"/>
      <c r="C780" s="258"/>
      <c r="D780" s="258"/>
      <c r="E780" s="263"/>
      <c r="F780" s="258"/>
      <c r="G780" s="263"/>
      <c r="H780" s="262"/>
      <c r="I780" s="262"/>
      <c r="J780" s="262"/>
      <c r="K780" s="262"/>
      <c r="L780" s="262"/>
      <c r="M780" s="264"/>
      <c r="N780" s="262"/>
      <c r="O780" s="262"/>
      <c r="P780" s="262"/>
      <c r="Q780" s="263"/>
      <c r="R780" s="263"/>
      <c r="S780" s="292"/>
      <c r="T780" s="261"/>
      <c r="U780" s="261"/>
      <c r="V780" s="268"/>
      <c r="W780" s="268"/>
      <c r="X780" s="268"/>
      <c r="Y780" s="268"/>
      <c r="Z780" s="471">
        <f>SUMIF(TAB_CS[Reference],TAB_Offres[[#This Row],[Reference]],TAB_CS[Commited days])</f>
        <v>0</v>
      </c>
      <c r="AA780" s="269">
        <f>SUMIF(TAB_CS[Reference],TAB_Offres[[#This Row],[Reference]],TAB_CS[Commited amount])</f>
        <v>0</v>
      </c>
      <c r="AB780" s="275"/>
      <c r="AC780" s="270"/>
      <c r="AD780" s="270"/>
      <c r="AE780" s="264"/>
      <c r="AF780" s="271"/>
      <c r="AG780" s="278"/>
      <c r="AH780" s="277" t="str">
        <f>CONCATENATE(YEAR(TAB_Offres[[#This Row],[Request date ]]),"-",MONTH(TAB_Offres[[#This Row],[Request date ]]))</f>
        <v>1900-1</v>
      </c>
      <c r="AI780" s="274" t="e">
        <f>IF(#REF!,1,0)</f>
        <v>#REF!</v>
      </c>
      <c r="AJ780" s="4"/>
      <c r="AK780" s="4"/>
      <c r="AL780" s="4"/>
      <c r="AN780" s="150"/>
      <c r="AQ780" s="4"/>
    </row>
    <row r="781" spans="1:43" x14ac:dyDescent="0.25">
      <c r="A781" s="258">
        <f>ROW(TAB_Offres[[#This Row],[Reference]])-ROW(TAB_Offres[[#Headers],[ID]])</f>
        <v>780</v>
      </c>
      <c r="B781" s="258"/>
      <c r="C781" s="258"/>
      <c r="D781" s="258"/>
      <c r="E781" s="263"/>
      <c r="F781" s="258"/>
      <c r="G781" s="263"/>
      <c r="H781" s="262"/>
      <c r="I781" s="262"/>
      <c r="J781" s="262"/>
      <c r="K781" s="262"/>
      <c r="L781" s="262"/>
      <c r="M781" s="264"/>
      <c r="N781" s="262"/>
      <c r="O781" s="262"/>
      <c r="P781" s="262"/>
      <c r="Q781" s="263"/>
      <c r="R781" s="263"/>
      <c r="S781" s="292"/>
      <c r="T781" s="261"/>
      <c r="U781" s="261"/>
      <c r="V781" s="268"/>
      <c r="W781" s="268"/>
      <c r="X781" s="268"/>
      <c r="Y781" s="268"/>
      <c r="Z781" s="471">
        <f>SUMIF(TAB_CS[Reference],TAB_Offres[[#This Row],[Reference]],TAB_CS[Commited days])</f>
        <v>0</v>
      </c>
      <c r="AA781" s="269">
        <f>SUMIF(TAB_CS[Reference],TAB_Offres[[#This Row],[Reference]],TAB_CS[Commited amount])</f>
        <v>0</v>
      </c>
      <c r="AB781" s="275"/>
      <c r="AC781" s="270"/>
      <c r="AD781" s="270"/>
      <c r="AE781" s="264"/>
      <c r="AF781" s="271"/>
      <c r="AG781" s="278"/>
      <c r="AH781" s="277" t="str">
        <f>CONCATENATE(YEAR(TAB_Offres[[#This Row],[Request date ]]),"-",MONTH(TAB_Offres[[#This Row],[Request date ]]))</f>
        <v>1900-1</v>
      </c>
      <c r="AI781" s="274" t="e">
        <f>IF(#REF!,1,0)</f>
        <v>#REF!</v>
      </c>
      <c r="AJ781" s="4"/>
      <c r="AK781" s="4"/>
      <c r="AL781" s="4"/>
      <c r="AN781" s="150"/>
      <c r="AQ781" s="4"/>
    </row>
    <row r="782" spans="1:43" x14ac:dyDescent="0.25">
      <c r="A782" s="258">
        <f>ROW(TAB_Offres[[#This Row],[Reference]])-ROW(TAB_Offres[[#Headers],[ID]])</f>
        <v>781</v>
      </c>
      <c r="B782" s="258"/>
      <c r="C782" s="258"/>
      <c r="D782" s="258"/>
      <c r="E782" s="263"/>
      <c r="F782" s="258"/>
      <c r="G782" s="263"/>
      <c r="H782" s="262"/>
      <c r="I782" s="262"/>
      <c r="J782" s="262"/>
      <c r="K782" s="262"/>
      <c r="L782" s="262"/>
      <c r="M782" s="264"/>
      <c r="N782" s="262"/>
      <c r="O782" s="262"/>
      <c r="P782" s="262"/>
      <c r="Q782" s="263"/>
      <c r="R782" s="263"/>
      <c r="S782" s="292"/>
      <c r="T782" s="261"/>
      <c r="U782" s="261"/>
      <c r="V782" s="268"/>
      <c r="W782" s="268"/>
      <c r="X782" s="268"/>
      <c r="Y782" s="268"/>
      <c r="Z782" s="471">
        <f>SUMIF(TAB_CS[Reference],TAB_Offres[[#This Row],[Reference]],TAB_CS[Commited days])</f>
        <v>0</v>
      </c>
      <c r="AA782" s="269">
        <f>SUMIF(TAB_CS[Reference],TAB_Offres[[#This Row],[Reference]],TAB_CS[Commited amount])</f>
        <v>0</v>
      </c>
      <c r="AB782" s="275"/>
      <c r="AC782" s="270"/>
      <c r="AD782" s="270"/>
      <c r="AE782" s="264"/>
      <c r="AF782" s="271"/>
      <c r="AG782" s="278"/>
      <c r="AH782" s="277" t="str">
        <f>CONCATENATE(YEAR(TAB_Offres[[#This Row],[Request date ]]),"-",MONTH(TAB_Offres[[#This Row],[Request date ]]))</f>
        <v>1900-1</v>
      </c>
      <c r="AI782" s="274" t="e">
        <f>IF(#REF!,1,0)</f>
        <v>#REF!</v>
      </c>
      <c r="AJ782" s="4"/>
      <c r="AK782" s="4"/>
      <c r="AL782" s="4"/>
      <c r="AN782" s="150"/>
      <c r="AQ782" s="4"/>
    </row>
    <row r="783" spans="1:43" x14ac:dyDescent="0.25">
      <c r="A783" s="258">
        <f>ROW(TAB_Offres[[#This Row],[Reference]])-ROW(TAB_Offres[[#Headers],[ID]])</f>
        <v>782</v>
      </c>
      <c r="B783" s="258"/>
      <c r="C783" s="258"/>
      <c r="D783" s="258"/>
      <c r="E783" s="263"/>
      <c r="F783" s="258"/>
      <c r="G783" s="263"/>
      <c r="H783" s="262"/>
      <c r="I783" s="262"/>
      <c r="J783" s="262"/>
      <c r="K783" s="262"/>
      <c r="L783" s="262"/>
      <c r="M783" s="264"/>
      <c r="N783" s="262"/>
      <c r="O783" s="262"/>
      <c r="P783" s="262"/>
      <c r="Q783" s="263"/>
      <c r="R783" s="263"/>
      <c r="S783" s="292"/>
      <c r="T783" s="261"/>
      <c r="U783" s="261"/>
      <c r="V783" s="268"/>
      <c r="W783" s="268"/>
      <c r="X783" s="268"/>
      <c r="Y783" s="268"/>
      <c r="Z783" s="471">
        <f>SUMIF(TAB_CS[Reference],TAB_Offres[[#This Row],[Reference]],TAB_CS[Commited days])</f>
        <v>0</v>
      </c>
      <c r="AA783" s="269">
        <f>SUMIF(TAB_CS[Reference],TAB_Offres[[#This Row],[Reference]],TAB_CS[Commited amount])</f>
        <v>0</v>
      </c>
      <c r="AB783" s="275"/>
      <c r="AC783" s="270"/>
      <c r="AD783" s="270"/>
      <c r="AE783" s="264"/>
      <c r="AF783" s="271"/>
      <c r="AG783" s="278"/>
      <c r="AH783" s="277" t="str">
        <f>CONCATENATE(YEAR(TAB_Offres[[#This Row],[Request date ]]),"-",MONTH(TAB_Offres[[#This Row],[Request date ]]))</f>
        <v>1900-1</v>
      </c>
      <c r="AI783" s="274" t="e">
        <f>IF(#REF!,1,0)</f>
        <v>#REF!</v>
      </c>
      <c r="AJ783" s="4"/>
      <c r="AK783" s="4"/>
      <c r="AL783" s="4"/>
      <c r="AN783" s="150"/>
      <c r="AQ783" s="4"/>
    </row>
    <row r="784" spans="1:43" x14ac:dyDescent="0.25">
      <c r="A784" s="258">
        <f>ROW(TAB_Offres[[#This Row],[Reference]])-ROW(TAB_Offres[[#Headers],[ID]])</f>
        <v>783</v>
      </c>
      <c r="B784" s="258"/>
      <c r="C784" s="258"/>
      <c r="D784" s="258"/>
      <c r="E784" s="263"/>
      <c r="F784" s="258"/>
      <c r="G784" s="263"/>
      <c r="H784" s="262"/>
      <c r="I784" s="262"/>
      <c r="J784" s="262"/>
      <c r="K784" s="262"/>
      <c r="L784" s="262"/>
      <c r="M784" s="264"/>
      <c r="N784" s="262"/>
      <c r="O784" s="262"/>
      <c r="P784" s="262"/>
      <c r="Q784" s="263"/>
      <c r="R784" s="263"/>
      <c r="S784" s="292"/>
      <c r="T784" s="261"/>
      <c r="U784" s="261"/>
      <c r="V784" s="268"/>
      <c r="W784" s="268"/>
      <c r="X784" s="268"/>
      <c r="Y784" s="268"/>
      <c r="Z784" s="471">
        <f>SUMIF(TAB_CS[Reference],TAB_Offres[[#This Row],[Reference]],TAB_CS[Commited days])</f>
        <v>0</v>
      </c>
      <c r="AA784" s="269">
        <f>SUMIF(TAB_CS[Reference],TAB_Offres[[#This Row],[Reference]],TAB_CS[Commited amount])</f>
        <v>0</v>
      </c>
      <c r="AB784" s="275"/>
      <c r="AC784" s="270"/>
      <c r="AD784" s="270"/>
      <c r="AE784" s="264"/>
      <c r="AF784" s="271"/>
      <c r="AG784" s="278"/>
      <c r="AH784" s="277" t="str">
        <f>CONCATENATE(YEAR(TAB_Offres[[#This Row],[Request date ]]),"-",MONTH(TAB_Offres[[#This Row],[Request date ]]))</f>
        <v>1900-1</v>
      </c>
      <c r="AI784" s="274" t="e">
        <f>IF(#REF!,1,0)</f>
        <v>#REF!</v>
      </c>
      <c r="AJ784" s="4"/>
      <c r="AK784" s="4"/>
      <c r="AL784" s="4"/>
      <c r="AN784" s="150"/>
      <c r="AQ784" s="4"/>
    </row>
    <row r="785" spans="1:43" x14ac:dyDescent="0.25">
      <c r="A785" s="258">
        <f>ROW(TAB_Offres[[#This Row],[Reference]])-ROW(TAB_Offres[[#Headers],[ID]])</f>
        <v>784</v>
      </c>
      <c r="B785" s="258"/>
      <c r="C785" s="258"/>
      <c r="D785" s="258"/>
      <c r="E785" s="263"/>
      <c r="F785" s="258"/>
      <c r="G785" s="263"/>
      <c r="H785" s="262"/>
      <c r="I785" s="262"/>
      <c r="J785" s="262"/>
      <c r="K785" s="262"/>
      <c r="L785" s="262"/>
      <c r="M785" s="264"/>
      <c r="N785" s="262"/>
      <c r="O785" s="262"/>
      <c r="P785" s="262"/>
      <c r="Q785" s="263"/>
      <c r="R785" s="263"/>
      <c r="S785" s="292"/>
      <c r="T785" s="261"/>
      <c r="U785" s="261"/>
      <c r="V785" s="268"/>
      <c r="W785" s="268"/>
      <c r="X785" s="268"/>
      <c r="Y785" s="268"/>
      <c r="Z785" s="471">
        <f>SUMIF(TAB_CS[Reference],TAB_Offres[[#This Row],[Reference]],TAB_CS[Commited days])</f>
        <v>0</v>
      </c>
      <c r="AA785" s="269">
        <f>SUMIF(TAB_CS[Reference],TAB_Offres[[#This Row],[Reference]],TAB_CS[Commited amount])</f>
        <v>0</v>
      </c>
      <c r="AB785" s="275"/>
      <c r="AC785" s="270"/>
      <c r="AD785" s="270"/>
      <c r="AE785" s="264"/>
      <c r="AF785" s="271"/>
      <c r="AG785" s="278"/>
      <c r="AH785" s="277" t="str">
        <f>CONCATENATE(YEAR(TAB_Offres[[#This Row],[Request date ]]),"-",MONTH(TAB_Offres[[#This Row],[Request date ]]))</f>
        <v>1900-1</v>
      </c>
      <c r="AI785" s="274" t="e">
        <f>IF(#REF!,1,0)</f>
        <v>#REF!</v>
      </c>
      <c r="AJ785" s="4"/>
      <c r="AK785" s="4"/>
      <c r="AL785" s="4"/>
      <c r="AN785" s="150"/>
      <c r="AQ785" s="4"/>
    </row>
    <row r="786" spans="1:43" x14ac:dyDescent="0.25">
      <c r="A786" s="258">
        <f>ROW(TAB_Offres[[#This Row],[Reference]])-ROW(TAB_Offres[[#Headers],[ID]])</f>
        <v>785</v>
      </c>
      <c r="B786" s="258"/>
      <c r="C786" s="258"/>
      <c r="D786" s="258"/>
      <c r="E786" s="263"/>
      <c r="F786" s="258"/>
      <c r="G786" s="263"/>
      <c r="H786" s="262"/>
      <c r="I786" s="262"/>
      <c r="J786" s="262"/>
      <c r="K786" s="262"/>
      <c r="L786" s="262"/>
      <c r="M786" s="264"/>
      <c r="N786" s="262"/>
      <c r="O786" s="262"/>
      <c r="P786" s="262"/>
      <c r="Q786" s="263"/>
      <c r="R786" s="263"/>
      <c r="S786" s="292"/>
      <c r="T786" s="261"/>
      <c r="U786" s="261"/>
      <c r="V786" s="268"/>
      <c r="W786" s="268"/>
      <c r="X786" s="268"/>
      <c r="Y786" s="268"/>
      <c r="Z786" s="471">
        <f>SUMIF(TAB_CS[Reference],TAB_Offres[[#This Row],[Reference]],TAB_CS[Commited days])</f>
        <v>0</v>
      </c>
      <c r="AA786" s="269">
        <f>SUMIF(TAB_CS[Reference],TAB_Offres[[#This Row],[Reference]],TAB_CS[Commited amount])</f>
        <v>0</v>
      </c>
      <c r="AB786" s="275"/>
      <c r="AC786" s="270"/>
      <c r="AD786" s="270"/>
      <c r="AE786" s="264"/>
      <c r="AF786" s="271"/>
      <c r="AG786" s="278"/>
      <c r="AH786" s="277" t="str">
        <f>CONCATENATE(YEAR(TAB_Offres[[#This Row],[Request date ]]),"-",MONTH(TAB_Offres[[#This Row],[Request date ]]))</f>
        <v>1900-1</v>
      </c>
      <c r="AI786" s="274" t="e">
        <f>IF(#REF!,1,0)</f>
        <v>#REF!</v>
      </c>
      <c r="AJ786" s="4"/>
      <c r="AK786" s="4"/>
      <c r="AL786" s="4"/>
      <c r="AN786" s="150"/>
      <c r="AQ786" s="4"/>
    </row>
    <row r="787" spans="1:43" x14ac:dyDescent="0.25">
      <c r="A787" s="258">
        <f>ROW(TAB_Offres[[#This Row],[Reference]])-ROW(TAB_Offres[[#Headers],[ID]])</f>
        <v>786</v>
      </c>
      <c r="B787" s="258"/>
      <c r="C787" s="258"/>
      <c r="D787" s="258"/>
      <c r="E787" s="263"/>
      <c r="F787" s="258"/>
      <c r="G787" s="263"/>
      <c r="H787" s="262"/>
      <c r="I787" s="262"/>
      <c r="J787" s="262"/>
      <c r="K787" s="262"/>
      <c r="L787" s="262"/>
      <c r="M787" s="264"/>
      <c r="N787" s="262"/>
      <c r="O787" s="262"/>
      <c r="P787" s="262"/>
      <c r="Q787" s="263"/>
      <c r="R787" s="263"/>
      <c r="S787" s="292"/>
      <c r="T787" s="261"/>
      <c r="U787" s="261"/>
      <c r="V787" s="268"/>
      <c r="W787" s="268"/>
      <c r="X787" s="268"/>
      <c r="Y787" s="268"/>
      <c r="Z787" s="471">
        <f>SUMIF(TAB_CS[Reference],TAB_Offres[[#This Row],[Reference]],TAB_CS[Commited days])</f>
        <v>0</v>
      </c>
      <c r="AA787" s="269">
        <f>SUMIF(TAB_CS[Reference],TAB_Offres[[#This Row],[Reference]],TAB_CS[Commited amount])</f>
        <v>0</v>
      </c>
      <c r="AB787" s="275"/>
      <c r="AC787" s="270"/>
      <c r="AD787" s="270"/>
      <c r="AE787" s="264"/>
      <c r="AF787" s="271"/>
      <c r="AG787" s="278"/>
      <c r="AH787" s="277" t="str">
        <f>CONCATENATE(YEAR(TAB_Offres[[#This Row],[Request date ]]),"-",MONTH(TAB_Offres[[#This Row],[Request date ]]))</f>
        <v>1900-1</v>
      </c>
      <c r="AI787" s="274" t="e">
        <f>IF(#REF!,1,0)</f>
        <v>#REF!</v>
      </c>
      <c r="AJ787" s="4"/>
      <c r="AK787" s="4"/>
      <c r="AL787" s="4"/>
      <c r="AN787" s="150"/>
      <c r="AQ787" s="4"/>
    </row>
    <row r="788" spans="1:43" x14ac:dyDescent="0.25">
      <c r="A788" s="258">
        <f>ROW(TAB_Offres[[#This Row],[Reference]])-ROW(TAB_Offres[[#Headers],[ID]])</f>
        <v>787</v>
      </c>
      <c r="B788" s="258"/>
      <c r="C788" s="258"/>
      <c r="D788" s="258"/>
      <c r="E788" s="263"/>
      <c r="F788" s="258"/>
      <c r="G788" s="263"/>
      <c r="H788" s="262"/>
      <c r="I788" s="262"/>
      <c r="J788" s="262"/>
      <c r="K788" s="262"/>
      <c r="L788" s="262"/>
      <c r="M788" s="264"/>
      <c r="N788" s="262"/>
      <c r="O788" s="262"/>
      <c r="P788" s="262"/>
      <c r="Q788" s="263"/>
      <c r="R788" s="263"/>
      <c r="S788" s="292"/>
      <c r="T788" s="261"/>
      <c r="U788" s="261"/>
      <c r="V788" s="268"/>
      <c r="W788" s="268"/>
      <c r="X788" s="268"/>
      <c r="Y788" s="268"/>
      <c r="Z788" s="471">
        <f>SUMIF(TAB_CS[Reference],TAB_Offres[[#This Row],[Reference]],TAB_CS[Commited days])</f>
        <v>0</v>
      </c>
      <c r="AA788" s="269">
        <f>SUMIF(TAB_CS[Reference],TAB_Offres[[#This Row],[Reference]],TAB_CS[Commited amount])</f>
        <v>0</v>
      </c>
      <c r="AB788" s="275"/>
      <c r="AC788" s="270"/>
      <c r="AD788" s="270"/>
      <c r="AE788" s="264"/>
      <c r="AF788" s="271"/>
      <c r="AG788" s="278"/>
      <c r="AH788" s="277" t="str">
        <f>CONCATENATE(YEAR(TAB_Offres[[#This Row],[Request date ]]),"-",MONTH(TAB_Offres[[#This Row],[Request date ]]))</f>
        <v>1900-1</v>
      </c>
      <c r="AI788" s="274" t="e">
        <f>IF(#REF!,1,0)</f>
        <v>#REF!</v>
      </c>
      <c r="AJ788" s="4"/>
      <c r="AK788" s="4"/>
      <c r="AL788" s="4"/>
      <c r="AN788" s="150"/>
      <c r="AQ788" s="4"/>
    </row>
    <row r="789" spans="1:43" x14ac:dyDescent="0.25">
      <c r="A789" s="258">
        <f>ROW(TAB_Offres[[#This Row],[Reference]])-ROW(TAB_Offres[[#Headers],[ID]])</f>
        <v>788</v>
      </c>
      <c r="B789" s="258"/>
      <c r="C789" s="258"/>
      <c r="D789" s="258"/>
      <c r="E789" s="263"/>
      <c r="F789" s="258"/>
      <c r="G789" s="263"/>
      <c r="H789" s="262"/>
      <c r="I789" s="262"/>
      <c r="J789" s="262"/>
      <c r="K789" s="262"/>
      <c r="L789" s="262"/>
      <c r="M789" s="264"/>
      <c r="N789" s="262"/>
      <c r="O789" s="262"/>
      <c r="P789" s="262"/>
      <c r="Q789" s="263"/>
      <c r="R789" s="263"/>
      <c r="S789" s="292"/>
      <c r="T789" s="261"/>
      <c r="U789" s="261"/>
      <c r="V789" s="268"/>
      <c r="W789" s="268"/>
      <c r="X789" s="268"/>
      <c r="Y789" s="268"/>
      <c r="Z789" s="471">
        <f>SUMIF(TAB_CS[Reference],TAB_Offres[[#This Row],[Reference]],TAB_CS[Commited days])</f>
        <v>0</v>
      </c>
      <c r="AA789" s="269">
        <f>SUMIF(TAB_CS[Reference],TAB_Offres[[#This Row],[Reference]],TAB_CS[Commited amount])</f>
        <v>0</v>
      </c>
      <c r="AB789" s="275"/>
      <c r="AC789" s="270"/>
      <c r="AD789" s="270"/>
      <c r="AE789" s="264"/>
      <c r="AF789" s="271"/>
      <c r="AG789" s="278"/>
      <c r="AH789" s="277" t="str">
        <f>CONCATENATE(YEAR(TAB_Offres[[#This Row],[Request date ]]),"-",MONTH(TAB_Offres[[#This Row],[Request date ]]))</f>
        <v>1900-1</v>
      </c>
      <c r="AI789" s="274" t="e">
        <f>IF(#REF!,1,0)</f>
        <v>#REF!</v>
      </c>
      <c r="AJ789" s="4"/>
      <c r="AK789" s="4"/>
      <c r="AL789" s="4"/>
      <c r="AN789" s="150"/>
      <c r="AQ789" s="4"/>
    </row>
    <row r="790" spans="1:43" x14ac:dyDescent="0.25">
      <c r="A790" s="258">
        <f>ROW(TAB_Offres[[#This Row],[Reference]])-ROW(TAB_Offres[[#Headers],[ID]])</f>
        <v>789</v>
      </c>
      <c r="B790" s="258"/>
      <c r="C790" s="258"/>
      <c r="D790" s="258"/>
      <c r="E790" s="263"/>
      <c r="F790" s="258"/>
      <c r="G790" s="263"/>
      <c r="H790" s="262"/>
      <c r="I790" s="262"/>
      <c r="J790" s="262"/>
      <c r="K790" s="262"/>
      <c r="L790" s="262"/>
      <c r="M790" s="264"/>
      <c r="N790" s="262"/>
      <c r="O790" s="262"/>
      <c r="P790" s="262"/>
      <c r="Q790" s="263"/>
      <c r="R790" s="263"/>
      <c r="S790" s="292"/>
      <c r="T790" s="261"/>
      <c r="U790" s="261"/>
      <c r="V790" s="268"/>
      <c r="W790" s="268"/>
      <c r="X790" s="268"/>
      <c r="Y790" s="268"/>
      <c r="Z790" s="471">
        <f>SUMIF(TAB_CS[Reference],TAB_Offres[[#This Row],[Reference]],TAB_CS[Commited days])</f>
        <v>0</v>
      </c>
      <c r="AA790" s="269">
        <f>SUMIF(TAB_CS[Reference],TAB_Offres[[#This Row],[Reference]],TAB_CS[Commited amount])</f>
        <v>0</v>
      </c>
      <c r="AB790" s="275"/>
      <c r="AC790" s="270"/>
      <c r="AD790" s="270"/>
      <c r="AE790" s="264"/>
      <c r="AF790" s="271"/>
      <c r="AG790" s="278"/>
      <c r="AH790" s="277" t="str">
        <f>CONCATENATE(YEAR(TAB_Offres[[#This Row],[Request date ]]),"-",MONTH(TAB_Offres[[#This Row],[Request date ]]))</f>
        <v>1900-1</v>
      </c>
      <c r="AI790" s="274" t="e">
        <f>IF(#REF!,1,0)</f>
        <v>#REF!</v>
      </c>
      <c r="AJ790" s="4"/>
      <c r="AK790" s="4"/>
      <c r="AL790" s="4"/>
      <c r="AN790" s="150"/>
      <c r="AQ790" s="4"/>
    </row>
    <row r="791" spans="1:43" x14ac:dyDescent="0.25">
      <c r="A791" s="258">
        <f>ROW(TAB_Offres[[#This Row],[Reference]])-ROW(TAB_Offres[[#Headers],[ID]])</f>
        <v>790</v>
      </c>
      <c r="B791" s="258"/>
      <c r="C791" s="258"/>
      <c r="D791" s="258"/>
      <c r="E791" s="263"/>
      <c r="F791" s="258"/>
      <c r="G791" s="263"/>
      <c r="H791" s="262"/>
      <c r="I791" s="262"/>
      <c r="J791" s="262"/>
      <c r="K791" s="262"/>
      <c r="L791" s="262"/>
      <c r="M791" s="264"/>
      <c r="N791" s="262"/>
      <c r="O791" s="262"/>
      <c r="P791" s="262"/>
      <c r="Q791" s="263"/>
      <c r="R791" s="263"/>
      <c r="S791" s="292"/>
      <c r="T791" s="261"/>
      <c r="U791" s="261"/>
      <c r="V791" s="268"/>
      <c r="W791" s="268"/>
      <c r="X791" s="268"/>
      <c r="Y791" s="268"/>
      <c r="Z791" s="471">
        <f>SUMIF(TAB_CS[Reference],TAB_Offres[[#This Row],[Reference]],TAB_CS[Commited days])</f>
        <v>0</v>
      </c>
      <c r="AA791" s="269">
        <f>SUMIF(TAB_CS[Reference],TAB_Offres[[#This Row],[Reference]],TAB_CS[Commited amount])</f>
        <v>0</v>
      </c>
      <c r="AB791" s="275"/>
      <c r="AC791" s="270"/>
      <c r="AD791" s="270"/>
      <c r="AE791" s="264"/>
      <c r="AF791" s="271"/>
      <c r="AG791" s="278"/>
      <c r="AH791" s="277" t="str">
        <f>CONCATENATE(YEAR(TAB_Offres[[#This Row],[Request date ]]),"-",MONTH(TAB_Offres[[#This Row],[Request date ]]))</f>
        <v>1900-1</v>
      </c>
      <c r="AI791" s="274" t="e">
        <f>IF(#REF!,1,0)</f>
        <v>#REF!</v>
      </c>
      <c r="AJ791" s="4"/>
      <c r="AK791" s="4"/>
      <c r="AL791" s="4"/>
      <c r="AN791" s="150"/>
      <c r="AQ791" s="4"/>
    </row>
    <row r="792" spans="1:43" x14ac:dyDescent="0.25">
      <c r="A792" s="258">
        <f>ROW(TAB_Offres[[#This Row],[Reference]])-ROW(TAB_Offres[[#Headers],[ID]])</f>
        <v>791</v>
      </c>
      <c r="B792" s="258"/>
      <c r="C792" s="258"/>
      <c r="D792" s="258"/>
      <c r="E792" s="263"/>
      <c r="F792" s="258"/>
      <c r="G792" s="263"/>
      <c r="H792" s="262"/>
      <c r="I792" s="262"/>
      <c r="J792" s="262"/>
      <c r="K792" s="262"/>
      <c r="L792" s="262"/>
      <c r="M792" s="264"/>
      <c r="N792" s="262"/>
      <c r="O792" s="262"/>
      <c r="P792" s="262"/>
      <c r="Q792" s="263"/>
      <c r="R792" s="263"/>
      <c r="S792" s="292"/>
      <c r="T792" s="261"/>
      <c r="U792" s="261"/>
      <c r="V792" s="268"/>
      <c r="W792" s="268"/>
      <c r="X792" s="268"/>
      <c r="Y792" s="268"/>
      <c r="Z792" s="471">
        <f>SUMIF(TAB_CS[Reference],TAB_Offres[[#This Row],[Reference]],TAB_CS[Commited days])</f>
        <v>0</v>
      </c>
      <c r="AA792" s="269">
        <f>SUMIF(TAB_CS[Reference],TAB_Offres[[#This Row],[Reference]],TAB_CS[Commited amount])</f>
        <v>0</v>
      </c>
      <c r="AB792" s="275"/>
      <c r="AC792" s="270"/>
      <c r="AD792" s="270"/>
      <c r="AE792" s="264"/>
      <c r="AF792" s="271"/>
      <c r="AG792" s="278"/>
      <c r="AH792" s="277" t="str">
        <f>CONCATENATE(YEAR(TAB_Offres[[#This Row],[Request date ]]),"-",MONTH(TAB_Offres[[#This Row],[Request date ]]))</f>
        <v>1900-1</v>
      </c>
      <c r="AI792" s="274" t="e">
        <f>IF(#REF!,1,0)</f>
        <v>#REF!</v>
      </c>
      <c r="AJ792" s="4"/>
      <c r="AK792" s="4"/>
      <c r="AL792" s="4"/>
      <c r="AN792" s="150"/>
      <c r="AQ792" s="4"/>
    </row>
    <row r="793" spans="1:43" x14ac:dyDescent="0.25">
      <c r="A793" s="258">
        <f>ROW(TAB_Offres[[#This Row],[Reference]])-ROW(TAB_Offres[[#Headers],[ID]])</f>
        <v>792</v>
      </c>
      <c r="B793" s="258"/>
      <c r="C793" s="258"/>
      <c r="D793" s="258"/>
      <c r="E793" s="263"/>
      <c r="F793" s="258"/>
      <c r="G793" s="263"/>
      <c r="H793" s="262"/>
      <c r="I793" s="262"/>
      <c r="J793" s="262"/>
      <c r="K793" s="262"/>
      <c r="L793" s="262"/>
      <c r="M793" s="264"/>
      <c r="N793" s="262"/>
      <c r="O793" s="262"/>
      <c r="P793" s="262"/>
      <c r="Q793" s="263"/>
      <c r="R793" s="263"/>
      <c r="S793" s="292"/>
      <c r="T793" s="261"/>
      <c r="U793" s="261"/>
      <c r="V793" s="268"/>
      <c r="W793" s="268"/>
      <c r="X793" s="268"/>
      <c r="Y793" s="268"/>
      <c r="Z793" s="471">
        <f>SUMIF(TAB_CS[Reference],TAB_Offres[[#This Row],[Reference]],TAB_CS[Commited days])</f>
        <v>0</v>
      </c>
      <c r="AA793" s="269">
        <f>SUMIF(TAB_CS[Reference],TAB_Offres[[#This Row],[Reference]],TAB_CS[Commited amount])</f>
        <v>0</v>
      </c>
      <c r="AB793" s="275"/>
      <c r="AC793" s="270"/>
      <c r="AD793" s="270"/>
      <c r="AE793" s="264"/>
      <c r="AF793" s="271"/>
      <c r="AG793" s="278"/>
      <c r="AH793" s="277" t="str">
        <f>CONCATENATE(YEAR(TAB_Offres[[#This Row],[Request date ]]),"-",MONTH(TAB_Offres[[#This Row],[Request date ]]))</f>
        <v>1900-1</v>
      </c>
      <c r="AI793" s="274" t="e">
        <f>IF(#REF!,1,0)</f>
        <v>#REF!</v>
      </c>
      <c r="AJ793" s="4"/>
      <c r="AK793" s="4"/>
      <c r="AL793" s="4"/>
      <c r="AN793" s="150"/>
      <c r="AQ793" s="4"/>
    </row>
    <row r="794" spans="1:43" x14ac:dyDescent="0.25">
      <c r="A794" s="258">
        <f>ROW(TAB_Offres[[#This Row],[Reference]])-ROW(TAB_Offres[[#Headers],[ID]])</f>
        <v>793</v>
      </c>
      <c r="B794" s="258"/>
      <c r="C794" s="258"/>
      <c r="D794" s="258"/>
      <c r="E794" s="263"/>
      <c r="F794" s="258"/>
      <c r="G794" s="263"/>
      <c r="H794" s="262"/>
      <c r="I794" s="262"/>
      <c r="J794" s="262"/>
      <c r="K794" s="262"/>
      <c r="L794" s="262"/>
      <c r="M794" s="264"/>
      <c r="N794" s="262"/>
      <c r="O794" s="262"/>
      <c r="P794" s="262"/>
      <c r="Q794" s="263"/>
      <c r="R794" s="263"/>
      <c r="S794" s="292"/>
      <c r="T794" s="261"/>
      <c r="U794" s="261"/>
      <c r="V794" s="268"/>
      <c r="W794" s="268"/>
      <c r="X794" s="268"/>
      <c r="Y794" s="268"/>
      <c r="Z794" s="471">
        <f>SUMIF(TAB_CS[Reference],TAB_Offres[[#This Row],[Reference]],TAB_CS[Commited days])</f>
        <v>0</v>
      </c>
      <c r="AA794" s="269">
        <f>SUMIF(TAB_CS[Reference],TAB_Offres[[#This Row],[Reference]],TAB_CS[Commited amount])</f>
        <v>0</v>
      </c>
      <c r="AB794" s="275"/>
      <c r="AC794" s="270"/>
      <c r="AD794" s="270"/>
      <c r="AE794" s="264"/>
      <c r="AF794" s="271"/>
      <c r="AG794" s="278"/>
      <c r="AH794" s="277" t="str">
        <f>CONCATENATE(YEAR(TAB_Offres[[#This Row],[Request date ]]),"-",MONTH(TAB_Offres[[#This Row],[Request date ]]))</f>
        <v>1900-1</v>
      </c>
      <c r="AI794" s="274" t="e">
        <f>IF(#REF!,1,0)</f>
        <v>#REF!</v>
      </c>
      <c r="AJ794" s="4"/>
      <c r="AK794" s="4"/>
      <c r="AL794" s="4"/>
      <c r="AN794" s="150"/>
      <c r="AQ794" s="4"/>
    </row>
    <row r="795" spans="1:43" x14ac:dyDescent="0.25">
      <c r="A795" s="258">
        <f>ROW(TAB_Offres[[#This Row],[Reference]])-ROW(TAB_Offres[[#Headers],[ID]])</f>
        <v>794</v>
      </c>
      <c r="B795" s="258"/>
      <c r="C795" s="258"/>
      <c r="D795" s="258"/>
      <c r="E795" s="263"/>
      <c r="F795" s="258"/>
      <c r="G795" s="263"/>
      <c r="H795" s="262"/>
      <c r="I795" s="262"/>
      <c r="J795" s="262"/>
      <c r="K795" s="262"/>
      <c r="L795" s="262"/>
      <c r="M795" s="264"/>
      <c r="N795" s="262"/>
      <c r="O795" s="262"/>
      <c r="P795" s="262"/>
      <c r="Q795" s="263"/>
      <c r="R795" s="263"/>
      <c r="S795" s="292"/>
      <c r="T795" s="261"/>
      <c r="U795" s="261"/>
      <c r="V795" s="268"/>
      <c r="W795" s="268"/>
      <c r="X795" s="268"/>
      <c r="Y795" s="268"/>
      <c r="Z795" s="471">
        <f>SUMIF(TAB_CS[Reference],TAB_Offres[[#This Row],[Reference]],TAB_CS[Commited days])</f>
        <v>0</v>
      </c>
      <c r="AA795" s="269">
        <f>SUMIF(TAB_CS[Reference],TAB_Offres[[#This Row],[Reference]],TAB_CS[Commited amount])</f>
        <v>0</v>
      </c>
      <c r="AB795" s="275"/>
      <c r="AC795" s="270"/>
      <c r="AD795" s="270"/>
      <c r="AE795" s="264"/>
      <c r="AF795" s="271"/>
      <c r="AG795" s="278"/>
      <c r="AH795" s="277" t="str">
        <f>CONCATENATE(YEAR(TAB_Offres[[#This Row],[Request date ]]),"-",MONTH(TAB_Offres[[#This Row],[Request date ]]))</f>
        <v>1900-1</v>
      </c>
      <c r="AI795" s="274" t="e">
        <f>IF(#REF!,1,0)</f>
        <v>#REF!</v>
      </c>
      <c r="AJ795" s="4"/>
      <c r="AK795" s="4"/>
      <c r="AL795" s="4"/>
      <c r="AN795" s="150"/>
      <c r="AQ795" s="4"/>
    </row>
    <row r="796" spans="1:43" x14ac:dyDescent="0.25">
      <c r="A796" s="258">
        <f>ROW(TAB_Offres[[#This Row],[Reference]])-ROW(TAB_Offres[[#Headers],[ID]])</f>
        <v>795</v>
      </c>
      <c r="B796" s="258"/>
      <c r="C796" s="258"/>
      <c r="D796" s="258"/>
      <c r="E796" s="263"/>
      <c r="F796" s="258"/>
      <c r="G796" s="263"/>
      <c r="H796" s="262"/>
      <c r="I796" s="262"/>
      <c r="J796" s="262"/>
      <c r="K796" s="262"/>
      <c r="L796" s="262"/>
      <c r="M796" s="264"/>
      <c r="N796" s="262"/>
      <c r="O796" s="262"/>
      <c r="P796" s="262"/>
      <c r="Q796" s="263"/>
      <c r="R796" s="263"/>
      <c r="S796" s="292"/>
      <c r="T796" s="261"/>
      <c r="U796" s="261"/>
      <c r="V796" s="268"/>
      <c r="W796" s="268"/>
      <c r="X796" s="268"/>
      <c r="Y796" s="268"/>
      <c r="Z796" s="471">
        <f>SUMIF(TAB_CS[Reference],TAB_Offres[[#This Row],[Reference]],TAB_CS[Commited days])</f>
        <v>0</v>
      </c>
      <c r="AA796" s="269">
        <f>SUMIF(TAB_CS[Reference],TAB_Offres[[#This Row],[Reference]],TAB_CS[Commited amount])</f>
        <v>0</v>
      </c>
      <c r="AB796" s="275"/>
      <c r="AC796" s="270"/>
      <c r="AD796" s="270"/>
      <c r="AE796" s="264"/>
      <c r="AF796" s="271"/>
      <c r="AG796" s="278"/>
      <c r="AH796" s="277" t="str">
        <f>CONCATENATE(YEAR(TAB_Offres[[#This Row],[Request date ]]),"-",MONTH(TAB_Offres[[#This Row],[Request date ]]))</f>
        <v>1900-1</v>
      </c>
      <c r="AI796" s="274" t="e">
        <f>IF(#REF!,1,0)</f>
        <v>#REF!</v>
      </c>
      <c r="AJ796" s="4"/>
      <c r="AK796" s="4"/>
      <c r="AL796" s="4"/>
      <c r="AN796" s="150"/>
      <c r="AQ796" s="4"/>
    </row>
    <row r="797" spans="1:43" x14ac:dyDescent="0.25">
      <c r="A797" s="258">
        <f>ROW(TAB_Offres[[#This Row],[Reference]])-ROW(TAB_Offres[[#Headers],[ID]])</f>
        <v>796</v>
      </c>
      <c r="B797" s="258"/>
      <c r="C797" s="258"/>
      <c r="D797" s="258"/>
      <c r="E797" s="263"/>
      <c r="F797" s="258"/>
      <c r="G797" s="263"/>
      <c r="H797" s="262"/>
      <c r="I797" s="262"/>
      <c r="J797" s="262"/>
      <c r="K797" s="262"/>
      <c r="L797" s="262"/>
      <c r="M797" s="264"/>
      <c r="N797" s="262"/>
      <c r="O797" s="262"/>
      <c r="P797" s="262"/>
      <c r="Q797" s="263"/>
      <c r="R797" s="263"/>
      <c r="S797" s="292"/>
      <c r="T797" s="261"/>
      <c r="U797" s="261"/>
      <c r="V797" s="268"/>
      <c r="W797" s="268"/>
      <c r="X797" s="268"/>
      <c r="Y797" s="268"/>
      <c r="Z797" s="471">
        <f>SUMIF(TAB_CS[Reference],TAB_Offres[[#This Row],[Reference]],TAB_CS[Commited days])</f>
        <v>0</v>
      </c>
      <c r="AA797" s="269">
        <f>SUMIF(TAB_CS[Reference],TAB_Offres[[#This Row],[Reference]],TAB_CS[Commited amount])</f>
        <v>0</v>
      </c>
      <c r="AB797" s="275"/>
      <c r="AC797" s="270"/>
      <c r="AD797" s="270"/>
      <c r="AE797" s="264"/>
      <c r="AF797" s="271"/>
      <c r="AG797" s="278"/>
      <c r="AH797" s="277" t="str">
        <f>CONCATENATE(YEAR(TAB_Offres[[#This Row],[Request date ]]),"-",MONTH(TAB_Offres[[#This Row],[Request date ]]))</f>
        <v>1900-1</v>
      </c>
      <c r="AI797" s="274" t="e">
        <f>IF(#REF!,1,0)</f>
        <v>#REF!</v>
      </c>
      <c r="AJ797" s="4"/>
      <c r="AK797" s="4"/>
      <c r="AL797" s="4"/>
      <c r="AN797" s="150"/>
      <c r="AQ797" s="4"/>
    </row>
    <row r="798" spans="1:43" x14ac:dyDescent="0.25">
      <c r="A798" s="258">
        <f>ROW(TAB_Offres[[#This Row],[Reference]])-ROW(TAB_Offres[[#Headers],[ID]])</f>
        <v>797</v>
      </c>
      <c r="B798" s="258"/>
      <c r="C798" s="258"/>
      <c r="D798" s="258"/>
      <c r="E798" s="263"/>
      <c r="F798" s="258"/>
      <c r="G798" s="263"/>
      <c r="H798" s="262"/>
      <c r="I798" s="262"/>
      <c r="J798" s="262"/>
      <c r="K798" s="262"/>
      <c r="L798" s="262"/>
      <c r="M798" s="264"/>
      <c r="N798" s="262"/>
      <c r="O798" s="262"/>
      <c r="P798" s="262"/>
      <c r="Q798" s="263"/>
      <c r="R798" s="263"/>
      <c r="S798" s="292"/>
      <c r="T798" s="261"/>
      <c r="U798" s="261"/>
      <c r="V798" s="268"/>
      <c r="W798" s="268"/>
      <c r="X798" s="268"/>
      <c r="Y798" s="268"/>
      <c r="Z798" s="471">
        <f>SUMIF(TAB_CS[Reference],TAB_Offres[[#This Row],[Reference]],TAB_CS[Commited days])</f>
        <v>0</v>
      </c>
      <c r="AA798" s="269">
        <f>SUMIF(TAB_CS[Reference],TAB_Offres[[#This Row],[Reference]],TAB_CS[Commited amount])</f>
        <v>0</v>
      </c>
      <c r="AB798" s="275"/>
      <c r="AC798" s="270"/>
      <c r="AD798" s="270"/>
      <c r="AE798" s="264"/>
      <c r="AF798" s="271"/>
      <c r="AG798" s="278"/>
      <c r="AH798" s="277" t="str">
        <f>CONCATENATE(YEAR(TAB_Offres[[#This Row],[Request date ]]),"-",MONTH(TAB_Offres[[#This Row],[Request date ]]))</f>
        <v>1900-1</v>
      </c>
      <c r="AI798" s="274" t="e">
        <f>IF(#REF!,1,0)</f>
        <v>#REF!</v>
      </c>
      <c r="AJ798" s="4"/>
      <c r="AK798" s="4"/>
      <c r="AL798" s="4"/>
      <c r="AN798" s="150"/>
      <c r="AQ798" s="4"/>
    </row>
    <row r="799" spans="1:43" x14ac:dyDescent="0.25">
      <c r="A799" s="258">
        <f>ROW(TAB_Offres[[#This Row],[Reference]])-ROW(TAB_Offres[[#Headers],[ID]])</f>
        <v>798</v>
      </c>
      <c r="B799" s="258"/>
      <c r="C799" s="258"/>
      <c r="D799" s="258"/>
      <c r="E799" s="263"/>
      <c r="F799" s="258"/>
      <c r="G799" s="263"/>
      <c r="H799" s="262"/>
      <c r="I799" s="262"/>
      <c r="J799" s="262"/>
      <c r="K799" s="262"/>
      <c r="L799" s="262"/>
      <c r="M799" s="264"/>
      <c r="N799" s="262"/>
      <c r="O799" s="262"/>
      <c r="P799" s="262"/>
      <c r="Q799" s="263"/>
      <c r="R799" s="263"/>
      <c r="S799" s="292"/>
      <c r="T799" s="261"/>
      <c r="U799" s="261"/>
      <c r="V799" s="268"/>
      <c r="W799" s="268"/>
      <c r="X799" s="268"/>
      <c r="Y799" s="268"/>
      <c r="Z799" s="471">
        <f>SUMIF(TAB_CS[Reference],TAB_Offres[[#This Row],[Reference]],TAB_CS[Commited days])</f>
        <v>0</v>
      </c>
      <c r="AA799" s="269">
        <f>SUMIF(TAB_CS[Reference],TAB_Offres[[#This Row],[Reference]],TAB_CS[Commited amount])</f>
        <v>0</v>
      </c>
      <c r="AB799" s="275"/>
      <c r="AC799" s="270"/>
      <c r="AD799" s="270"/>
      <c r="AE799" s="264"/>
      <c r="AF799" s="271"/>
      <c r="AG799" s="278"/>
      <c r="AH799" s="277" t="str">
        <f>CONCATENATE(YEAR(TAB_Offres[[#This Row],[Request date ]]),"-",MONTH(TAB_Offres[[#This Row],[Request date ]]))</f>
        <v>1900-1</v>
      </c>
      <c r="AI799" s="274" t="e">
        <f>IF(#REF!,1,0)</f>
        <v>#REF!</v>
      </c>
      <c r="AJ799" s="4"/>
      <c r="AK799" s="4"/>
      <c r="AL799" s="4"/>
      <c r="AN799" s="150"/>
      <c r="AQ799" s="4"/>
    </row>
    <row r="800" spans="1:43" x14ac:dyDescent="0.25">
      <c r="A800" s="258">
        <f>ROW(TAB_Offres[[#This Row],[Reference]])-ROW(TAB_Offres[[#Headers],[ID]])</f>
        <v>799</v>
      </c>
      <c r="B800" s="258"/>
      <c r="C800" s="258"/>
      <c r="D800" s="258"/>
      <c r="E800" s="263"/>
      <c r="F800" s="258"/>
      <c r="G800" s="263"/>
      <c r="H800" s="262"/>
      <c r="I800" s="262"/>
      <c r="J800" s="262"/>
      <c r="K800" s="262"/>
      <c r="L800" s="262"/>
      <c r="M800" s="264"/>
      <c r="N800" s="262"/>
      <c r="O800" s="262"/>
      <c r="P800" s="262"/>
      <c r="Q800" s="263"/>
      <c r="R800" s="263"/>
      <c r="S800" s="292"/>
      <c r="T800" s="261"/>
      <c r="U800" s="261"/>
      <c r="V800" s="268"/>
      <c r="W800" s="268"/>
      <c r="X800" s="268"/>
      <c r="Y800" s="268"/>
      <c r="Z800" s="471">
        <f>SUMIF(TAB_CS[Reference],TAB_Offres[[#This Row],[Reference]],TAB_CS[Commited days])</f>
        <v>0</v>
      </c>
      <c r="AA800" s="269">
        <f>SUMIF(TAB_CS[Reference],TAB_Offres[[#This Row],[Reference]],TAB_CS[Commited amount])</f>
        <v>0</v>
      </c>
      <c r="AB800" s="275"/>
      <c r="AC800" s="270"/>
      <c r="AD800" s="270"/>
      <c r="AE800" s="264"/>
      <c r="AF800" s="271"/>
      <c r="AG800" s="278"/>
      <c r="AH800" s="277" t="str">
        <f>CONCATENATE(YEAR(TAB_Offres[[#This Row],[Request date ]]),"-",MONTH(TAB_Offres[[#This Row],[Request date ]]))</f>
        <v>1900-1</v>
      </c>
      <c r="AI800" s="274" t="e">
        <f>IF(#REF!,1,0)</f>
        <v>#REF!</v>
      </c>
      <c r="AJ800" s="4"/>
      <c r="AK800" s="4"/>
      <c r="AL800" s="4"/>
      <c r="AN800" s="150"/>
      <c r="AQ800" s="4"/>
    </row>
    <row r="801" spans="1:43" x14ac:dyDescent="0.25">
      <c r="A801" s="258">
        <f>ROW(TAB_Offres[[#This Row],[Reference]])-ROW(TAB_Offres[[#Headers],[ID]])</f>
        <v>800</v>
      </c>
      <c r="B801" s="258"/>
      <c r="C801" s="258"/>
      <c r="D801" s="258"/>
      <c r="E801" s="263"/>
      <c r="F801" s="258"/>
      <c r="G801" s="263"/>
      <c r="H801" s="262"/>
      <c r="I801" s="262"/>
      <c r="J801" s="262"/>
      <c r="K801" s="262"/>
      <c r="L801" s="262"/>
      <c r="M801" s="264"/>
      <c r="N801" s="262"/>
      <c r="O801" s="262"/>
      <c r="P801" s="262"/>
      <c r="Q801" s="263"/>
      <c r="R801" s="263"/>
      <c r="S801" s="292"/>
      <c r="T801" s="261"/>
      <c r="U801" s="261"/>
      <c r="V801" s="268"/>
      <c r="W801" s="268"/>
      <c r="X801" s="268"/>
      <c r="Y801" s="268"/>
      <c r="Z801" s="471">
        <f>SUMIF(TAB_CS[Reference],TAB_Offres[[#This Row],[Reference]],TAB_CS[Commited days])</f>
        <v>0</v>
      </c>
      <c r="AA801" s="269">
        <f>SUMIF(TAB_CS[Reference],TAB_Offres[[#This Row],[Reference]],TAB_CS[Commited amount])</f>
        <v>0</v>
      </c>
      <c r="AB801" s="275"/>
      <c r="AC801" s="270"/>
      <c r="AD801" s="270"/>
      <c r="AE801" s="264"/>
      <c r="AF801" s="271"/>
      <c r="AG801" s="278"/>
      <c r="AH801" s="277" t="str">
        <f>CONCATENATE(YEAR(TAB_Offres[[#This Row],[Request date ]]),"-",MONTH(TAB_Offres[[#This Row],[Request date ]]))</f>
        <v>1900-1</v>
      </c>
      <c r="AI801" s="274" t="e">
        <f>IF(#REF!,1,0)</f>
        <v>#REF!</v>
      </c>
      <c r="AJ801" s="4"/>
      <c r="AK801" s="4"/>
      <c r="AL801" s="4"/>
      <c r="AN801" s="150"/>
      <c r="AQ801" s="4"/>
    </row>
    <row r="802" spans="1:43" x14ac:dyDescent="0.25">
      <c r="A802" s="258">
        <f>ROW(TAB_Offres[[#This Row],[Reference]])-ROW(TAB_Offres[[#Headers],[ID]])</f>
        <v>801</v>
      </c>
      <c r="B802" s="258"/>
      <c r="C802" s="258"/>
      <c r="D802" s="258"/>
      <c r="E802" s="263"/>
      <c r="F802" s="258"/>
      <c r="G802" s="263"/>
      <c r="H802" s="262"/>
      <c r="I802" s="262"/>
      <c r="J802" s="262"/>
      <c r="K802" s="262"/>
      <c r="L802" s="262"/>
      <c r="M802" s="264"/>
      <c r="N802" s="262"/>
      <c r="O802" s="262"/>
      <c r="P802" s="262"/>
      <c r="Q802" s="263"/>
      <c r="R802" s="263"/>
      <c r="S802" s="292"/>
      <c r="T802" s="261"/>
      <c r="U802" s="261"/>
      <c r="V802" s="268"/>
      <c r="W802" s="268"/>
      <c r="X802" s="268"/>
      <c r="Y802" s="268"/>
      <c r="Z802" s="471">
        <f>SUMIF(TAB_CS[Reference],TAB_Offres[[#This Row],[Reference]],TAB_CS[Commited days])</f>
        <v>0</v>
      </c>
      <c r="AA802" s="269">
        <f>SUMIF(TAB_CS[Reference],TAB_Offres[[#This Row],[Reference]],TAB_CS[Commited amount])</f>
        <v>0</v>
      </c>
      <c r="AB802" s="275"/>
      <c r="AC802" s="270"/>
      <c r="AD802" s="270"/>
      <c r="AE802" s="264"/>
      <c r="AF802" s="271"/>
      <c r="AG802" s="278"/>
      <c r="AH802" s="277" t="str">
        <f>CONCATENATE(YEAR(TAB_Offres[[#This Row],[Request date ]]),"-",MONTH(TAB_Offres[[#This Row],[Request date ]]))</f>
        <v>1900-1</v>
      </c>
      <c r="AI802" s="274" t="e">
        <f>IF(#REF!,1,0)</f>
        <v>#REF!</v>
      </c>
      <c r="AJ802" s="4"/>
      <c r="AK802" s="4"/>
      <c r="AL802" s="4"/>
      <c r="AN802" s="150"/>
      <c r="AQ802" s="4"/>
    </row>
    <row r="803" spans="1:43" x14ac:dyDescent="0.25">
      <c r="A803" s="258">
        <f>ROW(TAB_Offres[[#This Row],[Reference]])-ROW(TAB_Offres[[#Headers],[ID]])</f>
        <v>802</v>
      </c>
      <c r="B803" s="258"/>
      <c r="C803" s="258"/>
      <c r="D803" s="258"/>
      <c r="E803" s="263"/>
      <c r="F803" s="258"/>
      <c r="G803" s="263"/>
      <c r="H803" s="262"/>
      <c r="I803" s="262"/>
      <c r="J803" s="262"/>
      <c r="K803" s="262"/>
      <c r="L803" s="262"/>
      <c r="M803" s="264"/>
      <c r="N803" s="262"/>
      <c r="O803" s="262"/>
      <c r="P803" s="262"/>
      <c r="Q803" s="263"/>
      <c r="R803" s="263"/>
      <c r="S803" s="292"/>
      <c r="T803" s="261"/>
      <c r="U803" s="261"/>
      <c r="V803" s="268"/>
      <c r="W803" s="268"/>
      <c r="X803" s="268"/>
      <c r="Y803" s="268"/>
      <c r="Z803" s="471">
        <f>SUMIF(TAB_CS[Reference],TAB_Offres[[#This Row],[Reference]],TAB_CS[Commited days])</f>
        <v>0</v>
      </c>
      <c r="AA803" s="269">
        <f>SUMIF(TAB_CS[Reference],TAB_Offres[[#This Row],[Reference]],TAB_CS[Commited amount])</f>
        <v>0</v>
      </c>
      <c r="AB803" s="275"/>
      <c r="AC803" s="270"/>
      <c r="AD803" s="270"/>
      <c r="AE803" s="264"/>
      <c r="AF803" s="271"/>
      <c r="AG803" s="278"/>
      <c r="AH803" s="277" t="str">
        <f>CONCATENATE(YEAR(TAB_Offres[[#This Row],[Request date ]]),"-",MONTH(TAB_Offres[[#This Row],[Request date ]]))</f>
        <v>1900-1</v>
      </c>
      <c r="AI803" s="274" t="e">
        <f>IF(#REF!,1,0)</f>
        <v>#REF!</v>
      </c>
      <c r="AJ803" s="4"/>
      <c r="AK803" s="4"/>
      <c r="AL803" s="4"/>
      <c r="AN803" s="150"/>
      <c r="AQ803" s="4"/>
    </row>
    <row r="804" spans="1:43" x14ac:dyDescent="0.25">
      <c r="A804" s="258">
        <f>ROW(TAB_Offres[[#This Row],[Reference]])-ROW(TAB_Offres[[#Headers],[ID]])</f>
        <v>803</v>
      </c>
      <c r="B804" s="258"/>
      <c r="C804" s="258"/>
      <c r="D804" s="258"/>
      <c r="E804" s="263"/>
      <c r="F804" s="258"/>
      <c r="G804" s="263"/>
      <c r="H804" s="262"/>
      <c r="I804" s="262"/>
      <c r="J804" s="262"/>
      <c r="K804" s="262"/>
      <c r="L804" s="262"/>
      <c r="M804" s="264"/>
      <c r="N804" s="262"/>
      <c r="O804" s="262"/>
      <c r="P804" s="262"/>
      <c r="Q804" s="263"/>
      <c r="R804" s="263"/>
      <c r="S804" s="292"/>
      <c r="T804" s="261"/>
      <c r="U804" s="261"/>
      <c r="V804" s="268"/>
      <c r="W804" s="268"/>
      <c r="X804" s="268"/>
      <c r="Y804" s="268"/>
      <c r="Z804" s="471">
        <f>SUMIF(TAB_CS[Reference],TAB_Offres[[#This Row],[Reference]],TAB_CS[Commited days])</f>
        <v>0</v>
      </c>
      <c r="AA804" s="269">
        <f>SUMIF(TAB_CS[Reference],TAB_Offres[[#This Row],[Reference]],TAB_CS[Commited amount])</f>
        <v>0</v>
      </c>
      <c r="AB804" s="275"/>
      <c r="AC804" s="270"/>
      <c r="AD804" s="270"/>
      <c r="AE804" s="264"/>
      <c r="AF804" s="271"/>
      <c r="AG804" s="278"/>
      <c r="AH804" s="277" t="str">
        <f>CONCATENATE(YEAR(TAB_Offres[[#This Row],[Request date ]]),"-",MONTH(TAB_Offres[[#This Row],[Request date ]]))</f>
        <v>1900-1</v>
      </c>
      <c r="AI804" s="274" t="e">
        <f>IF(#REF!,1,0)</f>
        <v>#REF!</v>
      </c>
      <c r="AJ804" s="4"/>
      <c r="AK804" s="4"/>
      <c r="AL804" s="4"/>
      <c r="AN804" s="150"/>
      <c r="AQ804" s="4"/>
    </row>
    <row r="805" spans="1:43" x14ac:dyDescent="0.25">
      <c r="A805" s="258">
        <f>ROW(TAB_Offres[[#This Row],[Reference]])-ROW(TAB_Offres[[#Headers],[ID]])</f>
        <v>804</v>
      </c>
      <c r="B805" s="258"/>
      <c r="C805" s="258"/>
      <c r="D805" s="258"/>
      <c r="E805" s="263"/>
      <c r="F805" s="258"/>
      <c r="G805" s="263"/>
      <c r="H805" s="262"/>
      <c r="I805" s="262"/>
      <c r="J805" s="262"/>
      <c r="K805" s="262"/>
      <c r="L805" s="262"/>
      <c r="M805" s="264"/>
      <c r="N805" s="262"/>
      <c r="O805" s="262"/>
      <c r="P805" s="262"/>
      <c r="Q805" s="263"/>
      <c r="R805" s="263"/>
      <c r="S805" s="292"/>
      <c r="T805" s="261"/>
      <c r="U805" s="261"/>
      <c r="V805" s="268"/>
      <c r="W805" s="268"/>
      <c r="X805" s="268"/>
      <c r="Y805" s="268"/>
      <c r="Z805" s="471">
        <f>SUMIF(TAB_CS[Reference],TAB_Offres[[#This Row],[Reference]],TAB_CS[Commited days])</f>
        <v>0</v>
      </c>
      <c r="AA805" s="269">
        <f>SUMIF(TAB_CS[Reference],TAB_Offres[[#This Row],[Reference]],TAB_CS[Commited amount])</f>
        <v>0</v>
      </c>
      <c r="AB805" s="275"/>
      <c r="AC805" s="270"/>
      <c r="AD805" s="270"/>
      <c r="AE805" s="264"/>
      <c r="AF805" s="271"/>
      <c r="AG805" s="278"/>
      <c r="AH805" s="277" t="str">
        <f>CONCATENATE(YEAR(TAB_Offres[[#This Row],[Request date ]]),"-",MONTH(TAB_Offres[[#This Row],[Request date ]]))</f>
        <v>1900-1</v>
      </c>
      <c r="AI805" s="274" t="e">
        <f>IF(#REF!,1,0)</f>
        <v>#REF!</v>
      </c>
      <c r="AJ805" s="4"/>
      <c r="AK805" s="4"/>
      <c r="AL805" s="4"/>
      <c r="AN805" s="150"/>
      <c r="AQ805" s="4"/>
    </row>
    <row r="806" spans="1:43" x14ac:dyDescent="0.25">
      <c r="A806" s="258">
        <f>ROW(TAB_Offres[[#This Row],[Reference]])-ROW(TAB_Offres[[#Headers],[ID]])</f>
        <v>805</v>
      </c>
      <c r="B806" s="258"/>
      <c r="C806" s="258"/>
      <c r="D806" s="258"/>
      <c r="E806" s="263"/>
      <c r="F806" s="258"/>
      <c r="G806" s="263"/>
      <c r="H806" s="262"/>
      <c r="I806" s="262"/>
      <c r="J806" s="262"/>
      <c r="K806" s="262"/>
      <c r="L806" s="262"/>
      <c r="M806" s="264"/>
      <c r="N806" s="262"/>
      <c r="O806" s="262"/>
      <c r="P806" s="262"/>
      <c r="Q806" s="263"/>
      <c r="R806" s="263"/>
      <c r="S806" s="292"/>
      <c r="T806" s="261"/>
      <c r="U806" s="261"/>
      <c r="V806" s="268"/>
      <c r="W806" s="268"/>
      <c r="X806" s="268"/>
      <c r="Y806" s="268"/>
      <c r="Z806" s="471">
        <f>SUMIF(TAB_CS[Reference],TAB_Offres[[#This Row],[Reference]],TAB_CS[Commited days])</f>
        <v>0</v>
      </c>
      <c r="AA806" s="269">
        <f>SUMIF(TAB_CS[Reference],TAB_Offres[[#This Row],[Reference]],TAB_CS[Commited amount])</f>
        <v>0</v>
      </c>
      <c r="AB806" s="275"/>
      <c r="AC806" s="270"/>
      <c r="AD806" s="270"/>
      <c r="AE806" s="264"/>
      <c r="AF806" s="271"/>
      <c r="AG806" s="278"/>
      <c r="AH806" s="277" t="str">
        <f>CONCATENATE(YEAR(TAB_Offres[[#This Row],[Request date ]]),"-",MONTH(TAB_Offres[[#This Row],[Request date ]]))</f>
        <v>1900-1</v>
      </c>
      <c r="AI806" s="274" t="e">
        <f>IF(#REF!,1,0)</f>
        <v>#REF!</v>
      </c>
      <c r="AJ806" s="4"/>
      <c r="AK806" s="4"/>
      <c r="AL806" s="4"/>
      <c r="AN806" s="150"/>
      <c r="AQ806" s="4"/>
    </row>
    <row r="807" spans="1:43" x14ac:dyDescent="0.25">
      <c r="A807" s="258">
        <f>ROW(TAB_Offres[[#This Row],[Reference]])-ROW(TAB_Offres[[#Headers],[ID]])</f>
        <v>806</v>
      </c>
      <c r="B807" s="258"/>
      <c r="C807" s="258"/>
      <c r="D807" s="258"/>
      <c r="E807" s="263"/>
      <c r="F807" s="258"/>
      <c r="G807" s="263"/>
      <c r="H807" s="262"/>
      <c r="I807" s="262"/>
      <c r="J807" s="262"/>
      <c r="K807" s="262"/>
      <c r="L807" s="262"/>
      <c r="M807" s="264"/>
      <c r="N807" s="262"/>
      <c r="O807" s="262"/>
      <c r="P807" s="262"/>
      <c r="Q807" s="263"/>
      <c r="R807" s="263"/>
      <c r="S807" s="292"/>
      <c r="T807" s="261"/>
      <c r="U807" s="261"/>
      <c r="V807" s="268"/>
      <c r="W807" s="268"/>
      <c r="X807" s="268"/>
      <c r="Y807" s="268"/>
      <c r="Z807" s="471">
        <f>SUMIF(TAB_CS[Reference],TAB_Offres[[#This Row],[Reference]],TAB_CS[Commited days])</f>
        <v>0</v>
      </c>
      <c r="AA807" s="269">
        <f>SUMIF(TAB_CS[Reference],TAB_Offres[[#This Row],[Reference]],TAB_CS[Commited amount])</f>
        <v>0</v>
      </c>
      <c r="AB807" s="275"/>
      <c r="AC807" s="270"/>
      <c r="AD807" s="270"/>
      <c r="AE807" s="264"/>
      <c r="AF807" s="271"/>
      <c r="AG807" s="278"/>
      <c r="AH807" s="277" t="str">
        <f>CONCATENATE(YEAR(TAB_Offres[[#This Row],[Request date ]]),"-",MONTH(TAB_Offres[[#This Row],[Request date ]]))</f>
        <v>1900-1</v>
      </c>
      <c r="AI807" s="274" t="e">
        <f>IF(#REF!,1,0)</f>
        <v>#REF!</v>
      </c>
      <c r="AJ807" s="4"/>
      <c r="AK807" s="4"/>
      <c r="AL807" s="4"/>
      <c r="AN807" s="150"/>
      <c r="AQ807" s="4"/>
    </row>
    <row r="808" spans="1:43" x14ac:dyDescent="0.25">
      <c r="A808" s="258">
        <f>ROW(TAB_Offres[[#This Row],[Reference]])-ROW(TAB_Offres[[#Headers],[ID]])</f>
        <v>807</v>
      </c>
      <c r="B808" s="258"/>
      <c r="C808" s="258"/>
      <c r="D808" s="258"/>
      <c r="E808" s="263"/>
      <c r="F808" s="258"/>
      <c r="G808" s="263"/>
      <c r="H808" s="262"/>
      <c r="I808" s="262"/>
      <c r="J808" s="262"/>
      <c r="K808" s="262"/>
      <c r="L808" s="262"/>
      <c r="M808" s="264"/>
      <c r="N808" s="262"/>
      <c r="O808" s="262"/>
      <c r="P808" s="262"/>
      <c r="Q808" s="263"/>
      <c r="R808" s="263"/>
      <c r="S808" s="292"/>
      <c r="T808" s="261"/>
      <c r="U808" s="261"/>
      <c r="V808" s="268"/>
      <c r="W808" s="268"/>
      <c r="X808" s="268"/>
      <c r="Y808" s="268"/>
      <c r="Z808" s="471">
        <f>SUMIF(TAB_CS[Reference],TAB_Offres[[#This Row],[Reference]],TAB_CS[Commited days])</f>
        <v>0</v>
      </c>
      <c r="AA808" s="269">
        <f>SUMIF(TAB_CS[Reference],TAB_Offres[[#This Row],[Reference]],TAB_CS[Commited amount])</f>
        <v>0</v>
      </c>
      <c r="AB808" s="275"/>
      <c r="AC808" s="270"/>
      <c r="AD808" s="270"/>
      <c r="AE808" s="264"/>
      <c r="AF808" s="271"/>
      <c r="AG808" s="278"/>
      <c r="AH808" s="277" t="str">
        <f>CONCATENATE(YEAR(TAB_Offres[[#This Row],[Request date ]]),"-",MONTH(TAB_Offres[[#This Row],[Request date ]]))</f>
        <v>1900-1</v>
      </c>
      <c r="AI808" s="274" t="e">
        <f>IF(#REF!,1,0)</f>
        <v>#REF!</v>
      </c>
      <c r="AJ808" s="4"/>
      <c r="AK808" s="4"/>
      <c r="AL808" s="4"/>
      <c r="AN808" s="150"/>
      <c r="AQ808" s="4"/>
    </row>
    <row r="809" spans="1:43" x14ac:dyDescent="0.25">
      <c r="A809" s="258">
        <f>ROW(TAB_Offres[[#This Row],[Reference]])-ROW(TAB_Offres[[#Headers],[ID]])</f>
        <v>808</v>
      </c>
      <c r="B809" s="258"/>
      <c r="C809" s="258"/>
      <c r="D809" s="258"/>
      <c r="E809" s="263"/>
      <c r="F809" s="258"/>
      <c r="G809" s="263"/>
      <c r="H809" s="262"/>
      <c r="I809" s="262"/>
      <c r="J809" s="262"/>
      <c r="K809" s="262"/>
      <c r="L809" s="262"/>
      <c r="M809" s="264"/>
      <c r="N809" s="262"/>
      <c r="O809" s="262"/>
      <c r="P809" s="262"/>
      <c r="Q809" s="263"/>
      <c r="R809" s="263"/>
      <c r="S809" s="292"/>
      <c r="T809" s="261"/>
      <c r="U809" s="261"/>
      <c r="V809" s="268"/>
      <c r="W809" s="268"/>
      <c r="X809" s="268"/>
      <c r="Y809" s="268"/>
      <c r="Z809" s="471">
        <f>SUMIF(TAB_CS[Reference],TAB_Offres[[#This Row],[Reference]],TAB_CS[Commited days])</f>
        <v>0</v>
      </c>
      <c r="AA809" s="269">
        <f>SUMIF(TAB_CS[Reference],TAB_Offres[[#This Row],[Reference]],TAB_CS[Commited amount])</f>
        <v>0</v>
      </c>
      <c r="AB809" s="275"/>
      <c r="AC809" s="270"/>
      <c r="AD809" s="270"/>
      <c r="AE809" s="264"/>
      <c r="AF809" s="271"/>
      <c r="AG809" s="278"/>
      <c r="AH809" s="277" t="str">
        <f>CONCATENATE(YEAR(TAB_Offres[[#This Row],[Request date ]]),"-",MONTH(TAB_Offres[[#This Row],[Request date ]]))</f>
        <v>1900-1</v>
      </c>
      <c r="AI809" s="274" t="e">
        <f>IF(#REF!,1,0)</f>
        <v>#REF!</v>
      </c>
      <c r="AJ809" s="4"/>
      <c r="AK809" s="4"/>
      <c r="AL809" s="4"/>
      <c r="AN809" s="150"/>
      <c r="AQ809" s="4"/>
    </row>
    <row r="810" spans="1:43" x14ac:dyDescent="0.25">
      <c r="A810" s="258">
        <f>ROW(TAB_Offres[[#This Row],[Reference]])-ROW(TAB_Offres[[#Headers],[ID]])</f>
        <v>809</v>
      </c>
      <c r="B810" s="258"/>
      <c r="C810" s="258"/>
      <c r="D810" s="258"/>
      <c r="E810" s="263"/>
      <c r="F810" s="258"/>
      <c r="G810" s="263"/>
      <c r="H810" s="262"/>
      <c r="I810" s="262"/>
      <c r="J810" s="262"/>
      <c r="K810" s="262"/>
      <c r="L810" s="262"/>
      <c r="M810" s="264"/>
      <c r="N810" s="262"/>
      <c r="O810" s="262"/>
      <c r="P810" s="262"/>
      <c r="Q810" s="263"/>
      <c r="R810" s="263"/>
      <c r="S810" s="292"/>
      <c r="T810" s="261"/>
      <c r="U810" s="261"/>
      <c r="V810" s="268"/>
      <c r="W810" s="268"/>
      <c r="X810" s="268"/>
      <c r="Y810" s="268"/>
      <c r="Z810" s="471">
        <f>SUMIF(TAB_CS[Reference],TAB_Offres[[#This Row],[Reference]],TAB_CS[Commited days])</f>
        <v>0</v>
      </c>
      <c r="AA810" s="269">
        <f>SUMIF(TAB_CS[Reference],TAB_Offres[[#This Row],[Reference]],TAB_CS[Commited amount])</f>
        <v>0</v>
      </c>
      <c r="AB810" s="275"/>
      <c r="AC810" s="270"/>
      <c r="AD810" s="270"/>
      <c r="AE810" s="264"/>
      <c r="AF810" s="271"/>
      <c r="AG810" s="278"/>
      <c r="AH810" s="277" t="str">
        <f>CONCATENATE(YEAR(TAB_Offres[[#This Row],[Request date ]]),"-",MONTH(TAB_Offres[[#This Row],[Request date ]]))</f>
        <v>1900-1</v>
      </c>
      <c r="AI810" s="274" t="e">
        <f>IF(#REF!,1,0)</f>
        <v>#REF!</v>
      </c>
      <c r="AJ810" s="4"/>
      <c r="AK810" s="4"/>
      <c r="AL810" s="4"/>
      <c r="AN810" s="150"/>
      <c r="AQ810" s="4"/>
    </row>
    <row r="811" spans="1:43" x14ac:dyDescent="0.25">
      <c r="A811" s="258">
        <f>ROW(TAB_Offres[[#This Row],[Reference]])-ROW(TAB_Offres[[#Headers],[ID]])</f>
        <v>810</v>
      </c>
      <c r="B811" s="258"/>
      <c r="C811" s="258"/>
      <c r="D811" s="258"/>
      <c r="E811" s="263"/>
      <c r="F811" s="258"/>
      <c r="G811" s="263"/>
      <c r="H811" s="262"/>
      <c r="I811" s="262"/>
      <c r="J811" s="262"/>
      <c r="K811" s="262"/>
      <c r="L811" s="262"/>
      <c r="M811" s="264"/>
      <c r="N811" s="262"/>
      <c r="O811" s="262"/>
      <c r="P811" s="262"/>
      <c r="Q811" s="263"/>
      <c r="R811" s="263"/>
      <c r="S811" s="292"/>
      <c r="T811" s="261"/>
      <c r="U811" s="261"/>
      <c r="V811" s="268"/>
      <c r="W811" s="268"/>
      <c r="X811" s="268"/>
      <c r="Y811" s="268"/>
      <c r="Z811" s="471">
        <f>SUMIF(TAB_CS[Reference],TAB_Offres[[#This Row],[Reference]],TAB_CS[Commited days])</f>
        <v>0</v>
      </c>
      <c r="AA811" s="269">
        <f>SUMIF(TAB_CS[Reference],TAB_Offres[[#This Row],[Reference]],TAB_CS[Commited amount])</f>
        <v>0</v>
      </c>
      <c r="AB811" s="275"/>
      <c r="AC811" s="270"/>
      <c r="AD811" s="270"/>
      <c r="AE811" s="264"/>
      <c r="AF811" s="271"/>
      <c r="AG811" s="278"/>
      <c r="AH811" s="277" t="str">
        <f>CONCATENATE(YEAR(TAB_Offres[[#This Row],[Request date ]]),"-",MONTH(TAB_Offres[[#This Row],[Request date ]]))</f>
        <v>1900-1</v>
      </c>
      <c r="AI811" s="274" t="e">
        <f>IF(#REF!,1,0)</f>
        <v>#REF!</v>
      </c>
      <c r="AJ811" s="4"/>
      <c r="AK811" s="4"/>
      <c r="AL811" s="4"/>
      <c r="AN811" s="150"/>
      <c r="AQ811" s="4"/>
    </row>
    <row r="812" spans="1:43" x14ac:dyDescent="0.25">
      <c r="A812" s="258">
        <f>ROW(TAB_Offres[[#This Row],[Reference]])-ROW(TAB_Offres[[#Headers],[ID]])</f>
        <v>811</v>
      </c>
      <c r="B812" s="258"/>
      <c r="C812" s="258"/>
      <c r="D812" s="258"/>
      <c r="E812" s="263"/>
      <c r="F812" s="258"/>
      <c r="G812" s="263"/>
      <c r="H812" s="262"/>
      <c r="I812" s="262"/>
      <c r="J812" s="262"/>
      <c r="K812" s="262"/>
      <c r="L812" s="262"/>
      <c r="M812" s="264"/>
      <c r="N812" s="262"/>
      <c r="O812" s="262"/>
      <c r="P812" s="262"/>
      <c r="Q812" s="263"/>
      <c r="R812" s="263"/>
      <c r="S812" s="292"/>
      <c r="T812" s="261"/>
      <c r="U812" s="261"/>
      <c r="V812" s="268"/>
      <c r="W812" s="268"/>
      <c r="X812" s="268"/>
      <c r="Y812" s="268"/>
      <c r="Z812" s="471">
        <f>SUMIF(TAB_CS[Reference],TAB_Offres[[#This Row],[Reference]],TAB_CS[Commited days])</f>
        <v>0</v>
      </c>
      <c r="AA812" s="269">
        <f>SUMIF(TAB_CS[Reference],TAB_Offres[[#This Row],[Reference]],TAB_CS[Commited amount])</f>
        <v>0</v>
      </c>
      <c r="AB812" s="275"/>
      <c r="AC812" s="270"/>
      <c r="AD812" s="270"/>
      <c r="AE812" s="264"/>
      <c r="AF812" s="271"/>
      <c r="AG812" s="278"/>
      <c r="AH812" s="277" t="str">
        <f>CONCATENATE(YEAR(TAB_Offres[[#This Row],[Request date ]]),"-",MONTH(TAB_Offres[[#This Row],[Request date ]]))</f>
        <v>1900-1</v>
      </c>
      <c r="AI812" s="274" t="e">
        <f>IF(#REF!,1,0)</f>
        <v>#REF!</v>
      </c>
      <c r="AJ812" s="4"/>
      <c r="AK812" s="4"/>
      <c r="AL812" s="4"/>
      <c r="AN812" s="150"/>
      <c r="AQ812" s="4"/>
    </row>
    <row r="813" spans="1:43" x14ac:dyDescent="0.25">
      <c r="A813" s="258">
        <f>ROW(TAB_Offres[[#This Row],[Reference]])-ROW(TAB_Offres[[#Headers],[ID]])</f>
        <v>812</v>
      </c>
      <c r="B813" s="258"/>
      <c r="C813" s="258"/>
      <c r="D813" s="258"/>
      <c r="E813" s="263"/>
      <c r="F813" s="258"/>
      <c r="G813" s="263"/>
      <c r="H813" s="262"/>
      <c r="I813" s="262"/>
      <c r="J813" s="262"/>
      <c r="K813" s="262"/>
      <c r="L813" s="262"/>
      <c r="M813" s="264"/>
      <c r="N813" s="262"/>
      <c r="O813" s="262"/>
      <c r="P813" s="262"/>
      <c r="Q813" s="263"/>
      <c r="R813" s="263"/>
      <c r="S813" s="292"/>
      <c r="T813" s="261"/>
      <c r="U813" s="261"/>
      <c r="V813" s="268"/>
      <c r="W813" s="268"/>
      <c r="X813" s="268"/>
      <c r="Y813" s="268"/>
      <c r="Z813" s="471">
        <f>SUMIF(TAB_CS[Reference],TAB_Offres[[#This Row],[Reference]],TAB_CS[Commited days])</f>
        <v>0</v>
      </c>
      <c r="AA813" s="269">
        <f>SUMIF(TAB_CS[Reference],TAB_Offres[[#This Row],[Reference]],TAB_CS[Commited amount])</f>
        <v>0</v>
      </c>
      <c r="AB813" s="275"/>
      <c r="AC813" s="270"/>
      <c r="AD813" s="270"/>
      <c r="AE813" s="264"/>
      <c r="AF813" s="271"/>
      <c r="AG813" s="278"/>
      <c r="AH813" s="277" t="str">
        <f>CONCATENATE(YEAR(TAB_Offres[[#This Row],[Request date ]]),"-",MONTH(TAB_Offres[[#This Row],[Request date ]]))</f>
        <v>1900-1</v>
      </c>
      <c r="AI813" s="274" t="e">
        <f>IF(#REF!,1,0)</f>
        <v>#REF!</v>
      </c>
      <c r="AJ813" s="4"/>
      <c r="AK813" s="4"/>
      <c r="AL813" s="4"/>
      <c r="AN813" s="150"/>
      <c r="AQ813" s="4"/>
    </row>
    <row r="814" spans="1:43" x14ac:dyDescent="0.25">
      <c r="A814" s="258">
        <f>ROW(TAB_Offres[[#This Row],[Reference]])-ROW(TAB_Offres[[#Headers],[ID]])</f>
        <v>813</v>
      </c>
      <c r="B814" s="258"/>
      <c r="C814" s="258"/>
      <c r="D814" s="258"/>
      <c r="E814" s="263"/>
      <c r="F814" s="258"/>
      <c r="G814" s="263"/>
      <c r="H814" s="262"/>
      <c r="I814" s="262"/>
      <c r="J814" s="262"/>
      <c r="K814" s="262"/>
      <c r="L814" s="262"/>
      <c r="M814" s="264"/>
      <c r="N814" s="262"/>
      <c r="O814" s="262"/>
      <c r="P814" s="262"/>
      <c r="Q814" s="263"/>
      <c r="R814" s="263"/>
      <c r="S814" s="292"/>
      <c r="T814" s="261"/>
      <c r="U814" s="261"/>
      <c r="V814" s="268"/>
      <c r="W814" s="268"/>
      <c r="X814" s="268"/>
      <c r="Y814" s="268"/>
      <c r="Z814" s="471">
        <f>SUMIF(TAB_CS[Reference],TAB_Offres[[#This Row],[Reference]],TAB_CS[Commited days])</f>
        <v>0</v>
      </c>
      <c r="AA814" s="269">
        <f>SUMIF(TAB_CS[Reference],TAB_Offres[[#This Row],[Reference]],TAB_CS[Commited amount])</f>
        <v>0</v>
      </c>
      <c r="AB814" s="275"/>
      <c r="AC814" s="270"/>
      <c r="AD814" s="270"/>
      <c r="AE814" s="264"/>
      <c r="AF814" s="271"/>
      <c r="AG814" s="278"/>
      <c r="AH814" s="277" t="str">
        <f>CONCATENATE(YEAR(TAB_Offres[[#This Row],[Request date ]]),"-",MONTH(TAB_Offres[[#This Row],[Request date ]]))</f>
        <v>1900-1</v>
      </c>
      <c r="AI814" s="274" t="e">
        <f>IF(#REF!,1,0)</f>
        <v>#REF!</v>
      </c>
      <c r="AJ814" s="4"/>
      <c r="AK814" s="4"/>
      <c r="AL814" s="4"/>
      <c r="AN814" s="150"/>
      <c r="AQ814" s="4"/>
    </row>
    <row r="815" spans="1:43" x14ac:dyDescent="0.25">
      <c r="A815" s="258">
        <f>ROW(TAB_Offres[[#This Row],[Reference]])-ROW(TAB_Offres[[#Headers],[ID]])</f>
        <v>814</v>
      </c>
      <c r="B815" s="258"/>
      <c r="C815" s="258"/>
      <c r="D815" s="258"/>
      <c r="E815" s="263"/>
      <c r="F815" s="258"/>
      <c r="G815" s="263"/>
      <c r="H815" s="262"/>
      <c r="I815" s="262"/>
      <c r="J815" s="262"/>
      <c r="K815" s="262"/>
      <c r="L815" s="262"/>
      <c r="M815" s="264"/>
      <c r="N815" s="262"/>
      <c r="O815" s="262"/>
      <c r="P815" s="262"/>
      <c r="Q815" s="263"/>
      <c r="R815" s="263"/>
      <c r="S815" s="292"/>
      <c r="T815" s="261"/>
      <c r="U815" s="261"/>
      <c r="V815" s="268"/>
      <c r="W815" s="268"/>
      <c r="X815" s="268"/>
      <c r="Y815" s="268"/>
      <c r="Z815" s="471">
        <f>SUMIF(TAB_CS[Reference],TAB_Offres[[#This Row],[Reference]],TAB_CS[Commited days])</f>
        <v>0</v>
      </c>
      <c r="AA815" s="269">
        <f>SUMIF(TAB_CS[Reference],TAB_Offres[[#This Row],[Reference]],TAB_CS[Commited amount])</f>
        <v>0</v>
      </c>
      <c r="AB815" s="275"/>
      <c r="AC815" s="270"/>
      <c r="AD815" s="270"/>
      <c r="AE815" s="264"/>
      <c r="AF815" s="271"/>
      <c r="AG815" s="278"/>
      <c r="AH815" s="277" t="str">
        <f>CONCATENATE(YEAR(TAB_Offres[[#This Row],[Request date ]]),"-",MONTH(TAB_Offres[[#This Row],[Request date ]]))</f>
        <v>1900-1</v>
      </c>
      <c r="AI815" s="274" t="e">
        <f>IF(#REF!,1,0)</f>
        <v>#REF!</v>
      </c>
      <c r="AJ815" s="4"/>
      <c r="AK815" s="4"/>
      <c r="AL815" s="4"/>
      <c r="AN815" s="150"/>
      <c r="AQ815" s="4"/>
    </row>
    <row r="816" spans="1:43" x14ac:dyDescent="0.25">
      <c r="A816" s="258">
        <f>ROW(TAB_Offres[[#This Row],[Reference]])-ROW(TAB_Offres[[#Headers],[ID]])</f>
        <v>815</v>
      </c>
      <c r="B816" s="258"/>
      <c r="C816" s="258"/>
      <c r="D816" s="258"/>
      <c r="E816" s="263"/>
      <c r="F816" s="258"/>
      <c r="G816" s="263"/>
      <c r="H816" s="262"/>
      <c r="I816" s="262"/>
      <c r="J816" s="262"/>
      <c r="K816" s="262"/>
      <c r="L816" s="262"/>
      <c r="M816" s="264"/>
      <c r="N816" s="262"/>
      <c r="O816" s="262"/>
      <c r="P816" s="262"/>
      <c r="Q816" s="263"/>
      <c r="R816" s="263"/>
      <c r="S816" s="292"/>
      <c r="T816" s="261"/>
      <c r="U816" s="261"/>
      <c r="V816" s="268"/>
      <c r="W816" s="268"/>
      <c r="X816" s="268"/>
      <c r="Y816" s="268"/>
      <c r="Z816" s="471">
        <f>SUMIF(TAB_CS[Reference],TAB_Offres[[#This Row],[Reference]],TAB_CS[Commited days])</f>
        <v>0</v>
      </c>
      <c r="AA816" s="269">
        <f>SUMIF(TAB_CS[Reference],TAB_Offres[[#This Row],[Reference]],TAB_CS[Commited amount])</f>
        <v>0</v>
      </c>
      <c r="AB816" s="275"/>
      <c r="AC816" s="270"/>
      <c r="AD816" s="270"/>
      <c r="AE816" s="264"/>
      <c r="AF816" s="271"/>
      <c r="AG816" s="278"/>
      <c r="AH816" s="277" t="str">
        <f>CONCATENATE(YEAR(TAB_Offres[[#This Row],[Request date ]]),"-",MONTH(TAB_Offres[[#This Row],[Request date ]]))</f>
        <v>1900-1</v>
      </c>
      <c r="AI816" s="274" t="e">
        <f>IF(#REF!,1,0)</f>
        <v>#REF!</v>
      </c>
      <c r="AJ816" s="4"/>
      <c r="AK816" s="4"/>
      <c r="AL816" s="4"/>
      <c r="AN816" s="150"/>
      <c r="AQ816" s="4"/>
    </row>
    <row r="817" spans="1:43" x14ac:dyDescent="0.25">
      <c r="A817" s="258">
        <f>ROW(TAB_Offres[[#This Row],[Reference]])-ROW(TAB_Offres[[#Headers],[ID]])</f>
        <v>816</v>
      </c>
      <c r="B817" s="258"/>
      <c r="C817" s="258"/>
      <c r="D817" s="258"/>
      <c r="E817" s="263"/>
      <c r="F817" s="258"/>
      <c r="G817" s="263"/>
      <c r="H817" s="262"/>
      <c r="I817" s="262"/>
      <c r="J817" s="262"/>
      <c r="K817" s="262"/>
      <c r="L817" s="262"/>
      <c r="M817" s="264"/>
      <c r="N817" s="262"/>
      <c r="O817" s="262"/>
      <c r="P817" s="262"/>
      <c r="Q817" s="263"/>
      <c r="R817" s="263"/>
      <c r="S817" s="292"/>
      <c r="T817" s="261"/>
      <c r="U817" s="261"/>
      <c r="V817" s="268"/>
      <c r="W817" s="268"/>
      <c r="X817" s="268"/>
      <c r="Y817" s="268"/>
      <c r="Z817" s="471">
        <f>SUMIF(TAB_CS[Reference],TAB_Offres[[#This Row],[Reference]],TAB_CS[Commited days])</f>
        <v>0</v>
      </c>
      <c r="AA817" s="269">
        <f>SUMIF(TAB_CS[Reference],TAB_Offres[[#This Row],[Reference]],TAB_CS[Commited amount])</f>
        <v>0</v>
      </c>
      <c r="AB817" s="275"/>
      <c r="AC817" s="270"/>
      <c r="AD817" s="270"/>
      <c r="AE817" s="264"/>
      <c r="AF817" s="271"/>
      <c r="AG817" s="278"/>
      <c r="AH817" s="277" t="str">
        <f>CONCATENATE(YEAR(TAB_Offres[[#This Row],[Request date ]]),"-",MONTH(TAB_Offres[[#This Row],[Request date ]]))</f>
        <v>1900-1</v>
      </c>
      <c r="AI817" s="274" t="e">
        <f>IF(#REF!,1,0)</f>
        <v>#REF!</v>
      </c>
      <c r="AJ817" s="4"/>
      <c r="AK817" s="4"/>
      <c r="AL817" s="4"/>
      <c r="AN817" s="150"/>
      <c r="AQ817" s="4"/>
    </row>
    <row r="818" spans="1:43" x14ac:dyDescent="0.25">
      <c r="A818" s="258">
        <f>ROW(TAB_Offres[[#This Row],[Reference]])-ROW(TAB_Offres[[#Headers],[ID]])</f>
        <v>817</v>
      </c>
      <c r="B818" s="258"/>
      <c r="C818" s="258"/>
      <c r="D818" s="258"/>
      <c r="E818" s="263"/>
      <c r="F818" s="258"/>
      <c r="G818" s="263"/>
      <c r="H818" s="262"/>
      <c r="I818" s="262"/>
      <c r="J818" s="262"/>
      <c r="K818" s="262"/>
      <c r="L818" s="262"/>
      <c r="M818" s="264"/>
      <c r="N818" s="262"/>
      <c r="O818" s="262"/>
      <c r="P818" s="262"/>
      <c r="Q818" s="263"/>
      <c r="R818" s="263"/>
      <c r="S818" s="292"/>
      <c r="T818" s="261"/>
      <c r="U818" s="261"/>
      <c r="V818" s="268"/>
      <c r="W818" s="268"/>
      <c r="X818" s="268"/>
      <c r="Y818" s="268"/>
      <c r="Z818" s="471">
        <f>SUMIF(TAB_CS[Reference],TAB_Offres[[#This Row],[Reference]],TAB_CS[Commited days])</f>
        <v>0</v>
      </c>
      <c r="AA818" s="269">
        <f>SUMIF(TAB_CS[Reference],TAB_Offres[[#This Row],[Reference]],TAB_CS[Commited amount])</f>
        <v>0</v>
      </c>
      <c r="AB818" s="275"/>
      <c r="AC818" s="270"/>
      <c r="AD818" s="270"/>
      <c r="AE818" s="264"/>
      <c r="AF818" s="271"/>
      <c r="AG818" s="278"/>
      <c r="AH818" s="277" t="str">
        <f>CONCATENATE(YEAR(TAB_Offres[[#This Row],[Request date ]]),"-",MONTH(TAB_Offres[[#This Row],[Request date ]]))</f>
        <v>1900-1</v>
      </c>
      <c r="AI818" s="274" t="e">
        <f>IF(#REF!,1,0)</f>
        <v>#REF!</v>
      </c>
      <c r="AJ818" s="4"/>
      <c r="AK818" s="4"/>
      <c r="AL818" s="4"/>
      <c r="AN818" s="150"/>
      <c r="AQ818" s="4"/>
    </row>
    <row r="819" spans="1:43" x14ac:dyDescent="0.25">
      <c r="A819" s="258">
        <f>ROW(TAB_Offres[[#This Row],[Reference]])-ROW(TAB_Offres[[#Headers],[ID]])</f>
        <v>818</v>
      </c>
      <c r="B819" s="258"/>
      <c r="C819" s="258"/>
      <c r="D819" s="258"/>
      <c r="E819" s="263"/>
      <c r="F819" s="258"/>
      <c r="G819" s="263"/>
      <c r="H819" s="262"/>
      <c r="I819" s="262"/>
      <c r="J819" s="262"/>
      <c r="K819" s="262"/>
      <c r="L819" s="262"/>
      <c r="M819" s="264"/>
      <c r="N819" s="262"/>
      <c r="O819" s="262"/>
      <c r="P819" s="262"/>
      <c r="Q819" s="263"/>
      <c r="R819" s="263"/>
      <c r="S819" s="292"/>
      <c r="T819" s="261"/>
      <c r="U819" s="261"/>
      <c r="V819" s="268"/>
      <c r="W819" s="268"/>
      <c r="X819" s="268"/>
      <c r="Y819" s="268"/>
      <c r="Z819" s="471">
        <f>SUMIF(TAB_CS[Reference],TAB_Offres[[#This Row],[Reference]],TAB_CS[Commited days])</f>
        <v>0</v>
      </c>
      <c r="AA819" s="269">
        <f>SUMIF(TAB_CS[Reference],TAB_Offres[[#This Row],[Reference]],TAB_CS[Commited amount])</f>
        <v>0</v>
      </c>
      <c r="AB819" s="275"/>
      <c r="AC819" s="270"/>
      <c r="AD819" s="270"/>
      <c r="AE819" s="264"/>
      <c r="AF819" s="271"/>
      <c r="AG819" s="278"/>
      <c r="AH819" s="277" t="str">
        <f>CONCATENATE(YEAR(TAB_Offres[[#This Row],[Request date ]]),"-",MONTH(TAB_Offres[[#This Row],[Request date ]]))</f>
        <v>1900-1</v>
      </c>
      <c r="AI819" s="274" t="e">
        <f>IF(#REF!,1,0)</f>
        <v>#REF!</v>
      </c>
      <c r="AJ819" s="4"/>
      <c r="AK819" s="4"/>
      <c r="AL819" s="4"/>
      <c r="AN819" s="150"/>
      <c r="AQ819" s="4"/>
    </row>
    <row r="820" spans="1:43" x14ac:dyDescent="0.25">
      <c r="A820" s="258">
        <f>ROW(TAB_Offres[[#This Row],[Reference]])-ROW(TAB_Offres[[#Headers],[ID]])</f>
        <v>819</v>
      </c>
      <c r="B820" s="258"/>
      <c r="C820" s="258"/>
      <c r="D820" s="258"/>
      <c r="E820" s="263"/>
      <c r="F820" s="258"/>
      <c r="G820" s="263"/>
      <c r="H820" s="262"/>
      <c r="I820" s="262"/>
      <c r="J820" s="262"/>
      <c r="K820" s="262"/>
      <c r="L820" s="262"/>
      <c r="M820" s="264"/>
      <c r="N820" s="262"/>
      <c r="O820" s="262"/>
      <c r="P820" s="262"/>
      <c r="Q820" s="263"/>
      <c r="R820" s="263"/>
      <c r="S820" s="292"/>
      <c r="T820" s="261"/>
      <c r="U820" s="261"/>
      <c r="V820" s="268"/>
      <c r="W820" s="268"/>
      <c r="X820" s="268"/>
      <c r="Y820" s="268"/>
      <c r="Z820" s="471">
        <f>SUMIF(TAB_CS[Reference],TAB_Offres[[#This Row],[Reference]],TAB_CS[Commited days])</f>
        <v>0</v>
      </c>
      <c r="AA820" s="269">
        <f>SUMIF(TAB_CS[Reference],TAB_Offres[[#This Row],[Reference]],TAB_CS[Commited amount])</f>
        <v>0</v>
      </c>
      <c r="AB820" s="275"/>
      <c r="AC820" s="270"/>
      <c r="AD820" s="270"/>
      <c r="AE820" s="264"/>
      <c r="AF820" s="271"/>
      <c r="AG820" s="278"/>
      <c r="AH820" s="277" t="str">
        <f>CONCATENATE(YEAR(TAB_Offres[[#This Row],[Request date ]]),"-",MONTH(TAB_Offres[[#This Row],[Request date ]]))</f>
        <v>1900-1</v>
      </c>
      <c r="AI820" s="274" t="e">
        <f>IF(#REF!,1,0)</f>
        <v>#REF!</v>
      </c>
      <c r="AJ820" s="4"/>
      <c r="AK820" s="4"/>
      <c r="AL820" s="4"/>
      <c r="AN820" s="150"/>
      <c r="AQ820" s="4"/>
    </row>
    <row r="821" spans="1:43" x14ac:dyDescent="0.25">
      <c r="A821" s="258">
        <f>ROW(TAB_Offres[[#This Row],[Reference]])-ROW(TAB_Offres[[#Headers],[ID]])</f>
        <v>820</v>
      </c>
      <c r="B821" s="258"/>
      <c r="C821" s="258"/>
      <c r="D821" s="258"/>
      <c r="E821" s="263"/>
      <c r="F821" s="258"/>
      <c r="G821" s="263"/>
      <c r="H821" s="262"/>
      <c r="I821" s="262"/>
      <c r="J821" s="262"/>
      <c r="K821" s="262"/>
      <c r="L821" s="262"/>
      <c r="M821" s="264"/>
      <c r="N821" s="262"/>
      <c r="O821" s="262"/>
      <c r="P821" s="262"/>
      <c r="Q821" s="263"/>
      <c r="R821" s="263"/>
      <c r="S821" s="292"/>
      <c r="T821" s="261"/>
      <c r="U821" s="261"/>
      <c r="V821" s="268"/>
      <c r="W821" s="268"/>
      <c r="X821" s="268"/>
      <c r="Y821" s="268"/>
      <c r="Z821" s="471">
        <f>SUMIF(TAB_CS[Reference],TAB_Offres[[#This Row],[Reference]],TAB_CS[Commited days])</f>
        <v>0</v>
      </c>
      <c r="AA821" s="269">
        <f>SUMIF(TAB_CS[Reference],TAB_Offres[[#This Row],[Reference]],TAB_CS[Commited amount])</f>
        <v>0</v>
      </c>
      <c r="AB821" s="275"/>
      <c r="AC821" s="270"/>
      <c r="AD821" s="270"/>
      <c r="AE821" s="264"/>
      <c r="AF821" s="271"/>
      <c r="AG821" s="278"/>
      <c r="AH821" s="277" t="str">
        <f>CONCATENATE(YEAR(TAB_Offres[[#This Row],[Request date ]]),"-",MONTH(TAB_Offres[[#This Row],[Request date ]]))</f>
        <v>1900-1</v>
      </c>
      <c r="AI821" s="274" t="e">
        <f>IF(#REF!,1,0)</f>
        <v>#REF!</v>
      </c>
      <c r="AJ821" s="4"/>
      <c r="AK821" s="4"/>
      <c r="AL821" s="4"/>
      <c r="AN821" s="150"/>
      <c r="AQ821" s="4"/>
    </row>
    <row r="822" spans="1:43" x14ac:dyDescent="0.25">
      <c r="A822" s="258">
        <f>ROW(TAB_Offres[[#This Row],[Reference]])-ROW(TAB_Offres[[#Headers],[ID]])</f>
        <v>821</v>
      </c>
      <c r="B822" s="258"/>
      <c r="C822" s="258"/>
      <c r="D822" s="258"/>
      <c r="E822" s="263"/>
      <c r="F822" s="258"/>
      <c r="G822" s="263"/>
      <c r="H822" s="262"/>
      <c r="I822" s="262"/>
      <c r="J822" s="262"/>
      <c r="K822" s="262"/>
      <c r="L822" s="262"/>
      <c r="M822" s="264"/>
      <c r="N822" s="262"/>
      <c r="O822" s="262"/>
      <c r="P822" s="262"/>
      <c r="Q822" s="263"/>
      <c r="R822" s="263"/>
      <c r="S822" s="292"/>
      <c r="T822" s="261"/>
      <c r="U822" s="261"/>
      <c r="V822" s="268"/>
      <c r="W822" s="268"/>
      <c r="X822" s="268"/>
      <c r="Y822" s="268"/>
      <c r="Z822" s="471">
        <f>SUMIF(TAB_CS[Reference],TAB_Offres[[#This Row],[Reference]],TAB_CS[Commited days])</f>
        <v>0</v>
      </c>
      <c r="AA822" s="269">
        <f>SUMIF(TAB_CS[Reference],TAB_Offres[[#This Row],[Reference]],TAB_CS[Commited amount])</f>
        <v>0</v>
      </c>
      <c r="AB822" s="275"/>
      <c r="AC822" s="270"/>
      <c r="AD822" s="270"/>
      <c r="AE822" s="264"/>
      <c r="AF822" s="271"/>
      <c r="AG822" s="278"/>
      <c r="AH822" s="277" t="str">
        <f>CONCATENATE(YEAR(TAB_Offres[[#This Row],[Request date ]]),"-",MONTH(TAB_Offres[[#This Row],[Request date ]]))</f>
        <v>1900-1</v>
      </c>
      <c r="AI822" s="274" t="e">
        <f>IF(#REF!,1,0)</f>
        <v>#REF!</v>
      </c>
      <c r="AJ822" s="4"/>
      <c r="AK822" s="4"/>
      <c r="AL822" s="4"/>
      <c r="AN822" s="150"/>
      <c r="AQ822" s="4"/>
    </row>
    <row r="823" spans="1:43" x14ac:dyDescent="0.25">
      <c r="A823" s="258">
        <f>ROW(TAB_Offres[[#This Row],[Reference]])-ROW(TAB_Offres[[#Headers],[ID]])</f>
        <v>822</v>
      </c>
      <c r="B823" s="258"/>
      <c r="C823" s="258"/>
      <c r="D823" s="258"/>
      <c r="E823" s="263"/>
      <c r="F823" s="258"/>
      <c r="G823" s="263"/>
      <c r="H823" s="262"/>
      <c r="I823" s="262"/>
      <c r="J823" s="262"/>
      <c r="K823" s="262"/>
      <c r="L823" s="262"/>
      <c r="M823" s="264"/>
      <c r="N823" s="262"/>
      <c r="O823" s="262"/>
      <c r="P823" s="262"/>
      <c r="Q823" s="263"/>
      <c r="R823" s="263"/>
      <c r="S823" s="292"/>
      <c r="T823" s="261"/>
      <c r="U823" s="261"/>
      <c r="V823" s="268"/>
      <c r="W823" s="268"/>
      <c r="X823" s="268"/>
      <c r="Y823" s="268"/>
      <c r="Z823" s="471">
        <f>SUMIF(TAB_CS[Reference],TAB_Offres[[#This Row],[Reference]],TAB_CS[Commited days])</f>
        <v>0</v>
      </c>
      <c r="AA823" s="269">
        <f>SUMIF(TAB_CS[Reference],TAB_Offres[[#This Row],[Reference]],TAB_CS[Commited amount])</f>
        <v>0</v>
      </c>
      <c r="AB823" s="275"/>
      <c r="AC823" s="270"/>
      <c r="AD823" s="270"/>
      <c r="AE823" s="264"/>
      <c r="AF823" s="271"/>
      <c r="AG823" s="278"/>
      <c r="AH823" s="277" t="str">
        <f>CONCATENATE(YEAR(TAB_Offres[[#This Row],[Request date ]]),"-",MONTH(TAB_Offres[[#This Row],[Request date ]]))</f>
        <v>1900-1</v>
      </c>
      <c r="AI823" s="274" t="e">
        <f>IF(#REF!,1,0)</f>
        <v>#REF!</v>
      </c>
      <c r="AJ823" s="4"/>
      <c r="AK823" s="4"/>
      <c r="AL823" s="4"/>
      <c r="AN823" s="150"/>
      <c r="AQ823" s="4"/>
    </row>
    <row r="824" spans="1:43" x14ac:dyDescent="0.25">
      <c r="A824" s="258">
        <f>ROW(TAB_Offres[[#This Row],[Reference]])-ROW(TAB_Offres[[#Headers],[ID]])</f>
        <v>823</v>
      </c>
      <c r="B824" s="258"/>
      <c r="C824" s="258"/>
      <c r="D824" s="258"/>
      <c r="E824" s="263"/>
      <c r="F824" s="258"/>
      <c r="G824" s="263"/>
      <c r="H824" s="262"/>
      <c r="I824" s="262"/>
      <c r="J824" s="262"/>
      <c r="K824" s="262"/>
      <c r="L824" s="262"/>
      <c r="M824" s="264"/>
      <c r="N824" s="262"/>
      <c r="O824" s="262"/>
      <c r="P824" s="262"/>
      <c r="Q824" s="263"/>
      <c r="R824" s="263"/>
      <c r="S824" s="292"/>
      <c r="T824" s="261"/>
      <c r="U824" s="261"/>
      <c r="V824" s="268"/>
      <c r="W824" s="268"/>
      <c r="X824" s="268"/>
      <c r="Y824" s="268"/>
      <c r="Z824" s="471">
        <f>SUMIF(TAB_CS[Reference],TAB_Offres[[#This Row],[Reference]],TAB_CS[Commited days])</f>
        <v>0</v>
      </c>
      <c r="AA824" s="269">
        <f>SUMIF(TAB_CS[Reference],TAB_Offres[[#This Row],[Reference]],TAB_CS[Commited amount])</f>
        <v>0</v>
      </c>
      <c r="AB824" s="275"/>
      <c r="AC824" s="270"/>
      <c r="AD824" s="270"/>
      <c r="AE824" s="264"/>
      <c r="AF824" s="271"/>
      <c r="AG824" s="278"/>
      <c r="AH824" s="277" t="str">
        <f>CONCATENATE(YEAR(TAB_Offres[[#This Row],[Request date ]]),"-",MONTH(TAB_Offres[[#This Row],[Request date ]]))</f>
        <v>1900-1</v>
      </c>
      <c r="AI824" s="274" t="e">
        <f>IF(#REF!,1,0)</f>
        <v>#REF!</v>
      </c>
      <c r="AJ824" s="4"/>
      <c r="AK824" s="4"/>
      <c r="AL824" s="4"/>
      <c r="AN824" s="150"/>
      <c r="AQ824" s="4"/>
    </row>
    <row r="825" spans="1:43" x14ac:dyDescent="0.25">
      <c r="A825" s="258">
        <f>ROW(TAB_Offres[[#This Row],[Reference]])-ROW(TAB_Offres[[#Headers],[ID]])</f>
        <v>824</v>
      </c>
      <c r="B825" s="258"/>
      <c r="C825" s="258"/>
      <c r="D825" s="258"/>
      <c r="E825" s="263"/>
      <c r="F825" s="258"/>
      <c r="G825" s="263"/>
      <c r="H825" s="262"/>
      <c r="I825" s="262"/>
      <c r="J825" s="262"/>
      <c r="K825" s="262"/>
      <c r="L825" s="262"/>
      <c r="M825" s="264"/>
      <c r="N825" s="262"/>
      <c r="O825" s="262"/>
      <c r="P825" s="262"/>
      <c r="Q825" s="263"/>
      <c r="R825" s="263"/>
      <c r="S825" s="292"/>
      <c r="T825" s="261"/>
      <c r="U825" s="261"/>
      <c r="V825" s="268"/>
      <c r="W825" s="268"/>
      <c r="X825" s="268"/>
      <c r="Y825" s="268"/>
      <c r="Z825" s="471">
        <f>SUMIF(TAB_CS[Reference],TAB_Offres[[#This Row],[Reference]],TAB_CS[Commited days])</f>
        <v>0</v>
      </c>
      <c r="AA825" s="269">
        <f>SUMIF(TAB_CS[Reference],TAB_Offres[[#This Row],[Reference]],TAB_CS[Commited amount])</f>
        <v>0</v>
      </c>
      <c r="AB825" s="275"/>
      <c r="AC825" s="270"/>
      <c r="AD825" s="270"/>
      <c r="AE825" s="264"/>
      <c r="AF825" s="271"/>
      <c r="AG825" s="278"/>
      <c r="AH825" s="277" t="str">
        <f>CONCATENATE(YEAR(TAB_Offres[[#This Row],[Request date ]]),"-",MONTH(TAB_Offres[[#This Row],[Request date ]]))</f>
        <v>1900-1</v>
      </c>
      <c r="AI825" s="274" t="e">
        <f>IF(#REF!,1,0)</f>
        <v>#REF!</v>
      </c>
      <c r="AJ825" s="4"/>
      <c r="AK825" s="4"/>
      <c r="AL825" s="4"/>
      <c r="AN825" s="150"/>
      <c r="AQ825" s="4"/>
    </row>
    <row r="826" spans="1:43" x14ac:dyDescent="0.25">
      <c r="A826" s="258">
        <f>ROW(TAB_Offres[[#This Row],[Reference]])-ROW(TAB_Offres[[#Headers],[ID]])</f>
        <v>825</v>
      </c>
      <c r="B826" s="258"/>
      <c r="C826" s="258"/>
      <c r="D826" s="258"/>
      <c r="E826" s="263"/>
      <c r="F826" s="258"/>
      <c r="G826" s="263"/>
      <c r="H826" s="262"/>
      <c r="I826" s="262"/>
      <c r="J826" s="262"/>
      <c r="K826" s="262"/>
      <c r="L826" s="262"/>
      <c r="M826" s="264"/>
      <c r="N826" s="262"/>
      <c r="O826" s="262"/>
      <c r="P826" s="262"/>
      <c r="Q826" s="263"/>
      <c r="R826" s="263"/>
      <c r="S826" s="292"/>
      <c r="T826" s="261"/>
      <c r="U826" s="261"/>
      <c r="V826" s="268"/>
      <c r="W826" s="268"/>
      <c r="X826" s="268"/>
      <c r="Y826" s="268"/>
      <c r="Z826" s="471">
        <f>SUMIF(TAB_CS[Reference],TAB_Offres[[#This Row],[Reference]],TAB_CS[Commited days])</f>
        <v>0</v>
      </c>
      <c r="AA826" s="269">
        <f>SUMIF(TAB_CS[Reference],TAB_Offres[[#This Row],[Reference]],TAB_CS[Commited amount])</f>
        <v>0</v>
      </c>
      <c r="AB826" s="275"/>
      <c r="AC826" s="270"/>
      <c r="AD826" s="270"/>
      <c r="AE826" s="264"/>
      <c r="AF826" s="271"/>
      <c r="AG826" s="278"/>
      <c r="AH826" s="277" t="str">
        <f>CONCATENATE(YEAR(TAB_Offres[[#This Row],[Request date ]]),"-",MONTH(TAB_Offres[[#This Row],[Request date ]]))</f>
        <v>1900-1</v>
      </c>
      <c r="AI826" s="274" t="e">
        <f>IF(#REF!,1,0)</f>
        <v>#REF!</v>
      </c>
      <c r="AJ826" s="4"/>
      <c r="AK826" s="4"/>
      <c r="AL826" s="4"/>
      <c r="AN826" s="150"/>
      <c r="AQ826" s="4"/>
    </row>
    <row r="827" spans="1:43" x14ac:dyDescent="0.25">
      <c r="A827" s="258">
        <f>ROW(TAB_Offres[[#This Row],[Reference]])-ROW(TAB_Offres[[#Headers],[ID]])</f>
        <v>826</v>
      </c>
      <c r="B827" s="258"/>
      <c r="C827" s="258"/>
      <c r="D827" s="258"/>
      <c r="E827" s="263"/>
      <c r="F827" s="258"/>
      <c r="G827" s="263"/>
      <c r="H827" s="262"/>
      <c r="I827" s="262"/>
      <c r="J827" s="262"/>
      <c r="K827" s="262"/>
      <c r="L827" s="262"/>
      <c r="M827" s="264"/>
      <c r="N827" s="262"/>
      <c r="O827" s="262"/>
      <c r="P827" s="262"/>
      <c r="Q827" s="263"/>
      <c r="R827" s="263"/>
      <c r="S827" s="292"/>
      <c r="T827" s="261"/>
      <c r="U827" s="261"/>
      <c r="V827" s="268"/>
      <c r="W827" s="268"/>
      <c r="X827" s="268"/>
      <c r="Y827" s="268"/>
      <c r="Z827" s="471">
        <f>SUMIF(TAB_CS[Reference],TAB_Offres[[#This Row],[Reference]],TAB_CS[Commited days])</f>
        <v>0</v>
      </c>
      <c r="AA827" s="269">
        <f>SUMIF(TAB_CS[Reference],TAB_Offres[[#This Row],[Reference]],TAB_CS[Commited amount])</f>
        <v>0</v>
      </c>
      <c r="AB827" s="275"/>
      <c r="AC827" s="270"/>
      <c r="AD827" s="270"/>
      <c r="AE827" s="264"/>
      <c r="AF827" s="271"/>
      <c r="AG827" s="278"/>
      <c r="AH827" s="277" t="str">
        <f>CONCATENATE(YEAR(TAB_Offres[[#This Row],[Request date ]]),"-",MONTH(TAB_Offres[[#This Row],[Request date ]]))</f>
        <v>1900-1</v>
      </c>
      <c r="AI827" s="274" t="e">
        <f>IF(#REF!,1,0)</f>
        <v>#REF!</v>
      </c>
      <c r="AJ827" s="4"/>
      <c r="AK827" s="4"/>
      <c r="AL827" s="4"/>
      <c r="AN827" s="150"/>
      <c r="AQ827" s="4"/>
    </row>
    <row r="828" spans="1:43" x14ac:dyDescent="0.25">
      <c r="A828" s="258">
        <f>ROW(TAB_Offres[[#This Row],[Reference]])-ROW(TAB_Offres[[#Headers],[ID]])</f>
        <v>827</v>
      </c>
      <c r="B828" s="258"/>
      <c r="C828" s="258"/>
      <c r="D828" s="258"/>
      <c r="E828" s="263"/>
      <c r="F828" s="258"/>
      <c r="G828" s="263"/>
      <c r="H828" s="262"/>
      <c r="I828" s="262"/>
      <c r="J828" s="262"/>
      <c r="K828" s="262"/>
      <c r="L828" s="262"/>
      <c r="M828" s="264"/>
      <c r="N828" s="262"/>
      <c r="O828" s="262"/>
      <c r="P828" s="262"/>
      <c r="Q828" s="263"/>
      <c r="R828" s="263"/>
      <c r="S828" s="292"/>
      <c r="T828" s="261"/>
      <c r="U828" s="261"/>
      <c r="V828" s="268"/>
      <c r="W828" s="268"/>
      <c r="X828" s="268"/>
      <c r="Y828" s="268"/>
      <c r="Z828" s="471">
        <f>SUMIF(TAB_CS[Reference],TAB_Offres[[#This Row],[Reference]],TAB_CS[Commited days])</f>
        <v>0</v>
      </c>
      <c r="AA828" s="269">
        <f>SUMIF(TAB_CS[Reference],TAB_Offres[[#This Row],[Reference]],TAB_CS[Commited amount])</f>
        <v>0</v>
      </c>
      <c r="AB828" s="275"/>
      <c r="AC828" s="270"/>
      <c r="AD828" s="270"/>
      <c r="AE828" s="264"/>
      <c r="AF828" s="271"/>
      <c r="AG828" s="278"/>
      <c r="AH828" s="277" t="str">
        <f>CONCATENATE(YEAR(TAB_Offres[[#This Row],[Request date ]]),"-",MONTH(TAB_Offres[[#This Row],[Request date ]]))</f>
        <v>1900-1</v>
      </c>
      <c r="AI828" s="274" t="e">
        <f>IF(#REF!,1,0)</f>
        <v>#REF!</v>
      </c>
      <c r="AJ828" s="4"/>
      <c r="AK828" s="4"/>
      <c r="AL828" s="4"/>
      <c r="AN828" s="150"/>
      <c r="AQ828" s="4"/>
    </row>
    <row r="829" spans="1:43" x14ac:dyDescent="0.25">
      <c r="A829" s="258">
        <f>ROW(TAB_Offres[[#This Row],[Reference]])-ROW(TAB_Offres[[#Headers],[ID]])</f>
        <v>828</v>
      </c>
      <c r="B829" s="258"/>
      <c r="C829" s="258"/>
      <c r="D829" s="258"/>
      <c r="E829" s="263"/>
      <c r="F829" s="258"/>
      <c r="G829" s="263"/>
      <c r="H829" s="262"/>
      <c r="I829" s="262"/>
      <c r="J829" s="262"/>
      <c r="K829" s="262"/>
      <c r="L829" s="262"/>
      <c r="M829" s="264"/>
      <c r="N829" s="262"/>
      <c r="O829" s="262"/>
      <c r="P829" s="262"/>
      <c r="Q829" s="263"/>
      <c r="R829" s="263"/>
      <c r="S829" s="292"/>
      <c r="T829" s="261"/>
      <c r="U829" s="261"/>
      <c r="V829" s="268"/>
      <c r="W829" s="268"/>
      <c r="X829" s="268"/>
      <c r="Y829" s="268"/>
      <c r="Z829" s="471">
        <f>SUMIF(TAB_CS[Reference],TAB_Offres[[#This Row],[Reference]],TAB_CS[Commited days])</f>
        <v>0</v>
      </c>
      <c r="AA829" s="269">
        <f>SUMIF(TAB_CS[Reference],TAB_Offres[[#This Row],[Reference]],TAB_CS[Commited amount])</f>
        <v>0</v>
      </c>
      <c r="AB829" s="275"/>
      <c r="AC829" s="270"/>
      <c r="AD829" s="270"/>
      <c r="AE829" s="264"/>
      <c r="AF829" s="271"/>
      <c r="AG829" s="278"/>
      <c r="AH829" s="277" t="str">
        <f>CONCATENATE(YEAR(TAB_Offres[[#This Row],[Request date ]]),"-",MONTH(TAB_Offres[[#This Row],[Request date ]]))</f>
        <v>1900-1</v>
      </c>
      <c r="AI829" s="274" t="e">
        <f>IF(#REF!,1,0)</f>
        <v>#REF!</v>
      </c>
      <c r="AJ829" s="4"/>
      <c r="AK829" s="4"/>
      <c r="AL829" s="4"/>
      <c r="AN829" s="150"/>
      <c r="AQ829" s="4"/>
    </row>
    <row r="830" spans="1:43" x14ac:dyDescent="0.25">
      <c r="A830" s="258">
        <f>ROW(TAB_Offres[[#This Row],[Reference]])-ROW(TAB_Offres[[#Headers],[ID]])</f>
        <v>829</v>
      </c>
      <c r="B830" s="258"/>
      <c r="C830" s="258"/>
      <c r="D830" s="258"/>
      <c r="E830" s="263"/>
      <c r="F830" s="258"/>
      <c r="G830" s="263"/>
      <c r="H830" s="262"/>
      <c r="I830" s="262"/>
      <c r="J830" s="262"/>
      <c r="K830" s="262"/>
      <c r="L830" s="262"/>
      <c r="M830" s="264"/>
      <c r="N830" s="262"/>
      <c r="O830" s="262"/>
      <c r="P830" s="262"/>
      <c r="Q830" s="263"/>
      <c r="R830" s="263"/>
      <c r="S830" s="292"/>
      <c r="T830" s="261"/>
      <c r="U830" s="261"/>
      <c r="V830" s="268"/>
      <c r="W830" s="268"/>
      <c r="X830" s="268"/>
      <c r="Y830" s="268"/>
      <c r="Z830" s="471">
        <f>SUMIF(TAB_CS[Reference],TAB_Offres[[#This Row],[Reference]],TAB_CS[Commited days])</f>
        <v>0</v>
      </c>
      <c r="AA830" s="269">
        <f>SUMIF(TAB_CS[Reference],TAB_Offres[[#This Row],[Reference]],TAB_CS[Commited amount])</f>
        <v>0</v>
      </c>
      <c r="AB830" s="275"/>
      <c r="AC830" s="270"/>
      <c r="AD830" s="270"/>
      <c r="AE830" s="264"/>
      <c r="AF830" s="271"/>
      <c r="AG830" s="278"/>
      <c r="AH830" s="277" t="str">
        <f>CONCATENATE(YEAR(TAB_Offres[[#This Row],[Request date ]]),"-",MONTH(TAB_Offres[[#This Row],[Request date ]]))</f>
        <v>1900-1</v>
      </c>
      <c r="AI830" s="274" t="e">
        <f>IF(#REF!,1,0)</f>
        <v>#REF!</v>
      </c>
      <c r="AJ830" s="4"/>
      <c r="AK830" s="4"/>
      <c r="AL830" s="4"/>
      <c r="AN830" s="150"/>
      <c r="AQ830" s="4"/>
    </row>
    <row r="831" spans="1:43" x14ac:dyDescent="0.25">
      <c r="A831" s="258">
        <f>ROW(TAB_Offres[[#This Row],[Reference]])-ROW(TAB_Offres[[#Headers],[ID]])</f>
        <v>830</v>
      </c>
      <c r="B831" s="258"/>
      <c r="C831" s="258"/>
      <c r="D831" s="258"/>
      <c r="E831" s="263"/>
      <c r="F831" s="258"/>
      <c r="G831" s="263"/>
      <c r="H831" s="262"/>
      <c r="I831" s="262"/>
      <c r="J831" s="262"/>
      <c r="K831" s="262"/>
      <c r="L831" s="262"/>
      <c r="M831" s="264"/>
      <c r="N831" s="262"/>
      <c r="O831" s="262"/>
      <c r="P831" s="262"/>
      <c r="Q831" s="263"/>
      <c r="R831" s="263"/>
      <c r="S831" s="292"/>
      <c r="T831" s="261"/>
      <c r="U831" s="261"/>
      <c r="V831" s="268"/>
      <c r="W831" s="268"/>
      <c r="X831" s="268"/>
      <c r="Y831" s="268"/>
      <c r="Z831" s="471">
        <f>SUMIF(TAB_CS[Reference],TAB_Offres[[#This Row],[Reference]],TAB_CS[Commited days])</f>
        <v>0</v>
      </c>
      <c r="AA831" s="269">
        <f>SUMIF(TAB_CS[Reference],TAB_Offres[[#This Row],[Reference]],TAB_CS[Commited amount])</f>
        <v>0</v>
      </c>
      <c r="AB831" s="275"/>
      <c r="AC831" s="270"/>
      <c r="AD831" s="270"/>
      <c r="AE831" s="264"/>
      <c r="AF831" s="271"/>
      <c r="AG831" s="278"/>
      <c r="AH831" s="277" t="str">
        <f>CONCATENATE(YEAR(TAB_Offres[[#This Row],[Request date ]]),"-",MONTH(TAB_Offres[[#This Row],[Request date ]]))</f>
        <v>1900-1</v>
      </c>
      <c r="AI831" s="274" t="e">
        <f>IF(#REF!,1,0)</f>
        <v>#REF!</v>
      </c>
      <c r="AJ831" s="4"/>
      <c r="AK831" s="4"/>
      <c r="AL831" s="4"/>
      <c r="AN831" s="150"/>
      <c r="AQ831" s="4"/>
    </row>
    <row r="832" spans="1:43" x14ac:dyDescent="0.25">
      <c r="A832" s="258">
        <f>ROW(TAB_Offres[[#This Row],[Reference]])-ROW(TAB_Offres[[#Headers],[ID]])</f>
        <v>831</v>
      </c>
      <c r="B832" s="258"/>
      <c r="C832" s="258"/>
      <c r="D832" s="258"/>
      <c r="E832" s="263"/>
      <c r="F832" s="258"/>
      <c r="G832" s="263"/>
      <c r="H832" s="262"/>
      <c r="I832" s="262"/>
      <c r="J832" s="262"/>
      <c r="K832" s="262"/>
      <c r="L832" s="262"/>
      <c r="M832" s="264"/>
      <c r="N832" s="262"/>
      <c r="O832" s="262"/>
      <c r="P832" s="262"/>
      <c r="Q832" s="263"/>
      <c r="R832" s="263"/>
      <c r="S832" s="292"/>
      <c r="T832" s="261"/>
      <c r="U832" s="261"/>
      <c r="V832" s="268"/>
      <c r="W832" s="268"/>
      <c r="X832" s="268"/>
      <c r="Y832" s="268"/>
      <c r="Z832" s="471">
        <f>SUMIF(TAB_CS[Reference],TAB_Offres[[#This Row],[Reference]],TAB_CS[Commited days])</f>
        <v>0</v>
      </c>
      <c r="AA832" s="269">
        <f>SUMIF(TAB_CS[Reference],TAB_Offres[[#This Row],[Reference]],TAB_CS[Commited amount])</f>
        <v>0</v>
      </c>
      <c r="AB832" s="275"/>
      <c r="AC832" s="270"/>
      <c r="AD832" s="270"/>
      <c r="AE832" s="264"/>
      <c r="AF832" s="271"/>
      <c r="AG832" s="278"/>
      <c r="AH832" s="277" t="str">
        <f>CONCATENATE(YEAR(TAB_Offres[[#This Row],[Request date ]]),"-",MONTH(TAB_Offres[[#This Row],[Request date ]]))</f>
        <v>1900-1</v>
      </c>
      <c r="AI832" s="274" t="e">
        <f>IF(#REF!,1,0)</f>
        <v>#REF!</v>
      </c>
      <c r="AJ832" s="4"/>
      <c r="AK832" s="4"/>
      <c r="AL832" s="4"/>
      <c r="AN832" s="150"/>
      <c r="AQ832" s="4"/>
    </row>
    <row r="833" spans="1:43" x14ac:dyDescent="0.25">
      <c r="A833" s="258">
        <f>ROW(TAB_Offres[[#This Row],[Reference]])-ROW(TAB_Offres[[#Headers],[ID]])</f>
        <v>832</v>
      </c>
      <c r="B833" s="258"/>
      <c r="C833" s="258"/>
      <c r="D833" s="258"/>
      <c r="E833" s="263"/>
      <c r="F833" s="258"/>
      <c r="G833" s="263"/>
      <c r="H833" s="262"/>
      <c r="I833" s="262"/>
      <c r="J833" s="262"/>
      <c r="K833" s="262"/>
      <c r="L833" s="262"/>
      <c r="M833" s="264"/>
      <c r="N833" s="262"/>
      <c r="O833" s="262"/>
      <c r="P833" s="262"/>
      <c r="Q833" s="263"/>
      <c r="R833" s="263"/>
      <c r="S833" s="292"/>
      <c r="T833" s="261"/>
      <c r="U833" s="261"/>
      <c r="V833" s="268"/>
      <c r="W833" s="268"/>
      <c r="X833" s="268"/>
      <c r="Y833" s="268"/>
      <c r="Z833" s="471">
        <f>SUMIF(TAB_CS[Reference],TAB_Offres[[#This Row],[Reference]],TAB_CS[Commited days])</f>
        <v>0</v>
      </c>
      <c r="AA833" s="269">
        <f>SUMIF(TAB_CS[Reference],TAB_Offres[[#This Row],[Reference]],TAB_CS[Commited amount])</f>
        <v>0</v>
      </c>
      <c r="AB833" s="275"/>
      <c r="AC833" s="270"/>
      <c r="AD833" s="270"/>
      <c r="AE833" s="264"/>
      <c r="AF833" s="271"/>
      <c r="AG833" s="278"/>
      <c r="AH833" s="277" t="str">
        <f>CONCATENATE(YEAR(TAB_Offres[[#This Row],[Request date ]]),"-",MONTH(TAB_Offres[[#This Row],[Request date ]]))</f>
        <v>1900-1</v>
      </c>
      <c r="AI833" s="274" t="e">
        <f>IF(#REF!,1,0)</f>
        <v>#REF!</v>
      </c>
      <c r="AJ833" s="4"/>
      <c r="AK833" s="4"/>
      <c r="AL833" s="4"/>
      <c r="AN833" s="150"/>
      <c r="AQ833" s="4"/>
    </row>
    <row r="834" spans="1:43" x14ac:dyDescent="0.25">
      <c r="A834" s="258">
        <f>ROW(TAB_Offres[[#This Row],[Reference]])-ROW(TAB_Offres[[#Headers],[ID]])</f>
        <v>833</v>
      </c>
      <c r="B834" s="258"/>
      <c r="C834" s="258"/>
      <c r="D834" s="258"/>
      <c r="E834" s="263"/>
      <c r="F834" s="258"/>
      <c r="G834" s="263"/>
      <c r="H834" s="262"/>
      <c r="I834" s="262"/>
      <c r="J834" s="262"/>
      <c r="K834" s="262"/>
      <c r="L834" s="262"/>
      <c r="M834" s="264"/>
      <c r="N834" s="262"/>
      <c r="O834" s="262"/>
      <c r="P834" s="262"/>
      <c r="Q834" s="263"/>
      <c r="R834" s="263"/>
      <c r="S834" s="292"/>
      <c r="T834" s="261"/>
      <c r="U834" s="261"/>
      <c r="V834" s="268"/>
      <c r="W834" s="268"/>
      <c r="X834" s="268"/>
      <c r="Y834" s="268"/>
      <c r="Z834" s="471">
        <f>SUMIF(TAB_CS[Reference],TAB_Offres[[#This Row],[Reference]],TAB_CS[Commited days])</f>
        <v>0</v>
      </c>
      <c r="AA834" s="269">
        <f>SUMIF(TAB_CS[Reference],TAB_Offres[[#This Row],[Reference]],TAB_CS[Commited amount])</f>
        <v>0</v>
      </c>
      <c r="AB834" s="275"/>
      <c r="AC834" s="270"/>
      <c r="AD834" s="270"/>
      <c r="AE834" s="264"/>
      <c r="AF834" s="271"/>
      <c r="AG834" s="278"/>
      <c r="AH834" s="277" t="str">
        <f>CONCATENATE(YEAR(TAB_Offres[[#This Row],[Request date ]]),"-",MONTH(TAB_Offres[[#This Row],[Request date ]]))</f>
        <v>1900-1</v>
      </c>
      <c r="AI834" s="274" t="e">
        <f>IF(#REF!,1,0)</f>
        <v>#REF!</v>
      </c>
      <c r="AJ834" s="4"/>
      <c r="AK834" s="4"/>
      <c r="AL834" s="4"/>
      <c r="AN834" s="150"/>
      <c r="AQ834" s="4"/>
    </row>
    <row r="835" spans="1:43" x14ac:dyDescent="0.25">
      <c r="A835" s="258">
        <f>ROW(TAB_Offres[[#This Row],[Reference]])-ROW(TAB_Offres[[#Headers],[ID]])</f>
        <v>834</v>
      </c>
      <c r="B835" s="258"/>
      <c r="C835" s="258"/>
      <c r="D835" s="258"/>
      <c r="E835" s="263"/>
      <c r="F835" s="258"/>
      <c r="G835" s="263"/>
      <c r="H835" s="262"/>
      <c r="I835" s="262"/>
      <c r="J835" s="262"/>
      <c r="K835" s="262"/>
      <c r="L835" s="262"/>
      <c r="M835" s="264"/>
      <c r="N835" s="262"/>
      <c r="O835" s="262"/>
      <c r="P835" s="262"/>
      <c r="Q835" s="263"/>
      <c r="R835" s="263"/>
      <c r="S835" s="292"/>
      <c r="T835" s="261"/>
      <c r="U835" s="261"/>
      <c r="V835" s="268"/>
      <c r="W835" s="268"/>
      <c r="X835" s="268"/>
      <c r="Y835" s="268"/>
      <c r="Z835" s="471">
        <f>SUMIF(TAB_CS[Reference],TAB_Offres[[#This Row],[Reference]],TAB_CS[Commited days])</f>
        <v>0</v>
      </c>
      <c r="AA835" s="269">
        <f>SUMIF(TAB_CS[Reference],TAB_Offres[[#This Row],[Reference]],TAB_CS[Commited amount])</f>
        <v>0</v>
      </c>
      <c r="AB835" s="275"/>
      <c r="AC835" s="270"/>
      <c r="AD835" s="270"/>
      <c r="AE835" s="264"/>
      <c r="AF835" s="271"/>
      <c r="AG835" s="278"/>
      <c r="AH835" s="277" t="str">
        <f>CONCATENATE(YEAR(TAB_Offres[[#This Row],[Request date ]]),"-",MONTH(TAB_Offres[[#This Row],[Request date ]]))</f>
        <v>1900-1</v>
      </c>
      <c r="AI835" s="274" t="e">
        <f>IF(#REF!,1,0)</f>
        <v>#REF!</v>
      </c>
      <c r="AJ835" s="4"/>
      <c r="AK835" s="4"/>
      <c r="AL835" s="4"/>
      <c r="AN835" s="150"/>
      <c r="AQ835" s="4"/>
    </row>
    <row r="836" spans="1:43" x14ac:dyDescent="0.25">
      <c r="A836" s="258">
        <f>ROW(TAB_Offres[[#This Row],[Reference]])-ROW(TAB_Offres[[#Headers],[ID]])</f>
        <v>835</v>
      </c>
      <c r="B836" s="258"/>
      <c r="C836" s="258"/>
      <c r="D836" s="258"/>
      <c r="E836" s="263"/>
      <c r="F836" s="258"/>
      <c r="G836" s="263"/>
      <c r="H836" s="262"/>
      <c r="I836" s="262"/>
      <c r="J836" s="262"/>
      <c r="K836" s="262"/>
      <c r="L836" s="262"/>
      <c r="M836" s="264"/>
      <c r="N836" s="262"/>
      <c r="O836" s="262"/>
      <c r="P836" s="262"/>
      <c r="Q836" s="263"/>
      <c r="R836" s="263"/>
      <c r="S836" s="292"/>
      <c r="T836" s="261"/>
      <c r="U836" s="261"/>
      <c r="V836" s="268"/>
      <c r="W836" s="268"/>
      <c r="X836" s="268"/>
      <c r="Y836" s="268"/>
      <c r="Z836" s="471">
        <f>SUMIF(TAB_CS[Reference],TAB_Offres[[#This Row],[Reference]],TAB_CS[Commited days])</f>
        <v>0</v>
      </c>
      <c r="AA836" s="269">
        <f>SUMIF(TAB_CS[Reference],TAB_Offres[[#This Row],[Reference]],TAB_CS[Commited amount])</f>
        <v>0</v>
      </c>
      <c r="AB836" s="275"/>
      <c r="AC836" s="270"/>
      <c r="AD836" s="270"/>
      <c r="AE836" s="264"/>
      <c r="AF836" s="271"/>
      <c r="AG836" s="278"/>
      <c r="AH836" s="277" t="str">
        <f>CONCATENATE(YEAR(TAB_Offres[[#This Row],[Request date ]]),"-",MONTH(TAB_Offres[[#This Row],[Request date ]]))</f>
        <v>1900-1</v>
      </c>
      <c r="AI836" s="274" t="e">
        <f>IF(#REF!,1,0)</f>
        <v>#REF!</v>
      </c>
      <c r="AJ836" s="4"/>
      <c r="AK836" s="4"/>
      <c r="AL836" s="4"/>
      <c r="AN836" s="150"/>
      <c r="AQ836" s="4"/>
    </row>
    <row r="837" spans="1:43" x14ac:dyDescent="0.25">
      <c r="A837" s="258">
        <f>ROW(TAB_Offres[[#This Row],[Reference]])-ROW(TAB_Offres[[#Headers],[ID]])</f>
        <v>836</v>
      </c>
      <c r="B837" s="258"/>
      <c r="C837" s="258"/>
      <c r="D837" s="258"/>
      <c r="E837" s="263"/>
      <c r="F837" s="258"/>
      <c r="G837" s="263"/>
      <c r="H837" s="262"/>
      <c r="I837" s="262"/>
      <c r="J837" s="262"/>
      <c r="K837" s="262"/>
      <c r="L837" s="262"/>
      <c r="M837" s="264"/>
      <c r="N837" s="262"/>
      <c r="O837" s="262"/>
      <c r="P837" s="262"/>
      <c r="Q837" s="263"/>
      <c r="R837" s="263"/>
      <c r="S837" s="292"/>
      <c r="T837" s="261"/>
      <c r="U837" s="261"/>
      <c r="V837" s="268"/>
      <c r="W837" s="268"/>
      <c r="X837" s="268"/>
      <c r="Y837" s="268"/>
      <c r="Z837" s="471">
        <f>SUMIF(TAB_CS[Reference],TAB_Offres[[#This Row],[Reference]],TAB_CS[Commited days])</f>
        <v>0</v>
      </c>
      <c r="AA837" s="269">
        <f>SUMIF(TAB_CS[Reference],TAB_Offres[[#This Row],[Reference]],TAB_CS[Commited amount])</f>
        <v>0</v>
      </c>
      <c r="AB837" s="275"/>
      <c r="AC837" s="270"/>
      <c r="AD837" s="270"/>
      <c r="AE837" s="264"/>
      <c r="AF837" s="271"/>
      <c r="AG837" s="278"/>
      <c r="AH837" s="277" t="str">
        <f>CONCATENATE(YEAR(TAB_Offres[[#This Row],[Request date ]]),"-",MONTH(TAB_Offres[[#This Row],[Request date ]]))</f>
        <v>1900-1</v>
      </c>
      <c r="AI837" s="274" t="e">
        <f>IF(#REF!,1,0)</f>
        <v>#REF!</v>
      </c>
      <c r="AJ837" s="4"/>
      <c r="AK837" s="4"/>
      <c r="AL837" s="4"/>
      <c r="AN837" s="150"/>
      <c r="AQ837" s="4"/>
    </row>
    <row r="838" spans="1:43" x14ac:dyDescent="0.25">
      <c r="A838" s="258">
        <f>ROW(TAB_Offres[[#This Row],[Reference]])-ROW(TAB_Offres[[#Headers],[ID]])</f>
        <v>837</v>
      </c>
      <c r="B838" s="258"/>
      <c r="C838" s="258"/>
      <c r="D838" s="258"/>
      <c r="E838" s="263"/>
      <c r="F838" s="258"/>
      <c r="G838" s="263"/>
      <c r="H838" s="262"/>
      <c r="I838" s="262"/>
      <c r="J838" s="262"/>
      <c r="K838" s="262"/>
      <c r="L838" s="262"/>
      <c r="M838" s="264"/>
      <c r="N838" s="262"/>
      <c r="O838" s="262"/>
      <c r="P838" s="262"/>
      <c r="Q838" s="263"/>
      <c r="R838" s="263"/>
      <c r="S838" s="292"/>
      <c r="T838" s="261"/>
      <c r="U838" s="261"/>
      <c r="V838" s="268"/>
      <c r="W838" s="268"/>
      <c r="X838" s="268"/>
      <c r="Y838" s="268"/>
      <c r="Z838" s="471">
        <f>SUMIF(TAB_CS[Reference],TAB_Offres[[#This Row],[Reference]],TAB_CS[Commited days])</f>
        <v>0</v>
      </c>
      <c r="AA838" s="269">
        <f>SUMIF(TAB_CS[Reference],TAB_Offres[[#This Row],[Reference]],TAB_CS[Commited amount])</f>
        <v>0</v>
      </c>
      <c r="AB838" s="275"/>
      <c r="AC838" s="270"/>
      <c r="AD838" s="270"/>
      <c r="AE838" s="264"/>
      <c r="AF838" s="271"/>
      <c r="AG838" s="278"/>
      <c r="AH838" s="277" t="str">
        <f>CONCATENATE(YEAR(TAB_Offres[[#This Row],[Request date ]]),"-",MONTH(TAB_Offres[[#This Row],[Request date ]]))</f>
        <v>1900-1</v>
      </c>
      <c r="AI838" s="274" t="e">
        <f>IF(#REF!,1,0)</f>
        <v>#REF!</v>
      </c>
      <c r="AJ838" s="4"/>
      <c r="AK838" s="4"/>
      <c r="AL838" s="4"/>
      <c r="AN838" s="150"/>
      <c r="AQ838" s="4"/>
    </row>
    <row r="839" spans="1:43" x14ac:dyDescent="0.25">
      <c r="A839" s="258">
        <f>ROW(TAB_Offres[[#This Row],[Reference]])-ROW(TAB_Offres[[#Headers],[ID]])</f>
        <v>838</v>
      </c>
      <c r="B839" s="258"/>
      <c r="C839" s="258"/>
      <c r="D839" s="258"/>
      <c r="E839" s="263"/>
      <c r="F839" s="258"/>
      <c r="G839" s="263"/>
      <c r="H839" s="262"/>
      <c r="I839" s="262"/>
      <c r="J839" s="262"/>
      <c r="K839" s="262"/>
      <c r="L839" s="262"/>
      <c r="M839" s="264"/>
      <c r="N839" s="262"/>
      <c r="O839" s="262"/>
      <c r="P839" s="262"/>
      <c r="Q839" s="263"/>
      <c r="R839" s="263"/>
      <c r="S839" s="292"/>
      <c r="T839" s="261"/>
      <c r="U839" s="261"/>
      <c r="V839" s="268"/>
      <c r="W839" s="268"/>
      <c r="X839" s="268"/>
      <c r="Y839" s="268"/>
      <c r="Z839" s="471">
        <f>SUMIF(TAB_CS[Reference],TAB_Offres[[#This Row],[Reference]],TAB_CS[Commited days])</f>
        <v>0</v>
      </c>
      <c r="AA839" s="269">
        <f>SUMIF(TAB_CS[Reference],TAB_Offres[[#This Row],[Reference]],TAB_CS[Commited amount])</f>
        <v>0</v>
      </c>
      <c r="AB839" s="275"/>
      <c r="AC839" s="270"/>
      <c r="AD839" s="270"/>
      <c r="AE839" s="264"/>
      <c r="AF839" s="271"/>
      <c r="AG839" s="278"/>
      <c r="AH839" s="277" t="str">
        <f>CONCATENATE(YEAR(TAB_Offres[[#This Row],[Request date ]]),"-",MONTH(TAB_Offres[[#This Row],[Request date ]]))</f>
        <v>1900-1</v>
      </c>
      <c r="AI839" s="274" t="e">
        <f>IF(#REF!,1,0)</f>
        <v>#REF!</v>
      </c>
      <c r="AJ839" s="4"/>
      <c r="AK839" s="4"/>
      <c r="AL839" s="4"/>
      <c r="AN839" s="150"/>
      <c r="AQ839" s="4"/>
    </row>
    <row r="840" spans="1:43" x14ac:dyDescent="0.25">
      <c r="A840" s="258">
        <f>ROW(TAB_Offres[[#This Row],[Reference]])-ROW(TAB_Offres[[#Headers],[ID]])</f>
        <v>839</v>
      </c>
      <c r="B840" s="258"/>
      <c r="C840" s="258"/>
      <c r="D840" s="258"/>
      <c r="E840" s="263"/>
      <c r="F840" s="258"/>
      <c r="G840" s="263"/>
      <c r="H840" s="262"/>
      <c r="I840" s="262"/>
      <c r="J840" s="262"/>
      <c r="K840" s="262"/>
      <c r="L840" s="262"/>
      <c r="M840" s="264"/>
      <c r="N840" s="262"/>
      <c r="O840" s="262"/>
      <c r="P840" s="262"/>
      <c r="Q840" s="263"/>
      <c r="R840" s="263"/>
      <c r="S840" s="292"/>
      <c r="T840" s="261"/>
      <c r="U840" s="261"/>
      <c r="V840" s="268"/>
      <c r="W840" s="268"/>
      <c r="X840" s="268"/>
      <c r="Y840" s="268"/>
      <c r="Z840" s="471">
        <f>SUMIF(TAB_CS[Reference],TAB_Offres[[#This Row],[Reference]],TAB_CS[Commited days])</f>
        <v>0</v>
      </c>
      <c r="AA840" s="269">
        <f>SUMIF(TAB_CS[Reference],TAB_Offres[[#This Row],[Reference]],TAB_CS[Commited amount])</f>
        <v>0</v>
      </c>
      <c r="AB840" s="275"/>
      <c r="AC840" s="270"/>
      <c r="AD840" s="270"/>
      <c r="AE840" s="264"/>
      <c r="AF840" s="271"/>
      <c r="AG840" s="278"/>
      <c r="AH840" s="277" t="str">
        <f>CONCATENATE(YEAR(TAB_Offres[[#This Row],[Request date ]]),"-",MONTH(TAB_Offres[[#This Row],[Request date ]]))</f>
        <v>1900-1</v>
      </c>
      <c r="AI840" s="274" t="e">
        <f>IF(#REF!,1,0)</f>
        <v>#REF!</v>
      </c>
      <c r="AJ840" s="4"/>
      <c r="AK840" s="4"/>
      <c r="AL840" s="4"/>
      <c r="AN840" s="150"/>
      <c r="AQ840" s="4"/>
    </row>
    <row r="841" spans="1:43" x14ac:dyDescent="0.25">
      <c r="A841" s="258">
        <f>ROW(TAB_Offres[[#This Row],[Reference]])-ROW(TAB_Offres[[#Headers],[ID]])</f>
        <v>840</v>
      </c>
      <c r="B841" s="258"/>
      <c r="C841" s="258"/>
      <c r="D841" s="258"/>
      <c r="E841" s="263"/>
      <c r="F841" s="258"/>
      <c r="G841" s="263"/>
      <c r="H841" s="262"/>
      <c r="I841" s="262"/>
      <c r="J841" s="262"/>
      <c r="K841" s="262"/>
      <c r="L841" s="262"/>
      <c r="M841" s="264"/>
      <c r="N841" s="262"/>
      <c r="O841" s="262"/>
      <c r="P841" s="262"/>
      <c r="Q841" s="263"/>
      <c r="R841" s="263"/>
      <c r="S841" s="292"/>
      <c r="T841" s="261"/>
      <c r="U841" s="261"/>
      <c r="V841" s="268"/>
      <c r="W841" s="268"/>
      <c r="X841" s="268"/>
      <c r="Y841" s="268"/>
      <c r="Z841" s="471">
        <f>SUMIF(TAB_CS[Reference],TAB_Offres[[#This Row],[Reference]],TAB_CS[Commited days])</f>
        <v>0</v>
      </c>
      <c r="AA841" s="269">
        <f>SUMIF(TAB_CS[Reference],TAB_Offres[[#This Row],[Reference]],TAB_CS[Commited amount])</f>
        <v>0</v>
      </c>
      <c r="AB841" s="275"/>
      <c r="AC841" s="270"/>
      <c r="AD841" s="270"/>
      <c r="AE841" s="264"/>
      <c r="AF841" s="271"/>
      <c r="AG841" s="278"/>
      <c r="AH841" s="277" t="str">
        <f>CONCATENATE(YEAR(TAB_Offres[[#This Row],[Request date ]]),"-",MONTH(TAB_Offres[[#This Row],[Request date ]]))</f>
        <v>1900-1</v>
      </c>
      <c r="AI841" s="274" t="e">
        <f>IF(#REF!,1,0)</f>
        <v>#REF!</v>
      </c>
      <c r="AJ841" s="4"/>
      <c r="AK841" s="4"/>
      <c r="AL841" s="4"/>
      <c r="AN841" s="150"/>
      <c r="AQ841" s="4"/>
    </row>
    <row r="842" spans="1:43" x14ac:dyDescent="0.25">
      <c r="A842" s="258">
        <f>ROW(TAB_Offres[[#This Row],[Reference]])-ROW(TAB_Offres[[#Headers],[ID]])</f>
        <v>841</v>
      </c>
      <c r="B842" s="258"/>
      <c r="C842" s="258"/>
      <c r="D842" s="258"/>
      <c r="E842" s="263"/>
      <c r="F842" s="258"/>
      <c r="G842" s="263"/>
      <c r="H842" s="262"/>
      <c r="I842" s="262"/>
      <c r="J842" s="262"/>
      <c r="K842" s="262"/>
      <c r="L842" s="262"/>
      <c r="M842" s="264"/>
      <c r="N842" s="262"/>
      <c r="O842" s="262"/>
      <c r="P842" s="262"/>
      <c r="Q842" s="263"/>
      <c r="R842" s="263"/>
      <c r="S842" s="292"/>
      <c r="T842" s="261"/>
      <c r="U842" s="261"/>
      <c r="V842" s="268"/>
      <c r="W842" s="268"/>
      <c r="X842" s="268"/>
      <c r="Y842" s="268"/>
      <c r="Z842" s="471">
        <f>SUMIF(TAB_CS[Reference],TAB_Offres[[#This Row],[Reference]],TAB_CS[Commited days])</f>
        <v>0</v>
      </c>
      <c r="AA842" s="269">
        <f>SUMIF(TAB_CS[Reference],TAB_Offres[[#This Row],[Reference]],TAB_CS[Commited amount])</f>
        <v>0</v>
      </c>
      <c r="AB842" s="275"/>
      <c r="AC842" s="270"/>
      <c r="AD842" s="270"/>
      <c r="AE842" s="264"/>
      <c r="AF842" s="271"/>
      <c r="AG842" s="278"/>
      <c r="AH842" s="277" t="str">
        <f>CONCATENATE(YEAR(TAB_Offres[[#This Row],[Request date ]]),"-",MONTH(TAB_Offres[[#This Row],[Request date ]]))</f>
        <v>1900-1</v>
      </c>
      <c r="AI842" s="274" t="e">
        <f>IF(#REF!,1,0)</f>
        <v>#REF!</v>
      </c>
      <c r="AJ842" s="4"/>
      <c r="AK842" s="4"/>
      <c r="AL842" s="4"/>
      <c r="AN842" s="150"/>
      <c r="AQ842" s="4"/>
    </row>
    <row r="843" spans="1:43" x14ac:dyDescent="0.25">
      <c r="A843" s="258">
        <f>ROW(TAB_Offres[[#This Row],[Reference]])-ROW(TAB_Offres[[#Headers],[ID]])</f>
        <v>842</v>
      </c>
      <c r="B843" s="258"/>
      <c r="C843" s="258"/>
      <c r="D843" s="258"/>
      <c r="E843" s="263"/>
      <c r="F843" s="258"/>
      <c r="G843" s="263"/>
      <c r="H843" s="262"/>
      <c r="I843" s="262"/>
      <c r="J843" s="262"/>
      <c r="K843" s="262"/>
      <c r="L843" s="262"/>
      <c r="M843" s="264"/>
      <c r="N843" s="262"/>
      <c r="O843" s="262"/>
      <c r="P843" s="262"/>
      <c r="Q843" s="263"/>
      <c r="R843" s="263"/>
      <c r="S843" s="292"/>
      <c r="T843" s="261"/>
      <c r="U843" s="261"/>
      <c r="V843" s="268"/>
      <c r="W843" s="268"/>
      <c r="X843" s="268"/>
      <c r="Y843" s="268"/>
      <c r="Z843" s="471">
        <f>SUMIF(TAB_CS[Reference],TAB_Offres[[#This Row],[Reference]],TAB_CS[Commited days])</f>
        <v>0</v>
      </c>
      <c r="AA843" s="269">
        <f>SUMIF(TAB_CS[Reference],TAB_Offres[[#This Row],[Reference]],TAB_CS[Commited amount])</f>
        <v>0</v>
      </c>
      <c r="AB843" s="275"/>
      <c r="AC843" s="270"/>
      <c r="AD843" s="270"/>
      <c r="AE843" s="264"/>
      <c r="AF843" s="271"/>
      <c r="AG843" s="278"/>
      <c r="AH843" s="277" t="str">
        <f>CONCATENATE(YEAR(TAB_Offres[[#This Row],[Request date ]]),"-",MONTH(TAB_Offres[[#This Row],[Request date ]]))</f>
        <v>1900-1</v>
      </c>
      <c r="AI843" s="274" t="e">
        <f>IF(#REF!,1,0)</f>
        <v>#REF!</v>
      </c>
      <c r="AJ843" s="4"/>
      <c r="AK843" s="4"/>
      <c r="AL843" s="4"/>
      <c r="AN843" s="150"/>
      <c r="AQ843" s="4"/>
    </row>
    <row r="844" spans="1:43" x14ac:dyDescent="0.25">
      <c r="A844" s="258">
        <f>ROW(TAB_Offres[[#This Row],[Reference]])-ROW(TAB_Offres[[#Headers],[ID]])</f>
        <v>843</v>
      </c>
      <c r="B844" s="258"/>
      <c r="C844" s="258"/>
      <c r="D844" s="258"/>
      <c r="E844" s="263"/>
      <c r="F844" s="258"/>
      <c r="G844" s="263"/>
      <c r="H844" s="262"/>
      <c r="I844" s="262"/>
      <c r="J844" s="262"/>
      <c r="K844" s="262"/>
      <c r="L844" s="262"/>
      <c r="M844" s="264"/>
      <c r="N844" s="262"/>
      <c r="O844" s="262"/>
      <c r="P844" s="262"/>
      <c r="Q844" s="263"/>
      <c r="R844" s="263"/>
      <c r="S844" s="292"/>
      <c r="T844" s="261"/>
      <c r="U844" s="261"/>
      <c r="V844" s="268"/>
      <c r="W844" s="268"/>
      <c r="X844" s="268"/>
      <c r="Y844" s="268"/>
      <c r="Z844" s="471">
        <f>SUMIF(TAB_CS[Reference],TAB_Offres[[#This Row],[Reference]],TAB_CS[Commited days])</f>
        <v>0</v>
      </c>
      <c r="AA844" s="269">
        <f>SUMIF(TAB_CS[Reference],TAB_Offres[[#This Row],[Reference]],TAB_CS[Commited amount])</f>
        <v>0</v>
      </c>
      <c r="AB844" s="275"/>
      <c r="AC844" s="270"/>
      <c r="AD844" s="270"/>
      <c r="AE844" s="264"/>
      <c r="AF844" s="271"/>
      <c r="AG844" s="278"/>
      <c r="AH844" s="277" t="str">
        <f>CONCATENATE(YEAR(TAB_Offres[[#This Row],[Request date ]]),"-",MONTH(TAB_Offres[[#This Row],[Request date ]]))</f>
        <v>1900-1</v>
      </c>
      <c r="AI844" s="274" t="e">
        <f>IF(#REF!,1,0)</f>
        <v>#REF!</v>
      </c>
      <c r="AJ844" s="4"/>
      <c r="AK844" s="4"/>
      <c r="AL844" s="4"/>
      <c r="AN844" s="150"/>
      <c r="AQ844" s="4"/>
    </row>
    <row r="845" spans="1:43" x14ac:dyDescent="0.25">
      <c r="A845" s="258">
        <f>ROW(TAB_Offres[[#This Row],[Reference]])-ROW(TAB_Offres[[#Headers],[ID]])</f>
        <v>844</v>
      </c>
      <c r="B845" s="258"/>
      <c r="C845" s="258"/>
      <c r="D845" s="258"/>
      <c r="E845" s="263"/>
      <c r="F845" s="258"/>
      <c r="G845" s="263"/>
      <c r="H845" s="262"/>
      <c r="I845" s="262"/>
      <c r="J845" s="262"/>
      <c r="K845" s="262"/>
      <c r="L845" s="262"/>
      <c r="M845" s="264"/>
      <c r="N845" s="262"/>
      <c r="O845" s="262"/>
      <c r="P845" s="262"/>
      <c r="Q845" s="263"/>
      <c r="R845" s="263"/>
      <c r="S845" s="292"/>
      <c r="T845" s="261"/>
      <c r="U845" s="261"/>
      <c r="V845" s="268"/>
      <c r="W845" s="268"/>
      <c r="X845" s="268"/>
      <c r="Y845" s="268"/>
      <c r="Z845" s="471">
        <f>SUMIF(TAB_CS[Reference],TAB_Offres[[#This Row],[Reference]],TAB_CS[Commited days])</f>
        <v>0</v>
      </c>
      <c r="AA845" s="269">
        <f>SUMIF(TAB_CS[Reference],TAB_Offres[[#This Row],[Reference]],TAB_CS[Commited amount])</f>
        <v>0</v>
      </c>
      <c r="AB845" s="275"/>
      <c r="AC845" s="270"/>
      <c r="AD845" s="270"/>
      <c r="AE845" s="264"/>
      <c r="AF845" s="271"/>
      <c r="AG845" s="278"/>
      <c r="AH845" s="277" t="str">
        <f>CONCATENATE(YEAR(TAB_Offres[[#This Row],[Request date ]]),"-",MONTH(TAB_Offres[[#This Row],[Request date ]]))</f>
        <v>1900-1</v>
      </c>
      <c r="AI845" s="274" t="e">
        <f>IF(#REF!,1,0)</f>
        <v>#REF!</v>
      </c>
      <c r="AJ845" s="4"/>
      <c r="AK845" s="4"/>
      <c r="AL845" s="4"/>
      <c r="AN845" s="150"/>
      <c r="AQ845" s="4"/>
    </row>
    <row r="846" spans="1:43" x14ac:dyDescent="0.25">
      <c r="A846" s="258">
        <f>ROW(TAB_Offres[[#This Row],[Reference]])-ROW(TAB_Offres[[#Headers],[ID]])</f>
        <v>845</v>
      </c>
      <c r="B846" s="258"/>
      <c r="C846" s="258"/>
      <c r="D846" s="258"/>
      <c r="E846" s="263"/>
      <c r="F846" s="258"/>
      <c r="G846" s="263"/>
      <c r="H846" s="262"/>
      <c r="I846" s="262"/>
      <c r="J846" s="262"/>
      <c r="K846" s="262"/>
      <c r="L846" s="262"/>
      <c r="M846" s="264"/>
      <c r="N846" s="262"/>
      <c r="O846" s="262"/>
      <c r="P846" s="262"/>
      <c r="Q846" s="263"/>
      <c r="R846" s="263"/>
      <c r="S846" s="292"/>
      <c r="T846" s="261"/>
      <c r="U846" s="261"/>
      <c r="V846" s="268"/>
      <c r="W846" s="268"/>
      <c r="X846" s="268"/>
      <c r="Y846" s="268"/>
      <c r="Z846" s="471">
        <f>SUMIF(TAB_CS[Reference],TAB_Offres[[#This Row],[Reference]],TAB_CS[Commited days])</f>
        <v>0</v>
      </c>
      <c r="AA846" s="269">
        <f>SUMIF(TAB_CS[Reference],TAB_Offres[[#This Row],[Reference]],TAB_CS[Commited amount])</f>
        <v>0</v>
      </c>
      <c r="AB846" s="275"/>
      <c r="AC846" s="270"/>
      <c r="AD846" s="270"/>
      <c r="AE846" s="264"/>
      <c r="AF846" s="271"/>
      <c r="AG846" s="278"/>
      <c r="AH846" s="277" t="str">
        <f>CONCATENATE(YEAR(TAB_Offres[[#This Row],[Request date ]]),"-",MONTH(TAB_Offres[[#This Row],[Request date ]]))</f>
        <v>1900-1</v>
      </c>
      <c r="AI846" s="274" t="e">
        <f>IF(#REF!,1,0)</f>
        <v>#REF!</v>
      </c>
      <c r="AJ846" s="4"/>
      <c r="AK846" s="4"/>
      <c r="AL846" s="4"/>
      <c r="AN846" s="150"/>
      <c r="AQ846" s="4"/>
    </row>
    <row r="847" spans="1:43" x14ac:dyDescent="0.25">
      <c r="A847" s="258">
        <f>ROW(TAB_Offres[[#This Row],[Reference]])-ROW(TAB_Offres[[#Headers],[ID]])</f>
        <v>846</v>
      </c>
      <c r="B847" s="258"/>
      <c r="C847" s="258"/>
      <c r="D847" s="258"/>
      <c r="E847" s="263"/>
      <c r="F847" s="258"/>
      <c r="G847" s="263"/>
      <c r="H847" s="262"/>
      <c r="I847" s="262"/>
      <c r="J847" s="262"/>
      <c r="K847" s="262"/>
      <c r="L847" s="262"/>
      <c r="M847" s="264"/>
      <c r="N847" s="262"/>
      <c r="O847" s="262"/>
      <c r="P847" s="262"/>
      <c r="Q847" s="263"/>
      <c r="R847" s="263"/>
      <c r="S847" s="292"/>
      <c r="T847" s="261"/>
      <c r="U847" s="261"/>
      <c r="V847" s="268"/>
      <c r="W847" s="268"/>
      <c r="X847" s="268"/>
      <c r="Y847" s="268"/>
      <c r="Z847" s="471">
        <f>SUMIF(TAB_CS[Reference],TAB_Offres[[#This Row],[Reference]],TAB_CS[Commited days])</f>
        <v>0</v>
      </c>
      <c r="AA847" s="269">
        <f>SUMIF(TAB_CS[Reference],TAB_Offres[[#This Row],[Reference]],TAB_CS[Commited amount])</f>
        <v>0</v>
      </c>
      <c r="AB847" s="275"/>
      <c r="AC847" s="270"/>
      <c r="AD847" s="270"/>
      <c r="AE847" s="264"/>
      <c r="AF847" s="271"/>
      <c r="AG847" s="278"/>
      <c r="AH847" s="277" t="str">
        <f>CONCATENATE(YEAR(TAB_Offres[[#This Row],[Request date ]]),"-",MONTH(TAB_Offres[[#This Row],[Request date ]]))</f>
        <v>1900-1</v>
      </c>
      <c r="AI847" s="274" t="e">
        <f>IF(#REF!,1,0)</f>
        <v>#REF!</v>
      </c>
      <c r="AJ847" s="4"/>
      <c r="AK847" s="4"/>
      <c r="AL847" s="4"/>
      <c r="AN847" s="150"/>
      <c r="AQ847" s="4"/>
    </row>
    <row r="848" spans="1:43" x14ac:dyDescent="0.25">
      <c r="A848" s="258">
        <f>ROW(TAB_Offres[[#This Row],[Reference]])-ROW(TAB_Offres[[#Headers],[ID]])</f>
        <v>847</v>
      </c>
      <c r="B848" s="258"/>
      <c r="C848" s="258"/>
      <c r="D848" s="258"/>
      <c r="E848" s="263"/>
      <c r="F848" s="258"/>
      <c r="G848" s="263"/>
      <c r="H848" s="262"/>
      <c r="I848" s="262"/>
      <c r="J848" s="262"/>
      <c r="K848" s="262"/>
      <c r="L848" s="262"/>
      <c r="M848" s="264"/>
      <c r="N848" s="262"/>
      <c r="O848" s="262"/>
      <c r="P848" s="262"/>
      <c r="Q848" s="263"/>
      <c r="R848" s="263"/>
      <c r="S848" s="292"/>
      <c r="T848" s="261"/>
      <c r="U848" s="261"/>
      <c r="V848" s="268"/>
      <c r="W848" s="268"/>
      <c r="X848" s="268"/>
      <c r="Y848" s="268"/>
      <c r="Z848" s="471">
        <f>SUMIF(TAB_CS[Reference],TAB_Offres[[#This Row],[Reference]],TAB_CS[Commited days])</f>
        <v>0</v>
      </c>
      <c r="AA848" s="269">
        <f>SUMIF(TAB_CS[Reference],TAB_Offres[[#This Row],[Reference]],TAB_CS[Commited amount])</f>
        <v>0</v>
      </c>
      <c r="AB848" s="275"/>
      <c r="AC848" s="270"/>
      <c r="AD848" s="270"/>
      <c r="AE848" s="264"/>
      <c r="AF848" s="271"/>
      <c r="AG848" s="278"/>
      <c r="AH848" s="277" t="str">
        <f>CONCATENATE(YEAR(TAB_Offres[[#This Row],[Request date ]]),"-",MONTH(TAB_Offres[[#This Row],[Request date ]]))</f>
        <v>1900-1</v>
      </c>
      <c r="AI848" s="274" t="e">
        <f>IF(#REF!,1,0)</f>
        <v>#REF!</v>
      </c>
      <c r="AJ848" s="4"/>
      <c r="AK848" s="4"/>
      <c r="AL848" s="4"/>
      <c r="AN848" s="150"/>
      <c r="AQ848" s="4"/>
    </row>
    <row r="849" spans="1:43" x14ac:dyDescent="0.25">
      <c r="A849" s="258">
        <f>ROW(TAB_Offres[[#This Row],[Reference]])-ROW(TAB_Offres[[#Headers],[ID]])</f>
        <v>848</v>
      </c>
      <c r="B849" s="258"/>
      <c r="C849" s="258"/>
      <c r="D849" s="258"/>
      <c r="E849" s="263"/>
      <c r="F849" s="258"/>
      <c r="G849" s="263"/>
      <c r="H849" s="262"/>
      <c r="I849" s="262"/>
      <c r="J849" s="262"/>
      <c r="K849" s="262"/>
      <c r="L849" s="262"/>
      <c r="M849" s="264"/>
      <c r="N849" s="262"/>
      <c r="O849" s="262"/>
      <c r="P849" s="262"/>
      <c r="Q849" s="263"/>
      <c r="R849" s="263"/>
      <c r="S849" s="292"/>
      <c r="T849" s="261"/>
      <c r="U849" s="261"/>
      <c r="V849" s="268"/>
      <c r="W849" s="268"/>
      <c r="X849" s="268"/>
      <c r="Y849" s="268"/>
      <c r="Z849" s="471">
        <f>SUMIF(TAB_CS[Reference],TAB_Offres[[#This Row],[Reference]],TAB_CS[Commited days])</f>
        <v>0</v>
      </c>
      <c r="AA849" s="269">
        <f>SUMIF(TAB_CS[Reference],TAB_Offres[[#This Row],[Reference]],TAB_CS[Commited amount])</f>
        <v>0</v>
      </c>
      <c r="AB849" s="275"/>
      <c r="AC849" s="270"/>
      <c r="AD849" s="270"/>
      <c r="AE849" s="264"/>
      <c r="AF849" s="271"/>
      <c r="AG849" s="278"/>
      <c r="AH849" s="277" t="str">
        <f>CONCATENATE(YEAR(TAB_Offres[[#This Row],[Request date ]]),"-",MONTH(TAB_Offres[[#This Row],[Request date ]]))</f>
        <v>1900-1</v>
      </c>
      <c r="AI849" s="274" t="e">
        <f>IF(#REF!,1,0)</f>
        <v>#REF!</v>
      </c>
      <c r="AJ849" s="4"/>
      <c r="AK849" s="4"/>
      <c r="AL849" s="4"/>
      <c r="AN849" s="150"/>
      <c r="AQ849" s="4"/>
    </row>
    <row r="850" spans="1:43" x14ac:dyDescent="0.25">
      <c r="A850" s="258">
        <f>ROW(TAB_Offres[[#This Row],[Reference]])-ROW(TAB_Offres[[#Headers],[ID]])</f>
        <v>849</v>
      </c>
      <c r="B850" s="258"/>
      <c r="C850" s="258"/>
      <c r="D850" s="258"/>
      <c r="E850" s="263"/>
      <c r="F850" s="258"/>
      <c r="G850" s="263"/>
      <c r="H850" s="262"/>
      <c r="I850" s="262"/>
      <c r="J850" s="262"/>
      <c r="K850" s="262"/>
      <c r="L850" s="262"/>
      <c r="M850" s="264"/>
      <c r="N850" s="262"/>
      <c r="O850" s="262"/>
      <c r="P850" s="262"/>
      <c r="Q850" s="263"/>
      <c r="R850" s="263"/>
      <c r="S850" s="292"/>
      <c r="T850" s="261"/>
      <c r="U850" s="261"/>
      <c r="V850" s="268"/>
      <c r="W850" s="268"/>
      <c r="X850" s="268"/>
      <c r="Y850" s="268"/>
      <c r="Z850" s="471">
        <f>SUMIF(TAB_CS[Reference],TAB_Offres[[#This Row],[Reference]],TAB_CS[Commited days])</f>
        <v>0</v>
      </c>
      <c r="AA850" s="269">
        <f>SUMIF(TAB_CS[Reference],TAB_Offres[[#This Row],[Reference]],TAB_CS[Commited amount])</f>
        <v>0</v>
      </c>
      <c r="AB850" s="275"/>
      <c r="AC850" s="270"/>
      <c r="AD850" s="270"/>
      <c r="AE850" s="264"/>
      <c r="AF850" s="271"/>
      <c r="AG850" s="278"/>
      <c r="AH850" s="277" t="str">
        <f>CONCATENATE(YEAR(TAB_Offres[[#This Row],[Request date ]]),"-",MONTH(TAB_Offres[[#This Row],[Request date ]]))</f>
        <v>1900-1</v>
      </c>
      <c r="AI850" s="274" t="e">
        <f>IF(#REF!,1,0)</f>
        <v>#REF!</v>
      </c>
      <c r="AJ850" s="4"/>
      <c r="AK850" s="4"/>
      <c r="AL850" s="4"/>
      <c r="AN850" s="150"/>
      <c r="AQ850" s="4"/>
    </row>
    <row r="851" spans="1:43" x14ac:dyDescent="0.25">
      <c r="A851" s="258">
        <f>ROW(TAB_Offres[[#This Row],[Reference]])-ROW(TAB_Offres[[#Headers],[ID]])</f>
        <v>850</v>
      </c>
      <c r="B851" s="258"/>
      <c r="C851" s="258"/>
      <c r="D851" s="258"/>
      <c r="E851" s="263"/>
      <c r="F851" s="258"/>
      <c r="G851" s="263"/>
      <c r="H851" s="262"/>
      <c r="I851" s="262"/>
      <c r="J851" s="262"/>
      <c r="K851" s="262"/>
      <c r="L851" s="262"/>
      <c r="M851" s="264"/>
      <c r="N851" s="262"/>
      <c r="O851" s="262"/>
      <c r="P851" s="262"/>
      <c r="Q851" s="263"/>
      <c r="R851" s="263"/>
      <c r="S851" s="292"/>
      <c r="T851" s="261"/>
      <c r="U851" s="261"/>
      <c r="V851" s="268"/>
      <c r="W851" s="268"/>
      <c r="X851" s="268"/>
      <c r="Y851" s="268"/>
      <c r="Z851" s="471">
        <f>SUMIF(TAB_CS[Reference],TAB_Offres[[#This Row],[Reference]],TAB_CS[Commited days])</f>
        <v>0</v>
      </c>
      <c r="AA851" s="269">
        <f>SUMIF(TAB_CS[Reference],TAB_Offres[[#This Row],[Reference]],TAB_CS[Commited amount])</f>
        <v>0</v>
      </c>
      <c r="AB851" s="275"/>
      <c r="AC851" s="270"/>
      <c r="AD851" s="270"/>
      <c r="AE851" s="264"/>
      <c r="AF851" s="271"/>
      <c r="AG851" s="278"/>
      <c r="AH851" s="277" t="str">
        <f>CONCATENATE(YEAR(TAB_Offres[[#This Row],[Request date ]]),"-",MONTH(TAB_Offres[[#This Row],[Request date ]]))</f>
        <v>1900-1</v>
      </c>
      <c r="AI851" s="274" t="e">
        <f>IF(#REF!,1,0)</f>
        <v>#REF!</v>
      </c>
      <c r="AJ851" s="4"/>
      <c r="AK851" s="4"/>
      <c r="AL851" s="4"/>
      <c r="AN851" s="150"/>
      <c r="AQ851" s="4"/>
    </row>
    <row r="852" spans="1:43" x14ac:dyDescent="0.25">
      <c r="A852" s="258">
        <f>ROW(TAB_Offres[[#This Row],[Reference]])-ROW(TAB_Offres[[#Headers],[ID]])</f>
        <v>851</v>
      </c>
      <c r="B852" s="258"/>
      <c r="C852" s="258"/>
      <c r="D852" s="258"/>
      <c r="E852" s="263"/>
      <c r="F852" s="258"/>
      <c r="G852" s="263"/>
      <c r="H852" s="262"/>
      <c r="I852" s="262"/>
      <c r="J852" s="262"/>
      <c r="K852" s="262"/>
      <c r="L852" s="262"/>
      <c r="M852" s="264"/>
      <c r="N852" s="262"/>
      <c r="O852" s="262"/>
      <c r="P852" s="262"/>
      <c r="Q852" s="263"/>
      <c r="R852" s="263"/>
      <c r="S852" s="292"/>
      <c r="T852" s="261"/>
      <c r="U852" s="261"/>
      <c r="V852" s="268"/>
      <c r="W852" s="268"/>
      <c r="X852" s="268"/>
      <c r="Y852" s="268"/>
      <c r="Z852" s="471">
        <f>SUMIF(TAB_CS[Reference],TAB_Offres[[#This Row],[Reference]],TAB_CS[Commited days])</f>
        <v>0</v>
      </c>
      <c r="AA852" s="269">
        <f>SUMIF(TAB_CS[Reference],TAB_Offres[[#This Row],[Reference]],TAB_CS[Commited amount])</f>
        <v>0</v>
      </c>
      <c r="AB852" s="275"/>
      <c r="AC852" s="270"/>
      <c r="AD852" s="270"/>
      <c r="AE852" s="264"/>
      <c r="AF852" s="271"/>
      <c r="AG852" s="278"/>
      <c r="AH852" s="277" t="str">
        <f>CONCATENATE(YEAR(TAB_Offres[[#This Row],[Request date ]]),"-",MONTH(TAB_Offres[[#This Row],[Request date ]]))</f>
        <v>1900-1</v>
      </c>
      <c r="AI852" s="274" t="e">
        <f>IF(#REF!,1,0)</f>
        <v>#REF!</v>
      </c>
      <c r="AJ852" s="4"/>
      <c r="AK852" s="4"/>
      <c r="AL852" s="4"/>
      <c r="AN852" s="150"/>
      <c r="AQ852" s="4"/>
    </row>
    <row r="853" spans="1:43" x14ac:dyDescent="0.25">
      <c r="A853" s="258">
        <f>ROW(TAB_Offres[[#This Row],[Reference]])-ROW(TAB_Offres[[#Headers],[ID]])</f>
        <v>852</v>
      </c>
      <c r="B853" s="258"/>
      <c r="C853" s="258"/>
      <c r="D853" s="258"/>
      <c r="E853" s="263"/>
      <c r="F853" s="258"/>
      <c r="G853" s="263"/>
      <c r="H853" s="262"/>
      <c r="I853" s="262"/>
      <c r="J853" s="262"/>
      <c r="K853" s="262"/>
      <c r="L853" s="262"/>
      <c r="M853" s="264"/>
      <c r="N853" s="262"/>
      <c r="O853" s="262"/>
      <c r="P853" s="262"/>
      <c r="Q853" s="263"/>
      <c r="R853" s="263"/>
      <c r="S853" s="292"/>
      <c r="T853" s="261"/>
      <c r="U853" s="261"/>
      <c r="V853" s="268"/>
      <c r="W853" s="268"/>
      <c r="X853" s="268"/>
      <c r="Y853" s="268"/>
      <c r="Z853" s="471">
        <f>SUMIF(TAB_CS[Reference],TAB_Offres[[#This Row],[Reference]],TAB_CS[Commited days])</f>
        <v>0</v>
      </c>
      <c r="AA853" s="269">
        <f>SUMIF(TAB_CS[Reference],TAB_Offres[[#This Row],[Reference]],TAB_CS[Commited amount])</f>
        <v>0</v>
      </c>
      <c r="AB853" s="275"/>
      <c r="AC853" s="270"/>
      <c r="AD853" s="270"/>
      <c r="AE853" s="264"/>
      <c r="AF853" s="271"/>
      <c r="AG853" s="278"/>
      <c r="AH853" s="277" t="str">
        <f>CONCATENATE(YEAR(TAB_Offres[[#This Row],[Request date ]]),"-",MONTH(TAB_Offres[[#This Row],[Request date ]]))</f>
        <v>1900-1</v>
      </c>
      <c r="AI853" s="274" t="e">
        <f>IF(#REF!,1,0)</f>
        <v>#REF!</v>
      </c>
      <c r="AJ853" s="4"/>
      <c r="AK853" s="4"/>
      <c r="AL853" s="4"/>
      <c r="AN853" s="150"/>
      <c r="AQ853" s="4"/>
    </row>
    <row r="854" spans="1:43" x14ac:dyDescent="0.25">
      <c r="A854" s="258">
        <f>ROW(TAB_Offres[[#This Row],[Reference]])-ROW(TAB_Offres[[#Headers],[ID]])</f>
        <v>853</v>
      </c>
      <c r="B854" s="258"/>
      <c r="C854" s="258"/>
      <c r="D854" s="258"/>
      <c r="E854" s="263"/>
      <c r="F854" s="258"/>
      <c r="G854" s="263"/>
      <c r="H854" s="262"/>
      <c r="I854" s="262"/>
      <c r="J854" s="262"/>
      <c r="K854" s="262"/>
      <c r="L854" s="262"/>
      <c r="M854" s="264"/>
      <c r="N854" s="262"/>
      <c r="O854" s="262"/>
      <c r="P854" s="262"/>
      <c r="Q854" s="263"/>
      <c r="R854" s="263"/>
      <c r="S854" s="292"/>
      <c r="T854" s="261"/>
      <c r="U854" s="261"/>
      <c r="V854" s="268"/>
      <c r="W854" s="268"/>
      <c r="X854" s="268"/>
      <c r="Y854" s="268"/>
      <c r="Z854" s="471">
        <f>SUMIF(TAB_CS[Reference],TAB_Offres[[#This Row],[Reference]],TAB_CS[Commited days])</f>
        <v>0</v>
      </c>
      <c r="AA854" s="269">
        <f>SUMIF(TAB_CS[Reference],TAB_Offres[[#This Row],[Reference]],TAB_CS[Commited amount])</f>
        <v>0</v>
      </c>
      <c r="AB854" s="275"/>
      <c r="AC854" s="270"/>
      <c r="AD854" s="270"/>
      <c r="AE854" s="264"/>
      <c r="AF854" s="271"/>
      <c r="AG854" s="278"/>
      <c r="AH854" s="277" t="str">
        <f>CONCATENATE(YEAR(TAB_Offres[[#This Row],[Request date ]]),"-",MONTH(TAB_Offres[[#This Row],[Request date ]]))</f>
        <v>1900-1</v>
      </c>
      <c r="AI854" s="274" t="e">
        <f>IF(#REF!,1,0)</f>
        <v>#REF!</v>
      </c>
      <c r="AJ854" s="4"/>
      <c r="AK854" s="4"/>
      <c r="AL854" s="4"/>
      <c r="AN854" s="150"/>
      <c r="AQ854" s="4"/>
    </row>
    <row r="855" spans="1:43" x14ac:dyDescent="0.25">
      <c r="A855" s="258">
        <f>ROW(TAB_Offres[[#This Row],[Reference]])-ROW(TAB_Offres[[#Headers],[ID]])</f>
        <v>854</v>
      </c>
      <c r="B855" s="258"/>
      <c r="C855" s="258"/>
      <c r="D855" s="258"/>
      <c r="E855" s="263"/>
      <c r="F855" s="258"/>
      <c r="G855" s="263"/>
      <c r="H855" s="262"/>
      <c r="I855" s="262"/>
      <c r="J855" s="262"/>
      <c r="K855" s="262"/>
      <c r="L855" s="262"/>
      <c r="M855" s="264"/>
      <c r="N855" s="262"/>
      <c r="O855" s="262"/>
      <c r="P855" s="262"/>
      <c r="Q855" s="263"/>
      <c r="R855" s="263"/>
      <c r="S855" s="292"/>
      <c r="T855" s="261"/>
      <c r="U855" s="261"/>
      <c r="V855" s="268"/>
      <c r="W855" s="268"/>
      <c r="X855" s="268"/>
      <c r="Y855" s="268"/>
      <c r="Z855" s="471">
        <f>SUMIF(TAB_CS[Reference],TAB_Offres[[#This Row],[Reference]],TAB_CS[Commited days])</f>
        <v>0</v>
      </c>
      <c r="AA855" s="269">
        <f>SUMIF(TAB_CS[Reference],TAB_Offres[[#This Row],[Reference]],TAB_CS[Commited amount])</f>
        <v>0</v>
      </c>
      <c r="AB855" s="275"/>
      <c r="AC855" s="270"/>
      <c r="AD855" s="270"/>
      <c r="AE855" s="264"/>
      <c r="AF855" s="271"/>
      <c r="AG855" s="278"/>
      <c r="AH855" s="277" t="str">
        <f>CONCATENATE(YEAR(TAB_Offres[[#This Row],[Request date ]]),"-",MONTH(TAB_Offres[[#This Row],[Request date ]]))</f>
        <v>1900-1</v>
      </c>
      <c r="AI855" s="274" t="e">
        <f>IF(#REF!,1,0)</f>
        <v>#REF!</v>
      </c>
      <c r="AJ855" s="4"/>
      <c r="AK855" s="4"/>
      <c r="AL855" s="4"/>
      <c r="AN855" s="150"/>
      <c r="AQ855" s="4"/>
    </row>
    <row r="856" spans="1:43" x14ac:dyDescent="0.25">
      <c r="A856" s="258">
        <f>ROW(TAB_Offres[[#This Row],[Reference]])-ROW(TAB_Offres[[#Headers],[ID]])</f>
        <v>855</v>
      </c>
      <c r="B856" s="258"/>
      <c r="C856" s="258"/>
      <c r="D856" s="258"/>
      <c r="E856" s="263"/>
      <c r="F856" s="258"/>
      <c r="G856" s="263"/>
      <c r="H856" s="262"/>
      <c r="I856" s="262"/>
      <c r="J856" s="262"/>
      <c r="K856" s="262"/>
      <c r="L856" s="262"/>
      <c r="M856" s="264"/>
      <c r="N856" s="262"/>
      <c r="O856" s="262"/>
      <c r="P856" s="262"/>
      <c r="Q856" s="263"/>
      <c r="R856" s="263"/>
      <c r="S856" s="292"/>
      <c r="T856" s="261"/>
      <c r="U856" s="261"/>
      <c r="V856" s="268"/>
      <c r="W856" s="268"/>
      <c r="X856" s="268"/>
      <c r="Y856" s="268"/>
      <c r="Z856" s="471">
        <f>SUMIF(TAB_CS[Reference],TAB_Offres[[#This Row],[Reference]],TAB_CS[Commited days])</f>
        <v>0</v>
      </c>
      <c r="AA856" s="269">
        <f>SUMIF(TAB_CS[Reference],TAB_Offres[[#This Row],[Reference]],TAB_CS[Commited amount])</f>
        <v>0</v>
      </c>
      <c r="AB856" s="275"/>
      <c r="AC856" s="270"/>
      <c r="AD856" s="270"/>
      <c r="AE856" s="264"/>
      <c r="AF856" s="271"/>
      <c r="AG856" s="278"/>
      <c r="AH856" s="277" t="str">
        <f>CONCATENATE(YEAR(TAB_Offres[[#This Row],[Request date ]]),"-",MONTH(TAB_Offres[[#This Row],[Request date ]]))</f>
        <v>1900-1</v>
      </c>
      <c r="AI856" s="274" t="e">
        <f>IF(#REF!,1,0)</f>
        <v>#REF!</v>
      </c>
      <c r="AJ856" s="4"/>
      <c r="AK856" s="4"/>
      <c r="AL856" s="4"/>
      <c r="AN856" s="150"/>
      <c r="AQ856" s="4"/>
    </row>
    <row r="857" spans="1:43" x14ac:dyDescent="0.25">
      <c r="A857" s="258">
        <f>ROW(TAB_Offres[[#This Row],[Reference]])-ROW(TAB_Offres[[#Headers],[ID]])</f>
        <v>856</v>
      </c>
      <c r="B857" s="258"/>
      <c r="C857" s="258"/>
      <c r="D857" s="258"/>
      <c r="E857" s="263"/>
      <c r="F857" s="258"/>
      <c r="G857" s="263"/>
      <c r="H857" s="262"/>
      <c r="I857" s="262"/>
      <c r="J857" s="262"/>
      <c r="K857" s="262"/>
      <c r="L857" s="262"/>
      <c r="M857" s="264"/>
      <c r="N857" s="262"/>
      <c r="O857" s="262"/>
      <c r="P857" s="262"/>
      <c r="Q857" s="263"/>
      <c r="R857" s="263"/>
      <c r="S857" s="292"/>
      <c r="T857" s="261"/>
      <c r="U857" s="261"/>
      <c r="V857" s="268"/>
      <c r="W857" s="268"/>
      <c r="X857" s="268"/>
      <c r="Y857" s="268"/>
      <c r="Z857" s="471">
        <f>SUMIF(TAB_CS[Reference],TAB_Offres[[#This Row],[Reference]],TAB_CS[Commited days])</f>
        <v>0</v>
      </c>
      <c r="AA857" s="269">
        <f>SUMIF(TAB_CS[Reference],TAB_Offres[[#This Row],[Reference]],TAB_CS[Commited amount])</f>
        <v>0</v>
      </c>
      <c r="AB857" s="275"/>
      <c r="AC857" s="270"/>
      <c r="AD857" s="270"/>
      <c r="AE857" s="264"/>
      <c r="AF857" s="271"/>
      <c r="AG857" s="278"/>
      <c r="AH857" s="277" t="str">
        <f>CONCATENATE(YEAR(TAB_Offres[[#This Row],[Request date ]]),"-",MONTH(TAB_Offres[[#This Row],[Request date ]]))</f>
        <v>1900-1</v>
      </c>
      <c r="AI857" s="274" t="e">
        <f>IF(#REF!,1,0)</f>
        <v>#REF!</v>
      </c>
      <c r="AJ857" s="4"/>
      <c r="AK857" s="4"/>
      <c r="AL857" s="4"/>
      <c r="AN857" s="150"/>
      <c r="AQ857" s="4"/>
    </row>
    <row r="858" spans="1:43" x14ac:dyDescent="0.25">
      <c r="A858" s="258">
        <f>ROW(TAB_Offres[[#This Row],[Reference]])-ROW(TAB_Offres[[#Headers],[ID]])</f>
        <v>857</v>
      </c>
      <c r="B858" s="258"/>
      <c r="C858" s="258"/>
      <c r="D858" s="258"/>
      <c r="E858" s="263"/>
      <c r="F858" s="258"/>
      <c r="G858" s="263"/>
      <c r="H858" s="262"/>
      <c r="I858" s="262"/>
      <c r="J858" s="262"/>
      <c r="K858" s="262"/>
      <c r="L858" s="262"/>
      <c r="M858" s="264"/>
      <c r="N858" s="262"/>
      <c r="O858" s="262"/>
      <c r="P858" s="262"/>
      <c r="Q858" s="263"/>
      <c r="R858" s="263"/>
      <c r="S858" s="292"/>
      <c r="T858" s="261"/>
      <c r="U858" s="261"/>
      <c r="V858" s="268"/>
      <c r="W858" s="268"/>
      <c r="X858" s="268"/>
      <c r="Y858" s="268"/>
      <c r="Z858" s="471">
        <f>SUMIF(TAB_CS[Reference],TAB_Offres[[#This Row],[Reference]],TAB_CS[Commited days])</f>
        <v>0</v>
      </c>
      <c r="AA858" s="269">
        <f>SUMIF(TAB_CS[Reference],TAB_Offres[[#This Row],[Reference]],TAB_CS[Commited amount])</f>
        <v>0</v>
      </c>
      <c r="AB858" s="275"/>
      <c r="AC858" s="270"/>
      <c r="AD858" s="270"/>
      <c r="AE858" s="264"/>
      <c r="AF858" s="271"/>
      <c r="AG858" s="278"/>
      <c r="AH858" s="277" t="str">
        <f>CONCATENATE(YEAR(TAB_Offres[[#This Row],[Request date ]]),"-",MONTH(TAB_Offres[[#This Row],[Request date ]]))</f>
        <v>1900-1</v>
      </c>
      <c r="AI858" s="274" t="e">
        <f>IF(#REF!,1,0)</f>
        <v>#REF!</v>
      </c>
      <c r="AJ858" s="4"/>
      <c r="AK858" s="4"/>
      <c r="AL858" s="4"/>
      <c r="AN858" s="150"/>
      <c r="AQ858" s="4"/>
    </row>
    <row r="859" spans="1:43" x14ac:dyDescent="0.25">
      <c r="A859" s="258">
        <f>ROW(TAB_Offres[[#This Row],[Reference]])-ROW(TAB_Offres[[#Headers],[ID]])</f>
        <v>858</v>
      </c>
      <c r="B859" s="258"/>
      <c r="C859" s="258"/>
      <c r="D859" s="258"/>
      <c r="E859" s="263"/>
      <c r="F859" s="258"/>
      <c r="G859" s="263"/>
      <c r="H859" s="262"/>
      <c r="I859" s="262"/>
      <c r="J859" s="262"/>
      <c r="K859" s="262"/>
      <c r="L859" s="262"/>
      <c r="M859" s="264"/>
      <c r="N859" s="262"/>
      <c r="O859" s="262"/>
      <c r="P859" s="262"/>
      <c r="Q859" s="263"/>
      <c r="R859" s="263"/>
      <c r="S859" s="292"/>
      <c r="T859" s="261"/>
      <c r="U859" s="261"/>
      <c r="V859" s="268"/>
      <c r="W859" s="268"/>
      <c r="X859" s="268"/>
      <c r="Y859" s="268"/>
      <c r="Z859" s="471">
        <f>SUMIF(TAB_CS[Reference],TAB_Offres[[#This Row],[Reference]],TAB_CS[Commited days])</f>
        <v>0</v>
      </c>
      <c r="AA859" s="269">
        <f>SUMIF(TAB_CS[Reference],TAB_Offres[[#This Row],[Reference]],TAB_CS[Commited amount])</f>
        <v>0</v>
      </c>
      <c r="AB859" s="275"/>
      <c r="AC859" s="270"/>
      <c r="AD859" s="270"/>
      <c r="AE859" s="264"/>
      <c r="AF859" s="271"/>
      <c r="AG859" s="278"/>
      <c r="AH859" s="277" t="str">
        <f>CONCATENATE(YEAR(TAB_Offres[[#This Row],[Request date ]]),"-",MONTH(TAB_Offres[[#This Row],[Request date ]]))</f>
        <v>1900-1</v>
      </c>
      <c r="AI859" s="274" t="e">
        <f>IF(#REF!,1,0)</f>
        <v>#REF!</v>
      </c>
      <c r="AJ859" s="4"/>
      <c r="AK859" s="4"/>
      <c r="AL859" s="4"/>
      <c r="AN859" s="150"/>
      <c r="AQ859" s="4"/>
    </row>
    <row r="860" spans="1:43" x14ac:dyDescent="0.25">
      <c r="A860" s="258">
        <f>ROW(TAB_Offres[[#This Row],[Reference]])-ROW(TAB_Offres[[#Headers],[ID]])</f>
        <v>859</v>
      </c>
      <c r="B860" s="258"/>
      <c r="C860" s="258"/>
      <c r="D860" s="258"/>
      <c r="E860" s="263"/>
      <c r="F860" s="258"/>
      <c r="G860" s="263"/>
      <c r="H860" s="262"/>
      <c r="I860" s="262"/>
      <c r="J860" s="262"/>
      <c r="K860" s="262"/>
      <c r="L860" s="262"/>
      <c r="M860" s="264"/>
      <c r="N860" s="262"/>
      <c r="O860" s="262"/>
      <c r="P860" s="262"/>
      <c r="Q860" s="263"/>
      <c r="R860" s="263"/>
      <c r="S860" s="292"/>
      <c r="T860" s="261"/>
      <c r="U860" s="261"/>
      <c r="V860" s="268"/>
      <c r="W860" s="268"/>
      <c r="X860" s="268"/>
      <c r="Y860" s="268"/>
      <c r="Z860" s="471">
        <f>SUMIF(TAB_CS[Reference],TAB_Offres[[#This Row],[Reference]],TAB_CS[Commited days])</f>
        <v>0</v>
      </c>
      <c r="AA860" s="269">
        <f>SUMIF(TAB_CS[Reference],TAB_Offres[[#This Row],[Reference]],TAB_CS[Commited amount])</f>
        <v>0</v>
      </c>
      <c r="AB860" s="275"/>
      <c r="AC860" s="270"/>
      <c r="AD860" s="270"/>
      <c r="AE860" s="264"/>
      <c r="AF860" s="271"/>
      <c r="AG860" s="278"/>
      <c r="AH860" s="277" t="str">
        <f>CONCATENATE(YEAR(TAB_Offres[[#This Row],[Request date ]]),"-",MONTH(TAB_Offres[[#This Row],[Request date ]]))</f>
        <v>1900-1</v>
      </c>
      <c r="AI860" s="274" t="e">
        <f>IF(#REF!,1,0)</f>
        <v>#REF!</v>
      </c>
      <c r="AJ860" s="4"/>
      <c r="AK860" s="4"/>
      <c r="AL860" s="4"/>
      <c r="AN860" s="150"/>
      <c r="AQ860" s="4"/>
    </row>
    <row r="861" spans="1:43" x14ac:dyDescent="0.25">
      <c r="A861" s="258">
        <f>ROW(TAB_Offres[[#This Row],[Reference]])-ROW(TAB_Offres[[#Headers],[ID]])</f>
        <v>860</v>
      </c>
      <c r="B861" s="258"/>
      <c r="C861" s="258"/>
      <c r="D861" s="258"/>
      <c r="E861" s="263"/>
      <c r="F861" s="258"/>
      <c r="G861" s="263"/>
      <c r="H861" s="262"/>
      <c r="I861" s="262"/>
      <c r="J861" s="262"/>
      <c r="K861" s="262"/>
      <c r="L861" s="262"/>
      <c r="M861" s="264"/>
      <c r="N861" s="262"/>
      <c r="O861" s="262"/>
      <c r="P861" s="262"/>
      <c r="Q861" s="263"/>
      <c r="R861" s="263"/>
      <c r="S861" s="292"/>
      <c r="T861" s="261"/>
      <c r="U861" s="261"/>
      <c r="V861" s="268"/>
      <c r="W861" s="268"/>
      <c r="X861" s="268"/>
      <c r="Y861" s="268"/>
      <c r="Z861" s="471">
        <f>SUMIF(TAB_CS[Reference],TAB_Offres[[#This Row],[Reference]],TAB_CS[Commited days])</f>
        <v>0</v>
      </c>
      <c r="AA861" s="269">
        <f>SUMIF(TAB_CS[Reference],TAB_Offres[[#This Row],[Reference]],TAB_CS[Commited amount])</f>
        <v>0</v>
      </c>
      <c r="AB861" s="275"/>
      <c r="AC861" s="270"/>
      <c r="AD861" s="270"/>
      <c r="AE861" s="264"/>
      <c r="AF861" s="271"/>
      <c r="AG861" s="278"/>
      <c r="AH861" s="277" t="str">
        <f>CONCATENATE(YEAR(TAB_Offres[[#This Row],[Request date ]]),"-",MONTH(TAB_Offres[[#This Row],[Request date ]]))</f>
        <v>1900-1</v>
      </c>
      <c r="AI861" s="274" t="e">
        <f>IF(#REF!,1,0)</f>
        <v>#REF!</v>
      </c>
      <c r="AJ861" s="4"/>
      <c r="AK861" s="4"/>
      <c r="AL861" s="4"/>
      <c r="AN861" s="150"/>
      <c r="AQ861" s="4"/>
    </row>
    <row r="862" spans="1:43" x14ac:dyDescent="0.25">
      <c r="A862" s="258">
        <f>ROW(TAB_Offres[[#This Row],[Reference]])-ROW(TAB_Offres[[#Headers],[ID]])</f>
        <v>861</v>
      </c>
      <c r="B862" s="258"/>
      <c r="C862" s="258"/>
      <c r="D862" s="258"/>
      <c r="E862" s="263"/>
      <c r="F862" s="258"/>
      <c r="G862" s="263"/>
      <c r="H862" s="262"/>
      <c r="I862" s="262"/>
      <c r="J862" s="262"/>
      <c r="K862" s="262"/>
      <c r="L862" s="262"/>
      <c r="M862" s="264"/>
      <c r="N862" s="262"/>
      <c r="O862" s="262"/>
      <c r="P862" s="262"/>
      <c r="Q862" s="263"/>
      <c r="R862" s="263"/>
      <c r="S862" s="292"/>
      <c r="T862" s="261"/>
      <c r="U862" s="261"/>
      <c r="V862" s="268"/>
      <c r="W862" s="268"/>
      <c r="X862" s="268"/>
      <c r="Y862" s="268"/>
      <c r="Z862" s="471">
        <f>SUMIF(TAB_CS[Reference],TAB_Offres[[#This Row],[Reference]],TAB_CS[Commited days])</f>
        <v>0</v>
      </c>
      <c r="AA862" s="269">
        <f>SUMIF(TAB_CS[Reference],TAB_Offres[[#This Row],[Reference]],TAB_CS[Commited amount])</f>
        <v>0</v>
      </c>
      <c r="AB862" s="275"/>
      <c r="AC862" s="270"/>
      <c r="AD862" s="270"/>
      <c r="AE862" s="264"/>
      <c r="AF862" s="271"/>
      <c r="AG862" s="278"/>
      <c r="AH862" s="277" t="str">
        <f>CONCATENATE(YEAR(TAB_Offres[[#This Row],[Request date ]]),"-",MONTH(TAB_Offres[[#This Row],[Request date ]]))</f>
        <v>1900-1</v>
      </c>
      <c r="AI862" s="274" t="e">
        <f>IF(#REF!,1,0)</f>
        <v>#REF!</v>
      </c>
      <c r="AJ862" s="4"/>
      <c r="AK862" s="4"/>
      <c r="AL862" s="4"/>
      <c r="AN862" s="150"/>
      <c r="AQ862" s="4"/>
    </row>
    <row r="863" spans="1:43" x14ac:dyDescent="0.25">
      <c r="A863" s="258">
        <f>ROW(TAB_Offres[[#This Row],[Reference]])-ROW(TAB_Offres[[#Headers],[ID]])</f>
        <v>862</v>
      </c>
      <c r="B863" s="258"/>
      <c r="C863" s="258"/>
      <c r="D863" s="258"/>
      <c r="E863" s="263"/>
      <c r="F863" s="258"/>
      <c r="G863" s="263"/>
      <c r="H863" s="262"/>
      <c r="I863" s="262"/>
      <c r="J863" s="262"/>
      <c r="K863" s="262"/>
      <c r="L863" s="262"/>
      <c r="M863" s="264"/>
      <c r="N863" s="262"/>
      <c r="O863" s="262"/>
      <c r="P863" s="262"/>
      <c r="Q863" s="263"/>
      <c r="R863" s="263"/>
      <c r="S863" s="292"/>
      <c r="T863" s="261"/>
      <c r="U863" s="261"/>
      <c r="V863" s="268"/>
      <c r="W863" s="268"/>
      <c r="X863" s="268"/>
      <c r="Y863" s="268"/>
      <c r="Z863" s="471">
        <f>SUMIF(TAB_CS[Reference],TAB_Offres[[#This Row],[Reference]],TAB_CS[Commited days])</f>
        <v>0</v>
      </c>
      <c r="AA863" s="269">
        <f>SUMIF(TAB_CS[Reference],TAB_Offres[[#This Row],[Reference]],TAB_CS[Commited amount])</f>
        <v>0</v>
      </c>
      <c r="AB863" s="275"/>
      <c r="AC863" s="270"/>
      <c r="AD863" s="270"/>
      <c r="AE863" s="264"/>
      <c r="AF863" s="271"/>
      <c r="AG863" s="278"/>
      <c r="AH863" s="277" t="str">
        <f>CONCATENATE(YEAR(TAB_Offres[[#This Row],[Request date ]]),"-",MONTH(TAB_Offres[[#This Row],[Request date ]]))</f>
        <v>1900-1</v>
      </c>
      <c r="AI863" s="274" t="e">
        <f>IF(#REF!,1,0)</f>
        <v>#REF!</v>
      </c>
      <c r="AJ863" s="4"/>
      <c r="AK863" s="4"/>
      <c r="AL863" s="4"/>
      <c r="AN863" s="150"/>
      <c r="AQ863" s="4"/>
    </row>
    <row r="864" spans="1:43" x14ac:dyDescent="0.25">
      <c r="A864" s="258">
        <f>ROW(TAB_Offres[[#This Row],[Reference]])-ROW(TAB_Offres[[#Headers],[ID]])</f>
        <v>863</v>
      </c>
      <c r="B864" s="258"/>
      <c r="C864" s="258"/>
      <c r="D864" s="258"/>
      <c r="E864" s="263"/>
      <c r="F864" s="258"/>
      <c r="G864" s="263"/>
      <c r="H864" s="262"/>
      <c r="I864" s="262"/>
      <c r="J864" s="262"/>
      <c r="K864" s="262"/>
      <c r="L864" s="262"/>
      <c r="M864" s="264"/>
      <c r="N864" s="262"/>
      <c r="O864" s="262"/>
      <c r="P864" s="262"/>
      <c r="Q864" s="263"/>
      <c r="R864" s="263"/>
      <c r="S864" s="292"/>
      <c r="T864" s="261"/>
      <c r="U864" s="261"/>
      <c r="V864" s="268"/>
      <c r="W864" s="268"/>
      <c r="X864" s="268"/>
      <c r="Y864" s="268"/>
      <c r="Z864" s="471">
        <f>SUMIF(TAB_CS[Reference],TAB_Offres[[#This Row],[Reference]],TAB_CS[Commited days])</f>
        <v>0</v>
      </c>
      <c r="AA864" s="269">
        <f>SUMIF(TAB_CS[Reference],TAB_Offres[[#This Row],[Reference]],TAB_CS[Commited amount])</f>
        <v>0</v>
      </c>
      <c r="AB864" s="275"/>
      <c r="AC864" s="270"/>
      <c r="AD864" s="270"/>
      <c r="AE864" s="264"/>
      <c r="AF864" s="271"/>
      <c r="AG864" s="278"/>
      <c r="AH864" s="277" t="str">
        <f>CONCATENATE(YEAR(TAB_Offres[[#This Row],[Request date ]]),"-",MONTH(TAB_Offres[[#This Row],[Request date ]]))</f>
        <v>1900-1</v>
      </c>
      <c r="AI864" s="274" t="e">
        <f>IF(#REF!,1,0)</f>
        <v>#REF!</v>
      </c>
      <c r="AJ864" s="4"/>
      <c r="AK864" s="4"/>
      <c r="AL864" s="4"/>
      <c r="AN864" s="150"/>
      <c r="AQ864" s="4"/>
    </row>
    <row r="865" spans="1:43" x14ac:dyDescent="0.25">
      <c r="A865" s="258">
        <f>ROW(TAB_Offres[[#This Row],[Reference]])-ROW(TAB_Offres[[#Headers],[ID]])</f>
        <v>864</v>
      </c>
      <c r="B865" s="258"/>
      <c r="C865" s="258"/>
      <c r="D865" s="258"/>
      <c r="E865" s="263"/>
      <c r="F865" s="258"/>
      <c r="G865" s="263"/>
      <c r="H865" s="262"/>
      <c r="I865" s="262"/>
      <c r="J865" s="262"/>
      <c r="K865" s="262"/>
      <c r="L865" s="262"/>
      <c r="M865" s="264"/>
      <c r="N865" s="262"/>
      <c r="O865" s="262"/>
      <c r="P865" s="262"/>
      <c r="Q865" s="263"/>
      <c r="R865" s="263"/>
      <c r="S865" s="292"/>
      <c r="T865" s="261"/>
      <c r="U865" s="261"/>
      <c r="V865" s="268"/>
      <c r="W865" s="268"/>
      <c r="X865" s="268"/>
      <c r="Y865" s="268"/>
      <c r="Z865" s="471">
        <f>SUMIF(TAB_CS[Reference],TAB_Offres[[#This Row],[Reference]],TAB_CS[Commited days])</f>
        <v>0</v>
      </c>
      <c r="AA865" s="269">
        <f>SUMIF(TAB_CS[Reference],TAB_Offres[[#This Row],[Reference]],TAB_CS[Commited amount])</f>
        <v>0</v>
      </c>
      <c r="AB865" s="275"/>
      <c r="AC865" s="270"/>
      <c r="AD865" s="270"/>
      <c r="AE865" s="264"/>
      <c r="AF865" s="271"/>
      <c r="AG865" s="278"/>
      <c r="AH865" s="277" t="str">
        <f>CONCATENATE(YEAR(TAB_Offres[[#This Row],[Request date ]]),"-",MONTH(TAB_Offres[[#This Row],[Request date ]]))</f>
        <v>1900-1</v>
      </c>
      <c r="AI865" s="274" t="e">
        <f>IF(#REF!,1,0)</f>
        <v>#REF!</v>
      </c>
      <c r="AJ865" s="4"/>
      <c r="AK865" s="4"/>
      <c r="AL865" s="4"/>
      <c r="AN865" s="150"/>
      <c r="AQ865" s="4"/>
    </row>
    <row r="866" spans="1:43" x14ac:dyDescent="0.25">
      <c r="A866" s="258">
        <f>ROW(TAB_Offres[[#This Row],[Reference]])-ROW(TAB_Offres[[#Headers],[ID]])</f>
        <v>865</v>
      </c>
      <c r="B866" s="258"/>
      <c r="C866" s="258"/>
      <c r="D866" s="258"/>
      <c r="E866" s="263"/>
      <c r="F866" s="258"/>
      <c r="G866" s="263"/>
      <c r="H866" s="262"/>
      <c r="I866" s="262"/>
      <c r="J866" s="262"/>
      <c r="K866" s="262"/>
      <c r="L866" s="262"/>
      <c r="M866" s="264"/>
      <c r="N866" s="262"/>
      <c r="O866" s="262"/>
      <c r="P866" s="262"/>
      <c r="Q866" s="263"/>
      <c r="R866" s="263"/>
      <c r="S866" s="292"/>
      <c r="T866" s="261"/>
      <c r="U866" s="261"/>
      <c r="V866" s="268"/>
      <c r="W866" s="268"/>
      <c r="X866" s="268"/>
      <c r="Y866" s="268"/>
      <c r="Z866" s="471">
        <f>SUMIF(TAB_CS[Reference],TAB_Offres[[#This Row],[Reference]],TAB_CS[Commited days])</f>
        <v>0</v>
      </c>
      <c r="AA866" s="269">
        <f>SUMIF(TAB_CS[Reference],TAB_Offres[[#This Row],[Reference]],TAB_CS[Commited amount])</f>
        <v>0</v>
      </c>
      <c r="AB866" s="275"/>
      <c r="AC866" s="270"/>
      <c r="AD866" s="270"/>
      <c r="AE866" s="264"/>
      <c r="AF866" s="271"/>
      <c r="AG866" s="278"/>
      <c r="AH866" s="277" t="str">
        <f>CONCATENATE(YEAR(TAB_Offres[[#This Row],[Request date ]]),"-",MONTH(TAB_Offres[[#This Row],[Request date ]]))</f>
        <v>1900-1</v>
      </c>
      <c r="AI866" s="274" t="e">
        <f>IF(#REF!,1,0)</f>
        <v>#REF!</v>
      </c>
      <c r="AJ866" s="4"/>
      <c r="AK866" s="4"/>
      <c r="AL866" s="4"/>
      <c r="AN866" s="150"/>
      <c r="AQ866" s="4"/>
    </row>
    <row r="867" spans="1:43" x14ac:dyDescent="0.25">
      <c r="A867" s="258">
        <f>ROW(TAB_Offres[[#This Row],[Reference]])-ROW(TAB_Offres[[#Headers],[ID]])</f>
        <v>866</v>
      </c>
      <c r="B867" s="258"/>
      <c r="C867" s="258"/>
      <c r="D867" s="258"/>
      <c r="E867" s="263"/>
      <c r="F867" s="258"/>
      <c r="G867" s="263"/>
      <c r="H867" s="262"/>
      <c r="I867" s="262"/>
      <c r="J867" s="262"/>
      <c r="K867" s="262"/>
      <c r="L867" s="262"/>
      <c r="M867" s="264"/>
      <c r="N867" s="262"/>
      <c r="O867" s="262"/>
      <c r="P867" s="262"/>
      <c r="Q867" s="263"/>
      <c r="R867" s="263"/>
      <c r="S867" s="292"/>
      <c r="T867" s="261"/>
      <c r="U867" s="261"/>
      <c r="V867" s="268"/>
      <c r="W867" s="268"/>
      <c r="X867" s="268"/>
      <c r="Y867" s="268"/>
      <c r="Z867" s="471">
        <f>SUMIF(TAB_CS[Reference],TAB_Offres[[#This Row],[Reference]],TAB_CS[Commited days])</f>
        <v>0</v>
      </c>
      <c r="AA867" s="269">
        <f>SUMIF(TAB_CS[Reference],TAB_Offres[[#This Row],[Reference]],TAB_CS[Commited amount])</f>
        <v>0</v>
      </c>
      <c r="AB867" s="275"/>
      <c r="AC867" s="270"/>
      <c r="AD867" s="270"/>
      <c r="AE867" s="264"/>
      <c r="AF867" s="271"/>
      <c r="AG867" s="278"/>
      <c r="AH867" s="277" t="str">
        <f>CONCATENATE(YEAR(TAB_Offres[[#This Row],[Request date ]]),"-",MONTH(TAB_Offres[[#This Row],[Request date ]]))</f>
        <v>1900-1</v>
      </c>
      <c r="AI867" s="274" t="e">
        <f>IF(#REF!,1,0)</f>
        <v>#REF!</v>
      </c>
      <c r="AJ867" s="4"/>
      <c r="AK867" s="4"/>
      <c r="AL867" s="4"/>
      <c r="AN867" s="150"/>
      <c r="AQ867" s="4"/>
    </row>
    <row r="868" spans="1:43" x14ac:dyDescent="0.25">
      <c r="A868" s="258">
        <f>ROW(TAB_Offres[[#This Row],[Reference]])-ROW(TAB_Offres[[#Headers],[ID]])</f>
        <v>867</v>
      </c>
      <c r="B868" s="258"/>
      <c r="C868" s="258"/>
      <c r="D868" s="258"/>
      <c r="E868" s="263"/>
      <c r="F868" s="258"/>
      <c r="G868" s="263"/>
      <c r="H868" s="262"/>
      <c r="I868" s="262"/>
      <c r="J868" s="262"/>
      <c r="K868" s="262"/>
      <c r="L868" s="262"/>
      <c r="M868" s="264"/>
      <c r="N868" s="262"/>
      <c r="O868" s="262"/>
      <c r="P868" s="262"/>
      <c r="Q868" s="263"/>
      <c r="R868" s="263"/>
      <c r="S868" s="292"/>
      <c r="T868" s="261"/>
      <c r="U868" s="261"/>
      <c r="V868" s="268"/>
      <c r="W868" s="268"/>
      <c r="X868" s="268"/>
      <c r="Y868" s="268"/>
      <c r="Z868" s="471">
        <f>SUMIF(TAB_CS[Reference],TAB_Offres[[#This Row],[Reference]],TAB_CS[Commited days])</f>
        <v>0</v>
      </c>
      <c r="AA868" s="269">
        <f>SUMIF(TAB_CS[Reference],TAB_Offres[[#This Row],[Reference]],TAB_CS[Commited amount])</f>
        <v>0</v>
      </c>
      <c r="AB868" s="275"/>
      <c r="AC868" s="270"/>
      <c r="AD868" s="270"/>
      <c r="AE868" s="264"/>
      <c r="AF868" s="271"/>
      <c r="AG868" s="278"/>
      <c r="AH868" s="277" t="str">
        <f>CONCATENATE(YEAR(TAB_Offres[[#This Row],[Request date ]]),"-",MONTH(TAB_Offres[[#This Row],[Request date ]]))</f>
        <v>1900-1</v>
      </c>
      <c r="AI868" s="274" t="e">
        <f>IF(#REF!,1,0)</f>
        <v>#REF!</v>
      </c>
      <c r="AJ868" s="4"/>
      <c r="AK868" s="4"/>
      <c r="AL868" s="4"/>
      <c r="AN868" s="150"/>
      <c r="AQ868" s="4"/>
    </row>
    <row r="869" spans="1:43" x14ac:dyDescent="0.25">
      <c r="A869" s="258">
        <f>ROW(TAB_Offres[[#This Row],[Reference]])-ROW(TAB_Offres[[#Headers],[ID]])</f>
        <v>868</v>
      </c>
      <c r="B869" s="258"/>
      <c r="C869" s="258"/>
      <c r="D869" s="258"/>
      <c r="E869" s="263"/>
      <c r="F869" s="258"/>
      <c r="G869" s="263"/>
      <c r="H869" s="262"/>
      <c r="I869" s="262"/>
      <c r="J869" s="262"/>
      <c r="K869" s="262"/>
      <c r="L869" s="262"/>
      <c r="M869" s="264"/>
      <c r="N869" s="262"/>
      <c r="O869" s="262"/>
      <c r="P869" s="262"/>
      <c r="Q869" s="263"/>
      <c r="R869" s="263"/>
      <c r="S869" s="292"/>
      <c r="T869" s="261"/>
      <c r="U869" s="261"/>
      <c r="V869" s="268"/>
      <c r="W869" s="268"/>
      <c r="X869" s="268"/>
      <c r="Y869" s="268"/>
      <c r="Z869" s="471">
        <f>SUMIF(TAB_CS[Reference],TAB_Offres[[#This Row],[Reference]],TAB_CS[Commited days])</f>
        <v>0</v>
      </c>
      <c r="AA869" s="269">
        <f>SUMIF(TAB_CS[Reference],TAB_Offres[[#This Row],[Reference]],TAB_CS[Commited amount])</f>
        <v>0</v>
      </c>
      <c r="AB869" s="275"/>
      <c r="AC869" s="270"/>
      <c r="AD869" s="270"/>
      <c r="AE869" s="264"/>
      <c r="AF869" s="271"/>
      <c r="AG869" s="278"/>
      <c r="AH869" s="277" t="str">
        <f>CONCATENATE(YEAR(TAB_Offres[[#This Row],[Request date ]]),"-",MONTH(TAB_Offres[[#This Row],[Request date ]]))</f>
        <v>1900-1</v>
      </c>
      <c r="AI869" s="274" t="e">
        <f>IF(#REF!,1,0)</f>
        <v>#REF!</v>
      </c>
      <c r="AJ869" s="4"/>
      <c r="AK869" s="4"/>
      <c r="AL869" s="4"/>
      <c r="AN869" s="150"/>
      <c r="AQ869" s="4"/>
    </row>
    <row r="870" spans="1:43" x14ac:dyDescent="0.25">
      <c r="A870" s="258">
        <f>ROW(TAB_Offres[[#This Row],[Reference]])-ROW(TAB_Offres[[#Headers],[ID]])</f>
        <v>869</v>
      </c>
      <c r="B870" s="258"/>
      <c r="C870" s="258"/>
      <c r="D870" s="258"/>
      <c r="E870" s="263"/>
      <c r="F870" s="258"/>
      <c r="G870" s="263"/>
      <c r="H870" s="262"/>
      <c r="I870" s="262"/>
      <c r="J870" s="262"/>
      <c r="K870" s="262"/>
      <c r="L870" s="262"/>
      <c r="M870" s="264"/>
      <c r="N870" s="262"/>
      <c r="O870" s="262"/>
      <c r="P870" s="262"/>
      <c r="Q870" s="263"/>
      <c r="R870" s="263"/>
      <c r="S870" s="292"/>
      <c r="T870" s="261"/>
      <c r="U870" s="261"/>
      <c r="V870" s="268"/>
      <c r="W870" s="268"/>
      <c r="X870" s="268"/>
      <c r="Y870" s="268"/>
      <c r="Z870" s="471">
        <f>SUMIF(TAB_CS[Reference],TAB_Offres[[#This Row],[Reference]],TAB_CS[Commited days])</f>
        <v>0</v>
      </c>
      <c r="AA870" s="269">
        <f>SUMIF(TAB_CS[Reference],TAB_Offres[[#This Row],[Reference]],TAB_CS[Commited amount])</f>
        <v>0</v>
      </c>
      <c r="AB870" s="275"/>
      <c r="AC870" s="270"/>
      <c r="AD870" s="270"/>
      <c r="AE870" s="264"/>
      <c r="AF870" s="271"/>
      <c r="AG870" s="278"/>
      <c r="AH870" s="277" t="str">
        <f>CONCATENATE(YEAR(TAB_Offres[[#This Row],[Request date ]]),"-",MONTH(TAB_Offres[[#This Row],[Request date ]]))</f>
        <v>1900-1</v>
      </c>
      <c r="AI870" s="274" t="e">
        <f>IF(#REF!,1,0)</f>
        <v>#REF!</v>
      </c>
      <c r="AJ870" s="4"/>
      <c r="AK870" s="4"/>
      <c r="AL870" s="4"/>
      <c r="AN870" s="150"/>
      <c r="AQ870" s="4"/>
    </row>
    <row r="871" spans="1:43" x14ac:dyDescent="0.25">
      <c r="A871" s="258">
        <f>ROW(TAB_Offres[[#This Row],[Reference]])-ROW(TAB_Offres[[#Headers],[ID]])</f>
        <v>870</v>
      </c>
      <c r="B871" s="258"/>
      <c r="C871" s="258"/>
      <c r="D871" s="258"/>
      <c r="E871" s="263"/>
      <c r="F871" s="258"/>
      <c r="G871" s="263"/>
      <c r="H871" s="262"/>
      <c r="I871" s="262"/>
      <c r="J871" s="262"/>
      <c r="K871" s="262"/>
      <c r="L871" s="262"/>
      <c r="M871" s="264"/>
      <c r="N871" s="262"/>
      <c r="O871" s="262"/>
      <c r="P871" s="262"/>
      <c r="Q871" s="263"/>
      <c r="R871" s="263"/>
      <c r="S871" s="292"/>
      <c r="T871" s="261"/>
      <c r="U871" s="261"/>
      <c r="V871" s="268"/>
      <c r="W871" s="268"/>
      <c r="X871" s="268"/>
      <c r="Y871" s="268"/>
      <c r="Z871" s="471">
        <f>SUMIF(TAB_CS[Reference],TAB_Offres[[#This Row],[Reference]],TAB_CS[Commited days])</f>
        <v>0</v>
      </c>
      <c r="AA871" s="269">
        <f>SUMIF(TAB_CS[Reference],TAB_Offres[[#This Row],[Reference]],TAB_CS[Commited amount])</f>
        <v>0</v>
      </c>
      <c r="AB871" s="275"/>
      <c r="AC871" s="270"/>
      <c r="AD871" s="270"/>
      <c r="AE871" s="264"/>
      <c r="AF871" s="271"/>
      <c r="AG871" s="278"/>
      <c r="AH871" s="277" t="str">
        <f>CONCATENATE(YEAR(TAB_Offres[[#This Row],[Request date ]]),"-",MONTH(TAB_Offres[[#This Row],[Request date ]]))</f>
        <v>1900-1</v>
      </c>
      <c r="AI871" s="274" t="e">
        <f>IF(#REF!,1,0)</f>
        <v>#REF!</v>
      </c>
      <c r="AJ871" s="4"/>
      <c r="AK871" s="4"/>
      <c r="AL871" s="4"/>
      <c r="AN871" s="150"/>
      <c r="AQ871" s="4"/>
    </row>
    <row r="872" spans="1:43" x14ac:dyDescent="0.25">
      <c r="A872" s="258">
        <f>ROW(TAB_Offres[[#This Row],[Reference]])-ROW(TAB_Offres[[#Headers],[ID]])</f>
        <v>871</v>
      </c>
      <c r="B872" s="258"/>
      <c r="C872" s="258"/>
      <c r="D872" s="258"/>
      <c r="E872" s="263"/>
      <c r="F872" s="258"/>
      <c r="G872" s="263"/>
      <c r="H872" s="262"/>
      <c r="I872" s="262"/>
      <c r="J872" s="262"/>
      <c r="K872" s="262"/>
      <c r="L872" s="262"/>
      <c r="M872" s="264"/>
      <c r="N872" s="262"/>
      <c r="O872" s="262"/>
      <c r="P872" s="262"/>
      <c r="Q872" s="263"/>
      <c r="R872" s="263"/>
      <c r="S872" s="292"/>
      <c r="T872" s="261"/>
      <c r="U872" s="261"/>
      <c r="V872" s="268"/>
      <c r="W872" s="268"/>
      <c r="X872" s="268"/>
      <c r="Y872" s="268"/>
      <c r="Z872" s="471">
        <f>SUMIF(TAB_CS[Reference],TAB_Offres[[#This Row],[Reference]],TAB_CS[Commited days])</f>
        <v>0</v>
      </c>
      <c r="AA872" s="269">
        <f>SUMIF(TAB_CS[Reference],TAB_Offres[[#This Row],[Reference]],TAB_CS[Commited amount])</f>
        <v>0</v>
      </c>
      <c r="AB872" s="275"/>
      <c r="AC872" s="270"/>
      <c r="AD872" s="270"/>
      <c r="AE872" s="264"/>
      <c r="AF872" s="271"/>
      <c r="AG872" s="278"/>
      <c r="AH872" s="277" t="str">
        <f>CONCATENATE(YEAR(TAB_Offres[[#This Row],[Request date ]]),"-",MONTH(TAB_Offres[[#This Row],[Request date ]]))</f>
        <v>1900-1</v>
      </c>
      <c r="AI872" s="274" t="e">
        <f>IF(#REF!,1,0)</f>
        <v>#REF!</v>
      </c>
      <c r="AJ872" s="4"/>
      <c r="AK872" s="4"/>
      <c r="AL872" s="4"/>
      <c r="AN872" s="150"/>
      <c r="AQ872" s="4"/>
    </row>
    <row r="873" spans="1:43" x14ac:dyDescent="0.25">
      <c r="A873" s="258">
        <f>ROW(TAB_Offres[[#This Row],[Reference]])-ROW(TAB_Offres[[#Headers],[ID]])</f>
        <v>872</v>
      </c>
      <c r="B873" s="258"/>
      <c r="C873" s="258"/>
      <c r="D873" s="258"/>
      <c r="E873" s="263"/>
      <c r="F873" s="258"/>
      <c r="G873" s="263"/>
      <c r="H873" s="262"/>
      <c r="I873" s="262"/>
      <c r="J873" s="262"/>
      <c r="K873" s="262"/>
      <c r="L873" s="262"/>
      <c r="M873" s="264"/>
      <c r="N873" s="262"/>
      <c r="O873" s="262"/>
      <c r="P873" s="262"/>
      <c r="Q873" s="263"/>
      <c r="R873" s="263"/>
      <c r="S873" s="292"/>
      <c r="T873" s="261"/>
      <c r="U873" s="261"/>
      <c r="V873" s="268"/>
      <c r="W873" s="268"/>
      <c r="X873" s="268"/>
      <c r="Y873" s="268"/>
      <c r="Z873" s="471">
        <f>SUMIF(TAB_CS[Reference],TAB_Offres[[#This Row],[Reference]],TAB_CS[Commited days])</f>
        <v>0</v>
      </c>
      <c r="AA873" s="269">
        <f>SUMIF(TAB_CS[Reference],TAB_Offres[[#This Row],[Reference]],TAB_CS[Commited amount])</f>
        <v>0</v>
      </c>
      <c r="AB873" s="275"/>
      <c r="AC873" s="270"/>
      <c r="AD873" s="270"/>
      <c r="AE873" s="264"/>
      <c r="AF873" s="271"/>
      <c r="AG873" s="278"/>
      <c r="AH873" s="277" t="str">
        <f>CONCATENATE(YEAR(TAB_Offres[[#This Row],[Request date ]]),"-",MONTH(TAB_Offres[[#This Row],[Request date ]]))</f>
        <v>1900-1</v>
      </c>
      <c r="AI873" s="274" t="e">
        <f>IF(#REF!,1,0)</f>
        <v>#REF!</v>
      </c>
      <c r="AJ873" s="4"/>
      <c r="AK873" s="4"/>
      <c r="AL873" s="4"/>
      <c r="AN873" s="150"/>
      <c r="AQ873" s="4"/>
    </row>
    <row r="874" spans="1:43" x14ac:dyDescent="0.25">
      <c r="A874" s="258">
        <f>ROW(TAB_Offres[[#This Row],[Reference]])-ROW(TAB_Offres[[#Headers],[ID]])</f>
        <v>873</v>
      </c>
      <c r="B874" s="258"/>
      <c r="C874" s="258"/>
      <c r="D874" s="258"/>
      <c r="E874" s="263"/>
      <c r="F874" s="258"/>
      <c r="G874" s="263"/>
      <c r="H874" s="262"/>
      <c r="I874" s="262"/>
      <c r="J874" s="262"/>
      <c r="K874" s="262"/>
      <c r="L874" s="262"/>
      <c r="M874" s="264"/>
      <c r="N874" s="262"/>
      <c r="O874" s="262"/>
      <c r="P874" s="262"/>
      <c r="Q874" s="263"/>
      <c r="R874" s="263"/>
      <c r="S874" s="292"/>
      <c r="T874" s="261"/>
      <c r="U874" s="261"/>
      <c r="V874" s="268"/>
      <c r="W874" s="268"/>
      <c r="X874" s="268"/>
      <c r="Y874" s="268"/>
      <c r="Z874" s="471">
        <f>SUMIF(TAB_CS[Reference],TAB_Offres[[#This Row],[Reference]],TAB_CS[Commited days])</f>
        <v>0</v>
      </c>
      <c r="AA874" s="269">
        <f>SUMIF(TAB_CS[Reference],TAB_Offres[[#This Row],[Reference]],TAB_CS[Commited amount])</f>
        <v>0</v>
      </c>
      <c r="AB874" s="275"/>
      <c r="AC874" s="270"/>
      <c r="AD874" s="270"/>
      <c r="AE874" s="264"/>
      <c r="AF874" s="271"/>
      <c r="AG874" s="278"/>
      <c r="AH874" s="277" t="str">
        <f>CONCATENATE(YEAR(TAB_Offres[[#This Row],[Request date ]]),"-",MONTH(TAB_Offres[[#This Row],[Request date ]]))</f>
        <v>1900-1</v>
      </c>
      <c r="AI874" s="274" t="e">
        <f>IF(#REF!,1,0)</f>
        <v>#REF!</v>
      </c>
      <c r="AJ874" s="4"/>
      <c r="AK874" s="4"/>
      <c r="AL874" s="4"/>
      <c r="AN874" s="150"/>
      <c r="AQ874" s="4"/>
    </row>
    <row r="875" spans="1:43" x14ac:dyDescent="0.25">
      <c r="A875" s="258">
        <f>ROW(TAB_Offres[[#This Row],[Reference]])-ROW(TAB_Offres[[#Headers],[ID]])</f>
        <v>874</v>
      </c>
      <c r="B875" s="258"/>
      <c r="C875" s="258"/>
      <c r="D875" s="258"/>
      <c r="E875" s="263"/>
      <c r="F875" s="258"/>
      <c r="G875" s="263"/>
      <c r="H875" s="262"/>
      <c r="I875" s="262"/>
      <c r="J875" s="262"/>
      <c r="K875" s="262"/>
      <c r="L875" s="262"/>
      <c r="M875" s="264"/>
      <c r="N875" s="262"/>
      <c r="O875" s="262"/>
      <c r="P875" s="262"/>
      <c r="Q875" s="263"/>
      <c r="R875" s="263"/>
      <c r="S875" s="292"/>
      <c r="T875" s="261"/>
      <c r="U875" s="261"/>
      <c r="V875" s="268"/>
      <c r="W875" s="268"/>
      <c r="X875" s="268"/>
      <c r="Y875" s="268"/>
      <c r="Z875" s="471">
        <f>SUMIF(TAB_CS[Reference],TAB_Offres[[#This Row],[Reference]],TAB_CS[Commited days])</f>
        <v>0</v>
      </c>
      <c r="AA875" s="269">
        <f>SUMIF(TAB_CS[Reference],TAB_Offres[[#This Row],[Reference]],TAB_CS[Commited amount])</f>
        <v>0</v>
      </c>
      <c r="AB875" s="275"/>
      <c r="AC875" s="270"/>
      <c r="AD875" s="270"/>
      <c r="AE875" s="264"/>
      <c r="AF875" s="271"/>
      <c r="AG875" s="278"/>
      <c r="AH875" s="277" t="str">
        <f>CONCATENATE(YEAR(TAB_Offres[[#This Row],[Request date ]]),"-",MONTH(TAB_Offres[[#This Row],[Request date ]]))</f>
        <v>1900-1</v>
      </c>
      <c r="AI875" s="274" t="e">
        <f>IF(#REF!,1,0)</f>
        <v>#REF!</v>
      </c>
      <c r="AJ875" s="4"/>
      <c r="AK875" s="4"/>
      <c r="AL875" s="4"/>
      <c r="AN875" s="150"/>
      <c r="AQ875" s="4"/>
    </row>
    <row r="876" spans="1:43" x14ac:dyDescent="0.25">
      <c r="A876" s="258">
        <f>ROW(TAB_Offres[[#This Row],[Reference]])-ROW(TAB_Offres[[#Headers],[ID]])</f>
        <v>875</v>
      </c>
      <c r="B876" s="258"/>
      <c r="C876" s="258"/>
      <c r="D876" s="258"/>
      <c r="E876" s="263"/>
      <c r="F876" s="258"/>
      <c r="G876" s="263"/>
      <c r="H876" s="262"/>
      <c r="I876" s="262"/>
      <c r="J876" s="262"/>
      <c r="K876" s="262"/>
      <c r="L876" s="262"/>
      <c r="M876" s="264"/>
      <c r="N876" s="262"/>
      <c r="O876" s="262"/>
      <c r="P876" s="262"/>
      <c r="Q876" s="263"/>
      <c r="R876" s="263"/>
      <c r="S876" s="292"/>
      <c r="T876" s="261"/>
      <c r="U876" s="261"/>
      <c r="V876" s="268"/>
      <c r="W876" s="268"/>
      <c r="X876" s="268"/>
      <c r="Y876" s="268"/>
      <c r="Z876" s="471">
        <f>SUMIF(TAB_CS[Reference],TAB_Offres[[#This Row],[Reference]],TAB_CS[Commited days])</f>
        <v>0</v>
      </c>
      <c r="AA876" s="269">
        <f>SUMIF(TAB_CS[Reference],TAB_Offres[[#This Row],[Reference]],TAB_CS[Commited amount])</f>
        <v>0</v>
      </c>
      <c r="AB876" s="275"/>
      <c r="AC876" s="270"/>
      <c r="AD876" s="270"/>
      <c r="AE876" s="264"/>
      <c r="AF876" s="271"/>
      <c r="AG876" s="278"/>
      <c r="AH876" s="277" t="str">
        <f>CONCATENATE(YEAR(TAB_Offres[[#This Row],[Request date ]]),"-",MONTH(TAB_Offres[[#This Row],[Request date ]]))</f>
        <v>1900-1</v>
      </c>
      <c r="AI876" s="274" t="e">
        <f>IF(#REF!,1,0)</f>
        <v>#REF!</v>
      </c>
      <c r="AJ876" s="4"/>
      <c r="AK876" s="4"/>
      <c r="AL876" s="4"/>
      <c r="AN876" s="150"/>
      <c r="AQ876" s="4"/>
    </row>
    <row r="877" spans="1:43" x14ac:dyDescent="0.25">
      <c r="A877" s="258">
        <f>ROW(TAB_Offres[[#This Row],[Reference]])-ROW(TAB_Offres[[#Headers],[ID]])</f>
        <v>876</v>
      </c>
      <c r="B877" s="258"/>
      <c r="C877" s="258"/>
      <c r="D877" s="258"/>
      <c r="E877" s="263"/>
      <c r="F877" s="258"/>
      <c r="G877" s="263"/>
      <c r="H877" s="262"/>
      <c r="I877" s="262"/>
      <c r="J877" s="262"/>
      <c r="K877" s="262"/>
      <c r="L877" s="262"/>
      <c r="M877" s="264"/>
      <c r="N877" s="262"/>
      <c r="O877" s="262"/>
      <c r="P877" s="262"/>
      <c r="Q877" s="263"/>
      <c r="R877" s="263"/>
      <c r="S877" s="292"/>
      <c r="T877" s="261"/>
      <c r="U877" s="261"/>
      <c r="V877" s="268"/>
      <c r="W877" s="268"/>
      <c r="X877" s="268"/>
      <c r="Y877" s="268"/>
      <c r="Z877" s="471">
        <f>SUMIF(TAB_CS[Reference],TAB_Offres[[#This Row],[Reference]],TAB_CS[Commited days])</f>
        <v>0</v>
      </c>
      <c r="AA877" s="269">
        <f>SUMIF(TAB_CS[Reference],TAB_Offres[[#This Row],[Reference]],TAB_CS[Commited amount])</f>
        <v>0</v>
      </c>
      <c r="AB877" s="275"/>
      <c r="AC877" s="270"/>
      <c r="AD877" s="270"/>
      <c r="AE877" s="264"/>
      <c r="AF877" s="271"/>
      <c r="AG877" s="278"/>
      <c r="AH877" s="277" t="str">
        <f>CONCATENATE(YEAR(TAB_Offres[[#This Row],[Request date ]]),"-",MONTH(TAB_Offres[[#This Row],[Request date ]]))</f>
        <v>1900-1</v>
      </c>
      <c r="AI877" s="274" t="e">
        <f>IF(#REF!,1,0)</f>
        <v>#REF!</v>
      </c>
      <c r="AJ877" s="4"/>
      <c r="AK877" s="4"/>
      <c r="AL877" s="4"/>
      <c r="AN877" s="150"/>
      <c r="AQ877" s="4"/>
    </row>
    <row r="878" spans="1:43" x14ac:dyDescent="0.25">
      <c r="A878" s="258">
        <f>ROW(TAB_Offres[[#This Row],[Reference]])-ROW(TAB_Offres[[#Headers],[ID]])</f>
        <v>877</v>
      </c>
      <c r="B878" s="258"/>
      <c r="C878" s="258"/>
      <c r="D878" s="258"/>
      <c r="E878" s="263"/>
      <c r="F878" s="258"/>
      <c r="G878" s="263"/>
      <c r="H878" s="262"/>
      <c r="I878" s="262"/>
      <c r="J878" s="262"/>
      <c r="K878" s="262"/>
      <c r="L878" s="262"/>
      <c r="M878" s="264"/>
      <c r="N878" s="262"/>
      <c r="O878" s="262"/>
      <c r="P878" s="262"/>
      <c r="Q878" s="263"/>
      <c r="R878" s="263"/>
      <c r="S878" s="292"/>
      <c r="T878" s="261"/>
      <c r="U878" s="261"/>
      <c r="V878" s="268"/>
      <c r="W878" s="268"/>
      <c r="X878" s="268"/>
      <c r="Y878" s="268"/>
      <c r="Z878" s="471">
        <f>SUMIF(TAB_CS[Reference],TAB_Offres[[#This Row],[Reference]],TAB_CS[Commited days])</f>
        <v>0</v>
      </c>
      <c r="AA878" s="269">
        <f>SUMIF(TAB_CS[Reference],TAB_Offres[[#This Row],[Reference]],TAB_CS[Commited amount])</f>
        <v>0</v>
      </c>
      <c r="AB878" s="275"/>
      <c r="AC878" s="270"/>
      <c r="AD878" s="270"/>
      <c r="AE878" s="264"/>
      <c r="AF878" s="271"/>
      <c r="AG878" s="278"/>
      <c r="AH878" s="277" t="str">
        <f>CONCATENATE(YEAR(TAB_Offres[[#This Row],[Request date ]]),"-",MONTH(TAB_Offres[[#This Row],[Request date ]]))</f>
        <v>1900-1</v>
      </c>
      <c r="AI878" s="274" t="e">
        <f>IF(#REF!,1,0)</f>
        <v>#REF!</v>
      </c>
      <c r="AJ878" s="4"/>
      <c r="AK878" s="4"/>
      <c r="AL878" s="4"/>
      <c r="AN878" s="150"/>
      <c r="AQ878" s="4"/>
    </row>
    <row r="879" spans="1:43" x14ac:dyDescent="0.25">
      <c r="A879" s="258">
        <f>ROW(TAB_Offres[[#This Row],[Reference]])-ROW(TAB_Offres[[#Headers],[ID]])</f>
        <v>878</v>
      </c>
      <c r="B879" s="258"/>
      <c r="C879" s="258"/>
      <c r="D879" s="258"/>
      <c r="E879" s="263"/>
      <c r="F879" s="258"/>
      <c r="G879" s="263"/>
      <c r="H879" s="262"/>
      <c r="I879" s="262"/>
      <c r="J879" s="262"/>
      <c r="K879" s="262"/>
      <c r="L879" s="262"/>
      <c r="M879" s="264"/>
      <c r="N879" s="262"/>
      <c r="O879" s="262"/>
      <c r="P879" s="262"/>
      <c r="Q879" s="263"/>
      <c r="R879" s="263"/>
      <c r="S879" s="292"/>
      <c r="T879" s="261"/>
      <c r="U879" s="261"/>
      <c r="V879" s="268"/>
      <c r="W879" s="268"/>
      <c r="X879" s="268"/>
      <c r="Y879" s="268"/>
      <c r="Z879" s="471">
        <f>SUMIF(TAB_CS[Reference],TAB_Offres[[#This Row],[Reference]],TAB_CS[Commited days])</f>
        <v>0</v>
      </c>
      <c r="AA879" s="269">
        <f>SUMIF(TAB_CS[Reference],TAB_Offres[[#This Row],[Reference]],TAB_CS[Commited amount])</f>
        <v>0</v>
      </c>
      <c r="AB879" s="275"/>
      <c r="AC879" s="270"/>
      <c r="AD879" s="270"/>
      <c r="AE879" s="264"/>
      <c r="AF879" s="271"/>
      <c r="AG879" s="278"/>
      <c r="AH879" s="277" t="str">
        <f>CONCATENATE(YEAR(TAB_Offres[[#This Row],[Request date ]]),"-",MONTH(TAB_Offres[[#This Row],[Request date ]]))</f>
        <v>1900-1</v>
      </c>
      <c r="AI879" s="274" t="e">
        <f>IF(#REF!,1,0)</f>
        <v>#REF!</v>
      </c>
      <c r="AJ879" s="4"/>
      <c r="AK879" s="4"/>
      <c r="AL879" s="4"/>
      <c r="AN879" s="150"/>
      <c r="AQ879" s="4"/>
    </row>
    <row r="880" spans="1:43" x14ac:dyDescent="0.25">
      <c r="A880" s="258">
        <f>ROW(TAB_Offres[[#This Row],[Reference]])-ROW(TAB_Offres[[#Headers],[ID]])</f>
        <v>879</v>
      </c>
      <c r="B880" s="258"/>
      <c r="C880" s="258"/>
      <c r="D880" s="258"/>
      <c r="E880" s="263"/>
      <c r="F880" s="258"/>
      <c r="G880" s="263"/>
      <c r="H880" s="262"/>
      <c r="I880" s="262"/>
      <c r="J880" s="262"/>
      <c r="K880" s="262"/>
      <c r="L880" s="262"/>
      <c r="M880" s="264"/>
      <c r="N880" s="262"/>
      <c r="O880" s="262"/>
      <c r="P880" s="262"/>
      <c r="Q880" s="263"/>
      <c r="R880" s="263"/>
      <c r="S880" s="292"/>
      <c r="T880" s="261"/>
      <c r="U880" s="261"/>
      <c r="V880" s="268"/>
      <c r="W880" s="268"/>
      <c r="X880" s="268"/>
      <c r="Y880" s="268"/>
      <c r="Z880" s="471">
        <f>SUMIF(TAB_CS[Reference],TAB_Offres[[#This Row],[Reference]],TAB_CS[Commited days])</f>
        <v>0</v>
      </c>
      <c r="AA880" s="269">
        <f>SUMIF(TAB_CS[Reference],TAB_Offres[[#This Row],[Reference]],TAB_CS[Commited amount])</f>
        <v>0</v>
      </c>
      <c r="AB880" s="275"/>
      <c r="AC880" s="270"/>
      <c r="AD880" s="270"/>
      <c r="AE880" s="264"/>
      <c r="AF880" s="271"/>
      <c r="AG880" s="278"/>
      <c r="AH880" s="277" t="str">
        <f>CONCATENATE(YEAR(TAB_Offres[[#This Row],[Request date ]]),"-",MONTH(TAB_Offres[[#This Row],[Request date ]]))</f>
        <v>1900-1</v>
      </c>
      <c r="AI880" s="274" t="e">
        <f>IF(#REF!,1,0)</f>
        <v>#REF!</v>
      </c>
      <c r="AJ880" s="4"/>
      <c r="AK880" s="4"/>
      <c r="AL880" s="4"/>
      <c r="AN880" s="150"/>
      <c r="AQ880" s="4"/>
    </row>
    <row r="881" spans="1:43" x14ac:dyDescent="0.25">
      <c r="A881" s="258">
        <f>ROW(TAB_Offres[[#This Row],[Reference]])-ROW(TAB_Offres[[#Headers],[ID]])</f>
        <v>880</v>
      </c>
      <c r="B881" s="258"/>
      <c r="C881" s="258"/>
      <c r="D881" s="258"/>
      <c r="E881" s="263"/>
      <c r="F881" s="258"/>
      <c r="G881" s="263"/>
      <c r="H881" s="262"/>
      <c r="I881" s="262"/>
      <c r="J881" s="262"/>
      <c r="K881" s="262"/>
      <c r="L881" s="262"/>
      <c r="M881" s="264"/>
      <c r="N881" s="262"/>
      <c r="O881" s="262"/>
      <c r="P881" s="262"/>
      <c r="Q881" s="263"/>
      <c r="R881" s="263"/>
      <c r="S881" s="292"/>
      <c r="T881" s="261"/>
      <c r="U881" s="261"/>
      <c r="V881" s="268"/>
      <c r="W881" s="268"/>
      <c r="X881" s="268"/>
      <c r="Y881" s="268"/>
      <c r="Z881" s="471">
        <f>SUMIF(TAB_CS[Reference],TAB_Offres[[#This Row],[Reference]],TAB_CS[Commited days])</f>
        <v>0</v>
      </c>
      <c r="AA881" s="269">
        <f>SUMIF(TAB_CS[Reference],TAB_Offres[[#This Row],[Reference]],TAB_CS[Commited amount])</f>
        <v>0</v>
      </c>
      <c r="AB881" s="275"/>
      <c r="AC881" s="270"/>
      <c r="AD881" s="270"/>
      <c r="AE881" s="264"/>
      <c r="AF881" s="271"/>
      <c r="AG881" s="278"/>
      <c r="AH881" s="277" t="str">
        <f>CONCATENATE(YEAR(TAB_Offres[[#This Row],[Request date ]]),"-",MONTH(TAB_Offres[[#This Row],[Request date ]]))</f>
        <v>1900-1</v>
      </c>
      <c r="AI881" s="274" t="e">
        <f>IF(#REF!,1,0)</f>
        <v>#REF!</v>
      </c>
      <c r="AJ881" s="4"/>
      <c r="AK881" s="4"/>
      <c r="AL881" s="4"/>
      <c r="AN881" s="150"/>
      <c r="AQ881" s="4"/>
    </row>
    <row r="882" spans="1:43" x14ac:dyDescent="0.25">
      <c r="A882" s="258">
        <f>ROW(TAB_Offres[[#This Row],[Reference]])-ROW(TAB_Offres[[#Headers],[ID]])</f>
        <v>881</v>
      </c>
      <c r="B882" s="258"/>
      <c r="C882" s="258"/>
      <c r="D882" s="258"/>
      <c r="E882" s="263"/>
      <c r="F882" s="258"/>
      <c r="G882" s="263"/>
      <c r="H882" s="262"/>
      <c r="I882" s="262"/>
      <c r="J882" s="262"/>
      <c r="K882" s="262"/>
      <c r="L882" s="262"/>
      <c r="M882" s="264"/>
      <c r="N882" s="262"/>
      <c r="O882" s="262"/>
      <c r="P882" s="262"/>
      <c r="Q882" s="263"/>
      <c r="R882" s="263"/>
      <c r="S882" s="292"/>
      <c r="T882" s="261"/>
      <c r="U882" s="261"/>
      <c r="V882" s="268"/>
      <c r="W882" s="268"/>
      <c r="X882" s="268"/>
      <c r="Y882" s="268"/>
      <c r="Z882" s="471">
        <f>SUMIF(TAB_CS[Reference],TAB_Offres[[#This Row],[Reference]],TAB_CS[Commited days])</f>
        <v>0</v>
      </c>
      <c r="AA882" s="269">
        <f>SUMIF(TAB_CS[Reference],TAB_Offres[[#This Row],[Reference]],TAB_CS[Commited amount])</f>
        <v>0</v>
      </c>
      <c r="AB882" s="275"/>
      <c r="AC882" s="270"/>
      <c r="AD882" s="270"/>
      <c r="AE882" s="264"/>
      <c r="AF882" s="271"/>
      <c r="AG882" s="278"/>
      <c r="AH882" s="277" t="str">
        <f>CONCATENATE(YEAR(TAB_Offres[[#This Row],[Request date ]]),"-",MONTH(TAB_Offres[[#This Row],[Request date ]]))</f>
        <v>1900-1</v>
      </c>
      <c r="AI882" s="274" t="e">
        <f>IF(#REF!,1,0)</f>
        <v>#REF!</v>
      </c>
      <c r="AJ882" s="4"/>
      <c r="AK882" s="4"/>
      <c r="AL882" s="4"/>
      <c r="AN882" s="150"/>
      <c r="AQ882" s="4"/>
    </row>
    <row r="883" spans="1:43" x14ac:dyDescent="0.25">
      <c r="A883" s="258">
        <f>ROW(TAB_Offres[[#This Row],[Reference]])-ROW(TAB_Offres[[#Headers],[ID]])</f>
        <v>882</v>
      </c>
      <c r="B883" s="258"/>
      <c r="C883" s="258"/>
      <c r="D883" s="258"/>
      <c r="E883" s="263"/>
      <c r="F883" s="258"/>
      <c r="G883" s="263"/>
      <c r="H883" s="262"/>
      <c r="I883" s="262"/>
      <c r="J883" s="262"/>
      <c r="K883" s="262"/>
      <c r="L883" s="262"/>
      <c r="M883" s="264"/>
      <c r="N883" s="262"/>
      <c r="O883" s="262"/>
      <c r="P883" s="262"/>
      <c r="Q883" s="263"/>
      <c r="R883" s="263"/>
      <c r="S883" s="292"/>
      <c r="T883" s="261"/>
      <c r="U883" s="261"/>
      <c r="V883" s="268"/>
      <c r="W883" s="268"/>
      <c r="X883" s="268"/>
      <c r="Y883" s="268"/>
      <c r="Z883" s="471">
        <f>SUMIF(TAB_CS[Reference],TAB_Offres[[#This Row],[Reference]],TAB_CS[Commited days])</f>
        <v>0</v>
      </c>
      <c r="AA883" s="269">
        <f>SUMIF(TAB_CS[Reference],TAB_Offres[[#This Row],[Reference]],TAB_CS[Commited amount])</f>
        <v>0</v>
      </c>
      <c r="AB883" s="275"/>
      <c r="AC883" s="270"/>
      <c r="AD883" s="270"/>
      <c r="AE883" s="264"/>
      <c r="AF883" s="271"/>
      <c r="AG883" s="278"/>
      <c r="AH883" s="277" t="str">
        <f>CONCATENATE(YEAR(TAB_Offres[[#This Row],[Request date ]]),"-",MONTH(TAB_Offres[[#This Row],[Request date ]]))</f>
        <v>1900-1</v>
      </c>
      <c r="AI883" s="274" t="e">
        <f>IF(#REF!,1,0)</f>
        <v>#REF!</v>
      </c>
      <c r="AJ883" s="4"/>
      <c r="AK883" s="4"/>
      <c r="AL883" s="4"/>
      <c r="AN883" s="150"/>
      <c r="AQ883" s="4"/>
    </row>
    <row r="884" spans="1:43" x14ac:dyDescent="0.25">
      <c r="A884" s="258">
        <f>ROW(TAB_Offres[[#This Row],[Reference]])-ROW(TAB_Offres[[#Headers],[ID]])</f>
        <v>883</v>
      </c>
      <c r="B884" s="258"/>
      <c r="C884" s="258"/>
      <c r="D884" s="258"/>
      <c r="E884" s="263"/>
      <c r="F884" s="258"/>
      <c r="G884" s="263"/>
      <c r="H884" s="262"/>
      <c r="I884" s="262"/>
      <c r="J884" s="262"/>
      <c r="K884" s="262"/>
      <c r="L884" s="262"/>
      <c r="M884" s="264"/>
      <c r="N884" s="262"/>
      <c r="O884" s="262"/>
      <c r="P884" s="262"/>
      <c r="Q884" s="263"/>
      <c r="R884" s="263"/>
      <c r="S884" s="292"/>
      <c r="T884" s="261"/>
      <c r="U884" s="261"/>
      <c r="V884" s="268"/>
      <c r="W884" s="268"/>
      <c r="X884" s="268"/>
      <c r="Y884" s="268"/>
      <c r="Z884" s="471">
        <f>SUMIF(TAB_CS[Reference],TAB_Offres[[#This Row],[Reference]],TAB_CS[Commited days])</f>
        <v>0</v>
      </c>
      <c r="AA884" s="269">
        <f>SUMIF(TAB_CS[Reference],TAB_Offres[[#This Row],[Reference]],TAB_CS[Commited amount])</f>
        <v>0</v>
      </c>
      <c r="AB884" s="275"/>
      <c r="AC884" s="270"/>
      <c r="AD884" s="270"/>
      <c r="AE884" s="264"/>
      <c r="AF884" s="271"/>
      <c r="AG884" s="278"/>
      <c r="AH884" s="277" t="str">
        <f>CONCATENATE(YEAR(TAB_Offres[[#This Row],[Request date ]]),"-",MONTH(TAB_Offres[[#This Row],[Request date ]]))</f>
        <v>1900-1</v>
      </c>
      <c r="AI884" s="274" t="e">
        <f>IF(#REF!,1,0)</f>
        <v>#REF!</v>
      </c>
      <c r="AJ884" s="4"/>
      <c r="AK884" s="4"/>
      <c r="AL884" s="4"/>
      <c r="AN884" s="150"/>
      <c r="AQ884" s="4"/>
    </row>
    <row r="885" spans="1:43" x14ac:dyDescent="0.25">
      <c r="A885" s="258">
        <f>ROW(TAB_Offres[[#This Row],[Reference]])-ROW(TAB_Offres[[#Headers],[ID]])</f>
        <v>884</v>
      </c>
      <c r="B885" s="258"/>
      <c r="C885" s="258"/>
      <c r="D885" s="258"/>
      <c r="E885" s="263"/>
      <c r="F885" s="258"/>
      <c r="G885" s="263"/>
      <c r="H885" s="262"/>
      <c r="I885" s="262"/>
      <c r="J885" s="262"/>
      <c r="K885" s="262"/>
      <c r="L885" s="262"/>
      <c r="M885" s="264"/>
      <c r="N885" s="262"/>
      <c r="O885" s="262"/>
      <c r="P885" s="262"/>
      <c r="Q885" s="263"/>
      <c r="R885" s="263"/>
      <c r="S885" s="292"/>
      <c r="T885" s="261"/>
      <c r="U885" s="261"/>
      <c r="V885" s="268"/>
      <c r="W885" s="268"/>
      <c r="X885" s="268"/>
      <c r="Y885" s="268"/>
      <c r="Z885" s="471">
        <f>SUMIF(TAB_CS[Reference],TAB_Offres[[#This Row],[Reference]],TAB_CS[Commited days])</f>
        <v>0</v>
      </c>
      <c r="AA885" s="269">
        <f>SUMIF(TAB_CS[Reference],TAB_Offres[[#This Row],[Reference]],TAB_CS[Commited amount])</f>
        <v>0</v>
      </c>
      <c r="AB885" s="275"/>
      <c r="AC885" s="270"/>
      <c r="AD885" s="270"/>
      <c r="AE885" s="264"/>
      <c r="AF885" s="271"/>
      <c r="AG885" s="278"/>
      <c r="AH885" s="277" t="str">
        <f>CONCATENATE(YEAR(TAB_Offres[[#This Row],[Request date ]]),"-",MONTH(TAB_Offres[[#This Row],[Request date ]]))</f>
        <v>1900-1</v>
      </c>
      <c r="AI885" s="274" t="e">
        <f>IF(#REF!,1,0)</f>
        <v>#REF!</v>
      </c>
      <c r="AJ885" s="4"/>
      <c r="AK885" s="4"/>
      <c r="AL885" s="4"/>
      <c r="AN885" s="150"/>
      <c r="AQ885" s="4"/>
    </row>
    <row r="886" spans="1:43" x14ac:dyDescent="0.25">
      <c r="A886" s="258">
        <f>ROW(TAB_Offres[[#This Row],[Reference]])-ROW(TAB_Offres[[#Headers],[ID]])</f>
        <v>885</v>
      </c>
      <c r="B886" s="258"/>
      <c r="C886" s="258"/>
      <c r="D886" s="258"/>
      <c r="E886" s="263"/>
      <c r="F886" s="258"/>
      <c r="G886" s="263"/>
      <c r="H886" s="262"/>
      <c r="I886" s="262"/>
      <c r="J886" s="262"/>
      <c r="K886" s="262"/>
      <c r="L886" s="262"/>
      <c r="M886" s="264"/>
      <c r="N886" s="262"/>
      <c r="O886" s="262"/>
      <c r="P886" s="262"/>
      <c r="Q886" s="263"/>
      <c r="R886" s="263"/>
      <c r="S886" s="292"/>
      <c r="T886" s="261"/>
      <c r="U886" s="261"/>
      <c r="V886" s="268"/>
      <c r="W886" s="268"/>
      <c r="X886" s="268"/>
      <c r="Y886" s="268"/>
      <c r="Z886" s="471">
        <f>SUMIF(TAB_CS[Reference],TAB_Offres[[#This Row],[Reference]],TAB_CS[Commited days])</f>
        <v>0</v>
      </c>
      <c r="AA886" s="269">
        <f>SUMIF(TAB_CS[Reference],TAB_Offres[[#This Row],[Reference]],TAB_CS[Commited amount])</f>
        <v>0</v>
      </c>
      <c r="AB886" s="275"/>
      <c r="AC886" s="270"/>
      <c r="AD886" s="270"/>
      <c r="AE886" s="264"/>
      <c r="AF886" s="271"/>
      <c r="AG886" s="278"/>
      <c r="AH886" s="277" t="str">
        <f>CONCATENATE(YEAR(TAB_Offres[[#This Row],[Request date ]]),"-",MONTH(TAB_Offres[[#This Row],[Request date ]]))</f>
        <v>1900-1</v>
      </c>
      <c r="AI886" s="274" t="e">
        <f>IF(#REF!,1,0)</f>
        <v>#REF!</v>
      </c>
      <c r="AJ886" s="4"/>
      <c r="AK886" s="4"/>
      <c r="AL886" s="4"/>
      <c r="AN886" s="150"/>
      <c r="AQ886" s="4"/>
    </row>
    <row r="887" spans="1:43" x14ac:dyDescent="0.25">
      <c r="A887" s="258">
        <f>ROW(TAB_Offres[[#This Row],[Reference]])-ROW(TAB_Offres[[#Headers],[ID]])</f>
        <v>886</v>
      </c>
      <c r="B887" s="258"/>
      <c r="C887" s="258"/>
      <c r="D887" s="258"/>
      <c r="E887" s="263"/>
      <c r="F887" s="258"/>
      <c r="G887" s="263"/>
      <c r="H887" s="262"/>
      <c r="I887" s="262"/>
      <c r="J887" s="262"/>
      <c r="K887" s="262"/>
      <c r="L887" s="262"/>
      <c r="M887" s="264"/>
      <c r="N887" s="262"/>
      <c r="O887" s="262"/>
      <c r="P887" s="262"/>
      <c r="Q887" s="263"/>
      <c r="R887" s="263"/>
      <c r="S887" s="292"/>
      <c r="T887" s="261"/>
      <c r="U887" s="261"/>
      <c r="V887" s="268"/>
      <c r="W887" s="268"/>
      <c r="X887" s="268"/>
      <c r="Y887" s="268"/>
      <c r="Z887" s="471">
        <f>SUMIF(TAB_CS[Reference],TAB_Offres[[#This Row],[Reference]],TAB_CS[Commited days])</f>
        <v>0</v>
      </c>
      <c r="AA887" s="269">
        <f>SUMIF(TAB_CS[Reference],TAB_Offres[[#This Row],[Reference]],TAB_CS[Commited amount])</f>
        <v>0</v>
      </c>
      <c r="AB887" s="275"/>
      <c r="AC887" s="270"/>
      <c r="AD887" s="270"/>
      <c r="AE887" s="264"/>
      <c r="AF887" s="271"/>
      <c r="AG887" s="278"/>
      <c r="AH887" s="277" t="str">
        <f>CONCATENATE(YEAR(TAB_Offres[[#This Row],[Request date ]]),"-",MONTH(TAB_Offres[[#This Row],[Request date ]]))</f>
        <v>1900-1</v>
      </c>
      <c r="AI887" s="274" t="e">
        <f>IF(#REF!,1,0)</f>
        <v>#REF!</v>
      </c>
      <c r="AJ887" s="4"/>
      <c r="AK887" s="4"/>
      <c r="AL887" s="4"/>
      <c r="AN887" s="150"/>
      <c r="AQ887" s="4"/>
    </row>
    <row r="888" spans="1:43" x14ac:dyDescent="0.25">
      <c r="A888" s="258">
        <f>ROW(TAB_Offres[[#This Row],[Reference]])-ROW(TAB_Offres[[#Headers],[ID]])</f>
        <v>887</v>
      </c>
      <c r="B888" s="258"/>
      <c r="C888" s="258"/>
      <c r="D888" s="258"/>
      <c r="E888" s="263"/>
      <c r="F888" s="258"/>
      <c r="G888" s="263"/>
      <c r="H888" s="262"/>
      <c r="I888" s="262"/>
      <c r="J888" s="262"/>
      <c r="K888" s="262"/>
      <c r="L888" s="262"/>
      <c r="M888" s="264"/>
      <c r="N888" s="262"/>
      <c r="O888" s="262"/>
      <c r="P888" s="262"/>
      <c r="Q888" s="263"/>
      <c r="R888" s="263"/>
      <c r="S888" s="292"/>
      <c r="T888" s="261"/>
      <c r="U888" s="261"/>
      <c r="V888" s="268"/>
      <c r="W888" s="268"/>
      <c r="X888" s="268"/>
      <c r="Y888" s="268"/>
      <c r="Z888" s="471">
        <f>SUMIF(TAB_CS[Reference],TAB_Offres[[#This Row],[Reference]],TAB_CS[Commited days])</f>
        <v>0</v>
      </c>
      <c r="AA888" s="269">
        <f>SUMIF(TAB_CS[Reference],TAB_Offres[[#This Row],[Reference]],TAB_CS[Commited amount])</f>
        <v>0</v>
      </c>
      <c r="AB888" s="275"/>
      <c r="AC888" s="270"/>
      <c r="AD888" s="270"/>
      <c r="AE888" s="264"/>
      <c r="AF888" s="271"/>
      <c r="AG888" s="278"/>
      <c r="AH888" s="277" t="str">
        <f>CONCATENATE(YEAR(TAB_Offres[[#This Row],[Request date ]]),"-",MONTH(TAB_Offres[[#This Row],[Request date ]]))</f>
        <v>1900-1</v>
      </c>
      <c r="AI888" s="274" t="e">
        <f>IF(#REF!,1,0)</f>
        <v>#REF!</v>
      </c>
      <c r="AJ888" s="4"/>
      <c r="AK888" s="4"/>
      <c r="AL888" s="4"/>
      <c r="AN888" s="150"/>
      <c r="AQ888" s="4"/>
    </row>
    <row r="889" spans="1:43" x14ac:dyDescent="0.25">
      <c r="A889" s="258">
        <f>ROW(TAB_Offres[[#This Row],[Reference]])-ROW(TAB_Offres[[#Headers],[ID]])</f>
        <v>888</v>
      </c>
      <c r="B889" s="258"/>
      <c r="C889" s="258"/>
      <c r="D889" s="258"/>
      <c r="E889" s="263"/>
      <c r="F889" s="258"/>
      <c r="G889" s="263"/>
      <c r="H889" s="262"/>
      <c r="I889" s="262"/>
      <c r="J889" s="262"/>
      <c r="K889" s="262"/>
      <c r="L889" s="262"/>
      <c r="M889" s="264"/>
      <c r="N889" s="262"/>
      <c r="O889" s="262"/>
      <c r="P889" s="262"/>
      <c r="Q889" s="263"/>
      <c r="R889" s="263"/>
      <c r="S889" s="292"/>
      <c r="T889" s="261"/>
      <c r="U889" s="261"/>
      <c r="V889" s="268"/>
      <c r="W889" s="268"/>
      <c r="X889" s="268"/>
      <c r="Y889" s="268"/>
      <c r="Z889" s="471">
        <f>SUMIF(TAB_CS[Reference],TAB_Offres[[#This Row],[Reference]],TAB_CS[Commited days])</f>
        <v>0</v>
      </c>
      <c r="AA889" s="269">
        <f>SUMIF(TAB_CS[Reference],TAB_Offres[[#This Row],[Reference]],TAB_CS[Commited amount])</f>
        <v>0</v>
      </c>
      <c r="AB889" s="275"/>
      <c r="AC889" s="270"/>
      <c r="AD889" s="270"/>
      <c r="AE889" s="264"/>
      <c r="AF889" s="271"/>
      <c r="AG889" s="278"/>
      <c r="AH889" s="277" t="str">
        <f>CONCATENATE(YEAR(TAB_Offres[[#This Row],[Request date ]]),"-",MONTH(TAB_Offres[[#This Row],[Request date ]]))</f>
        <v>1900-1</v>
      </c>
      <c r="AI889" s="274" t="e">
        <f>IF(#REF!,1,0)</f>
        <v>#REF!</v>
      </c>
      <c r="AJ889" s="4"/>
      <c r="AK889" s="4"/>
      <c r="AL889" s="4"/>
      <c r="AN889" s="150"/>
      <c r="AQ889" s="4"/>
    </row>
    <row r="890" spans="1:43" x14ac:dyDescent="0.25">
      <c r="A890" s="258">
        <f>ROW(TAB_Offres[[#This Row],[Reference]])-ROW(TAB_Offres[[#Headers],[ID]])</f>
        <v>889</v>
      </c>
      <c r="B890" s="258"/>
      <c r="C890" s="258"/>
      <c r="D890" s="258"/>
      <c r="E890" s="263"/>
      <c r="F890" s="258"/>
      <c r="G890" s="263"/>
      <c r="H890" s="262"/>
      <c r="I890" s="262"/>
      <c r="J890" s="262"/>
      <c r="K890" s="262"/>
      <c r="L890" s="262"/>
      <c r="M890" s="264"/>
      <c r="N890" s="262"/>
      <c r="O890" s="262"/>
      <c r="P890" s="262"/>
      <c r="Q890" s="263"/>
      <c r="R890" s="263"/>
      <c r="S890" s="292"/>
      <c r="T890" s="261"/>
      <c r="U890" s="261"/>
      <c r="V890" s="268"/>
      <c r="W890" s="268"/>
      <c r="X890" s="268"/>
      <c r="Y890" s="268"/>
      <c r="Z890" s="471">
        <f>SUMIF(TAB_CS[Reference],TAB_Offres[[#This Row],[Reference]],TAB_CS[Commited days])</f>
        <v>0</v>
      </c>
      <c r="AA890" s="269">
        <f>SUMIF(TAB_CS[Reference],TAB_Offres[[#This Row],[Reference]],TAB_CS[Commited amount])</f>
        <v>0</v>
      </c>
      <c r="AB890" s="275"/>
      <c r="AC890" s="270"/>
      <c r="AD890" s="270"/>
      <c r="AE890" s="264"/>
      <c r="AF890" s="271"/>
      <c r="AG890" s="278"/>
      <c r="AH890" s="277" t="str">
        <f>CONCATENATE(YEAR(TAB_Offres[[#This Row],[Request date ]]),"-",MONTH(TAB_Offres[[#This Row],[Request date ]]))</f>
        <v>1900-1</v>
      </c>
      <c r="AI890" s="274" t="e">
        <f>IF(#REF!,1,0)</f>
        <v>#REF!</v>
      </c>
      <c r="AJ890" s="4"/>
      <c r="AK890" s="4"/>
      <c r="AL890" s="4"/>
      <c r="AN890" s="150"/>
      <c r="AQ890" s="4"/>
    </row>
    <row r="891" spans="1:43" x14ac:dyDescent="0.25">
      <c r="A891" s="258">
        <f>ROW(TAB_Offres[[#This Row],[Reference]])-ROW(TAB_Offres[[#Headers],[ID]])</f>
        <v>890</v>
      </c>
      <c r="B891" s="258"/>
      <c r="C891" s="258"/>
      <c r="D891" s="258"/>
      <c r="E891" s="263"/>
      <c r="F891" s="258"/>
      <c r="G891" s="263"/>
      <c r="H891" s="262"/>
      <c r="I891" s="262"/>
      <c r="J891" s="262"/>
      <c r="K891" s="262"/>
      <c r="L891" s="262"/>
      <c r="M891" s="264"/>
      <c r="N891" s="262"/>
      <c r="O891" s="262"/>
      <c r="P891" s="262"/>
      <c r="Q891" s="263"/>
      <c r="R891" s="263"/>
      <c r="S891" s="292"/>
      <c r="T891" s="261"/>
      <c r="U891" s="261"/>
      <c r="V891" s="268"/>
      <c r="W891" s="268"/>
      <c r="X891" s="268"/>
      <c r="Y891" s="268"/>
      <c r="Z891" s="471">
        <f>SUMIF(TAB_CS[Reference],TAB_Offres[[#This Row],[Reference]],TAB_CS[Commited days])</f>
        <v>0</v>
      </c>
      <c r="AA891" s="269">
        <f>SUMIF(TAB_CS[Reference],TAB_Offres[[#This Row],[Reference]],TAB_CS[Commited amount])</f>
        <v>0</v>
      </c>
      <c r="AB891" s="275"/>
      <c r="AC891" s="270"/>
      <c r="AD891" s="270"/>
      <c r="AE891" s="264"/>
      <c r="AF891" s="271"/>
      <c r="AG891" s="278"/>
      <c r="AH891" s="277" t="str">
        <f>CONCATENATE(YEAR(TAB_Offres[[#This Row],[Request date ]]),"-",MONTH(TAB_Offres[[#This Row],[Request date ]]))</f>
        <v>1900-1</v>
      </c>
      <c r="AI891" s="274" t="e">
        <f>IF(#REF!,1,0)</f>
        <v>#REF!</v>
      </c>
      <c r="AJ891" s="4"/>
      <c r="AK891" s="4"/>
      <c r="AL891" s="4"/>
      <c r="AN891" s="150"/>
      <c r="AQ891" s="4"/>
    </row>
    <row r="892" spans="1:43" x14ac:dyDescent="0.25">
      <c r="A892" s="258">
        <f>ROW(TAB_Offres[[#This Row],[Reference]])-ROW(TAB_Offres[[#Headers],[ID]])</f>
        <v>891</v>
      </c>
      <c r="B892" s="258"/>
      <c r="C892" s="258"/>
      <c r="D892" s="258"/>
      <c r="E892" s="263"/>
      <c r="F892" s="258"/>
      <c r="G892" s="263"/>
      <c r="H892" s="262"/>
      <c r="I892" s="262"/>
      <c r="J892" s="262"/>
      <c r="K892" s="262"/>
      <c r="L892" s="262"/>
      <c r="M892" s="264"/>
      <c r="N892" s="262"/>
      <c r="O892" s="262"/>
      <c r="P892" s="262"/>
      <c r="Q892" s="263"/>
      <c r="R892" s="263"/>
      <c r="S892" s="292"/>
      <c r="T892" s="261"/>
      <c r="U892" s="261"/>
      <c r="V892" s="268"/>
      <c r="W892" s="268"/>
      <c r="X892" s="268"/>
      <c r="Y892" s="268"/>
      <c r="Z892" s="471">
        <f>SUMIF(TAB_CS[Reference],TAB_Offres[[#This Row],[Reference]],TAB_CS[Commited days])</f>
        <v>0</v>
      </c>
      <c r="AA892" s="269">
        <f>SUMIF(TAB_CS[Reference],TAB_Offres[[#This Row],[Reference]],TAB_CS[Commited amount])</f>
        <v>0</v>
      </c>
      <c r="AB892" s="275"/>
      <c r="AC892" s="270"/>
      <c r="AD892" s="270"/>
      <c r="AE892" s="264"/>
      <c r="AF892" s="271"/>
      <c r="AG892" s="278"/>
      <c r="AH892" s="277" t="str">
        <f>CONCATENATE(YEAR(TAB_Offres[[#This Row],[Request date ]]),"-",MONTH(TAB_Offres[[#This Row],[Request date ]]))</f>
        <v>1900-1</v>
      </c>
      <c r="AI892" s="274" t="e">
        <f>IF(#REF!,1,0)</f>
        <v>#REF!</v>
      </c>
      <c r="AJ892" s="4"/>
      <c r="AK892" s="4"/>
      <c r="AL892" s="4"/>
      <c r="AN892" s="150"/>
      <c r="AQ892" s="4"/>
    </row>
    <row r="893" spans="1:43" x14ac:dyDescent="0.25">
      <c r="A893" s="258">
        <f>ROW(TAB_Offres[[#This Row],[Reference]])-ROW(TAB_Offres[[#Headers],[ID]])</f>
        <v>892</v>
      </c>
      <c r="B893" s="258"/>
      <c r="C893" s="258"/>
      <c r="D893" s="258"/>
      <c r="E893" s="263"/>
      <c r="F893" s="258"/>
      <c r="G893" s="263"/>
      <c r="H893" s="262"/>
      <c r="I893" s="262"/>
      <c r="J893" s="262"/>
      <c r="K893" s="262"/>
      <c r="L893" s="262"/>
      <c r="M893" s="264"/>
      <c r="N893" s="262"/>
      <c r="O893" s="262"/>
      <c r="P893" s="262"/>
      <c r="Q893" s="263"/>
      <c r="R893" s="263"/>
      <c r="S893" s="292"/>
      <c r="T893" s="261"/>
      <c r="U893" s="261"/>
      <c r="V893" s="268"/>
      <c r="W893" s="268"/>
      <c r="X893" s="268"/>
      <c r="Y893" s="268"/>
      <c r="Z893" s="471">
        <f>SUMIF(TAB_CS[Reference],TAB_Offres[[#This Row],[Reference]],TAB_CS[Commited days])</f>
        <v>0</v>
      </c>
      <c r="AA893" s="269">
        <f>SUMIF(TAB_CS[Reference],TAB_Offres[[#This Row],[Reference]],TAB_CS[Commited amount])</f>
        <v>0</v>
      </c>
      <c r="AB893" s="275"/>
      <c r="AC893" s="270"/>
      <c r="AD893" s="270"/>
      <c r="AE893" s="264"/>
      <c r="AF893" s="271"/>
      <c r="AG893" s="278"/>
      <c r="AH893" s="277" t="str">
        <f>CONCATENATE(YEAR(TAB_Offres[[#This Row],[Request date ]]),"-",MONTH(TAB_Offres[[#This Row],[Request date ]]))</f>
        <v>1900-1</v>
      </c>
      <c r="AI893" s="274" t="e">
        <f>IF(#REF!,1,0)</f>
        <v>#REF!</v>
      </c>
      <c r="AJ893" s="4"/>
      <c r="AK893" s="4"/>
      <c r="AL893" s="4"/>
      <c r="AN893" s="150"/>
      <c r="AQ893" s="4"/>
    </row>
    <row r="894" spans="1:43" x14ac:dyDescent="0.25">
      <c r="A894" s="258">
        <f>ROW(TAB_Offres[[#This Row],[Reference]])-ROW(TAB_Offres[[#Headers],[ID]])</f>
        <v>893</v>
      </c>
      <c r="B894" s="258"/>
      <c r="C894" s="258"/>
      <c r="D894" s="258"/>
      <c r="E894" s="263"/>
      <c r="F894" s="258"/>
      <c r="G894" s="263"/>
      <c r="H894" s="262"/>
      <c r="I894" s="262"/>
      <c r="J894" s="262"/>
      <c r="K894" s="262"/>
      <c r="L894" s="262"/>
      <c r="M894" s="264"/>
      <c r="N894" s="262"/>
      <c r="O894" s="262"/>
      <c r="P894" s="262"/>
      <c r="Q894" s="263"/>
      <c r="R894" s="263"/>
      <c r="S894" s="292"/>
      <c r="T894" s="261"/>
      <c r="U894" s="261"/>
      <c r="V894" s="268"/>
      <c r="W894" s="268"/>
      <c r="X894" s="268"/>
      <c r="Y894" s="268"/>
      <c r="Z894" s="471">
        <f>SUMIF(TAB_CS[Reference],TAB_Offres[[#This Row],[Reference]],TAB_CS[Commited days])</f>
        <v>0</v>
      </c>
      <c r="AA894" s="269">
        <f>SUMIF(TAB_CS[Reference],TAB_Offres[[#This Row],[Reference]],TAB_CS[Commited amount])</f>
        <v>0</v>
      </c>
      <c r="AB894" s="275"/>
      <c r="AC894" s="270"/>
      <c r="AD894" s="270"/>
      <c r="AE894" s="264"/>
      <c r="AF894" s="271"/>
      <c r="AG894" s="278"/>
      <c r="AH894" s="277" t="str">
        <f>CONCATENATE(YEAR(TAB_Offres[[#This Row],[Request date ]]),"-",MONTH(TAB_Offres[[#This Row],[Request date ]]))</f>
        <v>1900-1</v>
      </c>
      <c r="AI894" s="274" t="e">
        <f>IF(#REF!,1,0)</f>
        <v>#REF!</v>
      </c>
      <c r="AJ894" s="4"/>
      <c r="AK894" s="4"/>
      <c r="AL894" s="4"/>
      <c r="AN894" s="150"/>
      <c r="AQ894" s="4"/>
    </row>
    <row r="895" spans="1:43" x14ac:dyDescent="0.25">
      <c r="A895" s="258">
        <f>ROW(TAB_Offres[[#This Row],[Reference]])-ROW(TAB_Offres[[#Headers],[ID]])</f>
        <v>894</v>
      </c>
      <c r="B895" s="258"/>
      <c r="C895" s="258"/>
      <c r="D895" s="258"/>
      <c r="E895" s="263"/>
      <c r="F895" s="258"/>
      <c r="G895" s="263"/>
      <c r="H895" s="262"/>
      <c r="I895" s="262"/>
      <c r="J895" s="262"/>
      <c r="K895" s="262"/>
      <c r="L895" s="262"/>
      <c r="M895" s="264"/>
      <c r="N895" s="262"/>
      <c r="O895" s="262"/>
      <c r="P895" s="262"/>
      <c r="Q895" s="263"/>
      <c r="R895" s="263"/>
      <c r="S895" s="292"/>
      <c r="T895" s="261"/>
      <c r="U895" s="261"/>
      <c r="V895" s="268"/>
      <c r="W895" s="268"/>
      <c r="X895" s="268"/>
      <c r="Y895" s="268"/>
      <c r="Z895" s="471">
        <f>SUMIF(TAB_CS[Reference],TAB_Offres[[#This Row],[Reference]],TAB_CS[Commited days])</f>
        <v>0</v>
      </c>
      <c r="AA895" s="269">
        <f>SUMIF(TAB_CS[Reference],TAB_Offres[[#This Row],[Reference]],TAB_CS[Commited amount])</f>
        <v>0</v>
      </c>
      <c r="AB895" s="275"/>
      <c r="AC895" s="270"/>
      <c r="AD895" s="270"/>
      <c r="AE895" s="264"/>
      <c r="AF895" s="271"/>
      <c r="AG895" s="278"/>
      <c r="AH895" s="277" t="str">
        <f>CONCATENATE(YEAR(TAB_Offres[[#This Row],[Request date ]]),"-",MONTH(TAB_Offres[[#This Row],[Request date ]]))</f>
        <v>1900-1</v>
      </c>
      <c r="AI895" s="274" t="e">
        <f>IF(#REF!,1,0)</f>
        <v>#REF!</v>
      </c>
      <c r="AJ895" s="4"/>
      <c r="AK895" s="4"/>
      <c r="AL895" s="4"/>
      <c r="AN895" s="150"/>
      <c r="AQ895" s="4"/>
    </row>
    <row r="896" spans="1:43" x14ac:dyDescent="0.25">
      <c r="A896" s="258">
        <f>ROW(TAB_Offres[[#This Row],[Reference]])-ROW(TAB_Offres[[#Headers],[ID]])</f>
        <v>895</v>
      </c>
      <c r="B896" s="258"/>
      <c r="C896" s="258"/>
      <c r="D896" s="258"/>
      <c r="E896" s="263"/>
      <c r="F896" s="258"/>
      <c r="G896" s="263"/>
      <c r="H896" s="262"/>
      <c r="I896" s="262"/>
      <c r="J896" s="262"/>
      <c r="K896" s="262"/>
      <c r="L896" s="262"/>
      <c r="M896" s="264"/>
      <c r="N896" s="262"/>
      <c r="O896" s="262"/>
      <c r="P896" s="262"/>
      <c r="Q896" s="263"/>
      <c r="R896" s="263"/>
      <c r="S896" s="292"/>
      <c r="T896" s="261"/>
      <c r="U896" s="261"/>
      <c r="V896" s="268"/>
      <c r="W896" s="268"/>
      <c r="X896" s="268"/>
      <c r="Y896" s="268"/>
      <c r="Z896" s="471">
        <f>SUMIF(TAB_CS[Reference],TAB_Offres[[#This Row],[Reference]],TAB_CS[Commited days])</f>
        <v>0</v>
      </c>
      <c r="AA896" s="269">
        <f>SUMIF(TAB_CS[Reference],TAB_Offres[[#This Row],[Reference]],TAB_CS[Commited amount])</f>
        <v>0</v>
      </c>
      <c r="AB896" s="275"/>
      <c r="AC896" s="270"/>
      <c r="AD896" s="270"/>
      <c r="AE896" s="264"/>
      <c r="AF896" s="271"/>
      <c r="AG896" s="278"/>
      <c r="AH896" s="277" t="str">
        <f>CONCATENATE(YEAR(TAB_Offres[[#This Row],[Request date ]]),"-",MONTH(TAB_Offres[[#This Row],[Request date ]]))</f>
        <v>1900-1</v>
      </c>
      <c r="AI896" s="274" t="e">
        <f>IF(#REF!,1,0)</f>
        <v>#REF!</v>
      </c>
      <c r="AJ896" s="4"/>
      <c r="AK896" s="4"/>
      <c r="AL896" s="4"/>
      <c r="AN896" s="150"/>
      <c r="AQ896" s="4"/>
    </row>
    <row r="897" spans="1:43" x14ac:dyDescent="0.25">
      <c r="A897" s="258">
        <f>ROW(TAB_Offres[[#This Row],[Reference]])-ROW(TAB_Offres[[#Headers],[ID]])</f>
        <v>896</v>
      </c>
      <c r="B897" s="258"/>
      <c r="C897" s="258"/>
      <c r="D897" s="258"/>
      <c r="E897" s="263"/>
      <c r="F897" s="258"/>
      <c r="G897" s="263"/>
      <c r="H897" s="262"/>
      <c r="I897" s="262"/>
      <c r="J897" s="262"/>
      <c r="K897" s="262"/>
      <c r="L897" s="262"/>
      <c r="M897" s="264"/>
      <c r="N897" s="262"/>
      <c r="O897" s="262"/>
      <c r="P897" s="262"/>
      <c r="Q897" s="263"/>
      <c r="R897" s="263"/>
      <c r="S897" s="292"/>
      <c r="T897" s="261"/>
      <c r="U897" s="261"/>
      <c r="V897" s="268"/>
      <c r="W897" s="268"/>
      <c r="X897" s="268"/>
      <c r="Y897" s="268"/>
      <c r="Z897" s="471">
        <f>SUMIF(TAB_CS[Reference],TAB_Offres[[#This Row],[Reference]],TAB_CS[Commited days])</f>
        <v>0</v>
      </c>
      <c r="AA897" s="269">
        <f>SUMIF(TAB_CS[Reference],TAB_Offres[[#This Row],[Reference]],TAB_CS[Commited amount])</f>
        <v>0</v>
      </c>
      <c r="AB897" s="275"/>
      <c r="AC897" s="270"/>
      <c r="AD897" s="270"/>
      <c r="AE897" s="264"/>
      <c r="AF897" s="271"/>
      <c r="AG897" s="278"/>
      <c r="AH897" s="277" t="str">
        <f>CONCATENATE(YEAR(TAB_Offres[[#This Row],[Request date ]]),"-",MONTH(TAB_Offres[[#This Row],[Request date ]]))</f>
        <v>1900-1</v>
      </c>
      <c r="AI897" s="274" t="e">
        <f>IF(#REF!,1,0)</f>
        <v>#REF!</v>
      </c>
      <c r="AJ897" s="4"/>
      <c r="AK897" s="4"/>
      <c r="AL897" s="4"/>
      <c r="AN897" s="150"/>
      <c r="AQ897" s="4"/>
    </row>
    <row r="898" spans="1:43" x14ac:dyDescent="0.25">
      <c r="A898" s="258">
        <f>ROW(TAB_Offres[[#This Row],[Reference]])-ROW(TAB_Offres[[#Headers],[ID]])</f>
        <v>897</v>
      </c>
      <c r="B898" s="258"/>
      <c r="C898" s="258"/>
      <c r="D898" s="258"/>
      <c r="E898" s="263"/>
      <c r="F898" s="258"/>
      <c r="G898" s="263"/>
      <c r="H898" s="262"/>
      <c r="I898" s="262"/>
      <c r="J898" s="262"/>
      <c r="K898" s="262"/>
      <c r="L898" s="262"/>
      <c r="M898" s="264"/>
      <c r="N898" s="262"/>
      <c r="O898" s="262"/>
      <c r="P898" s="262"/>
      <c r="Q898" s="263"/>
      <c r="R898" s="263"/>
      <c r="S898" s="292"/>
      <c r="T898" s="261"/>
      <c r="U898" s="261"/>
      <c r="V898" s="268"/>
      <c r="W898" s="268"/>
      <c r="X898" s="268"/>
      <c r="Y898" s="268"/>
      <c r="Z898" s="471">
        <f>SUMIF(TAB_CS[Reference],TAB_Offres[[#This Row],[Reference]],TAB_CS[Commited days])</f>
        <v>0</v>
      </c>
      <c r="AA898" s="269">
        <f>SUMIF(TAB_CS[Reference],TAB_Offres[[#This Row],[Reference]],TAB_CS[Commited amount])</f>
        <v>0</v>
      </c>
      <c r="AB898" s="275"/>
      <c r="AC898" s="270"/>
      <c r="AD898" s="270"/>
      <c r="AE898" s="264"/>
      <c r="AF898" s="271"/>
      <c r="AG898" s="278"/>
      <c r="AH898" s="277" t="str">
        <f>CONCATENATE(YEAR(TAB_Offres[[#This Row],[Request date ]]),"-",MONTH(TAB_Offres[[#This Row],[Request date ]]))</f>
        <v>1900-1</v>
      </c>
      <c r="AI898" s="274" t="e">
        <f>IF(#REF!,1,0)</f>
        <v>#REF!</v>
      </c>
      <c r="AJ898" s="4"/>
      <c r="AK898" s="4"/>
      <c r="AL898" s="4"/>
      <c r="AN898" s="150"/>
      <c r="AQ898" s="4"/>
    </row>
    <row r="899" spans="1:43" x14ac:dyDescent="0.25">
      <c r="A899" s="258">
        <f>ROW(TAB_Offres[[#This Row],[Reference]])-ROW(TAB_Offres[[#Headers],[ID]])</f>
        <v>898</v>
      </c>
      <c r="B899" s="258"/>
      <c r="C899" s="258"/>
      <c r="D899" s="258"/>
      <c r="E899" s="263"/>
      <c r="F899" s="258"/>
      <c r="G899" s="263"/>
      <c r="H899" s="262"/>
      <c r="I899" s="262"/>
      <c r="J899" s="262"/>
      <c r="K899" s="262"/>
      <c r="L899" s="262"/>
      <c r="M899" s="264"/>
      <c r="N899" s="262"/>
      <c r="O899" s="262"/>
      <c r="P899" s="262"/>
      <c r="Q899" s="263"/>
      <c r="R899" s="263"/>
      <c r="S899" s="292"/>
      <c r="T899" s="261"/>
      <c r="U899" s="261"/>
      <c r="V899" s="268"/>
      <c r="W899" s="268"/>
      <c r="X899" s="268"/>
      <c r="Y899" s="268"/>
      <c r="Z899" s="471">
        <f>SUMIF(TAB_CS[Reference],TAB_Offres[[#This Row],[Reference]],TAB_CS[Commited days])</f>
        <v>0</v>
      </c>
      <c r="AA899" s="269">
        <f>SUMIF(TAB_CS[Reference],TAB_Offres[[#This Row],[Reference]],TAB_CS[Commited amount])</f>
        <v>0</v>
      </c>
      <c r="AB899" s="275"/>
      <c r="AC899" s="270"/>
      <c r="AD899" s="270"/>
      <c r="AE899" s="264"/>
      <c r="AF899" s="271"/>
      <c r="AG899" s="278"/>
      <c r="AH899" s="277" t="str">
        <f>CONCATENATE(YEAR(TAB_Offres[[#This Row],[Request date ]]),"-",MONTH(TAB_Offres[[#This Row],[Request date ]]))</f>
        <v>1900-1</v>
      </c>
      <c r="AI899" s="274" t="e">
        <f>IF(#REF!,1,0)</f>
        <v>#REF!</v>
      </c>
      <c r="AJ899" s="4"/>
      <c r="AK899" s="4"/>
      <c r="AL899" s="4"/>
      <c r="AN899" s="150"/>
      <c r="AQ899" s="4"/>
    </row>
    <row r="900" spans="1:43" x14ac:dyDescent="0.25">
      <c r="A900" s="258">
        <f>ROW(TAB_Offres[[#This Row],[Reference]])-ROW(TAB_Offres[[#Headers],[ID]])</f>
        <v>899</v>
      </c>
      <c r="B900" s="258"/>
      <c r="C900" s="258"/>
      <c r="D900" s="258"/>
      <c r="E900" s="263"/>
      <c r="F900" s="258"/>
      <c r="G900" s="263"/>
      <c r="H900" s="262"/>
      <c r="I900" s="262"/>
      <c r="J900" s="262"/>
      <c r="K900" s="262"/>
      <c r="L900" s="262"/>
      <c r="M900" s="264"/>
      <c r="N900" s="262"/>
      <c r="O900" s="262"/>
      <c r="P900" s="262"/>
      <c r="Q900" s="263"/>
      <c r="R900" s="263"/>
      <c r="S900" s="292"/>
      <c r="T900" s="261"/>
      <c r="U900" s="261"/>
      <c r="V900" s="268"/>
      <c r="W900" s="268"/>
      <c r="X900" s="268"/>
      <c r="Y900" s="268"/>
      <c r="Z900" s="471">
        <f>SUMIF(TAB_CS[Reference],TAB_Offres[[#This Row],[Reference]],TAB_CS[Commited days])</f>
        <v>0</v>
      </c>
      <c r="AA900" s="269">
        <f>SUMIF(TAB_CS[Reference],TAB_Offres[[#This Row],[Reference]],TAB_CS[Commited amount])</f>
        <v>0</v>
      </c>
      <c r="AB900" s="275"/>
      <c r="AC900" s="270"/>
      <c r="AD900" s="270"/>
      <c r="AE900" s="264"/>
      <c r="AF900" s="271"/>
      <c r="AG900" s="278"/>
      <c r="AH900" s="277" t="str">
        <f>CONCATENATE(YEAR(TAB_Offres[[#This Row],[Request date ]]),"-",MONTH(TAB_Offres[[#This Row],[Request date ]]))</f>
        <v>1900-1</v>
      </c>
      <c r="AI900" s="274" t="e">
        <f>IF(#REF!,1,0)</f>
        <v>#REF!</v>
      </c>
      <c r="AJ900" s="4"/>
      <c r="AK900" s="4"/>
      <c r="AL900" s="4"/>
      <c r="AN900" s="150"/>
      <c r="AQ900" s="4"/>
    </row>
    <row r="901" spans="1:43" x14ac:dyDescent="0.25">
      <c r="A901" s="258">
        <f>ROW(TAB_Offres[[#This Row],[Reference]])-ROW(TAB_Offres[[#Headers],[ID]])</f>
        <v>900</v>
      </c>
      <c r="B901" s="258"/>
      <c r="C901" s="258"/>
      <c r="D901" s="258"/>
      <c r="E901" s="263"/>
      <c r="F901" s="258"/>
      <c r="G901" s="263"/>
      <c r="H901" s="262"/>
      <c r="I901" s="262"/>
      <c r="J901" s="262"/>
      <c r="K901" s="262"/>
      <c r="L901" s="262"/>
      <c r="M901" s="264"/>
      <c r="N901" s="262"/>
      <c r="O901" s="262"/>
      <c r="P901" s="262"/>
      <c r="Q901" s="263"/>
      <c r="R901" s="263"/>
      <c r="S901" s="292"/>
      <c r="T901" s="261"/>
      <c r="U901" s="261"/>
      <c r="V901" s="268"/>
      <c r="W901" s="268"/>
      <c r="X901" s="268"/>
      <c r="Y901" s="268"/>
      <c r="Z901" s="471">
        <f>SUMIF(TAB_CS[Reference],TAB_Offres[[#This Row],[Reference]],TAB_CS[Commited days])</f>
        <v>0</v>
      </c>
      <c r="AA901" s="269">
        <f>SUMIF(TAB_CS[Reference],TAB_Offres[[#This Row],[Reference]],TAB_CS[Commited amount])</f>
        <v>0</v>
      </c>
      <c r="AB901" s="275"/>
      <c r="AC901" s="270"/>
      <c r="AD901" s="270"/>
      <c r="AE901" s="264"/>
      <c r="AF901" s="271"/>
      <c r="AG901" s="278"/>
      <c r="AH901" s="277" t="str">
        <f>CONCATENATE(YEAR(TAB_Offres[[#This Row],[Request date ]]),"-",MONTH(TAB_Offres[[#This Row],[Request date ]]))</f>
        <v>1900-1</v>
      </c>
      <c r="AI901" s="274" t="e">
        <f>IF(#REF!,1,0)</f>
        <v>#REF!</v>
      </c>
      <c r="AJ901" s="4"/>
      <c r="AK901" s="4"/>
      <c r="AL901" s="4"/>
      <c r="AN901" s="150"/>
      <c r="AQ901" s="4"/>
    </row>
    <row r="902" spans="1:43" x14ac:dyDescent="0.25">
      <c r="A902" s="258">
        <f>ROW(TAB_Offres[[#This Row],[Reference]])-ROW(TAB_Offres[[#Headers],[ID]])</f>
        <v>901</v>
      </c>
      <c r="B902" s="258"/>
      <c r="C902" s="258"/>
      <c r="D902" s="258"/>
      <c r="E902" s="263"/>
      <c r="F902" s="258"/>
      <c r="G902" s="263"/>
      <c r="H902" s="262"/>
      <c r="I902" s="262"/>
      <c r="J902" s="262"/>
      <c r="K902" s="262"/>
      <c r="L902" s="262"/>
      <c r="M902" s="264"/>
      <c r="N902" s="262"/>
      <c r="O902" s="262"/>
      <c r="P902" s="262"/>
      <c r="Q902" s="263"/>
      <c r="R902" s="263"/>
      <c r="S902" s="292"/>
      <c r="T902" s="261"/>
      <c r="U902" s="261"/>
      <c r="V902" s="268"/>
      <c r="W902" s="268"/>
      <c r="X902" s="268"/>
      <c r="Y902" s="268"/>
      <c r="Z902" s="471">
        <f>SUMIF(TAB_CS[Reference],TAB_Offres[[#This Row],[Reference]],TAB_CS[Commited days])</f>
        <v>0</v>
      </c>
      <c r="AA902" s="269">
        <f>SUMIF(TAB_CS[Reference],TAB_Offres[[#This Row],[Reference]],TAB_CS[Commited amount])</f>
        <v>0</v>
      </c>
      <c r="AB902" s="275"/>
      <c r="AC902" s="270"/>
      <c r="AD902" s="270"/>
      <c r="AE902" s="264"/>
      <c r="AF902" s="271"/>
      <c r="AG902" s="278"/>
      <c r="AH902" s="277" t="str">
        <f>CONCATENATE(YEAR(TAB_Offres[[#This Row],[Request date ]]),"-",MONTH(TAB_Offres[[#This Row],[Request date ]]))</f>
        <v>1900-1</v>
      </c>
      <c r="AI902" s="274" t="e">
        <f>IF(#REF!,1,0)</f>
        <v>#REF!</v>
      </c>
      <c r="AJ902" s="4"/>
      <c r="AK902" s="4"/>
      <c r="AL902" s="4"/>
      <c r="AN902" s="150"/>
      <c r="AQ902" s="4"/>
    </row>
    <row r="903" spans="1:43" x14ac:dyDescent="0.25">
      <c r="A903" s="258">
        <f>ROW(TAB_Offres[[#This Row],[Reference]])-ROW(TAB_Offres[[#Headers],[ID]])</f>
        <v>902</v>
      </c>
      <c r="B903" s="258"/>
      <c r="C903" s="258"/>
      <c r="D903" s="258"/>
      <c r="E903" s="263"/>
      <c r="F903" s="258"/>
      <c r="G903" s="263"/>
      <c r="H903" s="262"/>
      <c r="I903" s="262"/>
      <c r="J903" s="262"/>
      <c r="K903" s="262"/>
      <c r="L903" s="262"/>
      <c r="M903" s="264"/>
      <c r="N903" s="262"/>
      <c r="O903" s="262"/>
      <c r="P903" s="262"/>
      <c r="Q903" s="263"/>
      <c r="R903" s="263"/>
      <c r="S903" s="292"/>
      <c r="T903" s="261"/>
      <c r="U903" s="261"/>
      <c r="V903" s="268"/>
      <c r="W903" s="268"/>
      <c r="X903" s="268"/>
      <c r="Y903" s="268"/>
      <c r="Z903" s="471">
        <f>SUMIF(TAB_CS[Reference],TAB_Offres[[#This Row],[Reference]],TAB_CS[Commited days])</f>
        <v>0</v>
      </c>
      <c r="AA903" s="269">
        <f>SUMIF(TAB_CS[Reference],TAB_Offres[[#This Row],[Reference]],TAB_CS[Commited amount])</f>
        <v>0</v>
      </c>
      <c r="AB903" s="275"/>
      <c r="AC903" s="270"/>
      <c r="AD903" s="270"/>
      <c r="AE903" s="264"/>
      <c r="AF903" s="271"/>
      <c r="AG903" s="278"/>
      <c r="AH903" s="277" t="str">
        <f>CONCATENATE(YEAR(TAB_Offres[[#This Row],[Request date ]]),"-",MONTH(TAB_Offres[[#This Row],[Request date ]]))</f>
        <v>1900-1</v>
      </c>
      <c r="AI903" s="274" t="e">
        <f>IF(#REF!,1,0)</f>
        <v>#REF!</v>
      </c>
      <c r="AJ903" s="4"/>
      <c r="AK903" s="4"/>
      <c r="AL903" s="4"/>
      <c r="AN903" s="150"/>
      <c r="AQ903" s="4"/>
    </row>
    <row r="904" spans="1:43" x14ac:dyDescent="0.25">
      <c r="A904" s="258">
        <f>ROW(TAB_Offres[[#This Row],[Reference]])-ROW(TAB_Offres[[#Headers],[ID]])</f>
        <v>903</v>
      </c>
      <c r="B904" s="258"/>
      <c r="C904" s="258"/>
      <c r="D904" s="258"/>
      <c r="E904" s="263"/>
      <c r="F904" s="258"/>
      <c r="G904" s="263"/>
      <c r="H904" s="262"/>
      <c r="I904" s="262"/>
      <c r="J904" s="262"/>
      <c r="K904" s="262"/>
      <c r="L904" s="262"/>
      <c r="M904" s="264"/>
      <c r="N904" s="262"/>
      <c r="O904" s="262"/>
      <c r="P904" s="262"/>
      <c r="Q904" s="263"/>
      <c r="R904" s="263"/>
      <c r="S904" s="292"/>
      <c r="T904" s="261"/>
      <c r="U904" s="261"/>
      <c r="V904" s="268"/>
      <c r="W904" s="268"/>
      <c r="X904" s="268"/>
      <c r="Y904" s="268"/>
      <c r="Z904" s="471">
        <f>SUMIF(TAB_CS[Reference],TAB_Offres[[#This Row],[Reference]],TAB_CS[Commited days])</f>
        <v>0</v>
      </c>
      <c r="AA904" s="269">
        <f>SUMIF(TAB_CS[Reference],TAB_Offres[[#This Row],[Reference]],TAB_CS[Commited amount])</f>
        <v>0</v>
      </c>
      <c r="AB904" s="275"/>
      <c r="AC904" s="270"/>
      <c r="AD904" s="270"/>
      <c r="AE904" s="264"/>
      <c r="AF904" s="271"/>
      <c r="AG904" s="278"/>
      <c r="AH904" s="277" t="str">
        <f>CONCATENATE(YEAR(TAB_Offres[[#This Row],[Request date ]]),"-",MONTH(TAB_Offres[[#This Row],[Request date ]]))</f>
        <v>1900-1</v>
      </c>
      <c r="AI904" s="274" t="e">
        <f>IF(#REF!,1,0)</f>
        <v>#REF!</v>
      </c>
      <c r="AJ904" s="4"/>
      <c r="AK904" s="4"/>
      <c r="AL904" s="4"/>
      <c r="AN904" s="150"/>
      <c r="AQ904" s="4"/>
    </row>
    <row r="905" spans="1:43" x14ac:dyDescent="0.25">
      <c r="A905" s="258">
        <f>ROW(TAB_Offres[[#This Row],[Reference]])-ROW(TAB_Offres[[#Headers],[ID]])</f>
        <v>904</v>
      </c>
      <c r="B905" s="258"/>
      <c r="C905" s="258"/>
      <c r="D905" s="258"/>
      <c r="E905" s="263"/>
      <c r="F905" s="258"/>
      <c r="G905" s="263"/>
      <c r="H905" s="262"/>
      <c r="I905" s="262"/>
      <c r="J905" s="262"/>
      <c r="K905" s="262"/>
      <c r="L905" s="262"/>
      <c r="M905" s="264"/>
      <c r="N905" s="262"/>
      <c r="O905" s="262"/>
      <c r="P905" s="262"/>
      <c r="Q905" s="263"/>
      <c r="R905" s="263"/>
      <c r="S905" s="292"/>
      <c r="T905" s="261"/>
      <c r="U905" s="261"/>
      <c r="V905" s="268"/>
      <c r="W905" s="268"/>
      <c r="X905" s="268"/>
      <c r="Y905" s="268"/>
      <c r="Z905" s="471">
        <f>SUMIF(TAB_CS[Reference],TAB_Offres[[#This Row],[Reference]],TAB_CS[Commited days])</f>
        <v>0</v>
      </c>
      <c r="AA905" s="269">
        <f>SUMIF(TAB_CS[Reference],TAB_Offres[[#This Row],[Reference]],TAB_CS[Commited amount])</f>
        <v>0</v>
      </c>
      <c r="AB905" s="275"/>
      <c r="AC905" s="270"/>
      <c r="AD905" s="270"/>
      <c r="AE905" s="264"/>
      <c r="AF905" s="271"/>
      <c r="AG905" s="278"/>
      <c r="AH905" s="277" t="str">
        <f>CONCATENATE(YEAR(TAB_Offres[[#This Row],[Request date ]]),"-",MONTH(TAB_Offres[[#This Row],[Request date ]]))</f>
        <v>1900-1</v>
      </c>
      <c r="AI905" s="274" t="e">
        <f>IF(#REF!,1,0)</f>
        <v>#REF!</v>
      </c>
      <c r="AJ905" s="4"/>
      <c r="AK905" s="4"/>
      <c r="AL905" s="4"/>
      <c r="AN905" s="150"/>
      <c r="AQ905" s="4"/>
    </row>
    <row r="906" spans="1:43" x14ac:dyDescent="0.25">
      <c r="A906" s="258">
        <f>ROW(TAB_Offres[[#This Row],[Reference]])-ROW(TAB_Offres[[#Headers],[ID]])</f>
        <v>905</v>
      </c>
      <c r="B906" s="258"/>
      <c r="C906" s="258"/>
      <c r="D906" s="258"/>
      <c r="E906" s="263"/>
      <c r="F906" s="258"/>
      <c r="G906" s="263"/>
      <c r="H906" s="262"/>
      <c r="I906" s="262"/>
      <c r="J906" s="262"/>
      <c r="K906" s="262"/>
      <c r="L906" s="262"/>
      <c r="M906" s="264"/>
      <c r="N906" s="262"/>
      <c r="O906" s="262"/>
      <c r="P906" s="262"/>
      <c r="Q906" s="263"/>
      <c r="R906" s="263"/>
      <c r="S906" s="292"/>
      <c r="T906" s="261"/>
      <c r="U906" s="261"/>
      <c r="V906" s="268"/>
      <c r="W906" s="268"/>
      <c r="X906" s="268"/>
      <c r="Y906" s="268"/>
      <c r="Z906" s="471">
        <f>SUMIF(TAB_CS[Reference],TAB_Offres[[#This Row],[Reference]],TAB_CS[Commited days])</f>
        <v>0</v>
      </c>
      <c r="AA906" s="269">
        <f>SUMIF(TAB_CS[Reference],TAB_Offres[[#This Row],[Reference]],TAB_CS[Commited amount])</f>
        <v>0</v>
      </c>
      <c r="AB906" s="275"/>
      <c r="AC906" s="270"/>
      <c r="AD906" s="270"/>
      <c r="AE906" s="264"/>
      <c r="AF906" s="271"/>
      <c r="AG906" s="278"/>
      <c r="AH906" s="277" t="str">
        <f>CONCATENATE(YEAR(TAB_Offres[[#This Row],[Request date ]]),"-",MONTH(TAB_Offres[[#This Row],[Request date ]]))</f>
        <v>1900-1</v>
      </c>
      <c r="AI906" s="274" t="e">
        <f>IF(#REF!,1,0)</f>
        <v>#REF!</v>
      </c>
      <c r="AJ906" s="4"/>
      <c r="AK906" s="4"/>
      <c r="AL906" s="4"/>
      <c r="AN906" s="150"/>
      <c r="AQ906" s="4"/>
    </row>
    <row r="907" spans="1:43" x14ac:dyDescent="0.25">
      <c r="A907" s="258">
        <f>ROW(TAB_Offres[[#This Row],[Reference]])-ROW(TAB_Offres[[#Headers],[ID]])</f>
        <v>906</v>
      </c>
      <c r="B907" s="258"/>
      <c r="C907" s="258"/>
      <c r="D907" s="258"/>
      <c r="E907" s="263"/>
      <c r="F907" s="258"/>
      <c r="G907" s="263"/>
      <c r="H907" s="262"/>
      <c r="I907" s="262"/>
      <c r="J907" s="262"/>
      <c r="K907" s="262"/>
      <c r="L907" s="262"/>
      <c r="M907" s="264"/>
      <c r="N907" s="262"/>
      <c r="O907" s="262"/>
      <c r="P907" s="262"/>
      <c r="Q907" s="263"/>
      <c r="R907" s="263"/>
      <c r="S907" s="292"/>
      <c r="T907" s="261"/>
      <c r="U907" s="261"/>
      <c r="V907" s="268"/>
      <c r="W907" s="268"/>
      <c r="X907" s="268"/>
      <c r="Y907" s="268"/>
      <c r="Z907" s="471">
        <f>SUMIF(TAB_CS[Reference],TAB_Offres[[#This Row],[Reference]],TAB_CS[Commited days])</f>
        <v>0</v>
      </c>
      <c r="AA907" s="269">
        <f>SUMIF(TAB_CS[Reference],TAB_Offres[[#This Row],[Reference]],TAB_CS[Commited amount])</f>
        <v>0</v>
      </c>
      <c r="AB907" s="275"/>
      <c r="AC907" s="270"/>
      <c r="AD907" s="270"/>
      <c r="AE907" s="264"/>
      <c r="AF907" s="271"/>
      <c r="AG907" s="278"/>
      <c r="AH907" s="277" t="str">
        <f>CONCATENATE(YEAR(TAB_Offres[[#This Row],[Request date ]]),"-",MONTH(TAB_Offres[[#This Row],[Request date ]]))</f>
        <v>1900-1</v>
      </c>
      <c r="AI907" s="274" t="e">
        <f>IF(#REF!,1,0)</f>
        <v>#REF!</v>
      </c>
      <c r="AJ907" s="4"/>
      <c r="AK907" s="4"/>
      <c r="AL907" s="4"/>
      <c r="AN907" s="150"/>
      <c r="AQ907" s="4"/>
    </row>
    <row r="908" spans="1:43" x14ac:dyDescent="0.25">
      <c r="A908" s="258">
        <f>ROW(TAB_Offres[[#This Row],[Reference]])-ROW(TAB_Offres[[#Headers],[ID]])</f>
        <v>907</v>
      </c>
      <c r="B908" s="258"/>
      <c r="C908" s="258"/>
      <c r="D908" s="258"/>
      <c r="E908" s="263"/>
      <c r="F908" s="258"/>
      <c r="G908" s="263"/>
      <c r="H908" s="262"/>
      <c r="I908" s="262"/>
      <c r="J908" s="262"/>
      <c r="K908" s="262"/>
      <c r="L908" s="262"/>
      <c r="M908" s="264"/>
      <c r="N908" s="262"/>
      <c r="O908" s="262"/>
      <c r="P908" s="262"/>
      <c r="Q908" s="263"/>
      <c r="R908" s="263"/>
      <c r="S908" s="292"/>
      <c r="T908" s="261"/>
      <c r="U908" s="261"/>
      <c r="V908" s="268"/>
      <c r="W908" s="268"/>
      <c r="X908" s="268"/>
      <c r="Y908" s="268"/>
      <c r="Z908" s="471">
        <f>SUMIF(TAB_CS[Reference],TAB_Offres[[#This Row],[Reference]],TAB_CS[Commited days])</f>
        <v>0</v>
      </c>
      <c r="AA908" s="269">
        <f>SUMIF(TAB_CS[Reference],TAB_Offres[[#This Row],[Reference]],TAB_CS[Commited amount])</f>
        <v>0</v>
      </c>
      <c r="AB908" s="275"/>
      <c r="AC908" s="270"/>
      <c r="AD908" s="270"/>
      <c r="AE908" s="264"/>
      <c r="AF908" s="271"/>
      <c r="AG908" s="278"/>
      <c r="AH908" s="277" t="str">
        <f>CONCATENATE(YEAR(TAB_Offres[[#This Row],[Request date ]]),"-",MONTH(TAB_Offres[[#This Row],[Request date ]]))</f>
        <v>1900-1</v>
      </c>
      <c r="AI908" s="274" t="e">
        <f>IF(#REF!,1,0)</f>
        <v>#REF!</v>
      </c>
      <c r="AJ908" s="4"/>
      <c r="AK908" s="4"/>
      <c r="AL908" s="4"/>
      <c r="AN908" s="150"/>
      <c r="AQ908" s="4"/>
    </row>
    <row r="909" spans="1:43" x14ac:dyDescent="0.25">
      <c r="A909" s="258">
        <f>ROW(TAB_Offres[[#This Row],[Reference]])-ROW(TAB_Offres[[#Headers],[ID]])</f>
        <v>908</v>
      </c>
      <c r="B909" s="258"/>
      <c r="C909" s="258"/>
      <c r="D909" s="258"/>
      <c r="E909" s="263"/>
      <c r="F909" s="258"/>
      <c r="G909" s="263"/>
      <c r="H909" s="262"/>
      <c r="I909" s="262"/>
      <c r="J909" s="262"/>
      <c r="K909" s="262"/>
      <c r="L909" s="262"/>
      <c r="M909" s="264"/>
      <c r="N909" s="262"/>
      <c r="O909" s="262"/>
      <c r="P909" s="262"/>
      <c r="Q909" s="263"/>
      <c r="R909" s="263"/>
      <c r="S909" s="292"/>
      <c r="T909" s="261"/>
      <c r="U909" s="261"/>
      <c r="V909" s="268"/>
      <c r="W909" s="268"/>
      <c r="X909" s="268"/>
      <c r="Y909" s="268"/>
      <c r="Z909" s="471">
        <f>SUMIF(TAB_CS[Reference],TAB_Offres[[#This Row],[Reference]],TAB_CS[Commited days])</f>
        <v>0</v>
      </c>
      <c r="AA909" s="269">
        <f>SUMIF(TAB_CS[Reference],TAB_Offres[[#This Row],[Reference]],TAB_CS[Commited amount])</f>
        <v>0</v>
      </c>
      <c r="AB909" s="275"/>
      <c r="AC909" s="270"/>
      <c r="AD909" s="270"/>
      <c r="AE909" s="264"/>
      <c r="AF909" s="271"/>
      <c r="AG909" s="278"/>
      <c r="AH909" s="277" t="str">
        <f>CONCATENATE(YEAR(TAB_Offres[[#This Row],[Request date ]]),"-",MONTH(TAB_Offres[[#This Row],[Request date ]]))</f>
        <v>1900-1</v>
      </c>
      <c r="AI909" s="274" t="e">
        <f>IF(#REF!,1,0)</f>
        <v>#REF!</v>
      </c>
      <c r="AJ909" s="4"/>
      <c r="AK909" s="4"/>
      <c r="AL909" s="4"/>
      <c r="AN909" s="150"/>
      <c r="AQ909" s="4"/>
    </row>
    <row r="910" spans="1:43" x14ac:dyDescent="0.25">
      <c r="A910" s="258">
        <f>ROW(TAB_Offres[[#This Row],[Reference]])-ROW(TAB_Offres[[#Headers],[ID]])</f>
        <v>909</v>
      </c>
      <c r="B910" s="258"/>
      <c r="C910" s="258"/>
      <c r="D910" s="258"/>
      <c r="E910" s="263"/>
      <c r="F910" s="258"/>
      <c r="G910" s="263"/>
      <c r="H910" s="262"/>
      <c r="I910" s="262"/>
      <c r="J910" s="262"/>
      <c r="K910" s="262"/>
      <c r="L910" s="262"/>
      <c r="M910" s="264"/>
      <c r="N910" s="262"/>
      <c r="O910" s="262"/>
      <c r="P910" s="262"/>
      <c r="Q910" s="263"/>
      <c r="R910" s="263"/>
      <c r="S910" s="292"/>
      <c r="T910" s="261"/>
      <c r="U910" s="261"/>
      <c r="V910" s="268"/>
      <c r="W910" s="268"/>
      <c r="X910" s="268"/>
      <c r="Y910" s="268"/>
      <c r="Z910" s="471">
        <f>SUMIF(TAB_CS[Reference],TAB_Offres[[#This Row],[Reference]],TAB_CS[Commited days])</f>
        <v>0</v>
      </c>
      <c r="AA910" s="269">
        <f>SUMIF(TAB_CS[Reference],TAB_Offres[[#This Row],[Reference]],TAB_CS[Commited amount])</f>
        <v>0</v>
      </c>
      <c r="AB910" s="275"/>
      <c r="AC910" s="270"/>
      <c r="AD910" s="270"/>
      <c r="AE910" s="264"/>
      <c r="AF910" s="271"/>
      <c r="AG910" s="278"/>
      <c r="AH910" s="277" t="str">
        <f>CONCATENATE(YEAR(TAB_Offres[[#This Row],[Request date ]]),"-",MONTH(TAB_Offres[[#This Row],[Request date ]]))</f>
        <v>1900-1</v>
      </c>
      <c r="AI910" s="274" t="e">
        <f>IF(#REF!,1,0)</f>
        <v>#REF!</v>
      </c>
      <c r="AJ910" s="4"/>
      <c r="AK910" s="4"/>
      <c r="AL910" s="4"/>
      <c r="AN910" s="150"/>
      <c r="AQ910" s="4"/>
    </row>
    <row r="911" spans="1:43" x14ac:dyDescent="0.25">
      <c r="A911" s="258">
        <f>ROW(TAB_Offres[[#This Row],[Reference]])-ROW(TAB_Offres[[#Headers],[ID]])</f>
        <v>910</v>
      </c>
      <c r="B911" s="258"/>
      <c r="C911" s="258"/>
      <c r="D911" s="258"/>
      <c r="E911" s="263"/>
      <c r="F911" s="258"/>
      <c r="G911" s="263"/>
      <c r="H911" s="262"/>
      <c r="I911" s="262"/>
      <c r="J911" s="262"/>
      <c r="K911" s="262"/>
      <c r="L911" s="262"/>
      <c r="M911" s="264"/>
      <c r="N911" s="262"/>
      <c r="O911" s="262"/>
      <c r="P911" s="262"/>
      <c r="Q911" s="263"/>
      <c r="R911" s="263"/>
      <c r="S911" s="292"/>
      <c r="T911" s="261"/>
      <c r="U911" s="261"/>
      <c r="V911" s="268"/>
      <c r="W911" s="268"/>
      <c r="X911" s="268"/>
      <c r="Y911" s="268"/>
      <c r="Z911" s="471">
        <f>SUMIF(TAB_CS[Reference],TAB_Offres[[#This Row],[Reference]],TAB_CS[Commited days])</f>
        <v>0</v>
      </c>
      <c r="AA911" s="269">
        <f>SUMIF(TAB_CS[Reference],TAB_Offres[[#This Row],[Reference]],TAB_CS[Commited amount])</f>
        <v>0</v>
      </c>
      <c r="AB911" s="275"/>
      <c r="AC911" s="270"/>
      <c r="AD911" s="270"/>
      <c r="AE911" s="264"/>
      <c r="AF911" s="271"/>
      <c r="AG911" s="278"/>
      <c r="AH911" s="277" t="str">
        <f>CONCATENATE(YEAR(TAB_Offres[[#This Row],[Request date ]]),"-",MONTH(TAB_Offres[[#This Row],[Request date ]]))</f>
        <v>1900-1</v>
      </c>
      <c r="AI911" s="274" t="e">
        <f>IF(#REF!,1,0)</f>
        <v>#REF!</v>
      </c>
      <c r="AJ911" s="4"/>
      <c r="AK911" s="4"/>
      <c r="AL911" s="4"/>
      <c r="AN911" s="150"/>
      <c r="AQ911" s="4"/>
    </row>
    <row r="912" spans="1:43" x14ac:dyDescent="0.25">
      <c r="A912" s="258">
        <f>ROW(TAB_Offres[[#This Row],[Reference]])-ROW(TAB_Offres[[#Headers],[ID]])</f>
        <v>911</v>
      </c>
      <c r="B912" s="258"/>
      <c r="C912" s="258"/>
      <c r="D912" s="258"/>
      <c r="E912" s="263"/>
      <c r="F912" s="258"/>
      <c r="G912" s="263"/>
      <c r="H912" s="262"/>
      <c r="I912" s="262"/>
      <c r="J912" s="262"/>
      <c r="K912" s="262"/>
      <c r="L912" s="262"/>
      <c r="M912" s="264"/>
      <c r="N912" s="262"/>
      <c r="O912" s="262"/>
      <c r="P912" s="262"/>
      <c r="Q912" s="263"/>
      <c r="R912" s="263"/>
      <c r="S912" s="292"/>
      <c r="T912" s="261"/>
      <c r="U912" s="261"/>
      <c r="V912" s="268"/>
      <c r="W912" s="268"/>
      <c r="X912" s="268"/>
      <c r="Y912" s="268"/>
      <c r="Z912" s="471">
        <f>SUMIF(TAB_CS[Reference],TAB_Offres[[#This Row],[Reference]],TAB_CS[Commited days])</f>
        <v>0</v>
      </c>
      <c r="AA912" s="269">
        <f>SUMIF(TAB_CS[Reference],TAB_Offres[[#This Row],[Reference]],TAB_CS[Commited amount])</f>
        <v>0</v>
      </c>
      <c r="AB912" s="275"/>
      <c r="AC912" s="270"/>
      <c r="AD912" s="270"/>
      <c r="AE912" s="264"/>
      <c r="AF912" s="271"/>
      <c r="AG912" s="278"/>
      <c r="AH912" s="277" t="str">
        <f>CONCATENATE(YEAR(TAB_Offres[[#This Row],[Request date ]]),"-",MONTH(TAB_Offres[[#This Row],[Request date ]]))</f>
        <v>1900-1</v>
      </c>
      <c r="AI912" s="274" t="e">
        <f>IF(#REF!,1,0)</f>
        <v>#REF!</v>
      </c>
      <c r="AJ912" s="4"/>
      <c r="AK912" s="4"/>
      <c r="AL912" s="4"/>
      <c r="AN912" s="150"/>
      <c r="AQ912" s="4"/>
    </row>
    <row r="913" spans="1:43" x14ac:dyDescent="0.25">
      <c r="A913" s="258">
        <f>ROW(TAB_Offres[[#This Row],[Reference]])-ROW(TAB_Offres[[#Headers],[ID]])</f>
        <v>912</v>
      </c>
      <c r="B913" s="258"/>
      <c r="C913" s="258"/>
      <c r="D913" s="258"/>
      <c r="E913" s="263"/>
      <c r="F913" s="258"/>
      <c r="G913" s="263"/>
      <c r="H913" s="262"/>
      <c r="I913" s="262"/>
      <c r="J913" s="262"/>
      <c r="K913" s="262"/>
      <c r="L913" s="262"/>
      <c r="M913" s="264"/>
      <c r="N913" s="262"/>
      <c r="O913" s="262"/>
      <c r="P913" s="262"/>
      <c r="Q913" s="263"/>
      <c r="R913" s="263"/>
      <c r="S913" s="292"/>
      <c r="T913" s="261"/>
      <c r="U913" s="261"/>
      <c r="V913" s="268"/>
      <c r="W913" s="268"/>
      <c r="X913" s="268"/>
      <c r="Y913" s="268"/>
      <c r="Z913" s="471">
        <f>SUMIF(TAB_CS[Reference],TAB_Offres[[#This Row],[Reference]],TAB_CS[Commited days])</f>
        <v>0</v>
      </c>
      <c r="AA913" s="269">
        <f>SUMIF(TAB_CS[Reference],TAB_Offres[[#This Row],[Reference]],TAB_CS[Commited amount])</f>
        <v>0</v>
      </c>
      <c r="AB913" s="275"/>
      <c r="AC913" s="270"/>
      <c r="AD913" s="270"/>
      <c r="AE913" s="264"/>
      <c r="AF913" s="271"/>
      <c r="AG913" s="278"/>
      <c r="AH913" s="277" t="str">
        <f>CONCATENATE(YEAR(TAB_Offres[[#This Row],[Request date ]]),"-",MONTH(TAB_Offres[[#This Row],[Request date ]]))</f>
        <v>1900-1</v>
      </c>
      <c r="AI913" s="274" t="e">
        <f>IF(#REF!,1,0)</f>
        <v>#REF!</v>
      </c>
      <c r="AJ913" s="4"/>
      <c r="AK913" s="4"/>
      <c r="AL913" s="4"/>
      <c r="AN913" s="150"/>
      <c r="AQ913" s="4"/>
    </row>
    <row r="914" spans="1:43" x14ac:dyDescent="0.25">
      <c r="A914" s="258">
        <f>ROW(TAB_Offres[[#This Row],[Reference]])-ROW(TAB_Offres[[#Headers],[ID]])</f>
        <v>913</v>
      </c>
      <c r="B914" s="258"/>
      <c r="C914" s="258"/>
      <c r="D914" s="258"/>
      <c r="E914" s="263"/>
      <c r="F914" s="258"/>
      <c r="G914" s="263"/>
      <c r="H914" s="262"/>
      <c r="I914" s="262"/>
      <c r="J914" s="262"/>
      <c r="K914" s="262"/>
      <c r="L914" s="262"/>
      <c r="M914" s="264"/>
      <c r="N914" s="262"/>
      <c r="O914" s="262"/>
      <c r="P914" s="262"/>
      <c r="Q914" s="263"/>
      <c r="R914" s="263"/>
      <c r="S914" s="292"/>
      <c r="T914" s="261"/>
      <c r="U914" s="261"/>
      <c r="V914" s="268"/>
      <c r="W914" s="268"/>
      <c r="X914" s="268"/>
      <c r="Y914" s="268"/>
      <c r="Z914" s="471">
        <f>SUMIF(TAB_CS[Reference],TAB_Offres[[#This Row],[Reference]],TAB_CS[Commited days])</f>
        <v>0</v>
      </c>
      <c r="AA914" s="269">
        <f>SUMIF(TAB_CS[Reference],TAB_Offres[[#This Row],[Reference]],TAB_CS[Commited amount])</f>
        <v>0</v>
      </c>
      <c r="AB914" s="275"/>
      <c r="AC914" s="270"/>
      <c r="AD914" s="270"/>
      <c r="AE914" s="264"/>
      <c r="AF914" s="271"/>
      <c r="AG914" s="278"/>
      <c r="AH914" s="277" t="str">
        <f>CONCATENATE(YEAR(TAB_Offres[[#This Row],[Request date ]]),"-",MONTH(TAB_Offres[[#This Row],[Request date ]]))</f>
        <v>1900-1</v>
      </c>
      <c r="AI914" s="274" t="e">
        <f>IF(#REF!,1,0)</f>
        <v>#REF!</v>
      </c>
      <c r="AJ914" s="4"/>
      <c r="AK914" s="4"/>
      <c r="AL914" s="4"/>
      <c r="AN914" s="150"/>
      <c r="AQ914" s="4"/>
    </row>
    <row r="915" spans="1:43" x14ac:dyDescent="0.25">
      <c r="A915" s="258">
        <f>ROW(TAB_Offres[[#This Row],[Reference]])-ROW(TAB_Offres[[#Headers],[ID]])</f>
        <v>914</v>
      </c>
      <c r="B915" s="258"/>
      <c r="C915" s="258"/>
      <c r="D915" s="258"/>
      <c r="E915" s="263"/>
      <c r="F915" s="258"/>
      <c r="G915" s="263"/>
      <c r="H915" s="262"/>
      <c r="I915" s="262"/>
      <c r="J915" s="262"/>
      <c r="K915" s="262"/>
      <c r="L915" s="262"/>
      <c r="M915" s="264"/>
      <c r="N915" s="262"/>
      <c r="O915" s="262"/>
      <c r="P915" s="262"/>
      <c r="Q915" s="263"/>
      <c r="R915" s="263"/>
      <c r="S915" s="292"/>
      <c r="T915" s="261"/>
      <c r="U915" s="261"/>
      <c r="V915" s="268"/>
      <c r="W915" s="268"/>
      <c r="X915" s="268"/>
      <c r="Y915" s="268"/>
      <c r="Z915" s="471">
        <f>SUMIF(TAB_CS[Reference],TAB_Offres[[#This Row],[Reference]],TAB_CS[Commited days])</f>
        <v>0</v>
      </c>
      <c r="AA915" s="269">
        <f>SUMIF(TAB_CS[Reference],TAB_Offres[[#This Row],[Reference]],TAB_CS[Commited amount])</f>
        <v>0</v>
      </c>
      <c r="AB915" s="275"/>
      <c r="AC915" s="270"/>
      <c r="AD915" s="270"/>
      <c r="AE915" s="264"/>
      <c r="AF915" s="271"/>
      <c r="AG915" s="278"/>
      <c r="AH915" s="277" t="str">
        <f>CONCATENATE(YEAR(TAB_Offres[[#This Row],[Request date ]]),"-",MONTH(TAB_Offres[[#This Row],[Request date ]]))</f>
        <v>1900-1</v>
      </c>
      <c r="AI915" s="274" t="e">
        <f>IF(#REF!,1,0)</f>
        <v>#REF!</v>
      </c>
      <c r="AJ915" s="4"/>
      <c r="AK915" s="4"/>
      <c r="AL915" s="4"/>
      <c r="AN915" s="150"/>
      <c r="AQ915" s="4"/>
    </row>
    <row r="916" spans="1:43" x14ac:dyDescent="0.25">
      <c r="A916" s="258">
        <f>ROW(TAB_Offres[[#This Row],[Reference]])-ROW(TAB_Offres[[#Headers],[ID]])</f>
        <v>915</v>
      </c>
      <c r="B916" s="258"/>
      <c r="C916" s="258"/>
      <c r="D916" s="258"/>
      <c r="E916" s="263"/>
      <c r="F916" s="258"/>
      <c r="G916" s="263"/>
      <c r="H916" s="262"/>
      <c r="I916" s="262"/>
      <c r="J916" s="262"/>
      <c r="K916" s="262"/>
      <c r="L916" s="262"/>
      <c r="M916" s="264"/>
      <c r="N916" s="262"/>
      <c r="O916" s="262"/>
      <c r="P916" s="262"/>
      <c r="Q916" s="263"/>
      <c r="R916" s="263"/>
      <c r="S916" s="292"/>
      <c r="T916" s="261"/>
      <c r="U916" s="261"/>
      <c r="V916" s="268"/>
      <c r="W916" s="268"/>
      <c r="X916" s="268"/>
      <c r="Y916" s="268"/>
      <c r="Z916" s="471">
        <f>SUMIF(TAB_CS[Reference],TAB_Offres[[#This Row],[Reference]],TAB_CS[Commited days])</f>
        <v>0</v>
      </c>
      <c r="AA916" s="269">
        <f>SUMIF(TAB_CS[Reference],TAB_Offres[[#This Row],[Reference]],TAB_CS[Commited amount])</f>
        <v>0</v>
      </c>
      <c r="AB916" s="275"/>
      <c r="AC916" s="270"/>
      <c r="AD916" s="270"/>
      <c r="AE916" s="264"/>
      <c r="AF916" s="271"/>
      <c r="AG916" s="278"/>
      <c r="AH916" s="277" t="str">
        <f>CONCATENATE(YEAR(TAB_Offres[[#This Row],[Request date ]]),"-",MONTH(TAB_Offres[[#This Row],[Request date ]]))</f>
        <v>1900-1</v>
      </c>
      <c r="AI916" s="274" t="e">
        <f>IF(#REF!,1,0)</f>
        <v>#REF!</v>
      </c>
      <c r="AJ916" s="4"/>
      <c r="AK916" s="4"/>
      <c r="AL916" s="4"/>
      <c r="AN916" s="150"/>
      <c r="AQ916" s="4"/>
    </row>
    <row r="917" spans="1:43" x14ac:dyDescent="0.25">
      <c r="A917" s="258">
        <f>ROW(TAB_Offres[[#This Row],[Reference]])-ROW(TAB_Offres[[#Headers],[ID]])</f>
        <v>916</v>
      </c>
      <c r="B917" s="258"/>
      <c r="C917" s="258"/>
      <c r="D917" s="258"/>
      <c r="E917" s="263"/>
      <c r="F917" s="258"/>
      <c r="G917" s="263"/>
      <c r="H917" s="262"/>
      <c r="I917" s="262"/>
      <c r="J917" s="262"/>
      <c r="K917" s="262"/>
      <c r="L917" s="262"/>
      <c r="M917" s="264"/>
      <c r="N917" s="262"/>
      <c r="O917" s="262"/>
      <c r="P917" s="262"/>
      <c r="Q917" s="263"/>
      <c r="R917" s="263"/>
      <c r="S917" s="292"/>
      <c r="T917" s="261"/>
      <c r="U917" s="261"/>
      <c r="V917" s="268"/>
      <c r="W917" s="268"/>
      <c r="X917" s="268"/>
      <c r="Y917" s="268"/>
      <c r="Z917" s="471">
        <f>SUMIF(TAB_CS[Reference],TAB_Offres[[#This Row],[Reference]],TAB_CS[Commited days])</f>
        <v>0</v>
      </c>
      <c r="AA917" s="269">
        <f>SUMIF(TAB_CS[Reference],TAB_Offres[[#This Row],[Reference]],TAB_CS[Commited amount])</f>
        <v>0</v>
      </c>
      <c r="AB917" s="275"/>
      <c r="AC917" s="270"/>
      <c r="AD917" s="270"/>
      <c r="AE917" s="264"/>
      <c r="AF917" s="271"/>
      <c r="AG917" s="278"/>
      <c r="AH917" s="277" t="str">
        <f>CONCATENATE(YEAR(TAB_Offres[[#This Row],[Request date ]]),"-",MONTH(TAB_Offres[[#This Row],[Request date ]]))</f>
        <v>1900-1</v>
      </c>
      <c r="AI917" s="274" t="e">
        <f>IF(#REF!,1,0)</f>
        <v>#REF!</v>
      </c>
      <c r="AJ917" s="4"/>
      <c r="AK917" s="4"/>
      <c r="AL917" s="4"/>
      <c r="AN917" s="150"/>
      <c r="AQ917" s="4"/>
    </row>
    <row r="918" spans="1:43" x14ac:dyDescent="0.25">
      <c r="A918" s="258">
        <f>ROW(TAB_Offres[[#This Row],[Reference]])-ROW(TAB_Offres[[#Headers],[ID]])</f>
        <v>917</v>
      </c>
      <c r="B918" s="258"/>
      <c r="C918" s="258"/>
      <c r="D918" s="258"/>
      <c r="E918" s="263"/>
      <c r="F918" s="258"/>
      <c r="G918" s="263"/>
      <c r="H918" s="262"/>
      <c r="I918" s="262"/>
      <c r="J918" s="262"/>
      <c r="K918" s="262"/>
      <c r="L918" s="262"/>
      <c r="M918" s="264"/>
      <c r="N918" s="262"/>
      <c r="O918" s="262"/>
      <c r="P918" s="262"/>
      <c r="Q918" s="263"/>
      <c r="R918" s="263"/>
      <c r="S918" s="292"/>
      <c r="T918" s="261"/>
      <c r="U918" s="261"/>
      <c r="V918" s="268"/>
      <c r="W918" s="268"/>
      <c r="X918" s="268"/>
      <c r="Y918" s="268"/>
      <c r="Z918" s="471">
        <f>SUMIF(TAB_CS[Reference],TAB_Offres[[#This Row],[Reference]],TAB_CS[Commited days])</f>
        <v>0</v>
      </c>
      <c r="AA918" s="269">
        <f>SUMIF(TAB_CS[Reference],TAB_Offres[[#This Row],[Reference]],TAB_CS[Commited amount])</f>
        <v>0</v>
      </c>
      <c r="AB918" s="275"/>
      <c r="AC918" s="270"/>
      <c r="AD918" s="270"/>
      <c r="AE918" s="264"/>
      <c r="AF918" s="271"/>
      <c r="AG918" s="278"/>
      <c r="AH918" s="277" t="str">
        <f>CONCATENATE(YEAR(TAB_Offres[[#This Row],[Request date ]]),"-",MONTH(TAB_Offres[[#This Row],[Request date ]]))</f>
        <v>1900-1</v>
      </c>
      <c r="AI918" s="274" t="e">
        <f>IF(#REF!,1,0)</f>
        <v>#REF!</v>
      </c>
      <c r="AJ918" s="4"/>
      <c r="AK918" s="4"/>
      <c r="AL918" s="4"/>
      <c r="AN918" s="150"/>
      <c r="AQ918" s="4"/>
    </row>
    <row r="919" spans="1:43" x14ac:dyDescent="0.25">
      <c r="A919" s="258">
        <f>ROW(TAB_Offres[[#This Row],[Reference]])-ROW(TAB_Offres[[#Headers],[ID]])</f>
        <v>918</v>
      </c>
      <c r="B919" s="258"/>
      <c r="C919" s="258"/>
      <c r="D919" s="258"/>
      <c r="E919" s="263"/>
      <c r="F919" s="258"/>
      <c r="G919" s="263"/>
      <c r="H919" s="262"/>
      <c r="I919" s="262"/>
      <c r="J919" s="262"/>
      <c r="K919" s="262"/>
      <c r="L919" s="262"/>
      <c r="M919" s="264"/>
      <c r="N919" s="262"/>
      <c r="O919" s="262"/>
      <c r="P919" s="262"/>
      <c r="Q919" s="263"/>
      <c r="R919" s="263"/>
      <c r="S919" s="292"/>
      <c r="T919" s="261"/>
      <c r="U919" s="261"/>
      <c r="V919" s="268"/>
      <c r="W919" s="268"/>
      <c r="X919" s="268"/>
      <c r="Y919" s="268"/>
      <c r="Z919" s="471">
        <f>SUMIF(TAB_CS[Reference],TAB_Offres[[#This Row],[Reference]],TAB_CS[Commited days])</f>
        <v>0</v>
      </c>
      <c r="AA919" s="269">
        <f>SUMIF(TAB_CS[Reference],TAB_Offres[[#This Row],[Reference]],TAB_CS[Commited amount])</f>
        <v>0</v>
      </c>
      <c r="AB919" s="275"/>
      <c r="AC919" s="270"/>
      <c r="AD919" s="270"/>
      <c r="AE919" s="264"/>
      <c r="AF919" s="271"/>
      <c r="AG919" s="278"/>
      <c r="AH919" s="277" t="str">
        <f>CONCATENATE(YEAR(TAB_Offres[[#This Row],[Request date ]]),"-",MONTH(TAB_Offres[[#This Row],[Request date ]]))</f>
        <v>1900-1</v>
      </c>
      <c r="AI919" s="274" t="e">
        <f>IF(#REF!,1,0)</f>
        <v>#REF!</v>
      </c>
      <c r="AJ919" s="4"/>
      <c r="AK919" s="4"/>
      <c r="AL919" s="4"/>
      <c r="AN919" s="150"/>
      <c r="AQ919" s="4"/>
    </row>
    <row r="920" spans="1:43" x14ac:dyDescent="0.25">
      <c r="A920" s="258">
        <f>ROW(TAB_Offres[[#This Row],[Reference]])-ROW(TAB_Offres[[#Headers],[ID]])</f>
        <v>919</v>
      </c>
      <c r="B920" s="258"/>
      <c r="C920" s="258"/>
      <c r="D920" s="258"/>
      <c r="E920" s="263"/>
      <c r="F920" s="258"/>
      <c r="G920" s="263"/>
      <c r="H920" s="262"/>
      <c r="I920" s="262"/>
      <c r="J920" s="262"/>
      <c r="K920" s="262"/>
      <c r="L920" s="262"/>
      <c r="M920" s="264"/>
      <c r="N920" s="262"/>
      <c r="O920" s="262"/>
      <c r="P920" s="262"/>
      <c r="Q920" s="263"/>
      <c r="R920" s="263"/>
      <c r="S920" s="292"/>
      <c r="T920" s="261"/>
      <c r="U920" s="261"/>
      <c r="V920" s="268"/>
      <c r="W920" s="268"/>
      <c r="X920" s="268"/>
      <c r="Y920" s="268"/>
      <c r="Z920" s="471">
        <f>SUMIF(TAB_CS[Reference],TAB_Offres[[#This Row],[Reference]],TAB_CS[Commited days])</f>
        <v>0</v>
      </c>
      <c r="AA920" s="269">
        <f>SUMIF(TAB_CS[Reference],TAB_Offres[[#This Row],[Reference]],TAB_CS[Commited amount])</f>
        <v>0</v>
      </c>
      <c r="AB920" s="275"/>
      <c r="AC920" s="270"/>
      <c r="AD920" s="270"/>
      <c r="AE920" s="264"/>
      <c r="AF920" s="271"/>
      <c r="AG920" s="278"/>
      <c r="AH920" s="277" t="str">
        <f>CONCATENATE(YEAR(TAB_Offres[[#This Row],[Request date ]]),"-",MONTH(TAB_Offres[[#This Row],[Request date ]]))</f>
        <v>1900-1</v>
      </c>
      <c r="AI920" s="274" t="e">
        <f>IF(#REF!,1,0)</f>
        <v>#REF!</v>
      </c>
      <c r="AJ920" s="4"/>
      <c r="AK920" s="4"/>
      <c r="AL920" s="4"/>
      <c r="AN920" s="150"/>
      <c r="AQ920" s="4"/>
    </row>
    <row r="921" spans="1:43" x14ac:dyDescent="0.25">
      <c r="A921" s="258">
        <f>ROW(TAB_Offres[[#This Row],[Reference]])-ROW(TAB_Offres[[#Headers],[ID]])</f>
        <v>920</v>
      </c>
      <c r="B921" s="258"/>
      <c r="C921" s="258"/>
      <c r="D921" s="258"/>
      <c r="E921" s="263"/>
      <c r="F921" s="258"/>
      <c r="G921" s="263"/>
      <c r="H921" s="262"/>
      <c r="I921" s="262"/>
      <c r="J921" s="262"/>
      <c r="K921" s="262"/>
      <c r="L921" s="262"/>
      <c r="M921" s="264"/>
      <c r="N921" s="262"/>
      <c r="O921" s="262"/>
      <c r="P921" s="262"/>
      <c r="Q921" s="263"/>
      <c r="R921" s="263"/>
      <c r="S921" s="292"/>
      <c r="T921" s="261"/>
      <c r="U921" s="261"/>
      <c r="V921" s="268"/>
      <c r="W921" s="268"/>
      <c r="X921" s="268"/>
      <c r="Y921" s="268"/>
      <c r="Z921" s="471">
        <f>SUMIF(TAB_CS[Reference],TAB_Offres[[#This Row],[Reference]],TAB_CS[Commited days])</f>
        <v>0</v>
      </c>
      <c r="AA921" s="269">
        <f>SUMIF(TAB_CS[Reference],TAB_Offres[[#This Row],[Reference]],TAB_CS[Commited amount])</f>
        <v>0</v>
      </c>
      <c r="AB921" s="275"/>
      <c r="AC921" s="270"/>
      <c r="AD921" s="270"/>
      <c r="AE921" s="264"/>
      <c r="AF921" s="271"/>
      <c r="AG921" s="278"/>
      <c r="AH921" s="277" t="str">
        <f>CONCATENATE(YEAR(TAB_Offres[[#This Row],[Request date ]]),"-",MONTH(TAB_Offres[[#This Row],[Request date ]]))</f>
        <v>1900-1</v>
      </c>
      <c r="AI921" s="274" t="e">
        <f>IF(#REF!,1,0)</f>
        <v>#REF!</v>
      </c>
      <c r="AJ921" s="4"/>
      <c r="AK921" s="4"/>
      <c r="AL921" s="4"/>
      <c r="AN921" s="150"/>
      <c r="AQ921" s="4"/>
    </row>
    <row r="922" spans="1:43" x14ac:dyDescent="0.25">
      <c r="A922" s="258">
        <f>ROW(TAB_Offres[[#This Row],[Reference]])-ROW(TAB_Offres[[#Headers],[ID]])</f>
        <v>921</v>
      </c>
      <c r="B922" s="258"/>
      <c r="C922" s="258"/>
      <c r="D922" s="258"/>
      <c r="E922" s="263"/>
      <c r="F922" s="258"/>
      <c r="G922" s="263"/>
      <c r="H922" s="262"/>
      <c r="I922" s="262"/>
      <c r="J922" s="262"/>
      <c r="K922" s="262"/>
      <c r="L922" s="262"/>
      <c r="M922" s="264"/>
      <c r="N922" s="262"/>
      <c r="O922" s="262"/>
      <c r="P922" s="262"/>
      <c r="Q922" s="263"/>
      <c r="R922" s="263"/>
      <c r="S922" s="292"/>
      <c r="T922" s="261"/>
      <c r="U922" s="261"/>
      <c r="V922" s="268"/>
      <c r="W922" s="268"/>
      <c r="X922" s="268"/>
      <c r="Y922" s="268"/>
      <c r="Z922" s="471">
        <f>SUMIF(TAB_CS[Reference],TAB_Offres[[#This Row],[Reference]],TAB_CS[Commited days])</f>
        <v>0</v>
      </c>
      <c r="AA922" s="269">
        <f>SUMIF(TAB_CS[Reference],TAB_Offres[[#This Row],[Reference]],TAB_CS[Commited amount])</f>
        <v>0</v>
      </c>
      <c r="AB922" s="275"/>
      <c r="AC922" s="270"/>
      <c r="AD922" s="270"/>
      <c r="AE922" s="264"/>
      <c r="AF922" s="271"/>
      <c r="AG922" s="278"/>
      <c r="AH922" s="277" t="str">
        <f>CONCATENATE(YEAR(TAB_Offres[[#This Row],[Request date ]]),"-",MONTH(TAB_Offres[[#This Row],[Request date ]]))</f>
        <v>1900-1</v>
      </c>
      <c r="AI922" s="274" t="e">
        <f>IF(#REF!,1,0)</f>
        <v>#REF!</v>
      </c>
      <c r="AJ922" s="4"/>
      <c r="AK922" s="4"/>
      <c r="AL922" s="4"/>
      <c r="AN922" s="150"/>
      <c r="AQ922" s="4"/>
    </row>
    <row r="923" spans="1:43" x14ac:dyDescent="0.25">
      <c r="A923" s="258">
        <f>ROW(TAB_Offres[[#This Row],[Reference]])-ROW(TAB_Offres[[#Headers],[ID]])</f>
        <v>922</v>
      </c>
      <c r="B923" s="258"/>
      <c r="C923" s="258"/>
      <c r="D923" s="258"/>
      <c r="E923" s="263"/>
      <c r="F923" s="258"/>
      <c r="G923" s="263"/>
      <c r="H923" s="262"/>
      <c r="I923" s="262"/>
      <c r="J923" s="262"/>
      <c r="K923" s="262"/>
      <c r="L923" s="262"/>
      <c r="M923" s="264"/>
      <c r="N923" s="262"/>
      <c r="O923" s="262"/>
      <c r="P923" s="262"/>
      <c r="Q923" s="263"/>
      <c r="R923" s="263"/>
      <c r="S923" s="292"/>
      <c r="T923" s="261"/>
      <c r="U923" s="261"/>
      <c r="V923" s="268"/>
      <c r="W923" s="268"/>
      <c r="X923" s="268"/>
      <c r="Y923" s="268"/>
      <c r="Z923" s="471">
        <f>SUMIF(TAB_CS[Reference],TAB_Offres[[#This Row],[Reference]],TAB_CS[Commited days])</f>
        <v>0</v>
      </c>
      <c r="AA923" s="269">
        <f>SUMIF(TAB_CS[Reference],TAB_Offres[[#This Row],[Reference]],TAB_CS[Commited amount])</f>
        <v>0</v>
      </c>
      <c r="AB923" s="275"/>
      <c r="AC923" s="270"/>
      <c r="AD923" s="270"/>
      <c r="AE923" s="264"/>
      <c r="AF923" s="271"/>
      <c r="AG923" s="278"/>
      <c r="AH923" s="277" t="str">
        <f>CONCATENATE(YEAR(TAB_Offres[[#This Row],[Request date ]]),"-",MONTH(TAB_Offres[[#This Row],[Request date ]]))</f>
        <v>1900-1</v>
      </c>
      <c r="AI923" s="274" t="e">
        <f>IF(#REF!,1,0)</f>
        <v>#REF!</v>
      </c>
      <c r="AJ923" s="4"/>
      <c r="AK923" s="4"/>
      <c r="AL923" s="4"/>
      <c r="AN923" s="150"/>
      <c r="AQ923" s="4"/>
    </row>
    <row r="924" spans="1:43" x14ac:dyDescent="0.25">
      <c r="A924" s="258">
        <f>ROW(TAB_Offres[[#This Row],[Reference]])-ROW(TAB_Offres[[#Headers],[ID]])</f>
        <v>923</v>
      </c>
      <c r="B924" s="258"/>
      <c r="C924" s="258"/>
      <c r="D924" s="258"/>
      <c r="E924" s="263"/>
      <c r="F924" s="258"/>
      <c r="G924" s="263"/>
      <c r="H924" s="262"/>
      <c r="I924" s="262"/>
      <c r="J924" s="262"/>
      <c r="K924" s="262"/>
      <c r="L924" s="262"/>
      <c r="M924" s="264"/>
      <c r="N924" s="262"/>
      <c r="O924" s="262"/>
      <c r="P924" s="262"/>
      <c r="Q924" s="263"/>
      <c r="R924" s="263"/>
      <c r="S924" s="292"/>
      <c r="T924" s="261"/>
      <c r="U924" s="261"/>
      <c r="V924" s="268"/>
      <c r="W924" s="268"/>
      <c r="X924" s="268"/>
      <c r="Y924" s="268"/>
      <c r="Z924" s="471">
        <f>SUMIF(TAB_CS[Reference],TAB_Offres[[#This Row],[Reference]],TAB_CS[Commited days])</f>
        <v>0</v>
      </c>
      <c r="AA924" s="269">
        <f>SUMIF(TAB_CS[Reference],TAB_Offres[[#This Row],[Reference]],TAB_CS[Commited amount])</f>
        <v>0</v>
      </c>
      <c r="AB924" s="275"/>
      <c r="AC924" s="270"/>
      <c r="AD924" s="270"/>
      <c r="AE924" s="264"/>
      <c r="AF924" s="271"/>
      <c r="AG924" s="278"/>
      <c r="AH924" s="277" t="str">
        <f>CONCATENATE(YEAR(TAB_Offres[[#This Row],[Request date ]]),"-",MONTH(TAB_Offres[[#This Row],[Request date ]]))</f>
        <v>1900-1</v>
      </c>
      <c r="AI924" s="274" t="e">
        <f>IF(#REF!,1,0)</f>
        <v>#REF!</v>
      </c>
      <c r="AJ924" s="4"/>
      <c r="AK924" s="4"/>
      <c r="AL924" s="4"/>
      <c r="AN924" s="150"/>
      <c r="AQ924" s="4"/>
    </row>
    <row r="925" spans="1:43" x14ac:dyDescent="0.25">
      <c r="A925" s="258">
        <f>ROW(TAB_Offres[[#This Row],[Reference]])-ROW(TAB_Offres[[#Headers],[ID]])</f>
        <v>924</v>
      </c>
      <c r="B925" s="258"/>
      <c r="C925" s="258"/>
      <c r="D925" s="258"/>
      <c r="E925" s="263"/>
      <c r="F925" s="258"/>
      <c r="G925" s="263"/>
      <c r="H925" s="262"/>
      <c r="I925" s="262"/>
      <c r="J925" s="262"/>
      <c r="K925" s="262"/>
      <c r="L925" s="262"/>
      <c r="M925" s="264"/>
      <c r="N925" s="262"/>
      <c r="O925" s="262"/>
      <c r="P925" s="262"/>
      <c r="Q925" s="263"/>
      <c r="R925" s="263"/>
      <c r="S925" s="292"/>
      <c r="T925" s="261"/>
      <c r="U925" s="261"/>
      <c r="V925" s="268"/>
      <c r="W925" s="268"/>
      <c r="X925" s="268"/>
      <c r="Y925" s="268"/>
      <c r="Z925" s="471">
        <f>SUMIF(TAB_CS[Reference],TAB_Offres[[#This Row],[Reference]],TAB_CS[Commited days])</f>
        <v>0</v>
      </c>
      <c r="AA925" s="269">
        <f>SUMIF(TAB_CS[Reference],TAB_Offres[[#This Row],[Reference]],TAB_CS[Commited amount])</f>
        <v>0</v>
      </c>
      <c r="AB925" s="275"/>
      <c r="AC925" s="270"/>
      <c r="AD925" s="270"/>
      <c r="AE925" s="264"/>
      <c r="AF925" s="271"/>
      <c r="AG925" s="278"/>
      <c r="AH925" s="277" t="str">
        <f>CONCATENATE(YEAR(TAB_Offres[[#This Row],[Request date ]]),"-",MONTH(TAB_Offres[[#This Row],[Request date ]]))</f>
        <v>1900-1</v>
      </c>
      <c r="AI925" s="274" t="e">
        <f>IF(#REF!,1,0)</f>
        <v>#REF!</v>
      </c>
      <c r="AJ925" s="4"/>
      <c r="AK925" s="4"/>
      <c r="AL925" s="4"/>
      <c r="AN925" s="150"/>
      <c r="AQ925" s="4"/>
    </row>
    <row r="926" spans="1:43" x14ac:dyDescent="0.25">
      <c r="A926" s="258">
        <f>ROW(TAB_Offres[[#This Row],[Reference]])-ROW(TAB_Offres[[#Headers],[ID]])</f>
        <v>925</v>
      </c>
      <c r="B926" s="258"/>
      <c r="C926" s="258"/>
      <c r="D926" s="258"/>
      <c r="E926" s="263"/>
      <c r="F926" s="258"/>
      <c r="G926" s="263"/>
      <c r="H926" s="262"/>
      <c r="I926" s="262"/>
      <c r="J926" s="262"/>
      <c r="K926" s="262"/>
      <c r="L926" s="262"/>
      <c r="M926" s="264"/>
      <c r="N926" s="262"/>
      <c r="O926" s="262"/>
      <c r="P926" s="262"/>
      <c r="Q926" s="263"/>
      <c r="R926" s="263"/>
      <c r="S926" s="292"/>
      <c r="T926" s="261"/>
      <c r="U926" s="261"/>
      <c r="V926" s="268"/>
      <c r="W926" s="268"/>
      <c r="X926" s="268"/>
      <c r="Y926" s="268"/>
      <c r="Z926" s="471">
        <f>SUMIF(TAB_CS[Reference],TAB_Offres[[#This Row],[Reference]],TAB_CS[Commited days])</f>
        <v>0</v>
      </c>
      <c r="AA926" s="269">
        <f>SUMIF(TAB_CS[Reference],TAB_Offres[[#This Row],[Reference]],TAB_CS[Commited amount])</f>
        <v>0</v>
      </c>
      <c r="AB926" s="275"/>
      <c r="AC926" s="270"/>
      <c r="AD926" s="270"/>
      <c r="AE926" s="264"/>
      <c r="AF926" s="271"/>
      <c r="AG926" s="278"/>
      <c r="AH926" s="277" t="str">
        <f>CONCATENATE(YEAR(TAB_Offres[[#This Row],[Request date ]]),"-",MONTH(TAB_Offres[[#This Row],[Request date ]]))</f>
        <v>1900-1</v>
      </c>
      <c r="AI926" s="274" t="e">
        <f>IF(#REF!,1,0)</f>
        <v>#REF!</v>
      </c>
      <c r="AJ926" s="4"/>
      <c r="AK926" s="4"/>
      <c r="AL926" s="4"/>
      <c r="AN926" s="150"/>
      <c r="AQ926" s="4"/>
    </row>
    <row r="927" spans="1:43" x14ac:dyDescent="0.25">
      <c r="A927" s="258">
        <f>ROW(TAB_Offres[[#This Row],[Reference]])-ROW(TAB_Offres[[#Headers],[ID]])</f>
        <v>926</v>
      </c>
      <c r="B927" s="258"/>
      <c r="C927" s="258"/>
      <c r="D927" s="258"/>
      <c r="E927" s="263"/>
      <c r="F927" s="258"/>
      <c r="G927" s="263"/>
      <c r="H927" s="262"/>
      <c r="I927" s="262"/>
      <c r="J927" s="262"/>
      <c r="K927" s="262"/>
      <c r="L927" s="262"/>
      <c r="M927" s="264"/>
      <c r="N927" s="262"/>
      <c r="O927" s="262"/>
      <c r="P927" s="262"/>
      <c r="Q927" s="263"/>
      <c r="R927" s="263"/>
      <c r="S927" s="292"/>
      <c r="T927" s="261"/>
      <c r="U927" s="261"/>
      <c r="V927" s="268"/>
      <c r="W927" s="268"/>
      <c r="X927" s="268"/>
      <c r="Y927" s="268"/>
      <c r="Z927" s="471">
        <f>SUMIF(TAB_CS[Reference],TAB_Offres[[#This Row],[Reference]],TAB_CS[Commited days])</f>
        <v>0</v>
      </c>
      <c r="AA927" s="269">
        <f>SUMIF(TAB_CS[Reference],TAB_Offres[[#This Row],[Reference]],TAB_CS[Commited amount])</f>
        <v>0</v>
      </c>
      <c r="AB927" s="275"/>
      <c r="AC927" s="270"/>
      <c r="AD927" s="270"/>
      <c r="AE927" s="264"/>
      <c r="AF927" s="271"/>
      <c r="AG927" s="278"/>
      <c r="AH927" s="277" t="str">
        <f>CONCATENATE(YEAR(TAB_Offres[[#This Row],[Request date ]]),"-",MONTH(TAB_Offres[[#This Row],[Request date ]]))</f>
        <v>1900-1</v>
      </c>
      <c r="AI927" s="274" t="e">
        <f>IF(#REF!,1,0)</f>
        <v>#REF!</v>
      </c>
      <c r="AJ927" s="4"/>
      <c r="AK927" s="4"/>
      <c r="AL927" s="4"/>
      <c r="AN927" s="150"/>
      <c r="AQ927" s="4"/>
    </row>
    <row r="928" spans="1:43" x14ac:dyDescent="0.25">
      <c r="A928" s="258">
        <f>ROW(TAB_Offres[[#This Row],[Reference]])-ROW(TAB_Offres[[#Headers],[ID]])</f>
        <v>927</v>
      </c>
      <c r="B928" s="258"/>
      <c r="C928" s="258"/>
      <c r="D928" s="258"/>
      <c r="E928" s="263"/>
      <c r="F928" s="258"/>
      <c r="G928" s="263"/>
      <c r="H928" s="262"/>
      <c r="I928" s="262"/>
      <c r="J928" s="262"/>
      <c r="K928" s="262"/>
      <c r="L928" s="262"/>
      <c r="M928" s="264"/>
      <c r="N928" s="262"/>
      <c r="O928" s="262"/>
      <c r="P928" s="262"/>
      <c r="Q928" s="263"/>
      <c r="R928" s="263"/>
      <c r="S928" s="292"/>
      <c r="T928" s="261"/>
      <c r="U928" s="261"/>
      <c r="V928" s="268"/>
      <c r="W928" s="268"/>
      <c r="X928" s="268"/>
      <c r="Y928" s="268"/>
      <c r="Z928" s="471">
        <f>SUMIF(TAB_CS[Reference],TAB_Offres[[#This Row],[Reference]],TAB_CS[Commited days])</f>
        <v>0</v>
      </c>
      <c r="AA928" s="269">
        <f>SUMIF(TAB_CS[Reference],TAB_Offres[[#This Row],[Reference]],TAB_CS[Commited amount])</f>
        <v>0</v>
      </c>
      <c r="AB928" s="275"/>
      <c r="AC928" s="270"/>
      <c r="AD928" s="270"/>
      <c r="AE928" s="264"/>
      <c r="AF928" s="271"/>
      <c r="AG928" s="278"/>
      <c r="AH928" s="277" t="str">
        <f>CONCATENATE(YEAR(TAB_Offres[[#This Row],[Request date ]]),"-",MONTH(TAB_Offres[[#This Row],[Request date ]]))</f>
        <v>1900-1</v>
      </c>
      <c r="AI928" s="274" t="e">
        <f>IF(#REF!,1,0)</f>
        <v>#REF!</v>
      </c>
      <c r="AJ928" s="4"/>
      <c r="AK928" s="4"/>
      <c r="AL928" s="4"/>
      <c r="AN928" s="150"/>
      <c r="AQ928" s="4"/>
    </row>
    <row r="929" spans="1:43" x14ac:dyDescent="0.25">
      <c r="A929" s="258">
        <f>ROW(TAB_Offres[[#This Row],[Reference]])-ROW(TAB_Offres[[#Headers],[ID]])</f>
        <v>928</v>
      </c>
      <c r="B929" s="258"/>
      <c r="C929" s="258"/>
      <c r="D929" s="258"/>
      <c r="E929" s="263"/>
      <c r="F929" s="258"/>
      <c r="G929" s="263"/>
      <c r="H929" s="262"/>
      <c r="I929" s="262"/>
      <c r="J929" s="262"/>
      <c r="K929" s="262"/>
      <c r="L929" s="262"/>
      <c r="M929" s="264"/>
      <c r="N929" s="262"/>
      <c r="O929" s="262"/>
      <c r="P929" s="262"/>
      <c r="Q929" s="263"/>
      <c r="R929" s="263"/>
      <c r="S929" s="292"/>
      <c r="T929" s="261"/>
      <c r="U929" s="261"/>
      <c r="V929" s="268"/>
      <c r="W929" s="268"/>
      <c r="X929" s="268"/>
      <c r="Y929" s="268"/>
      <c r="Z929" s="471">
        <f>SUMIF(TAB_CS[Reference],TAB_Offres[[#This Row],[Reference]],TAB_CS[Commited days])</f>
        <v>0</v>
      </c>
      <c r="AA929" s="269">
        <f>SUMIF(TAB_CS[Reference],TAB_Offres[[#This Row],[Reference]],TAB_CS[Commited amount])</f>
        <v>0</v>
      </c>
      <c r="AB929" s="275"/>
      <c r="AC929" s="270"/>
      <c r="AD929" s="270"/>
      <c r="AE929" s="264"/>
      <c r="AF929" s="271"/>
      <c r="AG929" s="278"/>
      <c r="AH929" s="277" t="str">
        <f>CONCATENATE(YEAR(TAB_Offres[[#This Row],[Request date ]]),"-",MONTH(TAB_Offres[[#This Row],[Request date ]]))</f>
        <v>1900-1</v>
      </c>
      <c r="AI929" s="274" t="e">
        <f>IF(#REF!,1,0)</f>
        <v>#REF!</v>
      </c>
      <c r="AJ929" s="4"/>
      <c r="AK929" s="4"/>
      <c r="AL929" s="4"/>
      <c r="AN929" s="150"/>
      <c r="AQ929" s="4"/>
    </row>
    <row r="930" spans="1:43" x14ac:dyDescent="0.25">
      <c r="A930" s="258">
        <f>ROW(TAB_Offres[[#This Row],[Reference]])-ROW(TAB_Offres[[#Headers],[ID]])</f>
        <v>929</v>
      </c>
      <c r="B930" s="258"/>
      <c r="C930" s="258"/>
      <c r="D930" s="258"/>
      <c r="E930" s="263"/>
      <c r="F930" s="258"/>
      <c r="G930" s="263"/>
      <c r="H930" s="262"/>
      <c r="I930" s="262"/>
      <c r="J930" s="262"/>
      <c r="K930" s="262"/>
      <c r="L930" s="262"/>
      <c r="M930" s="264"/>
      <c r="N930" s="262"/>
      <c r="O930" s="262"/>
      <c r="P930" s="262"/>
      <c r="Q930" s="263"/>
      <c r="R930" s="263"/>
      <c r="S930" s="292"/>
      <c r="T930" s="261"/>
      <c r="U930" s="261"/>
      <c r="V930" s="268"/>
      <c r="W930" s="268"/>
      <c r="X930" s="268"/>
      <c r="Y930" s="268"/>
      <c r="Z930" s="471">
        <f>SUMIF(TAB_CS[Reference],TAB_Offres[[#This Row],[Reference]],TAB_CS[Commited days])</f>
        <v>0</v>
      </c>
      <c r="AA930" s="269">
        <f>SUMIF(TAB_CS[Reference],TAB_Offres[[#This Row],[Reference]],TAB_CS[Commited amount])</f>
        <v>0</v>
      </c>
      <c r="AB930" s="275"/>
      <c r="AC930" s="270"/>
      <c r="AD930" s="270"/>
      <c r="AE930" s="264"/>
      <c r="AF930" s="271"/>
      <c r="AG930" s="278"/>
      <c r="AH930" s="277" t="str">
        <f>CONCATENATE(YEAR(TAB_Offres[[#This Row],[Request date ]]),"-",MONTH(TAB_Offres[[#This Row],[Request date ]]))</f>
        <v>1900-1</v>
      </c>
      <c r="AI930" s="274" t="e">
        <f>IF(#REF!,1,0)</f>
        <v>#REF!</v>
      </c>
      <c r="AJ930" s="4"/>
      <c r="AK930" s="4"/>
      <c r="AL930" s="4"/>
      <c r="AN930" s="150"/>
      <c r="AQ930" s="4"/>
    </row>
    <row r="931" spans="1:43" x14ac:dyDescent="0.25">
      <c r="A931" s="258">
        <f>ROW(TAB_Offres[[#This Row],[Reference]])-ROW(TAB_Offres[[#Headers],[ID]])</f>
        <v>930</v>
      </c>
      <c r="B931" s="258"/>
      <c r="C931" s="258"/>
      <c r="D931" s="258"/>
      <c r="E931" s="263"/>
      <c r="F931" s="258"/>
      <c r="G931" s="263"/>
      <c r="H931" s="262"/>
      <c r="I931" s="262"/>
      <c r="J931" s="262"/>
      <c r="K931" s="262"/>
      <c r="L931" s="262"/>
      <c r="M931" s="264"/>
      <c r="N931" s="262"/>
      <c r="O931" s="262"/>
      <c r="P931" s="262"/>
      <c r="Q931" s="263"/>
      <c r="R931" s="263"/>
      <c r="S931" s="292"/>
      <c r="T931" s="261"/>
      <c r="U931" s="261"/>
      <c r="V931" s="268"/>
      <c r="W931" s="268"/>
      <c r="X931" s="268"/>
      <c r="Y931" s="268"/>
      <c r="Z931" s="471">
        <f>SUMIF(TAB_CS[Reference],TAB_Offres[[#This Row],[Reference]],TAB_CS[Commited days])</f>
        <v>0</v>
      </c>
      <c r="AA931" s="269">
        <f>SUMIF(TAB_CS[Reference],TAB_Offres[[#This Row],[Reference]],TAB_CS[Commited amount])</f>
        <v>0</v>
      </c>
      <c r="AB931" s="275"/>
      <c r="AC931" s="270"/>
      <c r="AD931" s="270"/>
      <c r="AE931" s="264"/>
      <c r="AF931" s="271"/>
      <c r="AG931" s="278"/>
      <c r="AH931" s="277" t="str">
        <f>CONCATENATE(YEAR(TAB_Offres[[#This Row],[Request date ]]),"-",MONTH(TAB_Offres[[#This Row],[Request date ]]))</f>
        <v>1900-1</v>
      </c>
      <c r="AI931" s="274" t="e">
        <f>IF(#REF!,1,0)</f>
        <v>#REF!</v>
      </c>
      <c r="AJ931" s="4"/>
      <c r="AK931" s="4"/>
      <c r="AL931" s="4"/>
      <c r="AN931" s="150"/>
      <c r="AQ931" s="4"/>
    </row>
    <row r="932" spans="1:43" x14ac:dyDescent="0.25">
      <c r="A932" s="258">
        <f>ROW(TAB_Offres[[#This Row],[Reference]])-ROW(TAB_Offres[[#Headers],[ID]])</f>
        <v>931</v>
      </c>
      <c r="B932" s="258"/>
      <c r="C932" s="258"/>
      <c r="D932" s="258"/>
      <c r="E932" s="263"/>
      <c r="F932" s="258"/>
      <c r="G932" s="263"/>
      <c r="H932" s="262"/>
      <c r="I932" s="262"/>
      <c r="J932" s="262"/>
      <c r="K932" s="262"/>
      <c r="L932" s="262"/>
      <c r="M932" s="264"/>
      <c r="N932" s="262"/>
      <c r="O932" s="262"/>
      <c r="P932" s="262"/>
      <c r="Q932" s="263"/>
      <c r="R932" s="263"/>
      <c r="S932" s="292"/>
      <c r="T932" s="261"/>
      <c r="U932" s="261"/>
      <c r="V932" s="268"/>
      <c r="W932" s="268"/>
      <c r="X932" s="268"/>
      <c r="Y932" s="268"/>
      <c r="Z932" s="471">
        <f>SUMIF(TAB_CS[Reference],TAB_Offres[[#This Row],[Reference]],TAB_CS[Commited days])</f>
        <v>0</v>
      </c>
      <c r="AA932" s="269">
        <f>SUMIF(TAB_CS[Reference],TAB_Offres[[#This Row],[Reference]],TAB_CS[Commited amount])</f>
        <v>0</v>
      </c>
      <c r="AB932" s="275"/>
      <c r="AC932" s="270"/>
      <c r="AD932" s="270"/>
      <c r="AE932" s="264"/>
      <c r="AF932" s="271"/>
      <c r="AG932" s="278"/>
      <c r="AH932" s="277" t="str">
        <f>CONCATENATE(YEAR(TAB_Offres[[#This Row],[Request date ]]),"-",MONTH(TAB_Offres[[#This Row],[Request date ]]))</f>
        <v>1900-1</v>
      </c>
      <c r="AI932" s="274" t="e">
        <f>IF(#REF!,1,0)</f>
        <v>#REF!</v>
      </c>
      <c r="AJ932" s="4"/>
      <c r="AK932" s="4"/>
      <c r="AL932" s="4"/>
      <c r="AN932" s="150"/>
      <c r="AQ932" s="4"/>
    </row>
    <row r="933" spans="1:43" x14ac:dyDescent="0.25">
      <c r="A933" s="258">
        <f>ROW(TAB_Offres[[#This Row],[Reference]])-ROW(TAB_Offres[[#Headers],[ID]])</f>
        <v>932</v>
      </c>
      <c r="B933" s="258"/>
      <c r="C933" s="258"/>
      <c r="D933" s="258"/>
      <c r="E933" s="263"/>
      <c r="F933" s="258"/>
      <c r="G933" s="263"/>
      <c r="H933" s="262"/>
      <c r="I933" s="262"/>
      <c r="J933" s="262"/>
      <c r="K933" s="262"/>
      <c r="L933" s="262"/>
      <c r="M933" s="264"/>
      <c r="N933" s="262"/>
      <c r="O933" s="262"/>
      <c r="P933" s="262"/>
      <c r="Q933" s="263"/>
      <c r="R933" s="263"/>
      <c r="S933" s="292"/>
      <c r="T933" s="261"/>
      <c r="U933" s="261"/>
      <c r="V933" s="268"/>
      <c r="W933" s="268"/>
      <c r="X933" s="268"/>
      <c r="Y933" s="268"/>
      <c r="Z933" s="471">
        <f>SUMIF(TAB_CS[Reference],TAB_Offres[[#This Row],[Reference]],TAB_CS[Commited days])</f>
        <v>0</v>
      </c>
      <c r="AA933" s="269">
        <f>SUMIF(TAB_CS[Reference],TAB_Offres[[#This Row],[Reference]],TAB_CS[Commited amount])</f>
        <v>0</v>
      </c>
      <c r="AB933" s="275"/>
      <c r="AC933" s="270"/>
      <c r="AD933" s="270"/>
      <c r="AE933" s="264"/>
      <c r="AF933" s="271"/>
      <c r="AG933" s="278"/>
      <c r="AH933" s="277" t="str">
        <f>CONCATENATE(YEAR(TAB_Offres[[#This Row],[Request date ]]),"-",MONTH(TAB_Offres[[#This Row],[Request date ]]))</f>
        <v>1900-1</v>
      </c>
      <c r="AI933" s="274" t="e">
        <f>IF(#REF!,1,0)</f>
        <v>#REF!</v>
      </c>
      <c r="AJ933" s="4"/>
      <c r="AK933" s="4"/>
      <c r="AL933" s="4"/>
      <c r="AN933" s="150"/>
      <c r="AQ933" s="4"/>
    </row>
    <row r="934" spans="1:43" x14ac:dyDescent="0.25">
      <c r="A934" s="258">
        <f>ROW(TAB_Offres[[#This Row],[Reference]])-ROW(TAB_Offres[[#Headers],[ID]])</f>
        <v>933</v>
      </c>
      <c r="B934" s="258"/>
      <c r="C934" s="258"/>
      <c r="D934" s="258"/>
      <c r="E934" s="263"/>
      <c r="F934" s="258"/>
      <c r="G934" s="263"/>
      <c r="H934" s="262"/>
      <c r="I934" s="262"/>
      <c r="J934" s="262"/>
      <c r="K934" s="262"/>
      <c r="L934" s="262"/>
      <c r="M934" s="264"/>
      <c r="N934" s="262"/>
      <c r="O934" s="262"/>
      <c r="P934" s="262"/>
      <c r="Q934" s="263"/>
      <c r="R934" s="263"/>
      <c r="S934" s="292"/>
      <c r="T934" s="261"/>
      <c r="U934" s="261"/>
      <c r="V934" s="268"/>
      <c r="W934" s="268"/>
      <c r="X934" s="268"/>
      <c r="Y934" s="268"/>
      <c r="Z934" s="471">
        <f>SUMIF(TAB_CS[Reference],TAB_Offres[[#This Row],[Reference]],TAB_CS[Commited days])</f>
        <v>0</v>
      </c>
      <c r="AA934" s="269">
        <f>SUMIF(TAB_CS[Reference],TAB_Offres[[#This Row],[Reference]],TAB_CS[Commited amount])</f>
        <v>0</v>
      </c>
      <c r="AB934" s="275"/>
      <c r="AC934" s="270"/>
      <c r="AD934" s="270"/>
      <c r="AE934" s="264"/>
      <c r="AF934" s="271"/>
      <c r="AG934" s="278"/>
      <c r="AH934" s="277" t="str">
        <f>CONCATENATE(YEAR(TAB_Offres[[#This Row],[Request date ]]),"-",MONTH(TAB_Offres[[#This Row],[Request date ]]))</f>
        <v>1900-1</v>
      </c>
      <c r="AI934" s="274" t="e">
        <f>IF(#REF!,1,0)</f>
        <v>#REF!</v>
      </c>
      <c r="AJ934" s="4"/>
      <c r="AK934" s="4"/>
      <c r="AL934" s="4"/>
      <c r="AN934" s="150"/>
      <c r="AQ934" s="4"/>
    </row>
    <row r="935" spans="1:43" x14ac:dyDescent="0.25">
      <c r="A935" s="258">
        <f>ROW(TAB_Offres[[#This Row],[Reference]])-ROW(TAB_Offres[[#Headers],[ID]])</f>
        <v>934</v>
      </c>
      <c r="B935" s="258"/>
      <c r="C935" s="258"/>
      <c r="D935" s="258"/>
      <c r="E935" s="263"/>
      <c r="F935" s="258"/>
      <c r="G935" s="263"/>
      <c r="H935" s="262"/>
      <c r="I935" s="262"/>
      <c r="J935" s="262"/>
      <c r="K935" s="262"/>
      <c r="L935" s="262"/>
      <c r="M935" s="264"/>
      <c r="N935" s="262"/>
      <c r="O935" s="262"/>
      <c r="P935" s="262"/>
      <c r="Q935" s="263"/>
      <c r="R935" s="263"/>
      <c r="S935" s="292"/>
      <c r="T935" s="261"/>
      <c r="U935" s="261"/>
      <c r="V935" s="268"/>
      <c r="W935" s="268"/>
      <c r="X935" s="268"/>
      <c r="Y935" s="268"/>
      <c r="Z935" s="471">
        <f>SUMIF(TAB_CS[Reference],TAB_Offres[[#This Row],[Reference]],TAB_CS[Commited days])</f>
        <v>0</v>
      </c>
      <c r="AA935" s="269">
        <f>SUMIF(TAB_CS[Reference],TAB_Offres[[#This Row],[Reference]],TAB_CS[Commited amount])</f>
        <v>0</v>
      </c>
      <c r="AB935" s="275"/>
      <c r="AC935" s="270"/>
      <c r="AD935" s="270"/>
      <c r="AE935" s="264"/>
      <c r="AF935" s="271"/>
      <c r="AG935" s="278"/>
      <c r="AH935" s="277" t="str">
        <f>CONCATENATE(YEAR(TAB_Offres[[#This Row],[Request date ]]),"-",MONTH(TAB_Offres[[#This Row],[Request date ]]))</f>
        <v>1900-1</v>
      </c>
      <c r="AI935" s="274" t="e">
        <f>IF(#REF!,1,0)</f>
        <v>#REF!</v>
      </c>
      <c r="AJ935" s="4"/>
      <c r="AK935" s="4"/>
      <c r="AL935" s="4"/>
      <c r="AN935" s="150"/>
      <c r="AQ935" s="4"/>
    </row>
    <row r="936" spans="1:43" x14ac:dyDescent="0.25">
      <c r="A936" s="258">
        <f>ROW(TAB_Offres[[#This Row],[Reference]])-ROW(TAB_Offres[[#Headers],[ID]])</f>
        <v>935</v>
      </c>
      <c r="B936" s="258"/>
      <c r="C936" s="258"/>
      <c r="D936" s="258"/>
      <c r="E936" s="263"/>
      <c r="F936" s="258"/>
      <c r="G936" s="263"/>
      <c r="H936" s="262"/>
      <c r="I936" s="262"/>
      <c r="J936" s="262"/>
      <c r="K936" s="262"/>
      <c r="L936" s="262"/>
      <c r="M936" s="264"/>
      <c r="N936" s="262"/>
      <c r="O936" s="262"/>
      <c r="P936" s="262"/>
      <c r="Q936" s="263"/>
      <c r="R936" s="263"/>
      <c r="S936" s="292"/>
      <c r="T936" s="261"/>
      <c r="U936" s="261"/>
      <c r="V936" s="268"/>
      <c r="W936" s="268"/>
      <c r="X936" s="268"/>
      <c r="Y936" s="268"/>
      <c r="Z936" s="471">
        <f>SUMIF(TAB_CS[Reference],TAB_Offres[[#This Row],[Reference]],TAB_CS[Commited days])</f>
        <v>0</v>
      </c>
      <c r="AA936" s="269">
        <f>SUMIF(TAB_CS[Reference],TAB_Offres[[#This Row],[Reference]],TAB_CS[Commited amount])</f>
        <v>0</v>
      </c>
      <c r="AB936" s="275"/>
      <c r="AC936" s="270"/>
      <c r="AD936" s="270"/>
      <c r="AE936" s="264"/>
      <c r="AF936" s="271"/>
      <c r="AG936" s="278"/>
      <c r="AH936" s="277" t="str">
        <f>CONCATENATE(YEAR(TAB_Offres[[#This Row],[Request date ]]),"-",MONTH(TAB_Offres[[#This Row],[Request date ]]))</f>
        <v>1900-1</v>
      </c>
      <c r="AI936" s="274" t="e">
        <f>IF(#REF!,1,0)</f>
        <v>#REF!</v>
      </c>
      <c r="AJ936" s="4"/>
      <c r="AK936" s="4"/>
      <c r="AL936" s="4"/>
      <c r="AN936" s="150"/>
      <c r="AQ936" s="4"/>
    </row>
    <row r="937" spans="1:43" x14ac:dyDescent="0.25">
      <c r="A937" s="258">
        <f>ROW(TAB_Offres[[#This Row],[Reference]])-ROW(TAB_Offres[[#Headers],[ID]])</f>
        <v>936</v>
      </c>
      <c r="B937" s="258"/>
      <c r="C937" s="258"/>
      <c r="D937" s="258"/>
      <c r="E937" s="263"/>
      <c r="F937" s="258"/>
      <c r="G937" s="263"/>
      <c r="H937" s="262"/>
      <c r="I937" s="262"/>
      <c r="J937" s="262"/>
      <c r="K937" s="262"/>
      <c r="L937" s="262"/>
      <c r="M937" s="264"/>
      <c r="N937" s="262"/>
      <c r="O937" s="262"/>
      <c r="P937" s="262"/>
      <c r="Q937" s="263"/>
      <c r="R937" s="263"/>
      <c r="S937" s="292"/>
      <c r="T937" s="261"/>
      <c r="U937" s="261"/>
      <c r="V937" s="268"/>
      <c r="W937" s="268"/>
      <c r="X937" s="268"/>
      <c r="Y937" s="268"/>
      <c r="Z937" s="471">
        <f>SUMIF(TAB_CS[Reference],TAB_Offres[[#This Row],[Reference]],TAB_CS[Commited days])</f>
        <v>0</v>
      </c>
      <c r="AA937" s="269">
        <f>SUMIF(TAB_CS[Reference],TAB_Offres[[#This Row],[Reference]],TAB_CS[Commited amount])</f>
        <v>0</v>
      </c>
      <c r="AB937" s="275"/>
      <c r="AC937" s="270"/>
      <c r="AD937" s="270"/>
      <c r="AE937" s="264"/>
      <c r="AF937" s="271"/>
      <c r="AG937" s="278"/>
      <c r="AH937" s="277" t="str">
        <f>CONCATENATE(YEAR(TAB_Offres[[#This Row],[Request date ]]),"-",MONTH(TAB_Offres[[#This Row],[Request date ]]))</f>
        <v>1900-1</v>
      </c>
      <c r="AI937" s="274" t="e">
        <f>IF(#REF!,1,0)</f>
        <v>#REF!</v>
      </c>
      <c r="AJ937" s="4"/>
      <c r="AK937" s="4"/>
      <c r="AL937" s="4"/>
      <c r="AN937" s="150"/>
      <c r="AQ937" s="4"/>
    </row>
    <row r="938" spans="1:43" x14ac:dyDescent="0.25">
      <c r="A938" s="258">
        <f>ROW(TAB_Offres[[#This Row],[Reference]])-ROW(TAB_Offres[[#Headers],[ID]])</f>
        <v>937</v>
      </c>
      <c r="B938" s="258"/>
      <c r="C938" s="258"/>
      <c r="D938" s="258"/>
      <c r="E938" s="263"/>
      <c r="F938" s="258"/>
      <c r="G938" s="263"/>
      <c r="H938" s="262"/>
      <c r="I938" s="262"/>
      <c r="J938" s="262"/>
      <c r="K938" s="262"/>
      <c r="L938" s="262"/>
      <c r="M938" s="264"/>
      <c r="N938" s="262"/>
      <c r="O938" s="262"/>
      <c r="P938" s="262"/>
      <c r="Q938" s="263"/>
      <c r="R938" s="263"/>
      <c r="S938" s="292"/>
      <c r="T938" s="261"/>
      <c r="U938" s="261"/>
      <c r="V938" s="268"/>
      <c r="W938" s="268"/>
      <c r="X938" s="268"/>
      <c r="Y938" s="268"/>
      <c r="Z938" s="471">
        <f>SUMIF(TAB_CS[Reference],TAB_Offres[[#This Row],[Reference]],TAB_CS[Commited days])</f>
        <v>0</v>
      </c>
      <c r="AA938" s="269">
        <f>SUMIF(TAB_CS[Reference],TAB_Offres[[#This Row],[Reference]],TAB_CS[Commited amount])</f>
        <v>0</v>
      </c>
      <c r="AB938" s="275"/>
      <c r="AC938" s="270"/>
      <c r="AD938" s="270"/>
      <c r="AE938" s="264"/>
      <c r="AF938" s="271"/>
      <c r="AG938" s="278"/>
      <c r="AH938" s="277" t="str">
        <f>CONCATENATE(YEAR(TAB_Offres[[#This Row],[Request date ]]),"-",MONTH(TAB_Offres[[#This Row],[Request date ]]))</f>
        <v>1900-1</v>
      </c>
      <c r="AI938" s="274" t="e">
        <f>IF(#REF!,1,0)</f>
        <v>#REF!</v>
      </c>
      <c r="AJ938" s="4"/>
      <c r="AK938" s="4"/>
      <c r="AL938" s="4"/>
      <c r="AN938" s="150"/>
      <c r="AQ938" s="4"/>
    </row>
    <row r="939" spans="1:43" x14ac:dyDescent="0.25">
      <c r="A939" s="258">
        <f>ROW(TAB_Offres[[#This Row],[Reference]])-ROW(TAB_Offres[[#Headers],[ID]])</f>
        <v>938</v>
      </c>
      <c r="B939" s="258"/>
      <c r="C939" s="258"/>
      <c r="D939" s="258"/>
      <c r="E939" s="263"/>
      <c r="F939" s="258"/>
      <c r="G939" s="263"/>
      <c r="H939" s="262"/>
      <c r="I939" s="262"/>
      <c r="J939" s="262"/>
      <c r="K939" s="262"/>
      <c r="L939" s="262"/>
      <c r="M939" s="264"/>
      <c r="N939" s="262"/>
      <c r="O939" s="262"/>
      <c r="P939" s="262"/>
      <c r="Q939" s="263"/>
      <c r="R939" s="263"/>
      <c r="S939" s="292"/>
      <c r="T939" s="261"/>
      <c r="U939" s="261"/>
      <c r="V939" s="268"/>
      <c r="W939" s="268"/>
      <c r="X939" s="268"/>
      <c r="Y939" s="268"/>
      <c r="Z939" s="471">
        <f>SUMIF(TAB_CS[Reference],TAB_Offres[[#This Row],[Reference]],TAB_CS[Commited days])</f>
        <v>0</v>
      </c>
      <c r="AA939" s="269">
        <f>SUMIF(TAB_CS[Reference],TAB_Offres[[#This Row],[Reference]],TAB_CS[Commited amount])</f>
        <v>0</v>
      </c>
      <c r="AB939" s="275"/>
      <c r="AC939" s="270"/>
      <c r="AD939" s="270"/>
      <c r="AE939" s="264"/>
      <c r="AF939" s="271"/>
      <c r="AG939" s="278"/>
      <c r="AH939" s="277" t="str">
        <f>CONCATENATE(YEAR(TAB_Offres[[#This Row],[Request date ]]),"-",MONTH(TAB_Offres[[#This Row],[Request date ]]))</f>
        <v>1900-1</v>
      </c>
      <c r="AI939" s="274" t="e">
        <f>IF(#REF!,1,0)</f>
        <v>#REF!</v>
      </c>
      <c r="AJ939" s="4"/>
      <c r="AK939" s="4"/>
      <c r="AL939" s="4"/>
      <c r="AN939" s="150"/>
      <c r="AQ939" s="4"/>
    </row>
    <row r="940" spans="1:43" x14ac:dyDescent="0.25">
      <c r="A940" s="258">
        <f>ROW(TAB_Offres[[#This Row],[Reference]])-ROW(TAB_Offres[[#Headers],[ID]])</f>
        <v>939</v>
      </c>
      <c r="B940" s="258"/>
      <c r="C940" s="258"/>
      <c r="D940" s="258"/>
      <c r="E940" s="263"/>
      <c r="F940" s="258"/>
      <c r="G940" s="263"/>
      <c r="H940" s="262"/>
      <c r="I940" s="262"/>
      <c r="J940" s="262"/>
      <c r="K940" s="262"/>
      <c r="L940" s="262"/>
      <c r="M940" s="264"/>
      <c r="N940" s="262"/>
      <c r="O940" s="262"/>
      <c r="P940" s="262"/>
      <c r="Q940" s="263"/>
      <c r="R940" s="263"/>
      <c r="S940" s="292"/>
      <c r="T940" s="261"/>
      <c r="U940" s="261"/>
      <c r="V940" s="268"/>
      <c r="W940" s="268"/>
      <c r="X940" s="268"/>
      <c r="Y940" s="268"/>
      <c r="Z940" s="471">
        <f>SUMIF(TAB_CS[Reference],TAB_Offres[[#This Row],[Reference]],TAB_CS[Commited days])</f>
        <v>0</v>
      </c>
      <c r="AA940" s="269">
        <f>SUMIF(TAB_CS[Reference],TAB_Offres[[#This Row],[Reference]],TAB_CS[Commited amount])</f>
        <v>0</v>
      </c>
      <c r="AB940" s="275"/>
      <c r="AC940" s="270"/>
      <c r="AD940" s="270"/>
      <c r="AE940" s="264"/>
      <c r="AF940" s="271"/>
      <c r="AG940" s="278"/>
      <c r="AH940" s="277" t="str">
        <f>CONCATENATE(YEAR(TAB_Offres[[#This Row],[Request date ]]),"-",MONTH(TAB_Offres[[#This Row],[Request date ]]))</f>
        <v>1900-1</v>
      </c>
      <c r="AI940" s="274" t="e">
        <f>IF(#REF!,1,0)</f>
        <v>#REF!</v>
      </c>
      <c r="AJ940" s="4"/>
      <c r="AK940" s="4"/>
      <c r="AL940" s="4"/>
      <c r="AN940" s="150"/>
      <c r="AQ940" s="4"/>
    </row>
    <row r="941" spans="1:43" x14ac:dyDescent="0.25">
      <c r="A941" s="258">
        <f>ROW(TAB_Offres[[#This Row],[Reference]])-ROW(TAB_Offres[[#Headers],[ID]])</f>
        <v>940</v>
      </c>
      <c r="B941" s="258"/>
      <c r="C941" s="258"/>
      <c r="D941" s="258"/>
      <c r="E941" s="263"/>
      <c r="F941" s="258"/>
      <c r="G941" s="263"/>
      <c r="H941" s="262"/>
      <c r="I941" s="262"/>
      <c r="J941" s="262"/>
      <c r="K941" s="262"/>
      <c r="L941" s="262"/>
      <c r="M941" s="264"/>
      <c r="N941" s="262"/>
      <c r="O941" s="262"/>
      <c r="P941" s="262"/>
      <c r="Q941" s="263"/>
      <c r="R941" s="263"/>
      <c r="S941" s="292"/>
      <c r="T941" s="261"/>
      <c r="U941" s="261"/>
      <c r="V941" s="268"/>
      <c r="W941" s="268"/>
      <c r="X941" s="268"/>
      <c r="Y941" s="268"/>
      <c r="Z941" s="471">
        <f>SUMIF(TAB_CS[Reference],TAB_Offres[[#This Row],[Reference]],TAB_CS[Commited days])</f>
        <v>0</v>
      </c>
      <c r="AA941" s="269">
        <f>SUMIF(TAB_CS[Reference],TAB_Offres[[#This Row],[Reference]],TAB_CS[Commited amount])</f>
        <v>0</v>
      </c>
      <c r="AB941" s="275"/>
      <c r="AC941" s="270"/>
      <c r="AD941" s="270"/>
      <c r="AE941" s="264"/>
      <c r="AF941" s="271"/>
      <c r="AG941" s="278"/>
      <c r="AH941" s="277" t="str">
        <f>CONCATENATE(YEAR(TAB_Offres[[#This Row],[Request date ]]),"-",MONTH(TAB_Offres[[#This Row],[Request date ]]))</f>
        <v>1900-1</v>
      </c>
      <c r="AI941" s="274" t="e">
        <f>IF(#REF!,1,0)</f>
        <v>#REF!</v>
      </c>
      <c r="AJ941" s="4"/>
      <c r="AK941" s="4"/>
      <c r="AL941" s="4"/>
      <c r="AN941" s="150"/>
      <c r="AQ941" s="4"/>
    </row>
    <row r="942" spans="1:43" x14ac:dyDescent="0.25">
      <c r="A942" s="258">
        <f>ROW(TAB_Offres[[#This Row],[Reference]])-ROW(TAB_Offres[[#Headers],[ID]])</f>
        <v>941</v>
      </c>
      <c r="B942" s="258"/>
      <c r="C942" s="258"/>
      <c r="D942" s="258"/>
      <c r="E942" s="263"/>
      <c r="F942" s="258"/>
      <c r="G942" s="263"/>
      <c r="H942" s="262"/>
      <c r="I942" s="262"/>
      <c r="J942" s="262"/>
      <c r="K942" s="262"/>
      <c r="L942" s="262"/>
      <c r="M942" s="264"/>
      <c r="N942" s="262"/>
      <c r="O942" s="262"/>
      <c r="P942" s="262"/>
      <c r="Q942" s="263"/>
      <c r="R942" s="263"/>
      <c r="S942" s="292"/>
      <c r="T942" s="261"/>
      <c r="U942" s="261"/>
      <c r="V942" s="268"/>
      <c r="W942" s="268"/>
      <c r="X942" s="268"/>
      <c r="Y942" s="268"/>
      <c r="Z942" s="471">
        <f>SUMIF(TAB_CS[Reference],TAB_Offres[[#This Row],[Reference]],TAB_CS[Commited days])</f>
        <v>0</v>
      </c>
      <c r="AA942" s="269">
        <f>SUMIF(TAB_CS[Reference],TAB_Offres[[#This Row],[Reference]],TAB_CS[Commited amount])</f>
        <v>0</v>
      </c>
      <c r="AB942" s="275"/>
      <c r="AC942" s="270"/>
      <c r="AD942" s="270"/>
      <c r="AE942" s="264"/>
      <c r="AF942" s="271"/>
      <c r="AG942" s="278"/>
      <c r="AH942" s="277" t="str">
        <f>CONCATENATE(YEAR(TAB_Offres[[#This Row],[Request date ]]),"-",MONTH(TAB_Offres[[#This Row],[Request date ]]))</f>
        <v>1900-1</v>
      </c>
      <c r="AI942" s="274" t="e">
        <f>IF(#REF!,1,0)</f>
        <v>#REF!</v>
      </c>
      <c r="AJ942" s="4"/>
      <c r="AK942" s="4"/>
      <c r="AL942" s="4"/>
      <c r="AN942" s="150"/>
      <c r="AQ942" s="4"/>
    </row>
    <row r="943" spans="1:43" x14ac:dyDescent="0.25">
      <c r="A943" s="258">
        <f>ROW(TAB_Offres[[#This Row],[Reference]])-ROW(TAB_Offres[[#Headers],[ID]])</f>
        <v>942</v>
      </c>
      <c r="B943" s="258"/>
      <c r="C943" s="258"/>
      <c r="D943" s="258"/>
      <c r="E943" s="263"/>
      <c r="F943" s="258"/>
      <c r="G943" s="263"/>
      <c r="H943" s="262"/>
      <c r="I943" s="262"/>
      <c r="J943" s="262"/>
      <c r="K943" s="262"/>
      <c r="L943" s="262"/>
      <c r="M943" s="264"/>
      <c r="N943" s="262"/>
      <c r="O943" s="262"/>
      <c r="P943" s="262"/>
      <c r="Q943" s="263"/>
      <c r="R943" s="263"/>
      <c r="S943" s="292"/>
      <c r="T943" s="261"/>
      <c r="U943" s="261"/>
      <c r="V943" s="268"/>
      <c r="W943" s="268"/>
      <c r="X943" s="268"/>
      <c r="Y943" s="268"/>
      <c r="Z943" s="471">
        <f>SUMIF(TAB_CS[Reference],TAB_Offres[[#This Row],[Reference]],TAB_CS[Commited days])</f>
        <v>0</v>
      </c>
      <c r="AA943" s="269">
        <f>SUMIF(TAB_CS[Reference],TAB_Offres[[#This Row],[Reference]],TAB_CS[Commited amount])</f>
        <v>0</v>
      </c>
      <c r="AB943" s="275"/>
      <c r="AC943" s="270"/>
      <c r="AD943" s="270"/>
      <c r="AE943" s="264"/>
      <c r="AF943" s="271"/>
      <c r="AG943" s="278"/>
      <c r="AH943" s="277" t="str">
        <f>CONCATENATE(YEAR(TAB_Offres[[#This Row],[Request date ]]),"-",MONTH(TAB_Offres[[#This Row],[Request date ]]))</f>
        <v>1900-1</v>
      </c>
      <c r="AI943" s="274" t="e">
        <f>IF(#REF!,1,0)</f>
        <v>#REF!</v>
      </c>
      <c r="AJ943" s="4"/>
      <c r="AK943" s="4"/>
      <c r="AL943" s="4"/>
      <c r="AN943" s="150"/>
      <c r="AQ943" s="4"/>
    </row>
    <row r="944" spans="1:43" x14ac:dyDescent="0.25">
      <c r="A944" s="258">
        <f>ROW(TAB_Offres[[#This Row],[Reference]])-ROW(TAB_Offres[[#Headers],[ID]])</f>
        <v>943</v>
      </c>
      <c r="B944" s="258"/>
      <c r="C944" s="258"/>
      <c r="D944" s="258"/>
      <c r="E944" s="263"/>
      <c r="F944" s="258"/>
      <c r="G944" s="263"/>
      <c r="H944" s="262"/>
      <c r="I944" s="262"/>
      <c r="J944" s="262"/>
      <c r="K944" s="262"/>
      <c r="L944" s="262"/>
      <c r="M944" s="264"/>
      <c r="N944" s="262"/>
      <c r="O944" s="262"/>
      <c r="P944" s="262"/>
      <c r="Q944" s="263"/>
      <c r="R944" s="263"/>
      <c r="S944" s="292"/>
      <c r="T944" s="261"/>
      <c r="U944" s="261"/>
      <c r="V944" s="268"/>
      <c r="W944" s="268"/>
      <c r="X944" s="268"/>
      <c r="Y944" s="268"/>
      <c r="Z944" s="471">
        <f>SUMIF(TAB_CS[Reference],TAB_Offres[[#This Row],[Reference]],TAB_CS[Commited days])</f>
        <v>0</v>
      </c>
      <c r="AA944" s="269">
        <f>SUMIF(TAB_CS[Reference],TAB_Offres[[#This Row],[Reference]],TAB_CS[Commited amount])</f>
        <v>0</v>
      </c>
      <c r="AB944" s="275"/>
      <c r="AC944" s="270"/>
      <c r="AD944" s="270"/>
      <c r="AE944" s="264"/>
      <c r="AF944" s="271"/>
      <c r="AG944" s="278"/>
      <c r="AH944" s="277" t="str">
        <f>CONCATENATE(YEAR(TAB_Offres[[#This Row],[Request date ]]),"-",MONTH(TAB_Offres[[#This Row],[Request date ]]))</f>
        <v>1900-1</v>
      </c>
      <c r="AI944" s="274" t="e">
        <f>IF(#REF!,1,0)</f>
        <v>#REF!</v>
      </c>
      <c r="AJ944" s="4"/>
      <c r="AK944" s="4"/>
      <c r="AL944" s="4"/>
      <c r="AN944" s="150"/>
      <c r="AQ944" s="4"/>
    </row>
    <row r="945" spans="1:43" x14ac:dyDescent="0.25">
      <c r="A945" s="258">
        <f>ROW(TAB_Offres[[#This Row],[Reference]])-ROW(TAB_Offres[[#Headers],[ID]])</f>
        <v>944</v>
      </c>
      <c r="B945" s="258"/>
      <c r="C945" s="258"/>
      <c r="D945" s="258"/>
      <c r="E945" s="263"/>
      <c r="F945" s="258"/>
      <c r="G945" s="263"/>
      <c r="H945" s="262"/>
      <c r="I945" s="262"/>
      <c r="J945" s="262"/>
      <c r="K945" s="262"/>
      <c r="L945" s="262"/>
      <c r="M945" s="264"/>
      <c r="N945" s="262"/>
      <c r="O945" s="262"/>
      <c r="P945" s="262"/>
      <c r="Q945" s="263"/>
      <c r="R945" s="263"/>
      <c r="S945" s="292"/>
      <c r="T945" s="261"/>
      <c r="U945" s="261"/>
      <c r="V945" s="268"/>
      <c r="W945" s="268"/>
      <c r="X945" s="268"/>
      <c r="Y945" s="268"/>
      <c r="Z945" s="471">
        <f>SUMIF(TAB_CS[Reference],TAB_Offres[[#This Row],[Reference]],TAB_CS[Commited days])</f>
        <v>0</v>
      </c>
      <c r="AA945" s="269">
        <f>SUMIF(TAB_CS[Reference],TAB_Offres[[#This Row],[Reference]],TAB_CS[Commited amount])</f>
        <v>0</v>
      </c>
      <c r="AB945" s="275"/>
      <c r="AC945" s="270"/>
      <c r="AD945" s="270"/>
      <c r="AE945" s="264"/>
      <c r="AF945" s="271"/>
      <c r="AG945" s="278"/>
      <c r="AH945" s="277" t="str">
        <f>CONCATENATE(YEAR(TAB_Offres[[#This Row],[Request date ]]),"-",MONTH(TAB_Offres[[#This Row],[Request date ]]))</f>
        <v>1900-1</v>
      </c>
      <c r="AI945" s="274" t="e">
        <f>IF(#REF!,1,0)</f>
        <v>#REF!</v>
      </c>
      <c r="AJ945" s="4"/>
      <c r="AK945" s="4"/>
      <c r="AL945" s="4"/>
      <c r="AN945" s="150"/>
      <c r="AQ945" s="4"/>
    </row>
    <row r="946" spans="1:43" x14ac:dyDescent="0.25">
      <c r="A946" s="258">
        <f>ROW(TAB_Offres[[#This Row],[Reference]])-ROW(TAB_Offres[[#Headers],[ID]])</f>
        <v>945</v>
      </c>
      <c r="B946" s="258"/>
      <c r="C946" s="258"/>
      <c r="D946" s="258"/>
      <c r="E946" s="263"/>
      <c r="F946" s="258"/>
      <c r="G946" s="263"/>
      <c r="H946" s="262"/>
      <c r="I946" s="262"/>
      <c r="J946" s="262"/>
      <c r="K946" s="262"/>
      <c r="L946" s="262"/>
      <c r="M946" s="264"/>
      <c r="N946" s="262"/>
      <c r="O946" s="262"/>
      <c r="P946" s="262"/>
      <c r="Q946" s="263"/>
      <c r="R946" s="263"/>
      <c r="S946" s="292"/>
      <c r="T946" s="261"/>
      <c r="U946" s="261"/>
      <c r="V946" s="268"/>
      <c r="W946" s="268"/>
      <c r="X946" s="268"/>
      <c r="Y946" s="268"/>
      <c r="Z946" s="471">
        <f>SUMIF(TAB_CS[Reference],TAB_Offres[[#This Row],[Reference]],TAB_CS[Commited days])</f>
        <v>0</v>
      </c>
      <c r="AA946" s="269">
        <f>SUMIF(TAB_CS[Reference],TAB_Offres[[#This Row],[Reference]],TAB_CS[Commited amount])</f>
        <v>0</v>
      </c>
      <c r="AB946" s="275"/>
      <c r="AC946" s="270"/>
      <c r="AD946" s="270"/>
      <c r="AE946" s="264"/>
      <c r="AF946" s="271"/>
      <c r="AG946" s="278"/>
      <c r="AH946" s="277" t="str">
        <f>CONCATENATE(YEAR(TAB_Offres[[#This Row],[Request date ]]),"-",MONTH(TAB_Offres[[#This Row],[Request date ]]))</f>
        <v>1900-1</v>
      </c>
      <c r="AI946" s="274" t="e">
        <f>IF(#REF!,1,0)</f>
        <v>#REF!</v>
      </c>
      <c r="AJ946" s="4"/>
      <c r="AK946" s="4"/>
      <c r="AL946" s="4"/>
      <c r="AN946" s="150"/>
      <c r="AQ946" s="4"/>
    </row>
    <row r="947" spans="1:43" x14ac:dyDescent="0.25">
      <c r="A947" s="258">
        <f>ROW(TAB_Offres[[#This Row],[Reference]])-ROW(TAB_Offres[[#Headers],[ID]])</f>
        <v>946</v>
      </c>
      <c r="B947" s="258"/>
      <c r="C947" s="258"/>
      <c r="D947" s="258"/>
      <c r="E947" s="263"/>
      <c r="F947" s="258"/>
      <c r="G947" s="263"/>
      <c r="H947" s="262"/>
      <c r="I947" s="262"/>
      <c r="J947" s="262"/>
      <c r="K947" s="262"/>
      <c r="L947" s="262"/>
      <c r="M947" s="264"/>
      <c r="N947" s="262"/>
      <c r="O947" s="262"/>
      <c r="P947" s="262"/>
      <c r="Q947" s="263"/>
      <c r="R947" s="263"/>
      <c r="S947" s="292"/>
      <c r="T947" s="261"/>
      <c r="U947" s="261"/>
      <c r="V947" s="268"/>
      <c r="W947" s="268"/>
      <c r="X947" s="268"/>
      <c r="Y947" s="268"/>
      <c r="Z947" s="471">
        <f>SUMIF(TAB_CS[Reference],TAB_Offres[[#This Row],[Reference]],TAB_CS[Commited days])</f>
        <v>0</v>
      </c>
      <c r="AA947" s="269">
        <f>SUMIF(TAB_CS[Reference],TAB_Offres[[#This Row],[Reference]],TAB_CS[Commited amount])</f>
        <v>0</v>
      </c>
      <c r="AB947" s="275"/>
      <c r="AC947" s="270"/>
      <c r="AD947" s="270"/>
      <c r="AE947" s="264"/>
      <c r="AF947" s="271"/>
      <c r="AG947" s="278"/>
      <c r="AH947" s="277" t="str">
        <f>CONCATENATE(YEAR(TAB_Offres[[#This Row],[Request date ]]),"-",MONTH(TAB_Offres[[#This Row],[Request date ]]))</f>
        <v>1900-1</v>
      </c>
      <c r="AI947" s="274" t="e">
        <f>IF(#REF!,1,0)</f>
        <v>#REF!</v>
      </c>
      <c r="AJ947" s="4"/>
      <c r="AK947" s="4"/>
      <c r="AL947" s="4"/>
      <c r="AN947" s="150"/>
      <c r="AQ947" s="4"/>
    </row>
    <row r="948" spans="1:43" x14ac:dyDescent="0.25">
      <c r="A948" s="258">
        <f>ROW(TAB_Offres[[#This Row],[Reference]])-ROW(TAB_Offres[[#Headers],[ID]])</f>
        <v>947</v>
      </c>
      <c r="B948" s="258"/>
      <c r="C948" s="258"/>
      <c r="D948" s="258"/>
      <c r="E948" s="263"/>
      <c r="F948" s="258"/>
      <c r="G948" s="263"/>
      <c r="H948" s="262"/>
      <c r="I948" s="262"/>
      <c r="J948" s="262"/>
      <c r="K948" s="262"/>
      <c r="L948" s="262"/>
      <c r="M948" s="264"/>
      <c r="N948" s="262"/>
      <c r="O948" s="262"/>
      <c r="P948" s="262"/>
      <c r="Q948" s="263"/>
      <c r="R948" s="263"/>
      <c r="S948" s="292"/>
      <c r="T948" s="261"/>
      <c r="U948" s="261"/>
      <c r="V948" s="268"/>
      <c r="W948" s="268"/>
      <c r="X948" s="268"/>
      <c r="Y948" s="268"/>
      <c r="Z948" s="471">
        <f>SUMIF(TAB_CS[Reference],TAB_Offres[[#This Row],[Reference]],TAB_CS[Commited days])</f>
        <v>0</v>
      </c>
      <c r="AA948" s="269">
        <f>SUMIF(TAB_CS[Reference],TAB_Offres[[#This Row],[Reference]],TAB_CS[Commited amount])</f>
        <v>0</v>
      </c>
      <c r="AB948" s="275"/>
      <c r="AC948" s="270"/>
      <c r="AD948" s="270"/>
      <c r="AE948" s="264"/>
      <c r="AF948" s="271"/>
      <c r="AG948" s="278"/>
      <c r="AH948" s="277" t="str">
        <f>CONCATENATE(YEAR(TAB_Offres[[#This Row],[Request date ]]),"-",MONTH(TAB_Offres[[#This Row],[Request date ]]))</f>
        <v>1900-1</v>
      </c>
      <c r="AI948" s="274" t="e">
        <f>IF(#REF!,1,0)</f>
        <v>#REF!</v>
      </c>
      <c r="AJ948" s="4"/>
      <c r="AK948" s="4"/>
      <c r="AL948" s="4"/>
      <c r="AN948" s="150"/>
      <c r="AQ948" s="4"/>
    </row>
    <row r="949" spans="1:43" x14ac:dyDescent="0.25">
      <c r="A949" s="258">
        <f>ROW(TAB_Offres[[#This Row],[Reference]])-ROW(TAB_Offres[[#Headers],[ID]])</f>
        <v>948</v>
      </c>
      <c r="B949" s="258"/>
      <c r="C949" s="258"/>
      <c r="D949" s="258"/>
      <c r="E949" s="263"/>
      <c r="F949" s="258"/>
      <c r="G949" s="263"/>
      <c r="H949" s="262"/>
      <c r="I949" s="262"/>
      <c r="J949" s="262"/>
      <c r="K949" s="262"/>
      <c r="L949" s="262"/>
      <c r="M949" s="264"/>
      <c r="N949" s="262"/>
      <c r="O949" s="262"/>
      <c r="P949" s="262"/>
      <c r="Q949" s="263"/>
      <c r="R949" s="263"/>
      <c r="S949" s="292"/>
      <c r="T949" s="261"/>
      <c r="U949" s="261"/>
      <c r="V949" s="268"/>
      <c r="W949" s="268"/>
      <c r="X949" s="268"/>
      <c r="Y949" s="268"/>
      <c r="Z949" s="471">
        <f>SUMIF(TAB_CS[Reference],TAB_Offres[[#This Row],[Reference]],TAB_CS[Commited days])</f>
        <v>0</v>
      </c>
      <c r="AA949" s="269">
        <f>SUMIF(TAB_CS[Reference],TAB_Offres[[#This Row],[Reference]],TAB_CS[Commited amount])</f>
        <v>0</v>
      </c>
      <c r="AB949" s="275"/>
      <c r="AC949" s="270"/>
      <c r="AD949" s="270"/>
      <c r="AE949" s="264"/>
      <c r="AF949" s="271"/>
      <c r="AG949" s="278"/>
      <c r="AH949" s="277" t="str">
        <f>CONCATENATE(YEAR(TAB_Offres[[#This Row],[Request date ]]),"-",MONTH(TAB_Offres[[#This Row],[Request date ]]))</f>
        <v>1900-1</v>
      </c>
      <c r="AI949" s="274" t="e">
        <f>IF(#REF!,1,0)</f>
        <v>#REF!</v>
      </c>
      <c r="AJ949" s="4"/>
      <c r="AK949" s="4"/>
      <c r="AL949" s="4"/>
      <c r="AN949" s="150"/>
      <c r="AQ949" s="4"/>
    </row>
    <row r="950" spans="1:43" x14ac:dyDescent="0.25">
      <c r="A950" s="258">
        <f>ROW(TAB_Offres[[#This Row],[Reference]])-ROW(TAB_Offres[[#Headers],[ID]])</f>
        <v>949</v>
      </c>
      <c r="B950" s="258"/>
      <c r="C950" s="258"/>
      <c r="D950" s="258"/>
      <c r="E950" s="263"/>
      <c r="F950" s="258"/>
      <c r="G950" s="263"/>
      <c r="H950" s="262"/>
      <c r="I950" s="262"/>
      <c r="J950" s="262"/>
      <c r="K950" s="262"/>
      <c r="L950" s="262"/>
      <c r="M950" s="264"/>
      <c r="N950" s="262"/>
      <c r="O950" s="262"/>
      <c r="P950" s="262"/>
      <c r="Q950" s="263"/>
      <c r="R950" s="263"/>
      <c r="S950" s="292"/>
      <c r="T950" s="261"/>
      <c r="U950" s="261"/>
      <c r="V950" s="268"/>
      <c r="W950" s="268"/>
      <c r="X950" s="268"/>
      <c r="Y950" s="268"/>
      <c r="Z950" s="471">
        <f>SUMIF(TAB_CS[Reference],TAB_Offres[[#This Row],[Reference]],TAB_CS[Commited days])</f>
        <v>0</v>
      </c>
      <c r="AA950" s="269">
        <f>SUMIF(TAB_CS[Reference],TAB_Offres[[#This Row],[Reference]],TAB_CS[Commited amount])</f>
        <v>0</v>
      </c>
      <c r="AB950" s="275"/>
      <c r="AC950" s="270"/>
      <c r="AD950" s="270"/>
      <c r="AE950" s="264"/>
      <c r="AF950" s="271"/>
      <c r="AG950" s="278"/>
      <c r="AH950" s="277" t="str">
        <f>CONCATENATE(YEAR(TAB_Offres[[#This Row],[Request date ]]),"-",MONTH(TAB_Offres[[#This Row],[Request date ]]))</f>
        <v>1900-1</v>
      </c>
      <c r="AI950" s="274" t="e">
        <f>IF(#REF!,1,0)</f>
        <v>#REF!</v>
      </c>
      <c r="AJ950" s="4"/>
      <c r="AK950" s="4"/>
      <c r="AL950" s="4"/>
      <c r="AN950" s="150"/>
      <c r="AQ950" s="4"/>
    </row>
    <row r="951" spans="1:43" x14ac:dyDescent="0.25">
      <c r="A951" s="258">
        <f>ROW(TAB_Offres[[#This Row],[Reference]])-ROW(TAB_Offres[[#Headers],[ID]])</f>
        <v>950</v>
      </c>
      <c r="B951" s="258"/>
      <c r="C951" s="258"/>
      <c r="D951" s="258"/>
      <c r="E951" s="263"/>
      <c r="F951" s="258"/>
      <c r="G951" s="263"/>
      <c r="H951" s="262"/>
      <c r="I951" s="262"/>
      <c r="J951" s="262"/>
      <c r="K951" s="262"/>
      <c r="L951" s="262"/>
      <c r="M951" s="264"/>
      <c r="N951" s="262"/>
      <c r="O951" s="262"/>
      <c r="P951" s="262"/>
      <c r="Q951" s="263"/>
      <c r="R951" s="263"/>
      <c r="S951" s="292"/>
      <c r="T951" s="261"/>
      <c r="U951" s="261"/>
      <c r="V951" s="268"/>
      <c r="W951" s="268"/>
      <c r="X951" s="268"/>
      <c r="Y951" s="268"/>
      <c r="Z951" s="471">
        <f>SUMIF(TAB_CS[Reference],TAB_Offres[[#This Row],[Reference]],TAB_CS[Commited days])</f>
        <v>0</v>
      </c>
      <c r="AA951" s="269">
        <f>SUMIF(TAB_CS[Reference],TAB_Offres[[#This Row],[Reference]],TAB_CS[Commited amount])</f>
        <v>0</v>
      </c>
      <c r="AB951" s="275"/>
      <c r="AC951" s="270"/>
      <c r="AD951" s="270"/>
      <c r="AE951" s="264"/>
      <c r="AF951" s="271"/>
      <c r="AG951" s="278"/>
      <c r="AH951" s="277" t="str">
        <f>CONCATENATE(YEAR(TAB_Offres[[#This Row],[Request date ]]),"-",MONTH(TAB_Offres[[#This Row],[Request date ]]))</f>
        <v>1900-1</v>
      </c>
      <c r="AI951" s="274" t="e">
        <f>IF(#REF!,1,0)</f>
        <v>#REF!</v>
      </c>
      <c r="AJ951" s="4"/>
      <c r="AK951" s="4"/>
      <c r="AL951" s="4"/>
      <c r="AN951" s="150"/>
      <c r="AQ951" s="4"/>
    </row>
    <row r="952" spans="1:43" x14ac:dyDescent="0.25">
      <c r="A952" s="258">
        <f>ROW(TAB_Offres[[#This Row],[Reference]])-ROW(TAB_Offres[[#Headers],[ID]])</f>
        <v>951</v>
      </c>
      <c r="B952" s="258"/>
      <c r="C952" s="258"/>
      <c r="D952" s="258"/>
      <c r="E952" s="263"/>
      <c r="F952" s="258"/>
      <c r="G952" s="263"/>
      <c r="H952" s="262"/>
      <c r="I952" s="262"/>
      <c r="J952" s="262"/>
      <c r="K952" s="262"/>
      <c r="L952" s="262"/>
      <c r="M952" s="264"/>
      <c r="N952" s="262"/>
      <c r="O952" s="262"/>
      <c r="P952" s="262"/>
      <c r="Q952" s="263"/>
      <c r="R952" s="263"/>
      <c r="S952" s="292"/>
      <c r="T952" s="261"/>
      <c r="U952" s="261"/>
      <c r="V952" s="268"/>
      <c r="W952" s="268"/>
      <c r="X952" s="268"/>
      <c r="Y952" s="268"/>
      <c r="Z952" s="471">
        <f>SUMIF(TAB_CS[Reference],TAB_Offres[[#This Row],[Reference]],TAB_CS[Commited days])</f>
        <v>0</v>
      </c>
      <c r="AA952" s="269">
        <f>SUMIF(TAB_CS[Reference],TAB_Offres[[#This Row],[Reference]],TAB_CS[Commited amount])</f>
        <v>0</v>
      </c>
      <c r="AB952" s="275"/>
      <c r="AC952" s="270"/>
      <c r="AD952" s="270"/>
      <c r="AE952" s="264"/>
      <c r="AF952" s="271"/>
      <c r="AG952" s="278"/>
      <c r="AH952" s="277" t="str">
        <f>CONCATENATE(YEAR(TAB_Offres[[#This Row],[Request date ]]),"-",MONTH(TAB_Offres[[#This Row],[Request date ]]))</f>
        <v>1900-1</v>
      </c>
      <c r="AI952" s="274" t="e">
        <f>IF(#REF!,1,0)</f>
        <v>#REF!</v>
      </c>
      <c r="AJ952" s="4"/>
      <c r="AK952" s="4"/>
      <c r="AL952" s="4"/>
      <c r="AN952" s="150"/>
      <c r="AQ952" s="4"/>
    </row>
    <row r="953" spans="1:43" x14ac:dyDescent="0.25">
      <c r="A953" s="258">
        <f>ROW(TAB_Offres[[#This Row],[Reference]])-ROW(TAB_Offres[[#Headers],[ID]])</f>
        <v>952</v>
      </c>
      <c r="B953" s="258"/>
      <c r="C953" s="258"/>
      <c r="D953" s="258"/>
      <c r="E953" s="263"/>
      <c r="F953" s="258"/>
      <c r="G953" s="263"/>
      <c r="H953" s="262"/>
      <c r="I953" s="262"/>
      <c r="J953" s="262"/>
      <c r="K953" s="262"/>
      <c r="L953" s="262"/>
      <c r="M953" s="264"/>
      <c r="N953" s="262"/>
      <c r="O953" s="262"/>
      <c r="P953" s="262"/>
      <c r="Q953" s="263"/>
      <c r="R953" s="263"/>
      <c r="S953" s="292"/>
      <c r="T953" s="261"/>
      <c r="U953" s="261"/>
      <c r="V953" s="268"/>
      <c r="W953" s="268"/>
      <c r="X953" s="268"/>
      <c r="Y953" s="268"/>
      <c r="Z953" s="471">
        <f>SUMIF(TAB_CS[Reference],TAB_Offres[[#This Row],[Reference]],TAB_CS[Commited days])</f>
        <v>0</v>
      </c>
      <c r="AA953" s="269">
        <f>SUMIF(TAB_CS[Reference],TAB_Offres[[#This Row],[Reference]],TAB_CS[Commited amount])</f>
        <v>0</v>
      </c>
      <c r="AB953" s="275"/>
      <c r="AC953" s="270"/>
      <c r="AD953" s="270"/>
      <c r="AE953" s="264"/>
      <c r="AF953" s="271"/>
      <c r="AG953" s="278"/>
      <c r="AH953" s="277" t="str">
        <f>CONCATENATE(YEAR(TAB_Offres[[#This Row],[Request date ]]),"-",MONTH(TAB_Offres[[#This Row],[Request date ]]))</f>
        <v>1900-1</v>
      </c>
      <c r="AI953" s="274" t="e">
        <f>IF(#REF!,1,0)</f>
        <v>#REF!</v>
      </c>
      <c r="AJ953" s="4"/>
      <c r="AK953" s="4"/>
      <c r="AL953" s="4"/>
      <c r="AN953" s="150"/>
      <c r="AQ953" s="4"/>
    </row>
    <row r="954" spans="1:43" x14ac:dyDescent="0.25">
      <c r="A954" s="258">
        <f>ROW(TAB_Offres[[#This Row],[Reference]])-ROW(TAB_Offres[[#Headers],[ID]])</f>
        <v>953</v>
      </c>
      <c r="B954" s="258"/>
      <c r="C954" s="258"/>
      <c r="D954" s="258"/>
      <c r="E954" s="263"/>
      <c r="F954" s="258"/>
      <c r="G954" s="263"/>
      <c r="H954" s="262"/>
      <c r="I954" s="262"/>
      <c r="J954" s="262"/>
      <c r="K954" s="262"/>
      <c r="L954" s="262"/>
      <c r="M954" s="264"/>
      <c r="N954" s="262"/>
      <c r="O954" s="262"/>
      <c r="P954" s="262"/>
      <c r="Q954" s="263"/>
      <c r="R954" s="263"/>
      <c r="S954" s="292"/>
      <c r="T954" s="261"/>
      <c r="U954" s="261"/>
      <c r="V954" s="268"/>
      <c r="W954" s="268"/>
      <c r="X954" s="268"/>
      <c r="Y954" s="268"/>
      <c r="Z954" s="471">
        <f>SUMIF(TAB_CS[Reference],TAB_Offres[[#This Row],[Reference]],TAB_CS[Commited days])</f>
        <v>0</v>
      </c>
      <c r="AA954" s="269">
        <f>SUMIF(TAB_CS[Reference],TAB_Offres[[#This Row],[Reference]],TAB_CS[Commited amount])</f>
        <v>0</v>
      </c>
      <c r="AB954" s="275"/>
      <c r="AC954" s="270"/>
      <c r="AD954" s="270"/>
      <c r="AE954" s="264"/>
      <c r="AF954" s="271"/>
      <c r="AG954" s="278"/>
      <c r="AH954" s="277" t="str">
        <f>CONCATENATE(YEAR(TAB_Offres[[#This Row],[Request date ]]),"-",MONTH(TAB_Offres[[#This Row],[Request date ]]))</f>
        <v>1900-1</v>
      </c>
      <c r="AI954" s="274" t="e">
        <f>IF(#REF!,1,0)</f>
        <v>#REF!</v>
      </c>
      <c r="AJ954" s="4"/>
      <c r="AK954" s="4"/>
      <c r="AL954" s="4"/>
      <c r="AN954" s="150"/>
      <c r="AQ954" s="4"/>
    </row>
    <row r="955" spans="1:43" x14ac:dyDescent="0.25">
      <c r="A955" s="258">
        <f>ROW(TAB_Offres[[#This Row],[Reference]])-ROW(TAB_Offres[[#Headers],[ID]])</f>
        <v>954</v>
      </c>
      <c r="B955" s="258"/>
      <c r="C955" s="258"/>
      <c r="D955" s="258"/>
      <c r="E955" s="263"/>
      <c r="F955" s="258"/>
      <c r="G955" s="263"/>
      <c r="H955" s="262"/>
      <c r="I955" s="262"/>
      <c r="J955" s="262"/>
      <c r="K955" s="262"/>
      <c r="L955" s="262"/>
      <c r="M955" s="264"/>
      <c r="N955" s="262"/>
      <c r="O955" s="262"/>
      <c r="P955" s="262"/>
      <c r="Q955" s="263"/>
      <c r="R955" s="263"/>
      <c r="S955" s="292"/>
      <c r="T955" s="261"/>
      <c r="U955" s="261"/>
      <c r="V955" s="268"/>
      <c r="W955" s="268"/>
      <c r="X955" s="268"/>
      <c r="Y955" s="268"/>
      <c r="Z955" s="471">
        <f>SUMIF(TAB_CS[Reference],TAB_Offres[[#This Row],[Reference]],TAB_CS[Commited days])</f>
        <v>0</v>
      </c>
      <c r="AA955" s="269">
        <f>SUMIF(TAB_CS[Reference],TAB_Offres[[#This Row],[Reference]],TAB_CS[Commited amount])</f>
        <v>0</v>
      </c>
      <c r="AB955" s="275"/>
      <c r="AC955" s="270"/>
      <c r="AD955" s="270"/>
      <c r="AE955" s="264"/>
      <c r="AF955" s="271"/>
      <c r="AG955" s="278"/>
      <c r="AH955" s="277" t="str">
        <f>CONCATENATE(YEAR(TAB_Offres[[#This Row],[Request date ]]),"-",MONTH(TAB_Offres[[#This Row],[Request date ]]))</f>
        <v>1900-1</v>
      </c>
      <c r="AI955" s="274" t="e">
        <f>IF(#REF!,1,0)</f>
        <v>#REF!</v>
      </c>
      <c r="AJ955" s="4"/>
      <c r="AK955" s="4"/>
      <c r="AL955" s="4"/>
      <c r="AN955" s="150"/>
      <c r="AQ955" s="4"/>
    </row>
    <row r="956" spans="1:43" x14ac:dyDescent="0.25">
      <c r="A956" s="258">
        <f>ROW(TAB_Offres[[#This Row],[Reference]])-ROW(TAB_Offres[[#Headers],[ID]])</f>
        <v>955</v>
      </c>
      <c r="B956" s="258"/>
      <c r="C956" s="258"/>
      <c r="D956" s="258"/>
      <c r="E956" s="263"/>
      <c r="F956" s="258"/>
      <c r="G956" s="263"/>
      <c r="H956" s="262"/>
      <c r="I956" s="262"/>
      <c r="J956" s="262"/>
      <c r="K956" s="262"/>
      <c r="L956" s="262"/>
      <c r="M956" s="264"/>
      <c r="N956" s="262"/>
      <c r="O956" s="262"/>
      <c r="P956" s="262"/>
      <c r="Q956" s="263"/>
      <c r="R956" s="263"/>
      <c r="S956" s="292"/>
      <c r="T956" s="261"/>
      <c r="U956" s="261"/>
      <c r="V956" s="268"/>
      <c r="W956" s="268"/>
      <c r="X956" s="268"/>
      <c r="Y956" s="268"/>
      <c r="Z956" s="471">
        <f>SUMIF(TAB_CS[Reference],TAB_Offres[[#This Row],[Reference]],TAB_CS[Commited days])</f>
        <v>0</v>
      </c>
      <c r="AA956" s="269">
        <f>SUMIF(TAB_CS[Reference],TAB_Offres[[#This Row],[Reference]],TAB_CS[Commited amount])</f>
        <v>0</v>
      </c>
      <c r="AB956" s="275"/>
      <c r="AC956" s="270"/>
      <c r="AD956" s="270"/>
      <c r="AE956" s="264"/>
      <c r="AF956" s="271"/>
      <c r="AG956" s="278"/>
      <c r="AH956" s="277" t="str">
        <f>CONCATENATE(YEAR(TAB_Offres[[#This Row],[Request date ]]),"-",MONTH(TAB_Offres[[#This Row],[Request date ]]))</f>
        <v>1900-1</v>
      </c>
      <c r="AI956" s="274" t="e">
        <f>IF(#REF!,1,0)</f>
        <v>#REF!</v>
      </c>
      <c r="AJ956" s="4"/>
      <c r="AK956" s="4"/>
      <c r="AL956" s="4"/>
      <c r="AN956" s="150"/>
      <c r="AQ956" s="4"/>
    </row>
    <row r="957" spans="1:43" x14ac:dyDescent="0.25">
      <c r="A957" s="258">
        <f>ROW(TAB_Offres[[#This Row],[Reference]])-ROW(TAB_Offres[[#Headers],[ID]])</f>
        <v>956</v>
      </c>
      <c r="B957" s="258"/>
      <c r="C957" s="258"/>
      <c r="D957" s="258"/>
      <c r="E957" s="263"/>
      <c r="F957" s="258"/>
      <c r="G957" s="263"/>
      <c r="H957" s="262"/>
      <c r="I957" s="262"/>
      <c r="J957" s="262"/>
      <c r="K957" s="262"/>
      <c r="L957" s="262"/>
      <c r="M957" s="264"/>
      <c r="N957" s="262"/>
      <c r="O957" s="262"/>
      <c r="P957" s="262"/>
      <c r="Q957" s="263"/>
      <c r="R957" s="263"/>
      <c r="S957" s="292"/>
      <c r="T957" s="261"/>
      <c r="U957" s="261"/>
      <c r="V957" s="268"/>
      <c r="W957" s="268"/>
      <c r="X957" s="268"/>
      <c r="Y957" s="268"/>
      <c r="Z957" s="471">
        <f>SUMIF(TAB_CS[Reference],TAB_Offres[[#This Row],[Reference]],TAB_CS[Commited days])</f>
        <v>0</v>
      </c>
      <c r="AA957" s="269">
        <f>SUMIF(TAB_CS[Reference],TAB_Offres[[#This Row],[Reference]],TAB_CS[Commited amount])</f>
        <v>0</v>
      </c>
      <c r="AB957" s="275"/>
      <c r="AC957" s="270"/>
      <c r="AD957" s="270"/>
      <c r="AE957" s="264"/>
      <c r="AF957" s="271"/>
      <c r="AG957" s="278"/>
      <c r="AH957" s="277" t="str">
        <f>CONCATENATE(YEAR(TAB_Offres[[#This Row],[Request date ]]),"-",MONTH(TAB_Offres[[#This Row],[Request date ]]))</f>
        <v>1900-1</v>
      </c>
      <c r="AI957" s="274" t="e">
        <f>IF(#REF!,1,0)</f>
        <v>#REF!</v>
      </c>
      <c r="AJ957" s="4"/>
      <c r="AK957" s="4"/>
      <c r="AL957" s="4"/>
      <c r="AN957" s="150"/>
      <c r="AQ957" s="4"/>
    </row>
    <row r="958" spans="1:43" x14ac:dyDescent="0.25">
      <c r="A958" s="258">
        <f>ROW(TAB_Offres[[#This Row],[Reference]])-ROW(TAB_Offres[[#Headers],[ID]])</f>
        <v>957</v>
      </c>
      <c r="B958" s="258"/>
      <c r="C958" s="258"/>
      <c r="D958" s="258"/>
      <c r="E958" s="263"/>
      <c r="F958" s="258"/>
      <c r="G958" s="263"/>
      <c r="H958" s="262"/>
      <c r="I958" s="262"/>
      <c r="J958" s="262"/>
      <c r="K958" s="262"/>
      <c r="L958" s="262"/>
      <c r="M958" s="264"/>
      <c r="N958" s="262"/>
      <c r="O958" s="262"/>
      <c r="P958" s="262"/>
      <c r="Q958" s="263"/>
      <c r="R958" s="263"/>
      <c r="S958" s="292"/>
      <c r="T958" s="261"/>
      <c r="U958" s="261"/>
      <c r="V958" s="268"/>
      <c r="W958" s="268"/>
      <c r="X958" s="268"/>
      <c r="Y958" s="268"/>
      <c r="Z958" s="471">
        <f>SUMIF(TAB_CS[Reference],TAB_Offres[[#This Row],[Reference]],TAB_CS[Commited days])</f>
        <v>0</v>
      </c>
      <c r="AA958" s="269">
        <f>SUMIF(TAB_CS[Reference],TAB_Offres[[#This Row],[Reference]],TAB_CS[Commited amount])</f>
        <v>0</v>
      </c>
      <c r="AB958" s="275"/>
      <c r="AC958" s="270"/>
      <c r="AD958" s="270"/>
      <c r="AE958" s="264"/>
      <c r="AF958" s="271"/>
      <c r="AG958" s="278"/>
      <c r="AH958" s="277" t="str">
        <f>CONCATENATE(YEAR(TAB_Offres[[#This Row],[Request date ]]),"-",MONTH(TAB_Offres[[#This Row],[Request date ]]))</f>
        <v>1900-1</v>
      </c>
      <c r="AI958" s="274" t="e">
        <f>IF(#REF!,1,0)</f>
        <v>#REF!</v>
      </c>
      <c r="AJ958" s="4"/>
      <c r="AK958" s="4"/>
      <c r="AL958" s="4"/>
      <c r="AN958" s="150"/>
      <c r="AQ958" s="4"/>
    </row>
    <row r="959" spans="1:43" x14ac:dyDescent="0.25">
      <c r="A959" s="258">
        <f>ROW(TAB_Offres[[#This Row],[Reference]])-ROW(TAB_Offres[[#Headers],[ID]])</f>
        <v>958</v>
      </c>
      <c r="B959" s="258"/>
      <c r="C959" s="258"/>
      <c r="D959" s="258"/>
      <c r="E959" s="263"/>
      <c r="F959" s="258"/>
      <c r="G959" s="263"/>
      <c r="H959" s="262"/>
      <c r="I959" s="262"/>
      <c r="J959" s="262"/>
      <c r="K959" s="262"/>
      <c r="L959" s="262"/>
      <c r="M959" s="264"/>
      <c r="N959" s="262"/>
      <c r="O959" s="262"/>
      <c r="P959" s="262"/>
      <c r="Q959" s="263"/>
      <c r="R959" s="263"/>
      <c r="S959" s="292"/>
      <c r="T959" s="261"/>
      <c r="U959" s="261"/>
      <c r="V959" s="268"/>
      <c r="W959" s="268"/>
      <c r="X959" s="268"/>
      <c r="Y959" s="268"/>
      <c r="Z959" s="471">
        <f>SUMIF(TAB_CS[Reference],TAB_Offres[[#This Row],[Reference]],TAB_CS[Commited days])</f>
        <v>0</v>
      </c>
      <c r="AA959" s="269">
        <f>SUMIF(TAB_CS[Reference],TAB_Offres[[#This Row],[Reference]],TAB_CS[Commited amount])</f>
        <v>0</v>
      </c>
      <c r="AB959" s="275"/>
      <c r="AC959" s="270"/>
      <c r="AD959" s="270"/>
      <c r="AE959" s="264"/>
      <c r="AF959" s="271"/>
      <c r="AG959" s="278"/>
      <c r="AH959" s="277" t="str">
        <f>CONCATENATE(YEAR(TAB_Offres[[#This Row],[Request date ]]),"-",MONTH(TAB_Offres[[#This Row],[Request date ]]))</f>
        <v>1900-1</v>
      </c>
      <c r="AI959" s="274" t="e">
        <f>IF(#REF!,1,0)</f>
        <v>#REF!</v>
      </c>
      <c r="AJ959" s="4"/>
      <c r="AK959" s="4"/>
      <c r="AL959" s="4"/>
      <c r="AN959" s="150"/>
      <c r="AQ959" s="4"/>
    </row>
    <row r="960" spans="1:43" x14ac:dyDescent="0.25">
      <c r="A960" s="258">
        <f>ROW(TAB_Offres[[#This Row],[Reference]])-ROW(TAB_Offres[[#Headers],[ID]])</f>
        <v>959</v>
      </c>
      <c r="B960" s="258"/>
      <c r="C960" s="258"/>
      <c r="D960" s="258"/>
      <c r="E960" s="263"/>
      <c r="F960" s="258"/>
      <c r="G960" s="263"/>
      <c r="H960" s="262"/>
      <c r="I960" s="262"/>
      <c r="J960" s="262"/>
      <c r="K960" s="262"/>
      <c r="L960" s="262"/>
      <c r="M960" s="264"/>
      <c r="N960" s="262"/>
      <c r="O960" s="262"/>
      <c r="P960" s="262"/>
      <c r="Q960" s="263"/>
      <c r="R960" s="263"/>
      <c r="S960" s="292"/>
      <c r="T960" s="261"/>
      <c r="U960" s="261"/>
      <c r="V960" s="268"/>
      <c r="W960" s="268"/>
      <c r="X960" s="268"/>
      <c r="Y960" s="268"/>
      <c r="Z960" s="471">
        <f>SUMIF(TAB_CS[Reference],TAB_Offres[[#This Row],[Reference]],TAB_CS[Commited days])</f>
        <v>0</v>
      </c>
      <c r="AA960" s="269">
        <f>SUMIF(TAB_CS[Reference],TAB_Offres[[#This Row],[Reference]],TAB_CS[Commited amount])</f>
        <v>0</v>
      </c>
      <c r="AB960" s="275"/>
      <c r="AC960" s="270"/>
      <c r="AD960" s="270"/>
      <c r="AE960" s="264"/>
      <c r="AF960" s="271"/>
      <c r="AG960" s="278"/>
      <c r="AH960" s="277" t="str">
        <f>CONCATENATE(YEAR(TAB_Offres[[#This Row],[Request date ]]),"-",MONTH(TAB_Offres[[#This Row],[Request date ]]))</f>
        <v>1900-1</v>
      </c>
      <c r="AI960" s="274" t="e">
        <f>IF(#REF!,1,0)</f>
        <v>#REF!</v>
      </c>
      <c r="AJ960" s="4"/>
      <c r="AK960" s="4"/>
      <c r="AL960" s="4"/>
      <c r="AN960" s="150"/>
      <c r="AQ960" s="4"/>
    </row>
    <row r="961" spans="1:43" x14ac:dyDescent="0.25">
      <c r="A961" s="258">
        <f>ROW(TAB_Offres[[#This Row],[Reference]])-ROW(TAB_Offres[[#Headers],[ID]])</f>
        <v>960</v>
      </c>
      <c r="B961" s="258"/>
      <c r="C961" s="258"/>
      <c r="D961" s="258"/>
      <c r="E961" s="263"/>
      <c r="F961" s="258"/>
      <c r="G961" s="263"/>
      <c r="H961" s="262"/>
      <c r="I961" s="262"/>
      <c r="J961" s="262"/>
      <c r="K961" s="262"/>
      <c r="L961" s="262"/>
      <c r="M961" s="264"/>
      <c r="N961" s="262"/>
      <c r="O961" s="262"/>
      <c r="P961" s="262"/>
      <c r="Q961" s="263"/>
      <c r="R961" s="263"/>
      <c r="S961" s="292"/>
      <c r="T961" s="261"/>
      <c r="U961" s="261"/>
      <c r="V961" s="268"/>
      <c r="W961" s="268"/>
      <c r="X961" s="268"/>
      <c r="Y961" s="268"/>
      <c r="Z961" s="471">
        <f>SUMIF(TAB_CS[Reference],TAB_Offres[[#This Row],[Reference]],TAB_CS[Commited days])</f>
        <v>0</v>
      </c>
      <c r="AA961" s="269">
        <f>SUMIF(TAB_CS[Reference],TAB_Offres[[#This Row],[Reference]],TAB_CS[Commited amount])</f>
        <v>0</v>
      </c>
      <c r="AB961" s="275"/>
      <c r="AC961" s="270"/>
      <c r="AD961" s="270"/>
      <c r="AE961" s="264"/>
      <c r="AF961" s="271"/>
      <c r="AG961" s="278"/>
      <c r="AH961" s="277" t="str">
        <f>CONCATENATE(YEAR(TAB_Offres[[#This Row],[Request date ]]),"-",MONTH(TAB_Offres[[#This Row],[Request date ]]))</f>
        <v>1900-1</v>
      </c>
      <c r="AI961" s="274" t="e">
        <f>IF(#REF!,1,0)</f>
        <v>#REF!</v>
      </c>
      <c r="AJ961" s="4"/>
      <c r="AK961" s="4"/>
      <c r="AL961" s="4"/>
      <c r="AN961" s="150"/>
      <c r="AQ961" s="4"/>
    </row>
    <row r="962" spans="1:43" x14ac:dyDescent="0.25">
      <c r="A962" s="258">
        <f>ROW(TAB_Offres[[#This Row],[Reference]])-ROW(TAB_Offres[[#Headers],[ID]])</f>
        <v>961</v>
      </c>
      <c r="B962" s="258"/>
      <c r="C962" s="258"/>
      <c r="D962" s="258"/>
      <c r="E962" s="263"/>
      <c r="F962" s="258"/>
      <c r="G962" s="263"/>
      <c r="H962" s="262"/>
      <c r="I962" s="262"/>
      <c r="J962" s="262"/>
      <c r="K962" s="262"/>
      <c r="L962" s="262"/>
      <c r="M962" s="264"/>
      <c r="N962" s="262"/>
      <c r="O962" s="262"/>
      <c r="P962" s="262"/>
      <c r="Q962" s="263"/>
      <c r="R962" s="263"/>
      <c r="S962" s="292"/>
      <c r="T962" s="261"/>
      <c r="U962" s="261"/>
      <c r="V962" s="268"/>
      <c r="W962" s="268"/>
      <c r="X962" s="268"/>
      <c r="Y962" s="268"/>
      <c r="Z962" s="471">
        <f>SUMIF(TAB_CS[Reference],TAB_Offres[[#This Row],[Reference]],TAB_CS[Commited days])</f>
        <v>0</v>
      </c>
      <c r="AA962" s="269">
        <f>SUMIF(TAB_CS[Reference],TAB_Offres[[#This Row],[Reference]],TAB_CS[Commited amount])</f>
        <v>0</v>
      </c>
      <c r="AB962" s="275"/>
      <c r="AC962" s="270"/>
      <c r="AD962" s="270"/>
      <c r="AE962" s="264"/>
      <c r="AF962" s="271"/>
      <c r="AG962" s="278"/>
      <c r="AH962" s="277" t="str">
        <f>CONCATENATE(YEAR(TAB_Offres[[#This Row],[Request date ]]),"-",MONTH(TAB_Offres[[#This Row],[Request date ]]))</f>
        <v>1900-1</v>
      </c>
      <c r="AI962" s="274" t="e">
        <f>IF(#REF!,1,0)</f>
        <v>#REF!</v>
      </c>
      <c r="AJ962" s="4"/>
      <c r="AK962" s="4"/>
      <c r="AL962" s="4"/>
      <c r="AN962" s="150"/>
      <c r="AQ962" s="4"/>
    </row>
    <row r="963" spans="1:43" x14ac:dyDescent="0.25">
      <c r="A963" s="258">
        <f>ROW(TAB_Offres[[#This Row],[Reference]])-ROW(TAB_Offres[[#Headers],[ID]])</f>
        <v>962</v>
      </c>
      <c r="B963" s="258"/>
      <c r="C963" s="258"/>
      <c r="D963" s="258"/>
      <c r="E963" s="263"/>
      <c r="F963" s="258"/>
      <c r="G963" s="263"/>
      <c r="H963" s="262"/>
      <c r="I963" s="262"/>
      <c r="J963" s="262"/>
      <c r="K963" s="262"/>
      <c r="L963" s="262"/>
      <c r="M963" s="264"/>
      <c r="N963" s="262"/>
      <c r="O963" s="262"/>
      <c r="P963" s="262"/>
      <c r="Q963" s="263"/>
      <c r="R963" s="263"/>
      <c r="S963" s="292"/>
      <c r="T963" s="261"/>
      <c r="U963" s="261"/>
      <c r="V963" s="268"/>
      <c r="W963" s="268"/>
      <c r="X963" s="268"/>
      <c r="Y963" s="268"/>
      <c r="Z963" s="471">
        <f>SUMIF(TAB_CS[Reference],TAB_Offres[[#This Row],[Reference]],TAB_CS[Commited days])</f>
        <v>0</v>
      </c>
      <c r="AA963" s="269">
        <f>SUMIF(TAB_CS[Reference],TAB_Offres[[#This Row],[Reference]],TAB_CS[Commited amount])</f>
        <v>0</v>
      </c>
      <c r="AB963" s="275"/>
      <c r="AC963" s="270"/>
      <c r="AD963" s="270"/>
      <c r="AE963" s="264"/>
      <c r="AF963" s="271"/>
      <c r="AG963" s="278"/>
      <c r="AH963" s="277" t="str">
        <f>CONCATENATE(YEAR(TAB_Offres[[#This Row],[Request date ]]),"-",MONTH(TAB_Offres[[#This Row],[Request date ]]))</f>
        <v>1900-1</v>
      </c>
      <c r="AI963" s="274" t="e">
        <f>IF(#REF!,1,0)</f>
        <v>#REF!</v>
      </c>
      <c r="AJ963" s="4"/>
      <c r="AK963" s="4"/>
      <c r="AL963" s="4"/>
      <c r="AN963" s="150"/>
      <c r="AQ963" s="4"/>
    </row>
    <row r="964" spans="1:43" x14ac:dyDescent="0.25">
      <c r="A964" s="258">
        <f>ROW(TAB_Offres[[#This Row],[Reference]])-ROW(TAB_Offres[[#Headers],[ID]])</f>
        <v>963</v>
      </c>
      <c r="B964" s="258"/>
      <c r="C964" s="258"/>
      <c r="D964" s="258"/>
      <c r="E964" s="263"/>
      <c r="F964" s="258"/>
      <c r="G964" s="263"/>
      <c r="H964" s="262"/>
      <c r="I964" s="262"/>
      <c r="J964" s="262"/>
      <c r="K964" s="262"/>
      <c r="L964" s="262"/>
      <c r="M964" s="264"/>
      <c r="N964" s="262"/>
      <c r="O964" s="262"/>
      <c r="P964" s="262"/>
      <c r="Q964" s="263"/>
      <c r="R964" s="263"/>
      <c r="S964" s="292"/>
      <c r="T964" s="261"/>
      <c r="U964" s="261"/>
      <c r="V964" s="268"/>
      <c r="W964" s="268"/>
      <c r="X964" s="268"/>
      <c r="Y964" s="268"/>
      <c r="Z964" s="471">
        <f>SUMIF(TAB_CS[Reference],TAB_Offres[[#This Row],[Reference]],TAB_CS[Commited days])</f>
        <v>0</v>
      </c>
      <c r="AA964" s="269">
        <f>SUMIF(TAB_CS[Reference],TAB_Offres[[#This Row],[Reference]],TAB_CS[Commited amount])</f>
        <v>0</v>
      </c>
      <c r="AB964" s="275"/>
      <c r="AC964" s="270"/>
      <c r="AD964" s="270"/>
      <c r="AE964" s="264"/>
      <c r="AF964" s="271"/>
      <c r="AG964" s="278"/>
      <c r="AH964" s="277" t="str">
        <f>CONCATENATE(YEAR(TAB_Offres[[#This Row],[Request date ]]),"-",MONTH(TAB_Offres[[#This Row],[Request date ]]))</f>
        <v>1900-1</v>
      </c>
      <c r="AI964" s="274" t="e">
        <f>IF(#REF!,1,0)</f>
        <v>#REF!</v>
      </c>
      <c r="AJ964" s="4"/>
      <c r="AK964" s="4"/>
      <c r="AL964" s="4"/>
      <c r="AN964" s="150"/>
      <c r="AQ964" s="4"/>
    </row>
    <row r="965" spans="1:43" x14ac:dyDescent="0.25">
      <c r="A965" s="258">
        <f>ROW(TAB_Offres[[#This Row],[Reference]])-ROW(TAB_Offres[[#Headers],[ID]])</f>
        <v>964</v>
      </c>
      <c r="B965" s="258"/>
      <c r="C965" s="258"/>
      <c r="D965" s="258"/>
      <c r="E965" s="263"/>
      <c r="F965" s="258"/>
      <c r="G965" s="263"/>
      <c r="H965" s="262"/>
      <c r="I965" s="262"/>
      <c r="J965" s="262"/>
      <c r="K965" s="262"/>
      <c r="L965" s="262"/>
      <c r="M965" s="264"/>
      <c r="N965" s="262"/>
      <c r="O965" s="262"/>
      <c r="P965" s="262"/>
      <c r="Q965" s="263"/>
      <c r="R965" s="263"/>
      <c r="S965" s="292"/>
      <c r="T965" s="261"/>
      <c r="U965" s="261"/>
      <c r="V965" s="268"/>
      <c r="W965" s="268"/>
      <c r="X965" s="268"/>
      <c r="Y965" s="268"/>
      <c r="Z965" s="471">
        <f>SUMIF(TAB_CS[Reference],TAB_Offres[[#This Row],[Reference]],TAB_CS[Commited days])</f>
        <v>0</v>
      </c>
      <c r="AA965" s="269">
        <f>SUMIF(TAB_CS[Reference],TAB_Offres[[#This Row],[Reference]],TAB_CS[Commited amount])</f>
        <v>0</v>
      </c>
      <c r="AB965" s="275"/>
      <c r="AC965" s="270"/>
      <c r="AD965" s="270"/>
      <c r="AE965" s="264"/>
      <c r="AF965" s="271"/>
      <c r="AG965" s="278"/>
      <c r="AH965" s="277" t="str">
        <f>CONCATENATE(YEAR(TAB_Offres[[#This Row],[Request date ]]),"-",MONTH(TAB_Offres[[#This Row],[Request date ]]))</f>
        <v>1900-1</v>
      </c>
      <c r="AI965" s="274" t="e">
        <f>IF(#REF!,1,0)</f>
        <v>#REF!</v>
      </c>
      <c r="AJ965" s="4"/>
      <c r="AK965" s="4"/>
      <c r="AL965" s="4"/>
      <c r="AN965" s="150"/>
      <c r="AQ965" s="4"/>
    </row>
    <row r="966" spans="1:43" x14ac:dyDescent="0.25">
      <c r="A966" s="258">
        <f>ROW(TAB_Offres[[#This Row],[Reference]])-ROW(TAB_Offres[[#Headers],[ID]])</f>
        <v>965</v>
      </c>
      <c r="B966" s="258"/>
      <c r="C966" s="258"/>
      <c r="D966" s="258"/>
      <c r="E966" s="263"/>
      <c r="F966" s="258"/>
      <c r="G966" s="263"/>
      <c r="H966" s="262"/>
      <c r="I966" s="262"/>
      <c r="J966" s="262"/>
      <c r="K966" s="262"/>
      <c r="L966" s="262"/>
      <c r="M966" s="264"/>
      <c r="N966" s="262"/>
      <c r="O966" s="262"/>
      <c r="P966" s="262"/>
      <c r="Q966" s="263"/>
      <c r="R966" s="263"/>
      <c r="S966" s="292"/>
      <c r="T966" s="261"/>
      <c r="U966" s="261"/>
      <c r="V966" s="268"/>
      <c r="W966" s="268"/>
      <c r="X966" s="268"/>
      <c r="Y966" s="268"/>
      <c r="Z966" s="471">
        <f>SUMIF(TAB_CS[Reference],TAB_Offres[[#This Row],[Reference]],TAB_CS[Commited days])</f>
        <v>0</v>
      </c>
      <c r="AA966" s="269">
        <f>SUMIF(TAB_CS[Reference],TAB_Offres[[#This Row],[Reference]],TAB_CS[Commited amount])</f>
        <v>0</v>
      </c>
      <c r="AB966" s="275"/>
      <c r="AC966" s="270"/>
      <c r="AD966" s="270"/>
      <c r="AE966" s="264"/>
      <c r="AF966" s="271"/>
      <c r="AG966" s="278"/>
      <c r="AH966" s="277" t="str">
        <f>CONCATENATE(YEAR(TAB_Offres[[#This Row],[Request date ]]),"-",MONTH(TAB_Offres[[#This Row],[Request date ]]))</f>
        <v>1900-1</v>
      </c>
      <c r="AI966" s="274" t="e">
        <f>IF(#REF!,1,0)</f>
        <v>#REF!</v>
      </c>
      <c r="AJ966" s="4"/>
      <c r="AK966" s="4"/>
      <c r="AL966" s="4"/>
      <c r="AN966" s="150"/>
      <c r="AQ966" s="4"/>
    </row>
    <row r="967" spans="1:43" x14ac:dyDescent="0.25">
      <c r="A967" s="258">
        <f>ROW(TAB_Offres[[#This Row],[Reference]])-ROW(TAB_Offres[[#Headers],[ID]])</f>
        <v>966</v>
      </c>
      <c r="B967" s="258"/>
      <c r="C967" s="258"/>
      <c r="D967" s="258"/>
      <c r="E967" s="263"/>
      <c r="F967" s="258"/>
      <c r="G967" s="263"/>
      <c r="H967" s="262"/>
      <c r="I967" s="262"/>
      <c r="J967" s="262"/>
      <c r="K967" s="262"/>
      <c r="L967" s="262"/>
      <c r="M967" s="264"/>
      <c r="N967" s="262"/>
      <c r="O967" s="262"/>
      <c r="P967" s="262"/>
      <c r="Q967" s="263"/>
      <c r="R967" s="263"/>
      <c r="S967" s="292"/>
      <c r="T967" s="261"/>
      <c r="U967" s="261"/>
      <c r="V967" s="268"/>
      <c r="W967" s="268"/>
      <c r="X967" s="268"/>
      <c r="Y967" s="268"/>
      <c r="Z967" s="471">
        <f>SUMIF(TAB_CS[Reference],TAB_Offres[[#This Row],[Reference]],TAB_CS[Commited days])</f>
        <v>0</v>
      </c>
      <c r="AA967" s="269">
        <f>SUMIF(TAB_CS[Reference],TAB_Offres[[#This Row],[Reference]],TAB_CS[Commited amount])</f>
        <v>0</v>
      </c>
      <c r="AB967" s="275"/>
      <c r="AC967" s="270"/>
      <c r="AD967" s="270"/>
      <c r="AE967" s="264"/>
      <c r="AF967" s="271"/>
      <c r="AG967" s="278"/>
      <c r="AH967" s="277" t="str">
        <f>CONCATENATE(YEAR(TAB_Offres[[#This Row],[Request date ]]),"-",MONTH(TAB_Offres[[#This Row],[Request date ]]))</f>
        <v>1900-1</v>
      </c>
      <c r="AI967" s="274" t="e">
        <f>IF(#REF!,1,0)</f>
        <v>#REF!</v>
      </c>
      <c r="AJ967" s="4"/>
      <c r="AK967" s="4"/>
      <c r="AL967" s="4"/>
      <c r="AN967" s="150"/>
      <c r="AQ967" s="4"/>
    </row>
    <row r="968" spans="1:43" x14ac:dyDescent="0.25">
      <c r="A968" s="258">
        <f>ROW(TAB_Offres[[#This Row],[Reference]])-ROW(TAB_Offres[[#Headers],[ID]])</f>
        <v>967</v>
      </c>
      <c r="B968" s="258"/>
      <c r="C968" s="258"/>
      <c r="D968" s="258"/>
      <c r="E968" s="263"/>
      <c r="F968" s="258"/>
      <c r="G968" s="263"/>
      <c r="H968" s="262"/>
      <c r="I968" s="262"/>
      <c r="J968" s="262"/>
      <c r="K968" s="262"/>
      <c r="L968" s="262"/>
      <c r="M968" s="264"/>
      <c r="N968" s="262"/>
      <c r="O968" s="262"/>
      <c r="P968" s="262"/>
      <c r="Q968" s="263"/>
      <c r="R968" s="263"/>
      <c r="S968" s="292"/>
      <c r="T968" s="261"/>
      <c r="U968" s="261"/>
      <c r="V968" s="268"/>
      <c r="W968" s="268"/>
      <c r="X968" s="268"/>
      <c r="Y968" s="268"/>
      <c r="Z968" s="471">
        <f>SUMIF(TAB_CS[Reference],TAB_Offres[[#This Row],[Reference]],TAB_CS[Commited days])</f>
        <v>0</v>
      </c>
      <c r="AA968" s="269">
        <f>SUMIF(TAB_CS[Reference],TAB_Offres[[#This Row],[Reference]],TAB_CS[Commited amount])</f>
        <v>0</v>
      </c>
      <c r="AB968" s="275"/>
      <c r="AC968" s="270"/>
      <c r="AD968" s="270"/>
      <c r="AE968" s="264"/>
      <c r="AF968" s="271"/>
      <c r="AG968" s="278"/>
      <c r="AH968" s="277" t="str">
        <f>CONCATENATE(YEAR(TAB_Offres[[#This Row],[Request date ]]),"-",MONTH(TAB_Offres[[#This Row],[Request date ]]))</f>
        <v>1900-1</v>
      </c>
      <c r="AI968" s="274" t="e">
        <f>IF(#REF!,1,0)</f>
        <v>#REF!</v>
      </c>
      <c r="AJ968" s="4"/>
      <c r="AK968" s="4"/>
      <c r="AL968" s="4"/>
      <c r="AN968" s="150"/>
      <c r="AQ968" s="4"/>
    </row>
    <row r="969" spans="1:43" x14ac:dyDescent="0.25">
      <c r="A969" s="258">
        <f>ROW(TAB_Offres[[#This Row],[Reference]])-ROW(TAB_Offres[[#Headers],[ID]])</f>
        <v>968</v>
      </c>
      <c r="B969" s="258"/>
      <c r="C969" s="258"/>
      <c r="D969" s="258"/>
      <c r="E969" s="263"/>
      <c r="F969" s="258"/>
      <c r="G969" s="263"/>
      <c r="H969" s="262"/>
      <c r="I969" s="262"/>
      <c r="J969" s="262"/>
      <c r="K969" s="262"/>
      <c r="L969" s="262"/>
      <c r="M969" s="264"/>
      <c r="N969" s="262"/>
      <c r="O969" s="262"/>
      <c r="P969" s="262"/>
      <c r="Q969" s="263"/>
      <c r="R969" s="263"/>
      <c r="S969" s="292"/>
      <c r="T969" s="261"/>
      <c r="U969" s="261"/>
      <c r="V969" s="268"/>
      <c r="W969" s="268"/>
      <c r="X969" s="268"/>
      <c r="Y969" s="268"/>
      <c r="Z969" s="471">
        <f>SUMIF(TAB_CS[Reference],TAB_Offres[[#This Row],[Reference]],TAB_CS[Commited days])</f>
        <v>0</v>
      </c>
      <c r="AA969" s="269">
        <f>SUMIF(TAB_CS[Reference],TAB_Offres[[#This Row],[Reference]],TAB_CS[Commited amount])</f>
        <v>0</v>
      </c>
      <c r="AB969" s="275"/>
      <c r="AC969" s="270"/>
      <c r="AD969" s="270"/>
      <c r="AE969" s="264"/>
      <c r="AF969" s="271"/>
      <c r="AG969" s="278"/>
      <c r="AH969" s="277" t="str">
        <f>CONCATENATE(YEAR(TAB_Offres[[#This Row],[Request date ]]),"-",MONTH(TAB_Offres[[#This Row],[Request date ]]))</f>
        <v>1900-1</v>
      </c>
      <c r="AI969" s="274" t="e">
        <f>IF(#REF!,1,0)</f>
        <v>#REF!</v>
      </c>
      <c r="AJ969" s="4"/>
      <c r="AK969" s="4"/>
      <c r="AL969" s="4"/>
      <c r="AN969" s="150"/>
      <c r="AQ969" s="4"/>
    </row>
    <row r="970" spans="1:43" x14ac:dyDescent="0.25">
      <c r="A970" s="258">
        <f>ROW(TAB_Offres[[#This Row],[Reference]])-ROW(TAB_Offres[[#Headers],[ID]])</f>
        <v>969</v>
      </c>
      <c r="B970" s="258"/>
      <c r="C970" s="258"/>
      <c r="D970" s="258"/>
      <c r="E970" s="263"/>
      <c r="F970" s="258"/>
      <c r="G970" s="263"/>
      <c r="H970" s="262"/>
      <c r="I970" s="262"/>
      <c r="J970" s="262"/>
      <c r="K970" s="262"/>
      <c r="L970" s="262"/>
      <c r="M970" s="264"/>
      <c r="N970" s="262"/>
      <c r="O970" s="262"/>
      <c r="P970" s="262"/>
      <c r="Q970" s="263"/>
      <c r="R970" s="263"/>
      <c r="S970" s="292"/>
      <c r="T970" s="261"/>
      <c r="U970" s="261"/>
      <c r="V970" s="268"/>
      <c r="W970" s="268"/>
      <c r="X970" s="268"/>
      <c r="Y970" s="268"/>
      <c r="Z970" s="471">
        <f>SUMIF(TAB_CS[Reference],TAB_Offres[[#This Row],[Reference]],TAB_CS[Commited days])</f>
        <v>0</v>
      </c>
      <c r="AA970" s="269">
        <f>SUMIF(TAB_CS[Reference],TAB_Offres[[#This Row],[Reference]],TAB_CS[Commited amount])</f>
        <v>0</v>
      </c>
      <c r="AB970" s="275"/>
      <c r="AC970" s="270"/>
      <c r="AD970" s="270"/>
      <c r="AE970" s="264"/>
      <c r="AF970" s="271"/>
      <c r="AG970" s="278"/>
      <c r="AH970" s="277" t="str">
        <f>CONCATENATE(YEAR(TAB_Offres[[#This Row],[Request date ]]),"-",MONTH(TAB_Offres[[#This Row],[Request date ]]))</f>
        <v>1900-1</v>
      </c>
      <c r="AI970" s="274" t="e">
        <f>IF(#REF!,1,0)</f>
        <v>#REF!</v>
      </c>
      <c r="AJ970" s="4"/>
      <c r="AK970" s="4"/>
      <c r="AL970" s="4"/>
      <c r="AN970" s="150"/>
      <c r="AQ970" s="4"/>
    </row>
    <row r="971" spans="1:43" x14ac:dyDescent="0.25">
      <c r="A971" s="258">
        <f>ROW(TAB_Offres[[#This Row],[Reference]])-ROW(TAB_Offres[[#Headers],[ID]])</f>
        <v>970</v>
      </c>
      <c r="B971" s="258"/>
      <c r="C971" s="258"/>
      <c r="D971" s="258"/>
      <c r="E971" s="263"/>
      <c r="F971" s="258"/>
      <c r="G971" s="263"/>
      <c r="H971" s="262"/>
      <c r="I971" s="262"/>
      <c r="J971" s="262"/>
      <c r="K971" s="262"/>
      <c r="L971" s="262"/>
      <c r="M971" s="264"/>
      <c r="N971" s="262"/>
      <c r="O971" s="262"/>
      <c r="P971" s="262"/>
      <c r="Q971" s="263"/>
      <c r="R971" s="263"/>
      <c r="S971" s="292"/>
      <c r="T971" s="261"/>
      <c r="U971" s="261"/>
      <c r="V971" s="268"/>
      <c r="W971" s="268"/>
      <c r="X971" s="268"/>
      <c r="Y971" s="268"/>
      <c r="Z971" s="471">
        <f>SUMIF(TAB_CS[Reference],TAB_Offres[[#This Row],[Reference]],TAB_CS[Commited days])</f>
        <v>0</v>
      </c>
      <c r="AA971" s="269">
        <f>SUMIF(TAB_CS[Reference],TAB_Offres[[#This Row],[Reference]],TAB_CS[Commited amount])</f>
        <v>0</v>
      </c>
      <c r="AB971" s="275"/>
      <c r="AC971" s="270"/>
      <c r="AD971" s="270"/>
      <c r="AE971" s="264"/>
      <c r="AF971" s="271"/>
      <c r="AG971" s="278"/>
      <c r="AH971" s="277" t="str">
        <f>CONCATENATE(YEAR(TAB_Offres[[#This Row],[Request date ]]),"-",MONTH(TAB_Offres[[#This Row],[Request date ]]))</f>
        <v>1900-1</v>
      </c>
      <c r="AI971" s="274" t="e">
        <f>IF(#REF!,1,0)</f>
        <v>#REF!</v>
      </c>
      <c r="AJ971" s="4"/>
      <c r="AK971" s="4"/>
      <c r="AL971" s="4"/>
      <c r="AN971" s="150"/>
      <c r="AQ971" s="4"/>
    </row>
    <row r="972" spans="1:43" x14ac:dyDescent="0.25">
      <c r="A972" s="258">
        <f>ROW(TAB_Offres[[#This Row],[Reference]])-ROW(TAB_Offres[[#Headers],[ID]])</f>
        <v>971</v>
      </c>
      <c r="B972" s="258"/>
      <c r="C972" s="258"/>
      <c r="D972" s="258"/>
      <c r="E972" s="263"/>
      <c r="F972" s="258"/>
      <c r="G972" s="263"/>
      <c r="H972" s="262"/>
      <c r="I972" s="262"/>
      <c r="J972" s="262"/>
      <c r="K972" s="262"/>
      <c r="L972" s="262"/>
      <c r="M972" s="264"/>
      <c r="N972" s="262"/>
      <c r="O972" s="262"/>
      <c r="P972" s="262"/>
      <c r="Q972" s="263"/>
      <c r="R972" s="263"/>
      <c r="S972" s="292"/>
      <c r="T972" s="261"/>
      <c r="U972" s="261"/>
      <c r="V972" s="268"/>
      <c r="W972" s="268"/>
      <c r="X972" s="268"/>
      <c r="Y972" s="268"/>
      <c r="Z972" s="471">
        <f>SUMIF(TAB_CS[Reference],TAB_Offres[[#This Row],[Reference]],TAB_CS[Commited days])</f>
        <v>0</v>
      </c>
      <c r="AA972" s="269">
        <f>SUMIF(TAB_CS[Reference],TAB_Offres[[#This Row],[Reference]],TAB_CS[Commited amount])</f>
        <v>0</v>
      </c>
      <c r="AB972" s="275"/>
      <c r="AC972" s="270"/>
      <c r="AD972" s="270"/>
      <c r="AE972" s="264"/>
      <c r="AF972" s="271"/>
      <c r="AG972" s="278"/>
      <c r="AH972" s="277" t="str">
        <f>CONCATENATE(YEAR(TAB_Offres[[#This Row],[Request date ]]),"-",MONTH(TAB_Offres[[#This Row],[Request date ]]))</f>
        <v>1900-1</v>
      </c>
      <c r="AI972" s="274" t="e">
        <f>IF(#REF!,1,0)</f>
        <v>#REF!</v>
      </c>
      <c r="AJ972" s="4"/>
      <c r="AK972" s="4"/>
      <c r="AL972" s="4"/>
      <c r="AN972" s="150"/>
      <c r="AQ972" s="4"/>
    </row>
    <row r="973" spans="1:43" x14ac:dyDescent="0.25">
      <c r="A973" s="258">
        <f>ROW(TAB_Offres[[#This Row],[Reference]])-ROW(TAB_Offres[[#Headers],[ID]])</f>
        <v>972</v>
      </c>
      <c r="B973" s="258"/>
      <c r="C973" s="258"/>
      <c r="D973" s="258"/>
      <c r="E973" s="263"/>
      <c r="F973" s="258"/>
      <c r="G973" s="263"/>
      <c r="H973" s="262"/>
      <c r="I973" s="262"/>
      <c r="J973" s="262"/>
      <c r="K973" s="262"/>
      <c r="L973" s="262"/>
      <c r="M973" s="264"/>
      <c r="N973" s="262"/>
      <c r="O973" s="262"/>
      <c r="P973" s="262"/>
      <c r="Q973" s="263"/>
      <c r="R973" s="263"/>
      <c r="S973" s="292"/>
      <c r="T973" s="261"/>
      <c r="U973" s="261"/>
      <c r="V973" s="268"/>
      <c r="W973" s="268"/>
      <c r="X973" s="268"/>
      <c r="Y973" s="268"/>
      <c r="Z973" s="471">
        <f>SUMIF(TAB_CS[Reference],TAB_Offres[[#This Row],[Reference]],TAB_CS[Commited days])</f>
        <v>0</v>
      </c>
      <c r="AA973" s="269">
        <f>SUMIF(TAB_CS[Reference],TAB_Offres[[#This Row],[Reference]],TAB_CS[Commited amount])</f>
        <v>0</v>
      </c>
      <c r="AB973" s="275"/>
      <c r="AC973" s="270"/>
      <c r="AD973" s="270"/>
      <c r="AE973" s="264"/>
      <c r="AF973" s="271"/>
      <c r="AG973" s="278"/>
      <c r="AH973" s="277" t="str">
        <f>CONCATENATE(YEAR(TAB_Offres[[#This Row],[Request date ]]),"-",MONTH(TAB_Offres[[#This Row],[Request date ]]))</f>
        <v>1900-1</v>
      </c>
      <c r="AI973" s="274" t="e">
        <f>IF(#REF!,1,0)</f>
        <v>#REF!</v>
      </c>
      <c r="AJ973" s="4"/>
      <c r="AK973" s="4"/>
      <c r="AL973" s="4"/>
      <c r="AN973" s="150"/>
      <c r="AQ973" s="4"/>
    </row>
    <row r="974" spans="1:43" x14ac:dyDescent="0.25">
      <c r="A974" s="258">
        <f>ROW(TAB_Offres[[#This Row],[Reference]])-ROW(TAB_Offres[[#Headers],[ID]])</f>
        <v>973</v>
      </c>
      <c r="B974" s="258"/>
      <c r="C974" s="258"/>
      <c r="D974" s="258"/>
      <c r="E974" s="263"/>
      <c r="F974" s="258"/>
      <c r="G974" s="263"/>
      <c r="H974" s="262"/>
      <c r="I974" s="262"/>
      <c r="J974" s="262"/>
      <c r="K974" s="262"/>
      <c r="L974" s="262"/>
      <c r="M974" s="264"/>
      <c r="N974" s="262"/>
      <c r="O974" s="262"/>
      <c r="P974" s="262"/>
      <c r="Q974" s="263"/>
      <c r="R974" s="263"/>
      <c r="S974" s="292"/>
      <c r="T974" s="261"/>
      <c r="U974" s="261"/>
      <c r="V974" s="268"/>
      <c r="W974" s="268"/>
      <c r="X974" s="268"/>
      <c r="Y974" s="268"/>
      <c r="Z974" s="471">
        <f>SUMIF(TAB_CS[Reference],TAB_Offres[[#This Row],[Reference]],TAB_CS[Commited days])</f>
        <v>0</v>
      </c>
      <c r="AA974" s="269">
        <f>SUMIF(TAB_CS[Reference],TAB_Offres[[#This Row],[Reference]],TAB_CS[Commited amount])</f>
        <v>0</v>
      </c>
      <c r="AB974" s="275"/>
      <c r="AC974" s="270"/>
      <c r="AD974" s="270"/>
      <c r="AE974" s="264"/>
      <c r="AF974" s="271"/>
      <c r="AG974" s="278"/>
      <c r="AH974" s="277" t="str">
        <f>CONCATENATE(YEAR(TAB_Offres[[#This Row],[Request date ]]),"-",MONTH(TAB_Offres[[#This Row],[Request date ]]))</f>
        <v>1900-1</v>
      </c>
      <c r="AI974" s="274" t="e">
        <f>IF(#REF!,1,0)</f>
        <v>#REF!</v>
      </c>
      <c r="AJ974" s="4"/>
      <c r="AK974" s="4"/>
      <c r="AL974" s="4"/>
      <c r="AN974" s="150"/>
      <c r="AQ974" s="4"/>
    </row>
    <row r="975" spans="1:43" x14ac:dyDescent="0.25">
      <c r="A975" s="258">
        <f>ROW(TAB_Offres[[#This Row],[Reference]])-ROW(TAB_Offres[[#Headers],[ID]])</f>
        <v>974</v>
      </c>
      <c r="B975" s="258"/>
      <c r="C975" s="258"/>
      <c r="D975" s="258"/>
      <c r="E975" s="263"/>
      <c r="F975" s="258"/>
      <c r="G975" s="263"/>
      <c r="H975" s="262"/>
      <c r="I975" s="262"/>
      <c r="J975" s="262"/>
      <c r="K975" s="262"/>
      <c r="L975" s="262"/>
      <c r="M975" s="264"/>
      <c r="N975" s="262"/>
      <c r="O975" s="262"/>
      <c r="P975" s="262"/>
      <c r="Q975" s="263"/>
      <c r="R975" s="263"/>
      <c r="S975" s="292"/>
      <c r="T975" s="261"/>
      <c r="U975" s="261"/>
      <c r="V975" s="268"/>
      <c r="W975" s="268"/>
      <c r="X975" s="268"/>
      <c r="Y975" s="268"/>
      <c r="Z975" s="471">
        <f>SUMIF(TAB_CS[Reference],TAB_Offres[[#This Row],[Reference]],TAB_CS[Commited days])</f>
        <v>0</v>
      </c>
      <c r="AA975" s="269">
        <f>SUMIF(TAB_CS[Reference],TAB_Offres[[#This Row],[Reference]],TAB_CS[Commited amount])</f>
        <v>0</v>
      </c>
      <c r="AB975" s="275"/>
      <c r="AC975" s="270"/>
      <c r="AD975" s="270"/>
      <c r="AE975" s="264"/>
      <c r="AF975" s="271"/>
      <c r="AG975" s="278"/>
      <c r="AH975" s="277" t="str">
        <f>CONCATENATE(YEAR(TAB_Offres[[#This Row],[Request date ]]),"-",MONTH(TAB_Offres[[#This Row],[Request date ]]))</f>
        <v>1900-1</v>
      </c>
      <c r="AI975" s="274" t="e">
        <f>IF(#REF!,1,0)</f>
        <v>#REF!</v>
      </c>
      <c r="AJ975" s="4"/>
      <c r="AK975" s="4"/>
      <c r="AL975" s="4"/>
      <c r="AN975" s="150"/>
      <c r="AQ975" s="4"/>
    </row>
    <row r="976" spans="1:43" x14ac:dyDescent="0.25">
      <c r="A976" s="258">
        <f>ROW(TAB_Offres[[#This Row],[Reference]])-ROW(TAB_Offres[[#Headers],[ID]])</f>
        <v>975</v>
      </c>
      <c r="B976" s="258"/>
      <c r="C976" s="258"/>
      <c r="D976" s="258"/>
      <c r="E976" s="263"/>
      <c r="F976" s="258"/>
      <c r="G976" s="263"/>
      <c r="H976" s="262"/>
      <c r="I976" s="262"/>
      <c r="J976" s="262"/>
      <c r="K976" s="262"/>
      <c r="L976" s="262"/>
      <c r="M976" s="264"/>
      <c r="N976" s="262"/>
      <c r="O976" s="262"/>
      <c r="P976" s="262"/>
      <c r="Q976" s="263"/>
      <c r="R976" s="263"/>
      <c r="S976" s="292"/>
      <c r="T976" s="261"/>
      <c r="U976" s="261"/>
      <c r="V976" s="268"/>
      <c r="W976" s="268"/>
      <c r="X976" s="268"/>
      <c r="Y976" s="268"/>
      <c r="Z976" s="471">
        <f>SUMIF(TAB_CS[Reference],TAB_Offres[[#This Row],[Reference]],TAB_CS[Commited days])</f>
        <v>0</v>
      </c>
      <c r="AA976" s="269">
        <f>SUMIF(TAB_CS[Reference],TAB_Offres[[#This Row],[Reference]],TAB_CS[Commited amount])</f>
        <v>0</v>
      </c>
      <c r="AB976" s="275"/>
      <c r="AC976" s="270"/>
      <c r="AD976" s="270"/>
      <c r="AE976" s="264"/>
      <c r="AF976" s="271"/>
      <c r="AG976" s="278"/>
      <c r="AH976" s="277" t="str">
        <f>CONCATENATE(YEAR(TAB_Offres[[#This Row],[Request date ]]),"-",MONTH(TAB_Offres[[#This Row],[Request date ]]))</f>
        <v>1900-1</v>
      </c>
      <c r="AI976" s="274" t="e">
        <f>IF(#REF!,1,0)</f>
        <v>#REF!</v>
      </c>
      <c r="AJ976" s="4"/>
      <c r="AK976" s="4"/>
      <c r="AL976" s="4"/>
      <c r="AN976" s="150"/>
      <c r="AQ976" s="4"/>
    </row>
    <row r="977" spans="1:43" x14ac:dyDescent="0.25">
      <c r="A977" s="258">
        <f>ROW(TAB_Offres[[#This Row],[Reference]])-ROW(TAB_Offres[[#Headers],[ID]])</f>
        <v>976</v>
      </c>
      <c r="B977" s="258"/>
      <c r="C977" s="258"/>
      <c r="D977" s="258"/>
      <c r="E977" s="263"/>
      <c r="F977" s="258"/>
      <c r="G977" s="263"/>
      <c r="H977" s="262"/>
      <c r="I977" s="262"/>
      <c r="J977" s="262"/>
      <c r="K977" s="262"/>
      <c r="L977" s="262"/>
      <c r="M977" s="264"/>
      <c r="N977" s="262"/>
      <c r="O977" s="262"/>
      <c r="P977" s="262"/>
      <c r="Q977" s="263"/>
      <c r="R977" s="263"/>
      <c r="S977" s="292"/>
      <c r="T977" s="261"/>
      <c r="U977" s="261"/>
      <c r="V977" s="268"/>
      <c r="W977" s="268"/>
      <c r="X977" s="268"/>
      <c r="Y977" s="268"/>
      <c r="Z977" s="471">
        <f>SUMIF(TAB_CS[Reference],TAB_Offres[[#This Row],[Reference]],TAB_CS[Commited days])</f>
        <v>0</v>
      </c>
      <c r="AA977" s="269">
        <f>SUMIF(TAB_CS[Reference],TAB_Offres[[#This Row],[Reference]],TAB_CS[Commited amount])</f>
        <v>0</v>
      </c>
      <c r="AB977" s="275"/>
      <c r="AC977" s="270"/>
      <c r="AD977" s="270"/>
      <c r="AE977" s="264"/>
      <c r="AF977" s="271"/>
      <c r="AG977" s="278"/>
      <c r="AH977" s="277" t="str">
        <f>CONCATENATE(YEAR(TAB_Offres[[#This Row],[Request date ]]),"-",MONTH(TAB_Offres[[#This Row],[Request date ]]))</f>
        <v>1900-1</v>
      </c>
      <c r="AI977" s="274" t="e">
        <f>IF(#REF!,1,0)</f>
        <v>#REF!</v>
      </c>
      <c r="AJ977" s="4"/>
      <c r="AK977" s="4"/>
      <c r="AL977" s="4"/>
      <c r="AN977" s="150"/>
      <c r="AQ977" s="4"/>
    </row>
    <row r="978" spans="1:43" x14ac:dyDescent="0.25">
      <c r="A978" s="258">
        <f>ROW(TAB_Offres[[#This Row],[Reference]])-ROW(TAB_Offres[[#Headers],[ID]])</f>
        <v>977</v>
      </c>
      <c r="B978" s="258"/>
      <c r="C978" s="258"/>
      <c r="D978" s="258"/>
      <c r="E978" s="263"/>
      <c r="F978" s="258"/>
      <c r="G978" s="263"/>
      <c r="H978" s="262"/>
      <c r="I978" s="262"/>
      <c r="J978" s="262"/>
      <c r="K978" s="262"/>
      <c r="L978" s="262"/>
      <c r="M978" s="264"/>
      <c r="N978" s="262"/>
      <c r="O978" s="262"/>
      <c r="P978" s="262"/>
      <c r="Q978" s="263"/>
      <c r="R978" s="263"/>
      <c r="S978" s="292"/>
      <c r="T978" s="261"/>
      <c r="U978" s="261"/>
      <c r="V978" s="268"/>
      <c r="W978" s="268"/>
      <c r="X978" s="268"/>
      <c r="Y978" s="268"/>
      <c r="Z978" s="471">
        <f>SUMIF(TAB_CS[Reference],TAB_Offres[[#This Row],[Reference]],TAB_CS[Commited days])</f>
        <v>0</v>
      </c>
      <c r="AA978" s="269">
        <f>SUMIF(TAB_CS[Reference],TAB_Offres[[#This Row],[Reference]],TAB_CS[Commited amount])</f>
        <v>0</v>
      </c>
      <c r="AB978" s="275"/>
      <c r="AC978" s="270"/>
      <c r="AD978" s="270"/>
      <c r="AE978" s="264"/>
      <c r="AF978" s="271"/>
      <c r="AG978" s="278"/>
      <c r="AH978" s="277" t="str">
        <f>CONCATENATE(YEAR(TAB_Offres[[#This Row],[Request date ]]),"-",MONTH(TAB_Offres[[#This Row],[Request date ]]))</f>
        <v>1900-1</v>
      </c>
      <c r="AI978" s="274" t="e">
        <f>IF(#REF!,1,0)</f>
        <v>#REF!</v>
      </c>
      <c r="AJ978" s="4"/>
      <c r="AK978" s="4"/>
      <c r="AL978" s="4"/>
      <c r="AN978" s="150"/>
      <c r="AQ978" s="4"/>
    </row>
    <row r="979" spans="1:43" x14ac:dyDescent="0.25">
      <c r="A979" s="258">
        <f>ROW(TAB_Offres[[#This Row],[Reference]])-ROW(TAB_Offres[[#Headers],[ID]])</f>
        <v>978</v>
      </c>
      <c r="B979" s="258"/>
      <c r="C979" s="258"/>
      <c r="D979" s="258"/>
      <c r="E979" s="263"/>
      <c r="F979" s="258"/>
      <c r="G979" s="263"/>
      <c r="H979" s="262"/>
      <c r="I979" s="262"/>
      <c r="J979" s="262"/>
      <c r="K979" s="262"/>
      <c r="L979" s="262"/>
      <c r="M979" s="264"/>
      <c r="N979" s="262"/>
      <c r="O979" s="262"/>
      <c r="P979" s="262"/>
      <c r="Q979" s="263"/>
      <c r="R979" s="263"/>
      <c r="S979" s="292"/>
      <c r="T979" s="261"/>
      <c r="U979" s="261"/>
      <c r="V979" s="268"/>
      <c r="W979" s="268"/>
      <c r="X979" s="268"/>
      <c r="Y979" s="268"/>
      <c r="Z979" s="471">
        <f>SUMIF(TAB_CS[Reference],TAB_Offres[[#This Row],[Reference]],TAB_CS[Commited days])</f>
        <v>0</v>
      </c>
      <c r="AA979" s="269">
        <f>SUMIF(TAB_CS[Reference],TAB_Offres[[#This Row],[Reference]],TAB_CS[Commited amount])</f>
        <v>0</v>
      </c>
      <c r="AB979" s="275"/>
      <c r="AC979" s="270"/>
      <c r="AD979" s="270"/>
      <c r="AE979" s="264"/>
      <c r="AF979" s="271"/>
      <c r="AG979" s="278"/>
      <c r="AH979" s="277" t="str">
        <f>CONCATENATE(YEAR(TAB_Offres[[#This Row],[Request date ]]),"-",MONTH(TAB_Offres[[#This Row],[Request date ]]))</f>
        <v>1900-1</v>
      </c>
      <c r="AI979" s="274" t="e">
        <f>IF(#REF!,1,0)</f>
        <v>#REF!</v>
      </c>
      <c r="AJ979" s="4"/>
      <c r="AK979" s="4"/>
      <c r="AL979" s="4"/>
      <c r="AN979" s="150"/>
      <c r="AQ979" s="4"/>
    </row>
    <row r="980" spans="1:43" x14ac:dyDescent="0.25">
      <c r="A980" s="258">
        <f>ROW(TAB_Offres[[#This Row],[Reference]])-ROW(TAB_Offres[[#Headers],[ID]])</f>
        <v>979</v>
      </c>
      <c r="B980" s="258"/>
      <c r="C980" s="258"/>
      <c r="D980" s="258"/>
      <c r="E980" s="263"/>
      <c r="F980" s="258"/>
      <c r="G980" s="263"/>
      <c r="H980" s="262"/>
      <c r="I980" s="262"/>
      <c r="J980" s="262"/>
      <c r="K980" s="262"/>
      <c r="L980" s="262"/>
      <c r="M980" s="264"/>
      <c r="N980" s="262"/>
      <c r="O980" s="262"/>
      <c r="P980" s="262"/>
      <c r="Q980" s="263"/>
      <c r="R980" s="263"/>
      <c r="S980" s="292"/>
      <c r="T980" s="261"/>
      <c r="U980" s="261"/>
      <c r="V980" s="268"/>
      <c r="W980" s="268"/>
      <c r="X980" s="268"/>
      <c r="Y980" s="268"/>
      <c r="Z980" s="471">
        <f>SUMIF(TAB_CS[Reference],TAB_Offres[[#This Row],[Reference]],TAB_CS[Commited days])</f>
        <v>0</v>
      </c>
      <c r="AA980" s="269">
        <f>SUMIF(TAB_CS[Reference],TAB_Offres[[#This Row],[Reference]],TAB_CS[Commited amount])</f>
        <v>0</v>
      </c>
      <c r="AB980" s="275"/>
      <c r="AC980" s="270"/>
      <c r="AD980" s="270"/>
      <c r="AE980" s="264"/>
      <c r="AF980" s="271"/>
      <c r="AG980" s="278"/>
      <c r="AH980" s="277" t="str">
        <f>CONCATENATE(YEAR(TAB_Offres[[#This Row],[Request date ]]),"-",MONTH(TAB_Offres[[#This Row],[Request date ]]))</f>
        <v>1900-1</v>
      </c>
      <c r="AI980" s="274" t="e">
        <f>IF(#REF!,1,0)</f>
        <v>#REF!</v>
      </c>
      <c r="AJ980" s="4"/>
      <c r="AK980" s="4"/>
      <c r="AL980" s="4"/>
      <c r="AN980" s="150"/>
      <c r="AQ980" s="4"/>
    </row>
    <row r="981" spans="1:43" x14ac:dyDescent="0.25">
      <c r="A981" s="258">
        <f>ROW(TAB_Offres[[#This Row],[Reference]])-ROW(TAB_Offres[[#Headers],[ID]])</f>
        <v>980</v>
      </c>
      <c r="B981" s="258"/>
      <c r="C981" s="258"/>
      <c r="D981" s="258"/>
      <c r="E981" s="263"/>
      <c r="F981" s="258"/>
      <c r="G981" s="263"/>
      <c r="H981" s="262"/>
      <c r="I981" s="262"/>
      <c r="J981" s="262"/>
      <c r="K981" s="262"/>
      <c r="L981" s="262"/>
      <c r="M981" s="264"/>
      <c r="N981" s="262"/>
      <c r="O981" s="262"/>
      <c r="P981" s="262"/>
      <c r="Q981" s="263"/>
      <c r="R981" s="263"/>
      <c r="S981" s="292"/>
      <c r="T981" s="261"/>
      <c r="U981" s="261"/>
      <c r="V981" s="268"/>
      <c r="W981" s="268"/>
      <c r="X981" s="268"/>
      <c r="Y981" s="268"/>
      <c r="Z981" s="471">
        <f>SUMIF(TAB_CS[Reference],TAB_Offres[[#This Row],[Reference]],TAB_CS[Commited days])</f>
        <v>0</v>
      </c>
      <c r="AA981" s="269">
        <f>SUMIF(TAB_CS[Reference],TAB_Offres[[#This Row],[Reference]],TAB_CS[Commited amount])</f>
        <v>0</v>
      </c>
      <c r="AB981" s="275"/>
      <c r="AC981" s="270"/>
      <c r="AD981" s="270"/>
      <c r="AE981" s="264"/>
      <c r="AF981" s="271"/>
      <c r="AG981" s="278"/>
      <c r="AH981" s="277" t="str">
        <f>CONCATENATE(YEAR(TAB_Offres[[#This Row],[Request date ]]),"-",MONTH(TAB_Offres[[#This Row],[Request date ]]))</f>
        <v>1900-1</v>
      </c>
      <c r="AI981" s="274" t="e">
        <f>IF(#REF!,1,0)</f>
        <v>#REF!</v>
      </c>
      <c r="AJ981" s="4"/>
      <c r="AK981" s="4"/>
      <c r="AL981" s="4"/>
      <c r="AN981" s="150"/>
      <c r="AQ981" s="4"/>
    </row>
    <row r="982" spans="1:43" x14ac:dyDescent="0.25">
      <c r="A982" s="258">
        <f>ROW(TAB_Offres[[#This Row],[Reference]])-ROW(TAB_Offres[[#Headers],[ID]])</f>
        <v>981</v>
      </c>
      <c r="B982" s="258"/>
      <c r="C982" s="258"/>
      <c r="D982" s="258"/>
      <c r="E982" s="263"/>
      <c r="F982" s="258"/>
      <c r="G982" s="263"/>
      <c r="H982" s="262"/>
      <c r="I982" s="262"/>
      <c r="J982" s="262"/>
      <c r="K982" s="262"/>
      <c r="L982" s="262"/>
      <c r="M982" s="264"/>
      <c r="N982" s="262"/>
      <c r="O982" s="262"/>
      <c r="P982" s="262"/>
      <c r="Q982" s="263"/>
      <c r="R982" s="263"/>
      <c r="S982" s="292"/>
      <c r="T982" s="261"/>
      <c r="U982" s="261"/>
      <c r="V982" s="268"/>
      <c r="W982" s="268"/>
      <c r="X982" s="268"/>
      <c r="Y982" s="268"/>
      <c r="Z982" s="471">
        <f>SUMIF(TAB_CS[Reference],TAB_Offres[[#This Row],[Reference]],TAB_CS[Commited days])</f>
        <v>0</v>
      </c>
      <c r="AA982" s="269">
        <f>SUMIF(TAB_CS[Reference],TAB_Offres[[#This Row],[Reference]],TAB_CS[Commited amount])</f>
        <v>0</v>
      </c>
      <c r="AB982" s="275"/>
      <c r="AC982" s="270"/>
      <c r="AD982" s="270"/>
      <c r="AE982" s="264"/>
      <c r="AF982" s="271"/>
      <c r="AG982" s="278"/>
      <c r="AH982" s="277" t="str">
        <f>CONCATENATE(YEAR(TAB_Offres[[#This Row],[Request date ]]),"-",MONTH(TAB_Offres[[#This Row],[Request date ]]))</f>
        <v>1900-1</v>
      </c>
      <c r="AI982" s="274" t="e">
        <f>IF(#REF!,1,0)</f>
        <v>#REF!</v>
      </c>
      <c r="AJ982" s="4"/>
      <c r="AK982" s="4"/>
      <c r="AL982" s="4"/>
      <c r="AN982" s="150"/>
      <c r="AQ982" s="4"/>
    </row>
    <row r="983" spans="1:43" x14ac:dyDescent="0.25">
      <c r="A983" s="258">
        <f>ROW(TAB_Offres[[#This Row],[Reference]])-ROW(TAB_Offres[[#Headers],[ID]])</f>
        <v>982</v>
      </c>
      <c r="B983" s="258"/>
      <c r="C983" s="258"/>
      <c r="D983" s="258"/>
      <c r="E983" s="263"/>
      <c r="F983" s="258"/>
      <c r="G983" s="263"/>
      <c r="H983" s="262"/>
      <c r="I983" s="262"/>
      <c r="J983" s="262"/>
      <c r="K983" s="262"/>
      <c r="L983" s="262"/>
      <c r="M983" s="264"/>
      <c r="N983" s="262"/>
      <c r="O983" s="262"/>
      <c r="P983" s="262"/>
      <c r="Q983" s="263"/>
      <c r="R983" s="263"/>
      <c r="S983" s="292"/>
      <c r="T983" s="261"/>
      <c r="U983" s="261"/>
      <c r="V983" s="268"/>
      <c r="W983" s="268"/>
      <c r="X983" s="268"/>
      <c r="Y983" s="268"/>
      <c r="Z983" s="471">
        <f>SUMIF(TAB_CS[Reference],TAB_Offres[[#This Row],[Reference]],TAB_CS[Commited days])</f>
        <v>0</v>
      </c>
      <c r="AA983" s="269">
        <f>SUMIF(TAB_CS[Reference],TAB_Offres[[#This Row],[Reference]],TAB_CS[Commited amount])</f>
        <v>0</v>
      </c>
      <c r="AB983" s="275"/>
      <c r="AC983" s="270"/>
      <c r="AD983" s="270"/>
      <c r="AE983" s="264"/>
      <c r="AF983" s="271"/>
      <c r="AG983" s="278"/>
      <c r="AH983" s="277" t="str">
        <f>CONCATENATE(YEAR(TAB_Offres[[#This Row],[Request date ]]),"-",MONTH(TAB_Offres[[#This Row],[Request date ]]))</f>
        <v>1900-1</v>
      </c>
      <c r="AI983" s="274" t="e">
        <f>IF(#REF!,1,0)</f>
        <v>#REF!</v>
      </c>
      <c r="AJ983" s="4"/>
      <c r="AK983" s="4"/>
      <c r="AL983" s="4"/>
      <c r="AN983" s="150"/>
      <c r="AQ983" s="4"/>
    </row>
    <row r="984" spans="1:43" x14ac:dyDescent="0.25">
      <c r="A984" s="258">
        <f>ROW(TAB_Offres[[#This Row],[Reference]])-ROW(TAB_Offres[[#Headers],[ID]])</f>
        <v>983</v>
      </c>
      <c r="B984" s="258"/>
      <c r="C984" s="258"/>
      <c r="D984" s="258"/>
      <c r="E984" s="263"/>
      <c r="F984" s="258"/>
      <c r="G984" s="263"/>
      <c r="H984" s="262"/>
      <c r="I984" s="262"/>
      <c r="J984" s="262"/>
      <c r="K984" s="262"/>
      <c r="L984" s="262"/>
      <c r="M984" s="264"/>
      <c r="N984" s="262"/>
      <c r="O984" s="262"/>
      <c r="P984" s="262"/>
      <c r="Q984" s="263"/>
      <c r="R984" s="263"/>
      <c r="S984" s="292"/>
      <c r="T984" s="261"/>
      <c r="U984" s="261"/>
      <c r="V984" s="268"/>
      <c r="W984" s="268"/>
      <c r="X984" s="268"/>
      <c r="Y984" s="268"/>
      <c r="Z984" s="471">
        <f>SUMIF(TAB_CS[Reference],TAB_Offres[[#This Row],[Reference]],TAB_CS[Commited days])</f>
        <v>0</v>
      </c>
      <c r="AA984" s="269">
        <f>SUMIF(TAB_CS[Reference],TAB_Offres[[#This Row],[Reference]],TAB_CS[Commited amount])</f>
        <v>0</v>
      </c>
      <c r="AB984" s="275"/>
      <c r="AC984" s="270"/>
      <c r="AD984" s="270"/>
      <c r="AE984" s="264"/>
      <c r="AF984" s="271"/>
      <c r="AG984" s="278"/>
      <c r="AH984" s="277" t="str">
        <f>CONCATENATE(YEAR(TAB_Offres[[#This Row],[Request date ]]),"-",MONTH(TAB_Offres[[#This Row],[Request date ]]))</f>
        <v>1900-1</v>
      </c>
      <c r="AI984" s="274" t="e">
        <f>IF(#REF!,1,0)</f>
        <v>#REF!</v>
      </c>
      <c r="AJ984" s="4"/>
      <c r="AK984" s="4"/>
      <c r="AL984" s="4"/>
      <c r="AN984" s="150"/>
      <c r="AQ984" s="4"/>
    </row>
    <row r="985" spans="1:43" x14ac:dyDescent="0.25">
      <c r="A985" s="258">
        <f>ROW(TAB_Offres[[#This Row],[Reference]])-ROW(TAB_Offres[[#Headers],[ID]])</f>
        <v>984</v>
      </c>
      <c r="B985" s="258"/>
      <c r="C985" s="258"/>
      <c r="D985" s="258"/>
      <c r="E985" s="263"/>
      <c r="F985" s="258"/>
      <c r="G985" s="263"/>
      <c r="H985" s="262"/>
      <c r="I985" s="262"/>
      <c r="J985" s="262"/>
      <c r="K985" s="262"/>
      <c r="L985" s="262"/>
      <c r="M985" s="264"/>
      <c r="N985" s="262"/>
      <c r="O985" s="262"/>
      <c r="P985" s="262"/>
      <c r="Q985" s="263"/>
      <c r="R985" s="263"/>
      <c r="S985" s="292"/>
      <c r="T985" s="261"/>
      <c r="U985" s="261"/>
      <c r="V985" s="268"/>
      <c r="W985" s="268"/>
      <c r="X985" s="268"/>
      <c r="Y985" s="268"/>
      <c r="Z985" s="471">
        <f>SUMIF(TAB_CS[Reference],TAB_Offres[[#This Row],[Reference]],TAB_CS[Commited days])</f>
        <v>0</v>
      </c>
      <c r="AA985" s="269">
        <f>SUMIF(TAB_CS[Reference],TAB_Offres[[#This Row],[Reference]],TAB_CS[Commited amount])</f>
        <v>0</v>
      </c>
      <c r="AB985" s="275"/>
      <c r="AC985" s="270"/>
      <c r="AD985" s="270"/>
      <c r="AE985" s="264"/>
      <c r="AF985" s="271"/>
      <c r="AG985" s="278"/>
      <c r="AH985" s="277" t="str">
        <f>CONCATENATE(YEAR(TAB_Offres[[#This Row],[Request date ]]),"-",MONTH(TAB_Offres[[#This Row],[Request date ]]))</f>
        <v>1900-1</v>
      </c>
      <c r="AI985" s="274" t="e">
        <f>IF(#REF!,1,0)</f>
        <v>#REF!</v>
      </c>
      <c r="AJ985" s="4"/>
      <c r="AK985" s="4"/>
      <c r="AL985" s="4"/>
      <c r="AN985" s="150"/>
      <c r="AQ985" s="4"/>
    </row>
    <row r="986" spans="1:43" x14ac:dyDescent="0.25">
      <c r="A986" s="258">
        <f>ROW(TAB_Offres[[#This Row],[Reference]])-ROW(TAB_Offres[[#Headers],[ID]])</f>
        <v>985</v>
      </c>
      <c r="B986" s="258"/>
      <c r="C986" s="258"/>
      <c r="D986" s="258"/>
      <c r="E986" s="263"/>
      <c r="F986" s="258"/>
      <c r="G986" s="263"/>
      <c r="H986" s="262"/>
      <c r="I986" s="262"/>
      <c r="J986" s="262"/>
      <c r="K986" s="262"/>
      <c r="L986" s="262"/>
      <c r="M986" s="264"/>
      <c r="N986" s="262"/>
      <c r="O986" s="262"/>
      <c r="P986" s="262"/>
      <c r="Q986" s="263"/>
      <c r="R986" s="263"/>
      <c r="S986" s="292"/>
      <c r="T986" s="261"/>
      <c r="U986" s="261"/>
      <c r="V986" s="268"/>
      <c r="W986" s="268"/>
      <c r="X986" s="268"/>
      <c r="Y986" s="268"/>
      <c r="Z986" s="471">
        <f>SUMIF(TAB_CS[Reference],TAB_Offres[[#This Row],[Reference]],TAB_CS[Commited days])</f>
        <v>0</v>
      </c>
      <c r="AA986" s="269">
        <f>SUMIF(TAB_CS[Reference],TAB_Offres[[#This Row],[Reference]],TAB_CS[Commited amount])</f>
        <v>0</v>
      </c>
      <c r="AB986" s="275"/>
      <c r="AC986" s="270"/>
      <c r="AD986" s="270"/>
      <c r="AE986" s="264"/>
      <c r="AF986" s="271"/>
      <c r="AG986" s="278"/>
      <c r="AH986" s="277" t="str">
        <f>CONCATENATE(YEAR(TAB_Offres[[#This Row],[Request date ]]),"-",MONTH(TAB_Offres[[#This Row],[Request date ]]))</f>
        <v>1900-1</v>
      </c>
      <c r="AI986" s="274" t="e">
        <f>IF(#REF!,1,0)</f>
        <v>#REF!</v>
      </c>
      <c r="AJ986" s="4"/>
      <c r="AK986" s="4"/>
      <c r="AL986" s="4"/>
      <c r="AN986" s="150"/>
      <c r="AQ986" s="4"/>
    </row>
    <row r="987" spans="1:43" x14ac:dyDescent="0.25">
      <c r="A987" s="258">
        <f>ROW(TAB_Offres[[#This Row],[Reference]])-ROW(TAB_Offres[[#Headers],[ID]])</f>
        <v>986</v>
      </c>
      <c r="B987" s="258"/>
      <c r="C987" s="258"/>
      <c r="D987" s="258"/>
      <c r="E987" s="263"/>
      <c r="F987" s="258"/>
      <c r="G987" s="263"/>
      <c r="H987" s="262"/>
      <c r="I987" s="262"/>
      <c r="J987" s="262"/>
      <c r="K987" s="262"/>
      <c r="L987" s="262"/>
      <c r="M987" s="264"/>
      <c r="N987" s="262"/>
      <c r="O987" s="262"/>
      <c r="P987" s="262"/>
      <c r="Q987" s="263"/>
      <c r="R987" s="263"/>
      <c r="S987" s="292"/>
      <c r="T987" s="261"/>
      <c r="U987" s="261"/>
      <c r="V987" s="268"/>
      <c r="W987" s="268"/>
      <c r="X987" s="268"/>
      <c r="Y987" s="268"/>
      <c r="Z987" s="471">
        <f>SUMIF(TAB_CS[Reference],TAB_Offres[[#This Row],[Reference]],TAB_CS[Commited days])</f>
        <v>0</v>
      </c>
      <c r="AA987" s="269">
        <f>SUMIF(TAB_CS[Reference],TAB_Offres[[#This Row],[Reference]],TAB_CS[Commited amount])</f>
        <v>0</v>
      </c>
      <c r="AB987" s="275"/>
      <c r="AC987" s="270"/>
      <c r="AD987" s="270"/>
      <c r="AE987" s="264"/>
      <c r="AF987" s="271"/>
      <c r="AG987" s="278"/>
      <c r="AH987" s="277" t="str">
        <f>CONCATENATE(YEAR(TAB_Offres[[#This Row],[Request date ]]),"-",MONTH(TAB_Offres[[#This Row],[Request date ]]))</f>
        <v>1900-1</v>
      </c>
      <c r="AI987" s="274" t="e">
        <f>IF(#REF!,1,0)</f>
        <v>#REF!</v>
      </c>
      <c r="AJ987" s="4"/>
      <c r="AK987" s="4"/>
      <c r="AL987" s="4"/>
      <c r="AN987" s="150"/>
      <c r="AQ987" s="4"/>
    </row>
    <row r="988" spans="1:43" x14ac:dyDescent="0.25">
      <c r="A988" s="258">
        <f>ROW(TAB_Offres[[#This Row],[Reference]])-ROW(TAB_Offres[[#Headers],[ID]])</f>
        <v>987</v>
      </c>
      <c r="B988" s="258"/>
      <c r="C988" s="258"/>
      <c r="D988" s="258"/>
      <c r="E988" s="263"/>
      <c r="F988" s="258"/>
      <c r="G988" s="263"/>
      <c r="H988" s="262"/>
      <c r="I988" s="262"/>
      <c r="J988" s="262"/>
      <c r="K988" s="262"/>
      <c r="L988" s="262"/>
      <c r="M988" s="264"/>
      <c r="N988" s="262"/>
      <c r="O988" s="262"/>
      <c r="P988" s="262"/>
      <c r="Q988" s="263"/>
      <c r="R988" s="263"/>
      <c r="S988" s="292"/>
      <c r="T988" s="261"/>
      <c r="U988" s="261"/>
      <c r="V988" s="268"/>
      <c r="W988" s="268"/>
      <c r="X988" s="268"/>
      <c r="Y988" s="268"/>
      <c r="Z988" s="471">
        <f>SUMIF(TAB_CS[Reference],TAB_Offres[[#This Row],[Reference]],TAB_CS[Commited days])</f>
        <v>0</v>
      </c>
      <c r="AA988" s="269">
        <f>SUMIF(TAB_CS[Reference],TAB_Offres[[#This Row],[Reference]],TAB_CS[Commited amount])</f>
        <v>0</v>
      </c>
      <c r="AB988" s="275"/>
      <c r="AC988" s="270"/>
      <c r="AD988" s="270"/>
      <c r="AE988" s="264"/>
      <c r="AF988" s="271"/>
      <c r="AG988" s="278"/>
      <c r="AH988" s="277" t="str">
        <f>CONCATENATE(YEAR(TAB_Offres[[#This Row],[Request date ]]),"-",MONTH(TAB_Offres[[#This Row],[Request date ]]))</f>
        <v>1900-1</v>
      </c>
      <c r="AI988" s="274" t="e">
        <f>IF(#REF!,1,0)</f>
        <v>#REF!</v>
      </c>
      <c r="AJ988" s="4"/>
      <c r="AK988" s="4"/>
      <c r="AL988" s="4"/>
      <c r="AN988" s="150"/>
      <c r="AQ988" s="4"/>
    </row>
    <row r="989" spans="1:43" x14ac:dyDescent="0.25">
      <c r="A989" s="258">
        <f>ROW(TAB_Offres[[#This Row],[Reference]])-ROW(TAB_Offres[[#Headers],[ID]])</f>
        <v>988</v>
      </c>
      <c r="B989" s="258"/>
      <c r="C989" s="258"/>
      <c r="D989" s="258"/>
      <c r="E989" s="263"/>
      <c r="F989" s="258"/>
      <c r="G989" s="263"/>
      <c r="H989" s="262"/>
      <c r="I989" s="262"/>
      <c r="J989" s="262"/>
      <c r="K989" s="262"/>
      <c r="L989" s="262"/>
      <c r="M989" s="264"/>
      <c r="N989" s="262"/>
      <c r="O989" s="262"/>
      <c r="P989" s="262"/>
      <c r="Q989" s="263"/>
      <c r="R989" s="263"/>
      <c r="S989" s="292"/>
      <c r="T989" s="261"/>
      <c r="U989" s="261"/>
      <c r="V989" s="268"/>
      <c r="W989" s="268"/>
      <c r="X989" s="268"/>
      <c r="Y989" s="268"/>
      <c r="Z989" s="471">
        <f>SUMIF(TAB_CS[Reference],TAB_Offres[[#This Row],[Reference]],TAB_CS[Commited days])</f>
        <v>0</v>
      </c>
      <c r="AA989" s="269">
        <f>SUMIF(TAB_CS[Reference],TAB_Offres[[#This Row],[Reference]],TAB_CS[Commited amount])</f>
        <v>0</v>
      </c>
      <c r="AB989" s="275"/>
      <c r="AC989" s="270"/>
      <c r="AD989" s="270"/>
      <c r="AE989" s="264"/>
      <c r="AF989" s="271"/>
      <c r="AG989" s="278"/>
      <c r="AH989" s="277" t="str">
        <f>CONCATENATE(YEAR(TAB_Offres[[#This Row],[Request date ]]),"-",MONTH(TAB_Offres[[#This Row],[Request date ]]))</f>
        <v>1900-1</v>
      </c>
      <c r="AI989" s="274" t="e">
        <f>IF(#REF!,1,0)</f>
        <v>#REF!</v>
      </c>
      <c r="AJ989" s="4"/>
      <c r="AK989" s="4"/>
      <c r="AL989" s="4"/>
      <c r="AN989" s="150"/>
      <c r="AQ989" s="4"/>
    </row>
    <row r="990" spans="1:43" x14ac:dyDescent="0.25">
      <c r="A990" s="258">
        <f>ROW(TAB_Offres[[#This Row],[Reference]])-ROW(TAB_Offres[[#Headers],[ID]])</f>
        <v>989</v>
      </c>
      <c r="B990" s="258"/>
      <c r="C990" s="258"/>
      <c r="D990" s="258"/>
      <c r="E990" s="263"/>
      <c r="F990" s="258"/>
      <c r="G990" s="263"/>
      <c r="H990" s="262"/>
      <c r="I990" s="262"/>
      <c r="J990" s="262"/>
      <c r="K990" s="262"/>
      <c r="L990" s="262"/>
      <c r="M990" s="264"/>
      <c r="N990" s="262"/>
      <c r="O990" s="262"/>
      <c r="P990" s="262"/>
      <c r="Q990" s="263"/>
      <c r="R990" s="263"/>
      <c r="S990" s="292"/>
      <c r="T990" s="261"/>
      <c r="U990" s="261"/>
      <c r="V990" s="268"/>
      <c r="W990" s="268"/>
      <c r="X990" s="268"/>
      <c r="Y990" s="268"/>
      <c r="Z990" s="471">
        <f>SUMIF(TAB_CS[Reference],TAB_Offres[[#This Row],[Reference]],TAB_CS[Commited days])</f>
        <v>0</v>
      </c>
      <c r="AA990" s="269">
        <f>SUMIF(TAB_CS[Reference],TAB_Offres[[#This Row],[Reference]],TAB_CS[Commited amount])</f>
        <v>0</v>
      </c>
      <c r="AB990" s="275"/>
      <c r="AC990" s="270"/>
      <c r="AD990" s="270"/>
      <c r="AE990" s="264"/>
      <c r="AF990" s="271"/>
      <c r="AG990" s="278"/>
      <c r="AH990" s="277" t="str">
        <f>CONCATENATE(YEAR(TAB_Offres[[#This Row],[Request date ]]),"-",MONTH(TAB_Offres[[#This Row],[Request date ]]))</f>
        <v>1900-1</v>
      </c>
      <c r="AI990" s="274" t="e">
        <f>IF(#REF!,1,0)</f>
        <v>#REF!</v>
      </c>
      <c r="AJ990" s="4"/>
      <c r="AK990" s="4"/>
      <c r="AL990" s="4"/>
      <c r="AN990" s="150"/>
      <c r="AQ990" s="4"/>
    </row>
    <row r="991" spans="1:43" x14ac:dyDescent="0.25">
      <c r="A991" s="258">
        <f>ROW(TAB_Offres[[#This Row],[Reference]])-ROW(TAB_Offres[[#Headers],[ID]])</f>
        <v>990</v>
      </c>
      <c r="B991" s="258"/>
      <c r="C991" s="258"/>
      <c r="D991" s="258"/>
      <c r="E991" s="263"/>
      <c r="F991" s="258"/>
      <c r="G991" s="263"/>
      <c r="H991" s="262"/>
      <c r="I991" s="262"/>
      <c r="J991" s="262"/>
      <c r="K991" s="262"/>
      <c r="L991" s="262"/>
      <c r="M991" s="264"/>
      <c r="N991" s="262"/>
      <c r="O991" s="262"/>
      <c r="P991" s="262"/>
      <c r="Q991" s="263"/>
      <c r="R991" s="263"/>
      <c r="S991" s="292"/>
      <c r="T991" s="261"/>
      <c r="U991" s="261"/>
      <c r="V991" s="268"/>
      <c r="W991" s="268"/>
      <c r="X991" s="268"/>
      <c r="Y991" s="268"/>
      <c r="Z991" s="471">
        <f>SUMIF(TAB_CS[Reference],TAB_Offres[[#This Row],[Reference]],TAB_CS[Commited days])</f>
        <v>0</v>
      </c>
      <c r="AA991" s="269">
        <f>SUMIF(TAB_CS[Reference],TAB_Offres[[#This Row],[Reference]],TAB_CS[Commited amount])</f>
        <v>0</v>
      </c>
      <c r="AB991" s="275"/>
      <c r="AC991" s="270"/>
      <c r="AD991" s="270"/>
      <c r="AE991" s="264"/>
      <c r="AF991" s="271"/>
      <c r="AG991" s="278"/>
      <c r="AH991" s="277" t="str">
        <f>CONCATENATE(YEAR(TAB_Offres[[#This Row],[Request date ]]),"-",MONTH(TAB_Offres[[#This Row],[Request date ]]))</f>
        <v>1900-1</v>
      </c>
      <c r="AI991" s="274" t="e">
        <f>IF(#REF!,1,0)</f>
        <v>#REF!</v>
      </c>
      <c r="AJ991" s="4"/>
      <c r="AK991" s="4"/>
      <c r="AL991" s="4"/>
      <c r="AN991" s="150"/>
      <c r="AQ991" s="4"/>
    </row>
    <row r="992" spans="1:43" x14ac:dyDescent="0.25">
      <c r="A992" s="258">
        <f>ROW(TAB_Offres[[#This Row],[Reference]])-ROW(TAB_Offres[[#Headers],[ID]])</f>
        <v>991</v>
      </c>
      <c r="B992" s="258"/>
      <c r="C992" s="258"/>
      <c r="D992" s="258"/>
      <c r="E992" s="263"/>
      <c r="F992" s="258"/>
      <c r="G992" s="263"/>
      <c r="H992" s="262"/>
      <c r="I992" s="262"/>
      <c r="J992" s="262"/>
      <c r="K992" s="262"/>
      <c r="L992" s="262"/>
      <c r="M992" s="264"/>
      <c r="N992" s="262"/>
      <c r="O992" s="262"/>
      <c r="P992" s="262"/>
      <c r="Q992" s="263"/>
      <c r="R992" s="263"/>
      <c r="S992" s="292"/>
      <c r="T992" s="261"/>
      <c r="U992" s="261"/>
      <c r="V992" s="268"/>
      <c r="W992" s="268"/>
      <c r="X992" s="268"/>
      <c r="Y992" s="268"/>
      <c r="Z992" s="471">
        <f>SUMIF(TAB_CS[Reference],TAB_Offres[[#This Row],[Reference]],TAB_CS[Commited days])</f>
        <v>0</v>
      </c>
      <c r="AA992" s="269">
        <f>SUMIF(TAB_CS[Reference],TAB_Offres[[#This Row],[Reference]],TAB_CS[Commited amount])</f>
        <v>0</v>
      </c>
      <c r="AB992" s="275"/>
      <c r="AC992" s="270"/>
      <c r="AD992" s="270"/>
      <c r="AE992" s="264"/>
      <c r="AF992" s="271"/>
      <c r="AG992" s="278"/>
      <c r="AH992" s="277" t="str">
        <f>CONCATENATE(YEAR(TAB_Offres[[#This Row],[Request date ]]),"-",MONTH(TAB_Offres[[#This Row],[Request date ]]))</f>
        <v>1900-1</v>
      </c>
      <c r="AI992" s="274" t="e">
        <f>IF(#REF!,1,0)</f>
        <v>#REF!</v>
      </c>
      <c r="AJ992" s="4"/>
      <c r="AK992" s="4"/>
      <c r="AL992" s="4"/>
      <c r="AN992" s="150"/>
      <c r="AQ992" s="4"/>
    </row>
    <row r="993" spans="1:43" x14ac:dyDescent="0.25">
      <c r="A993" s="258">
        <f>ROW(TAB_Offres[[#This Row],[Reference]])-ROW(TAB_Offres[[#Headers],[ID]])</f>
        <v>992</v>
      </c>
      <c r="B993" s="258"/>
      <c r="C993" s="258"/>
      <c r="D993" s="258"/>
      <c r="E993" s="263"/>
      <c r="F993" s="258"/>
      <c r="G993" s="263"/>
      <c r="H993" s="262"/>
      <c r="I993" s="262"/>
      <c r="J993" s="262"/>
      <c r="K993" s="262"/>
      <c r="L993" s="262"/>
      <c r="M993" s="264"/>
      <c r="N993" s="262"/>
      <c r="O993" s="262"/>
      <c r="P993" s="262"/>
      <c r="Q993" s="263"/>
      <c r="R993" s="263"/>
      <c r="S993" s="292"/>
      <c r="T993" s="261"/>
      <c r="U993" s="261"/>
      <c r="V993" s="268"/>
      <c r="W993" s="268"/>
      <c r="X993" s="268"/>
      <c r="Y993" s="268"/>
      <c r="Z993" s="471">
        <f>SUMIF(TAB_CS[Reference],TAB_Offres[[#This Row],[Reference]],TAB_CS[Commited days])</f>
        <v>0</v>
      </c>
      <c r="AA993" s="269">
        <f>SUMIF(TAB_CS[Reference],TAB_Offres[[#This Row],[Reference]],TAB_CS[Commited amount])</f>
        <v>0</v>
      </c>
      <c r="AB993" s="275"/>
      <c r="AC993" s="270"/>
      <c r="AD993" s="270"/>
      <c r="AE993" s="264"/>
      <c r="AF993" s="271"/>
      <c r="AG993" s="278"/>
      <c r="AH993" s="277" t="str">
        <f>CONCATENATE(YEAR(TAB_Offres[[#This Row],[Request date ]]),"-",MONTH(TAB_Offres[[#This Row],[Request date ]]))</f>
        <v>1900-1</v>
      </c>
      <c r="AI993" s="274" t="e">
        <f>IF(#REF!,1,0)</f>
        <v>#REF!</v>
      </c>
      <c r="AJ993" s="4"/>
      <c r="AK993" s="4"/>
      <c r="AL993" s="4"/>
      <c r="AN993" s="150"/>
      <c r="AQ993" s="4"/>
    </row>
    <row r="994" spans="1:43" x14ac:dyDescent="0.25">
      <c r="A994" s="258">
        <f>ROW(TAB_Offres[[#This Row],[Reference]])-ROW(TAB_Offres[[#Headers],[ID]])</f>
        <v>993</v>
      </c>
      <c r="B994" s="258"/>
      <c r="C994" s="258"/>
      <c r="D994" s="258"/>
      <c r="E994" s="263"/>
      <c r="F994" s="258"/>
      <c r="G994" s="263"/>
      <c r="H994" s="262"/>
      <c r="I994" s="262"/>
      <c r="J994" s="262"/>
      <c r="K994" s="262"/>
      <c r="L994" s="262"/>
      <c r="M994" s="264"/>
      <c r="N994" s="262"/>
      <c r="O994" s="262"/>
      <c r="P994" s="262"/>
      <c r="Q994" s="263"/>
      <c r="R994" s="263"/>
      <c r="S994" s="292"/>
      <c r="T994" s="261"/>
      <c r="U994" s="261"/>
      <c r="V994" s="268"/>
      <c r="W994" s="268"/>
      <c r="X994" s="268"/>
      <c r="Y994" s="268"/>
      <c r="Z994" s="471">
        <f>SUMIF(TAB_CS[Reference],TAB_Offres[[#This Row],[Reference]],TAB_CS[Commited days])</f>
        <v>0</v>
      </c>
      <c r="AA994" s="269">
        <f>SUMIF(TAB_CS[Reference],TAB_Offres[[#This Row],[Reference]],TAB_CS[Commited amount])</f>
        <v>0</v>
      </c>
      <c r="AB994" s="275"/>
      <c r="AC994" s="270"/>
      <c r="AD994" s="270"/>
      <c r="AE994" s="264"/>
      <c r="AF994" s="271"/>
      <c r="AG994" s="278"/>
      <c r="AH994" s="277" t="str">
        <f>CONCATENATE(YEAR(TAB_Offres[[#This Row],[Request date ]]),"-",MONTH(TAB_Offres[[#This Row],[Request date ]]))</f>
        <v>1900-1</v>
      </c>
      <c r="AI994" s="274" t="e">
        <f>IF(#REF!,1,0)</f>
        <v>#REF!</v>
      </c>
      <c r="AJ994" s="4"/>
      <c r="AK994" s="4"/>
      <c r="AL994" s="4"/>
      <c r="AN994" s="150"/>
      <c r="AQ994" s="4"/>
    </row>
    <row r="995" spans="1:43" x14ac:dyDescent="0.25">
      <c r="A995" s="258">
        <f>ROW(TAB_Offres[[#This Row],[Reference]])-ROW(TAB_Offres[[#Headers],[ID]])</f>
        <v>994</v>
      </c>
      <c r="B995" s="258"/>
      <c r="C995" s="258"/>
      <c r="D995" s="258"/>
      <c r="E995" s="263"/>
      <c r="F995" s="258"/>
      <c r="G995" s="263"/>
      <c r="H995" s="262"/>
      <c r="I995" s="262"/>
      <c r="J995" s="262"/>
      <c r="K995" s="262"/>
      <c r="L995" s="262"/>
      <c r="M995" s="264"/>
      <c r="N995" s="262"/>
      <c r="O995" s="262"/>
      <c r="P995" s="262"/>
      <c r="Q995" s="263"/>
      <c r="R995" s="263"/>
      <c r="S995" s="292"/>
      <c r="T995" s="261"/>
      <c r="U995" s="261"/>
      <c r="V995" s="268"/>
      <c r="W995" s="268"/>
      <c r="X995" s="268"/>
      <c r="Y995" s="268"/>
      <c r="Z995" s="471">
        <f>SUMIF(TAB_CS[Reference],TAB_Offres[[#This Row],[Reference]],TAB_CS[Commited days])</f>
        <v>0</v>
      </c>
      <c r="AA995" s="269">
        <f>SUMIF(TAB_CS[Reference],TAB_Offres[[#This Row],[Reference]],TAB_CS[Commited amount])</f>
        <v>0</v>
      </c>
      <c r="AB995" s="275"/>
      <c r="AC995" s="270"/>
      <c r="AD995" s="270"/>
      <c r="AE995" s="264"/>
      <c r="AF995" s="271"/>
      <c r="AG995" s="278"/>
      <c r="AH995" s="277" t="str">
        <f>CONCATENATE(YEAR(TAB_Offres[[#This Row],[Request date ]]),"-",MONTH(TAB_Offres[[#This Row],[Request date ]]))</f>
        <v>1900-1</v>
      </c>
      <c r="AI995" s="274" t="e">
        <f>IF(#REF!,1,0)</f>
        <v>#REF!</v>
      </c>
      <c r="AJ995" s="4"/>
      <c r="AK995" s="4"/>
      <c r="AL995" s="4"/>
      <c r="AN995" s="150"/>
      <c r="AQ995" s="4"/>
    </row>
    <row r="996" spans="1:43" x14ac:dyDescent="0.25">
      <c r="A996" s="258">
        <f>ROW(TAB_Offres[[#This Row],[Reference]])-ROW(TAB_Offres[[#Headers],[ID]])</f>
        <v>995</v>
      </c>
      <c r="B996" s="258"/>
      <c r="C996" s="258"/>
      <c r="D996" s="258"/>
      <c r="E996" s="263"/>
      <c r="F996" s="258"/>
      <c r="G996" s="263"/>
      <c r="H996" s="262"/>
      <c r="I996" s="262"/>
      <c r="J996" s="262"/>
      <c r="K996" s="262"/>
      <c r="L996" s="262"/>
      <c r="M996" s="264"/>
      <c r="N996" s="262"/>
      <c r="O996" s="262"/>
      <c r="P996" s="262"/>
      <c r="Q996" s="263"/>
      <c r="R996" s="263"/>
      <c r="S996" s="292"/>
      <c r="T996" s="261"/>
      <c r="U996" s="261"/>
      <c r="V996" s="268"/>
      <c r="W996" s="268"/>
      <c r="X996" s="268"/>
      <c r="Y996" s="268"/>
      <c r="Z996" s="471">
        <f>SUMIF(TAB_CS[Reference],TAB_Offres[[#This Row],[Reference]],TAB_CS[Commited days])</f>
        <v>0</v>
      </c>
      <c r="AA996" s="269">
        <f>SUMIF(TAB_CS[Reference],TAB_Offres[[#This Row],[Reference]],TAB_CS[Commited amount])</f>
        <v>0</v>
      </c>
      <c r="AB996" s="275"/>
      <c r="AC996" s="270"/>
      <c r="AD996" s="270"/>
      <c r="AE996" s="264"/>
      <c r="AF996" s="271"/>
      <c r="AG996" s="278"/>
      <c r="AH996" s="277" t="str">
        <f>CONCATENATE(YEAR(TAB_Offres[[#This Row],[Request date ]]),"-",MONTH(TAB_Offres[[#This Row],[Request date ]]))</f>
        <v>1900-1</v>
      </c>
      <c r="AI996" s="274" t="e">
        <f>IF(#REF!,1,0)</f>
        <v>#REF!</v>
      </c>
      <c r="AJ996" s="4"/>
      <c r="AK996" s="4"/>
      <c r="AL996" s="4"/>
      <c r="AN996" s="150"/>
      <c r="AQ996" s="4"/>
    </row>
    <row r="997" spans="1:43" x14ac:dyDescent="0.25">
      <c r="A997" s="258">
        <f>ROW(TAB_Offres[[#This Row],[Reference]])-ROW(TAB_Offres[[#Headers],[ID]])</f>
        <v>996</v>
      </c>
      <c r="B997" s="258"/>
      <c r="C997" s="258"/>
      <c r="D997" s="258"/>
      <c r="E997" s="263"/>
      <c r="F997" s="258"/>
      <c r="G997" s="263"/>
      <c r="H997" s="262"/>
      <c r="I997" s="262"/>
      <c r="J997" s="262"/>
      <c r="K997" s="262"/>
      <c r="L997" s="262"/>
      <c r="M997" s="264"/>
      <c r="N997" s="262"/>
      <c r="O997" s="262"/>
      <c r="P997" s="262"/>
      <c r="Q997" s="263"/>
      <c r="R997" s="263"/>
      <c r="S997" s="292"/>
      <c r="T997" s="261"/>
      <c r="U997" s="261"/>
      <c r="V997" s="268"/>
      <c r="W997" s="268"/>
      <c r="X997" s="268"/>
      <c r="Y997" s="268"/>
      <c r="Z997" s="471">
        <f>SUMIF(TAB_CS[Reference],TAB_Offres[[#This Row],[Reference]],TAB_CS[Commited days])</f>
        <v>0</v>
      </c>
      <c r="AA997" s="269">
        <f>SUMIF(TAB_CS[Reference],TAB_Offres[[#This Row],[Reference]],TAB_CS[Commited amount])</f>
        <v>0</v>
      </c>
      <c r="AB997" s="275"/>
      <c r="AC997" s="270"/>
      <c r="AD997" s="270"/>
      <c r="AE997" s="264"/>
      <c r="AF997" s="271"/>
      <c r="AG997" s="278"/>
      <c r="AH997" s="277" t="str">
        <f>CONCATENATE(YEAR(TAB_Offres[[#This Row],[Request date ]]),"-",MONTH(TAB_Offres[[#This Row],[Request date ]]))</f>
        <v>1900-1</v>
      </c>
      <c r="AI997" s="274" t="e">
        <f>IF(#REF!,1,0)</f>
        <v>#REF!</v>
      </c>
      <c r="AJ997" s="4"/>
      <c r="AK997" s="4"/>
      <c r="AL997" s="4"/>
      <c r="AN997" s="150"/>
      <c r="AQ997" s="4"/>
    </row>
    <row r="998" spans="1:43" x14ac:dyDescent="0.25">
      <c r="A998" s="279">
        <f>ROW(TAB_Offres[[#This Row],[Reference]])-ROW(TAB_Offres[[#Headers],[ID]])</f>
        <v>997</v>
      </c>
      <c r="B998" s="279"/>
      <c r="C998" s="279"/>
      <c r="D998" s="279"/>
      <c r="E998" s="280"/>
      <c r="F998" s="279"/>
      <c r="G998" s="280"/>
      <c r="H998" s="281"/>
      <c r="I998" s="281"/>
      <c r="J998" s="281"/>
      <c r="K998" s="281"/>
      <c r="L998" s="281"/>
      <c r="M998" s="273"/>
      <c r="N998" s="281"/>
      <c r="O998" s="281"/>
      <c r="P998" s="281"/>
      <c r="Q998" s="280"/>
      <c r="R998" s="280"/>
      <c r="S998" s="292"/>
      <c r="T998" s="261"/>
      <c r="U998" s="261"/>
      <c r="V998" s="288"/>
      <c r="W998" s="288"/>
      <c r="X998" s="288"/>
      <c r="Y998" s="288"/>
      <c r="Z998" s="471">
        <f>SUMIF(TAB_CS[Reference],TAB_Offres[[#This Row],[Reference]],TAB_CS[Commited days])</f>
        <v>0</v>
      </c>
      <c r="AA998" s="269">
        <f>SUMIF(TAB_CS[Reference],TAB_Offres[[#This Row],[Reference]],TAB_CS[Commited amount])</f>
        <v>0</v>
      </c>
      <c r="AB998" s="267"/>
      <c r="AC998" s="282"/>
      <c r="AD998" s="282"/>
      <c r="AE998" s="273"/>
      <c r="AF998" s="271"/>
      <c r="AG998" s="278"/>
      <c r="AH998" s="277" t="str">
        <f>CONCATENATE(YEAR(TAB_Offres[[#This Row],[Request date ]]),"-",MONTH(TAB_Offres[[#This Row],[Request date ]]))</f>
        <v>1900-1</v>
      </c>
      <c r="AI998" s="283" t="e">
        <f>IF(#REF!,1,0)</f>
        <v>#REF!</v>
      </c>
      <c r="AJ998" s="4"/>
      <c r="AK998" s="4"/>
      <c r="AL998" s="4"/>
      <c r="AN998" s="150"/>
      <c r="AQ998" s="4"/>
    </row>
    <row r="999" spans="1:43" x14ac:dyDescent="0.25">
      <c r="A999" s="279">
        <f>ROW(TAB_Offres[[#This Row],[Reference]])-ROW(TAB_Offres[[#Headers],[ID]])</f>
        <v>998</v>
      </c>
      <c r="B999" s="279"/>
      <c r="C999" s="279"/>
      <c r="D999" s="279"/>
      <c r="E999" s="280"/>
      <c r="F999" s="279"/>
      <c r="G999" s="280"/>
      <c r="H999" s="281"/>
      <c r="I999" s="281"/>
      <c r="J999" s="281"/>
      <c r="K999" s="281"/>
      <c r="L999" s="281"/>
      <c r="M999" s="273"/>
      <c r="N999" s="281"/>
      <c r="O999" s="281"/>
      <c r="P999" s="281"/>
      <c r="Q999" s="280"/>
      <c r="R999" s="280"/>
      <c r="S999" s="292"/>
      <c r="T999" s="261"/>
      <c r="U999" s="261"/>
      <c r="V999" s="288"/>
      <c r="W999" s="288"/>
      <c r="X999" s="288"/>
      <c r="Y999" s="288"/>
      <c r="Z999" s="471">
        <f>SUMIF(TAB_CS[Reference],TAB_Offres[[#This Row],[Reference]],TAB_CS[Commited days])</f>
        <v>0</v>
      </c>
      <c r="AA999" s="269">
        <f>SUMIF(TAB_CS[Reference],TAB_Offres[[#This Row],[Reference]],TAB_CS[Commited amount])</f>
        <v>0</v>
      </c>
      <c r="AB999" s="267"/>
      <c r="AC999" s="282"/>
      <c r="AD999" s="282"/>
      <c r="AE999" s="273"/>
      <c r="AF999" s="271"/>
      <c r="AG999" s="272"/>
      <c r="AH999" s="273" t="str">
        <f>CONCATENATE(YEAR(TAB_Offres[[#This Row],[Request date ]]),"-",MONTH(TAB_Offres[[#This Row],[Request date ]]))</f>
        <v>1900-1</v>
      </c>
      <c r="AI999" s="283" t="e">
        <f>IF(#REF!,1,0)</f>
        <v>#REF!</v>
      </c>
      <c r="AJ999" s="4"/>
      <c r="AK999" s="4"/>
      <c r="AL999" s="4"/>
      <c r="AN999" s="150"/>
      <c r="AQ999" s="4"/>
    </row>
  </sheetData>
  <conditionalFormatting sqref="AK1000:AK1048576 AH74:AH999 AA2:AA999">
    <cfRule type="iconSet" priority="17">
      <iconSet iconSet="3Symbols2">
        <cfvo type="percent" val="0"/>
        <cfvo type="num" val="0"/>
        <cfvo type="num" val="1"/>
      </iconSet>
    </cfRule>
  </conditionalFormatting>
  <conditionalFormatting sqref="AA2:AA999">
    <cfRule type="expression" dxfId="410" priority="20">
      <formula>#REF!&lt;&gt;$AA2</formula>
    </cfRule>
  </conditionalFormatting>
  <dataValidations count="10">
    <dataValidation type="list" allowBlank="1" showInputMessage="1" showErrorMessage="1" sqref="AD58:AD60 AG1000:AG1048576 AE1:AE999" xr:uid="{00000000-0002-0000-0500-00000B000000}">
      <formula1>VALUES_LEVEL</formula1>
    </dataValidation>
    <dataValidation type="list" allowBlank="1" showInputMessage="1" showErrorMessage="1" errorTitle="Erreur" error="Lot non defini" sqref="B2:B999" xr:uid="{00000000-0002-0000-0500-000000000000}">
      <formula1>VALUES_LOT</formula1>
    </dataValidation>
    <dataValidation type="list" allowBlank="1" showInputMessage="1" showErrorMessage="1" sqref="C2:C999" xr:uid="{00000000-0002-0000-0500-000001000000}">
      <formula1>VALUES_INSTITUTIONS</formula1>
    </dataValidation>
    <dataValidation type="list" allowBlank="1" showInputMessage="1" showErrorMessage="1" sqref="H1:H1048576" xr:uid="{00000000-0002-0000-0500-000002000000}">
      <formula1>VALUES_CONSORTIUM</formula1>
    </dataValidation>
    <dataValidation type="list" allowBlank="1" showInputMessage="1" showErrorMessage="1" sqref="AB2:AB999" xr:uid="{00000000-0002-0000-0500-000004000000}">
      <formula1>VALUES_CS_STATE</formula1>
    </dataValidation>
    <dataValidation type="list" allowBlank="1" showInputMessage="1" showErrorMessage="1" sqref="I2:I999" xr:uid="{00000000-0002-0000-0500-000005000000}">
      <formula1>VALUES_DELIVERY_MODE</formula1>
    </dataValidation>
    <dataValidation type="list" allowBlank="1" showInputMessage="1" showErrorMessage="1" sqref="L2:L999" xr:uid="{00000000-0002-0000-0500-000007000000}">
      <formula1>VALUES_MODES</formula1>
    </dataValidation>
    <dataValidation type="list" allowBlank="1" showInputMessage="1" showErrorMessage="1" sqref="O2:O999" xr:uid="{00000000-0002-0000-0500-000008000000}">
      <formula1>VALUES_REQUEST_STATE</formula1>
    </dataValidation>
    <dataValidation type="list" allowBlank="1" showInputMessage="1" showErrorMessage="1" sqref="P2:P999" xr:uid="{00000000-0002-0000-0500-000009000000}">
      <formula1>VALUES_YN</formula1>
    </dataValidation>
    <dataValidation type="list" allowBlank="1" showInputMessage="1" showErrorMessage="1" sqref="AD2:AD999" xr:uid="{00000000-0002-0000-0500-00000A000000}">
      <formula1>VALUES_PROFILE</formula1>
    </dataValidation>
  </dataValidations>
  <printOptions horizontalCentered="1" verticalCentered="1"/>
  <pageMargins left="0.31496062992125984" right="0.31496062992125984" top="0.35433070866141736" bottom="0.74803149606299213" header="0.31496062992125984" footer="0.31496062992125984"/>
  <pageSetup scale="61" orientation="landscape" r:id="rId1"/>
  <headerFooter>
    <oddFooter>&amp;C_x000D_&amp;1#&amp;"Arial"&amp;9&amp;K000000 Confidential</oddFooter>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1">
    <tabColor rgb="FFFF6A00"/>
  </sheetPr>
  <dimension ref="A1:BZ189"/>
  <sheetViews>
    <sheetView tabSelected="1" zoomScaleNormal="100" workbookViewId="0">
      <pane xSplit="21" ySplit="2" topLeftCell="BG145" activePane="bottomRight" state="frozen"/>
      <selection pane="topRight" activeCell="R1" sqref="R1"/>
      <selection pane="bottomLeft" activeCell="A3" sqref="A3"/>
      <selection pane="bottomRight"/>
    </sheetView>
  </sheetViews>
  <sheetFormatPr baseColWidth="10" defaultColWidth="9.109375" defaultRowHeight="13.2" outlineLevelCol="1" x14ac:dyDescent="0.25"/>
  <cols>
    <col min="1" max="1" width="6.44140625" customWidth="1"/>
    <col min="2" max="2" width="31.33203125" customWidth="1"/>
    <col min="3" max="3" width="14.5546875" style="1" customWidth="1"/>
    <col min="4" max="4" width="8.6640625" bestFit="1" customWidth="1"/>
    <col min="5" max="5" width="9.44140625" customWidth="1"/>
    <col min="6" max="6" width="30.5546875" customWidth="1"/>
    <col min="7" max="7" width="21.109375" hidden="1" customWidth="1" outlineLevel="1"/>
    <col min="8" max="8" width="11.6640625" hidden="1" customWidth="1" outlineLevel="1"/>
    <col min="9" max="9" width="30.5546875" hidden="1" customWidth="1" outlineLevel="1"/>
    <col min="10" max="10" width="21.109375" style="1" hidden="1" customWidth="1" outlineLevel="1"/>
    <col min="11" max="11" width="16.88671875" hidden="1" customWidth="1" outlineLevel="1"/>
    <col min="12" max="12" width="16.33203125" hidden="1" customWidth="1" outlineLevel="1"/>
    <col min="13" max="13" width="10.33203125" style="1" hidden="1" customWidth="1" outlineLevel="1"/>
    <col min="14" max="14" width="28.33203125" style="26" customWidth="1" collapsed="1"/>
    <col min="15" max="15" width="10.33203125" customWidth="1"/>
    <col min="16" max="17" width="15" hidden="1" customWidth="1"/>
    <col min="18" max="18" width="32.6640625" customWidth="1"/>
    <col min="19" max="19" width="6.88671875" customWidth="1"/>
    <col min="20" max="20" width="7.6640625" customWidth="1"/>
    <col min="21" max="21" width="9.88671875" customWidth="1"/>
    <col min="22" max="23" width="19.33203125" hidden="1" customWidth="1" outlineLevel="1"/>
    <col min="24" max="24" width="16" hidden="1" customWidth="1" outlineLevel="1"/>
    <col min="25" max="25" width="14.6640625" hidden="1" customWidth="1" outlineLevel="1"/>
    <col min="26" max="26" width="14.5546875" hidden="1" customWidth="1" outlineLevel="1"/>
    <col min="27" max="27" width="15.109375" hidden="1" customWidth="1" outlineLevel="1"/>
    <col min="28" max="28" width="14.5546875" hidden="1" customWidth="1" outlineLevel="1"/>
    <col min="29" max="29" width="15.33203125" hidden="1" customWidth="1" outlineLevel="1"/>
    <col min="30" max="30" width="22" hidden="1" customWidth="1" outlineLevel="1"/>
    <col min="31" max="31" width="6.88671875" customWidth="1" collapsed="1"/>
    <col min="32" max="34" width="9.5546875" hidden="1" customWidth="1" outlineLevel="1"/>
    <col min="35" max="35" width="21.33203125" hidden="1" customWidth="1" outlineLevel="1"/>
    <col min="36" max="36" width="9.5546875" hidden="1" customWidth="1" outlineLevel="1"/>
    <col min="37" max="41" width="9.109375" hidden="1" customWidth="1" outlineLevel="1"/>
    <col min="42" max="43" width="9.5546875" hidden="1" customWidth="1" outlineLevel="1"/>
    <col min="44" max="44" width="9.109375" hidden="1" customWidth="1" outlineLevel="1"/>
    <col min="45" max="46" width="9.5546875" hidden="1" customWidth="1" outlineLevel="1"/>
    <col min="47" max="47" width="9.109375" hidden="1" customWidth="1" outlineLevel="1"/>
    <col min="48" max="48" width="13.33203125" hidden="1" customWidth="1" outlineLevel="1"/>
    <col min="49" max="49" width="10.109375" hidden="1" customWidth="1" outlineLevel="1"/>
    <col min="50" max="50" width="10" customWidth="1" collapsed="1"/>
    <col min="52" max="52" width="8.44140625" customWidth="1"/>
    <col min="54" max="54" width="9.5546875" customWidth="1"/>
    <col min="56" max="57" width="8.44140625" customWidth="1"/>
    <col min="59" max="59" width="9.44140625" customWidth="1"/>
    <col min="61" max="62" width="8.44140625" customWidth="1"/>
    <col min="64" max="64" width="8.44140625" customWidth="1"/>
    <col min="65" max="65" width="9.5546875" customWidth="1"/>
    <col min="66" max="66" width="8.44140625" customWidth="1"/>
    <col min="67" max="67" width="8.44140625" bestFit="1" customWidth="1"/>
    <col min="68" max="85" width="8.44140625" customWidth="1"/>
    <col min="86" max="86" width="9.109375" customWidth="1"/>
  </cols>
  <sheetData>
    <row r="1" spans="1:78" ht="12.75" customHeight="1" x14ac:dyDescent="0.25">
      <c r="A1" s="11"/>
      <c r="B1" s="11"/>
      <c r="C1" s="16"/>
      <c r="D1" s="11"/>
      <c r="E1" s="11"/>
      <c r="F1" s="11"/>
      <c r="G1" s="11"/>
      <c r="H1" s="11"/>
      <c r="I1" s="11"/>
      <c r="J1" s="16"/>
      <c r="K1" s="11"/>
      <c r="L1" s="11"/>
      <c r="M1" s="16"/>
      <c r="N1" s="34"/>
      <c r="O1" s="11"/>
      <c r="P1" s="11"/>
      <c r="Q1" s="11"/>
      <c r="R1" s="11"/>
      <c r="S1" s="11"/>
      <c r="T1" s="11"/>
      <c r="U1" s="663" t="s">
        <v>191</v>
      </c>
      <c r="V1" s="664"/>
      <c r="W1" s="663" t="s">
        <v>2</v>
      </c>
      <c r="X1" s="664"/>
      <c r="Y1" s="663" t="s">
        <v>193</v>
      </c>
      <c r="Z1" s="665"/>
      <c r="AA1" s="666" t="s">
        <v>228</v>
      </c>
      <c r="AB1" s="666"/>
      <c r="AC1" s="140"/>
      <c r="AE1" s="661" t="s">
        <v>198</v>
      </c>
      <c r="AF1" s="662"/>
      <c r="AG1" s="662"/>
      <c r="AH1" s="662"/>
      <c r="AI1" s="662"/>
      <c r="AJ1" s="136"/>
      <c r="AK1" s="136"/>
      <c r="AL1" s="136"/>
      <c r="AM1" s="136"/>
      <c r="AN1" s="142"/>
      <c r="AO1" s="88"/>
      <c r="AP1" s="88"/>
      <c r="AQ1" s="88"/>
      <c r="AR1" s="88"/>
      <c r="AS1" s="88"/>
      <c r="AT1" s="88"/>
      <c r="AU1" s="88"/>
      <c r="AV1" s="88"/>
      <c r="AW1" s="88"/>
      <c r="AX1" s="88"/>
      <c r="AY1" s="88"/>
      <c r="AZ1" s="88"/>
      <c r="BA1" s="88"/>
      <c r="BB1" s="88"/>
      <c r="BC1" s="88"/>
      <c r="BD1" s="88"/>
      <c r="BE1" s="88"/>
      <c r="BF1" s="88"/>
      <c r="BG1" s="88"/>
      <c r="BH1" s="88"/>
      <c r="BI1" s="88"/>
      <c r="BJ1" s="88"/>
      <c r="BK1" s="88"/>
      <c r="BL1" s="88"/>
      <c r="BM1" s="88"/>
      <c r="BN1" s="88"/>
      <c r="BO1" s="88"/>
      <c r="BP1" s="88"/>
      <c r="BQ1" s="88"/>
      <c r="BR1" s="88"/>
      <c r="BS1" s="88"/>
      <c r="BT1" s="88"/>
      <c r="BU1" s="88"/>
      <c r="BV1" s="88"/>
      <c r="BW1" s="88"/>
      <c r="BX1" s="88"/>
      <c r="BY1" s="88"/>
    </row>
    <row r="2" spans="1:78" ht="76.5" customHeight="1" x14ac:dyDescent="0.25">
      <c r="A2" s="7" t="s">
        <v>3</v>
      </c>
      <c r="B2" s="7" t="s">
        <v>159</v>
      </c>
      <c r="C2" s="7" t="s">
        <v>5595</v>
      </c>
      <c r="D2" s="7" t="s">
        <v>48</v>
      </c>
      <c r="E2" s="7" t="s">
        <v>5919</v>
      </c>
      <c r="F2" s="7" t="s">
        <v>354</v>
      </c>
      <c r="G2" s="7" t="s">
        <v>187</v>
      </c>
      <c r="H2" s="7" t="s">
        <v>137</v>
      </c>
      <c r="I2" s="7" t="s">
        <v>5</v>
      </c>
      <c r="J2" s="7" t="s">
        <v>180</v>
      </c>
      <c r="K2" s="7" t="s">
        <v>188</v>
      </c>
      <c r="L2" s="7" t="s">
        <v>176</v>
      </c>
      <c r="M2" s="7" t="s">
        <v>192</v>
      </c>
      <c r="N2" s="530" t="s">
        <v>1</v>
      </c>
      <c r="O2" s="7" t="s">
        <v>161</v>
      </c>
      <c r="P2" s="7" t="s">
        <v>5879</v>
      </c>
      <c r="Q2" s="7" t="s">
        <v>5917</v>
      </c>
      <c r="R2" s="7" t="s">
        <v>183</v>
      </c>
      <c r="S2" s="7" t="s">
        <v>49</v>
      </c>
      <c r="T2" s="7" t="s">
        <v>189</v>
      </c>
      <c r="U2" s="287" t="s">
        <v>190</v>
      </c>
      <c r="V2" s="7" t="s">
        <v>182</v>
      </c>
      <c r="W2" s="7" t="s">
        <v>194</v>
      </c>
      <c r="X2" s="7" t="s">
        <v>195</v>
      </c>
      <c r="Y2" s="7" t="s">
        <v>196</v>
      </c>
      <c r="Z2" s="95" t="s">
        <v>197</v>
      </c>
      <c r="AA2" s="12" t="s">
        <v>226</v>
      </c>
      <c r="AB2" s="12" t="s">
        <v>227</v>
      </c>
      <c r="AC2" s="12" t="s">
        <v>15</v>
      </c>
      <c r="AD2" s="12" t="s">
        <v>6</v>
      </c>
      <c r="AE2" s="431" t="s">
        <v>5528</v>
      </c>
      <c r="AF2" s="431" t="s">
        <v>5529</v>
      </c>
      <c r="AG2" s="431" t="s">
        <v>5530</v>
      </c>
      <c r="AH2" s="431" t="s">
        <v>5531</v>
      </c>
      <c r="AI2" s="431" t="s">
        <v>5532</v>
      </c>
      <c r="AJ2" s="431" t="s">
        <v>5533</v>
      </c>
      <c r="AK2" s="431" t="s">
        <v>5534</v>
      </c>
      <c r="AL2" s="431" t="s">
        <v>5535</v>
      </c>
      <c r="AM2" s="431" t="s">
        <v>5536</v>
      </c>
      <c r="AN2" s="431" t="s">
        <v>210</v>
      </c>
      <c r="AO2" s="431" t="s">
        <v>211</v>
      </c>
      <c r="AP2" s="431" t="s">
        <v>212</v>
      </c>
      <c r="AQ2" s="431" t="s">
        <v>213</v>
      </c>
      <c r="AR2" s="431" t="s">
        <v>209</v>
      </c>
      <c r="AS2" s="431" t="s">
        <v>214</v>
      </c>
      <c r="AT2" s="431" t="s">
        <v>215</v>
      </c>
      <c r="AU2" s="431" t="s">
        <v>216</v>
      </c>
      <c r="AV2" s="431" t="s">
        <v>5537</v>
      </c>
      <c r="AW2" s="431" t="s">
        <v>218</v>
      </c>
      <c r="AX2" s="431" t="s">
        <v>219</v>
      </c>
      <c r="AY2" s="431" t="s">
        <v>220</v>
      </c>
      <c r="AZ2" s="431" t="s">
        <v>221</v>
      </c>
      <c r="BA2" s="431" t="s">
        <v>5527</v>
      </c>
      <c r="BB2" s="431" t="s">
        <v>5539</v>
      </c>
      <c r="BC2" s="431" t="s">
        <v>5541</v>
      </c>
      <c r="BD2" s="431" t="s">
        <v>5540</v>
      </c>
      <c r="BE2" s="431" t="s">
        <v>5542</v>
      </c>
      <c r="BF2" s="431" t="s">
        <v>5543</v>
      </c>
      <c r="BG2" s="431" t="s">
        <v>5544</v>
      </c>
      <c r="BH2" s="431" t="s">
        <v>5545</v>
      </c>
      <c r="BI2" s="431" t="s">
        <v>7</v>
      </c>
      <c r="BJ2" s="432" t="s">
        <v>5538</v>
      </c>
      <c r="BK2" s="431" t="s">
        <v>5546</v>
      </c>
      <c r="BL2" s="431" t="s">
        <v>5547</v>
      </c>
      <c r="BM2" s="431" t="s">
        <v>5455</v>
      </c>
      <c r="BN2" s="431" t="s">
        <v>5526</v>
      </c>
      <c r="BO2" s="431" t="s">
        <v>5797</v>
      </c>
      <c r="BP2" s="432" t="s">
        <v>5798</v>
      </c>
      <c r="BQ2" s="431" t="s">
        <v>5799</v>
      </c>
      <c r="BR2" s="432" t="s">
        <v>5800</v>
      </c>
      <c r="BS2" s="432" t="s">
        <v>5886</v>
      </c>
      <c r="BT2" s="432" t="s">
        <v>5885</v>
      </c>
      <c r="BU2" s="432" t="s">
        <v>5884</v>
      </c>
      <c r="BV2" s="366" t="s">
        <v>5883</v>
      </c>
      <c r="BW2" s="432" t="s">
        <v>5882</v>
      </c>
      <c r="BX2" s="366" t="s">
        <v>5881</v>
      </c>
      <c r="BY2" s="432" t="s">
        <v>5880</v>
      </c>
      <c r="BZ2" s="7" t="s">
        <v>8</v>
      </c>
    </row>
    <row r="3" spans="1:78" s="4" customFormat="1" ht="12.75" customHeight="1" x14ac:dyDescent="0.3">
      <c r="A3" s="150">
        <f>IF(ISBLANK(TAB_CS[[#This Row],[Reference]]),"",INDEX(TAB_Offres[ID],MATCH(TAB_CS[[#This Row],[Reference]],TAB_Offres[Reference],0)))</f>
        <v>1</v>
      </c>
      <c r="B3" s="154" t="s">
        <v>592</v>
      </c>
      <c r="C3" s="605" t="s">
        <v>5655</v>
      </c>
      <c r="D3" s="150" t="str">
        <f>IF(ISBLANK(TAB_CS[[#This Row],[Reference]]),"",VLOOKUP(TAB_CS[[#This Row],[ID]],TAB_Offres[],2,FALSE))</f>
        <v>Lot 2</v>
      </c>
      <c r="E3" s="150" t="s">
        <v>5920</v>
      </c>
      <c r="F3" s="154">
        <f>_xlfn.IFNA(IF(ISBLANK(TAB_CS[[#This Row],[Reference]]),"",VLOOKUP(TAB_CS[[#This Row],[Reference]],TAB_Offres[[Reference]:[Modification Request]],COLUMNS(TAB_Offres[[Reference]:[Modification Request]]),FALSE)),)</f>
        <v>0</v>
      </c>
      <c r="G3" s="150" t="str">
        <f>IF(ISBLANK(TAB_CS[[#This Row],[Reference]]),"",INDEX(TAB_Offres[Institution/agency],MATCH(TAB_CS[[#This Row],[Reference]],TAB_Offres[Reference],0)))</f>
        <v>EC</v>
      </c>
      <c r="H3" s="150" t="str">
        <f>IF(ISBLANK(TAB_CS[[#This Row],[Reference]]),"",INDEX(TAB_Offres[DG],MATCH(TAB_CS[[#This Row],[Reference]],TAB_Offres[Reference],0)))</f>
        <v>DIGIT.R.2</v>
      </c>
      <c r="I3" t="str">
        <f>IF(ISBLANK(TAB_CS[[#This Row],[Reference]]),"",INDEX(TAB_Offres[Offer description],MATCH(TAB_CS[[#This Row],[Reference]],TAB_Offres[Reference],0)))</f>
        <v>Project Manager for budget &amp; financial IT tools - New</v>
      </c>
      <c r="J3" s="155">
        <f>_xlfn.IFNA(IF(ISBLANK(TAB_CS[[#This Row],[Ressource]]),,VLOOKUP(TAB_CS[[#This Row],[Reference]],TAB_Offres[[Reference]:[CS signature date]],COLUMNS(TAB_Offres[[Reference]:[CS signature date]]),FALSE)),"")</f>
        <v>45093</v>
      </c>
      <c r="K3" s="155">
        <f>_xlfn.IFNA(IF(ISBLANK(TAB_CS[[#This Row],[Ressource]]),,VLOOKUP(TAB_CS[[#This Row],[Reference]],TAB_Offres[[Reference]:[CS start date]],COLUMNS(TAB_Offres[[Reference]:[CS start date]]),FALSE)),"")</f>
        <v>0</v>
      </c>
      <c r="L3" s="155">
        <f>_xlfn.IFNA(IF(ISBLANK(TAB_CS[[#This Row],[Ressource]]),,VLOOKUP(TAB_CS[[#This Row],[Reference]],TAB_Offres[[Reference]:[CS end date]],COLUMNS(TAB_Offres[[Reference]:[CS end date]]),FALSE)),"")</f>
        <v>45096</v>
      </c>
      <c r="M3" s="1" t="str">
        <f>_xlfn.IFNA(IF(ISBLANK(TAB_CS[[#This Row],[Ressource]]),,VLOOKUP(TAB_CS[[#This Row],[Reference]],TAB_Offres[[Reference]:[CS State]],COLUMNS(TAB_Offres[[Reference]:[CS State]]),FALSE)),"")</f>
        <v>START</v>
      </c>
      <c r="N3" s="154" t="str">
        <f>VLOOKUP(TAB_CS[[#This Row],[Reference]],TAB_Offres[[Reference]:[Ressource 1]],25,FALSE)</f>
        <v>SABĂU, Răzvan-Eugen</v>
      </c>
      <c r="O3" s="150" t="str">
        <f>_xlfn.IFNA(IF(ISBLANK(TAB_CS[[#This Row],[Ressource]]),,VLOOKUP(TAB_CS[[#This Row],[Reference]],TAB_Offres[[Reference]:[Company]],COLUMNS(TAB_Offres[[Reference]:[Company]]),FALSE)),"")</f>
        <v>TREMEND</v>
      </c>
      <c r="P3" s="1" t="str">
        <f>_xlfn.CONCAT(TAB_CS[[#This Row],[Ressource]],TAB_CS[[#This Row],[Profile in €]])</f>
        <v>SABĂU, Răzvan-Eugen753,77</v>
      </c>
      <c r="Q3" s="1" t="str">
        <f>_xlfn.CONCAT(TAB_CS[[#This Row],[Company]],TAB_CS[[#This Row],[Business perimeter]])</f>
        <v>TREMENDNB</v>
      </c>
      <c r="R3" s="150" t="str">
        <f>_xlfn.IFNA(IF(ISBLANK(TAB_CS[[#This Row],[Ressource]]),"",VLOOKUP(TAB_CS[[#This Row],[Reference]],TAB_Offres[[Reference]:[Profile]],COLUMNS(TAB_Offres[[Reference]:[Profile]]),FALSE)),"")</f>
        <v>Project Manager</v>
      </c>
      <c r="S3" s="150">
        <f>_xlfn.IFNA(IF(ISBLANK(TAB_CS[[#This Row],[Ressource]]),"",VLOOKUP(TAB_CS[[#This Row],[Reference]],TAB_Offres[[Reference]:[Level]],COLUMNS(TAB_Offres[[Reference]:[Level]]),FALSE)),"")</f>
        <v>9</v>
      </c>
      <c r="T3" s="156">
        <f>_xlfn.IFNA(IF(OR(ISBLANK(TAB_CS[[#This Row],[Level]]),TAB_CS[[#This Row],[Level]]=""),,VLOOKUP(TAB_CS[[#This Row],[Profile]],TAB_prix[],2+TAB_CS[[#This Row],[Level]],FALSE)),)</f>
        <v>753.77</v>
      </c>
      <c r="U3" s="151">
        <v>220</v>
      </c>
      <c r="V3" s="205">
        <f>IF(OR(ISBLANK(TAB_CS[[#This Row],[Commited days]]),TAB_CS[[#This Row],[Commited days]]=0),,TAB_CS[[#This Row],[Commited days]]*TAB_CS[[#This Row],[Profile in €]])</f>
        <v>165829.4</v>
      </c>
      <c r="W3" s="156">
        <f>SUM(TAB_CS[[#This Row],[F]:[P+1]])-TAB_CS[[#This Row],[P+1]]</f>
        <v>220</v>
      </c>
      <c r="X3" s="205">
        <f>IF(OR(ISBLANK(TAB_CS[[#This Row],[Producted days]]),TAB_CS[[#This Row],[Producted days]]=0),,TAB_CS[[#This Row],[Producted days]]*TAB_CS[[#This Row],[Profile in €]])</f>
        <v>165829.4</v>
      </c>
      <c r="Y3" s="206">
        <f>TAB_CS[[#This Row],[Commited days]]-TAB_CS[[#This Row],[Producted days]]</f>
        <v>0</v>
      </c>
      <c r="Z3" s="205">
        <f>IF(OR(ISBLANK(TAB_CS[[#This Row],[Remaining days]]),TAB_CS[[#This Row],[Remaining days]]=0),,TAB_CS[[#This Row],[Remaining days]]*TAB_CS[[#This Row],[Profile in €]])</f>
        <v>0</v>
      </c>
      <c r="AA3" s="207">
        <f>SUM(TAB_CS[[#This Row],[P+1]:[FP]])</f>
        <v>0</v>
      </c>
      <c r="AB3" s="208">
        <f>IF(OR(ISBLANK(TAB_CS[[#This Row],[Expected days]]),TAB_CS[[#This Row],[Expected days]]=0),,TAB_CS[[#This Row],[Expected days]]*TAB_CS[[#This Row],[Profile in €]])</f>
        <v>0</v>
      </c>
      <c r="AC3" s="14" t="str">
        <f>CONCATENATE(TAB_CS[[#This Row],[DG]],TAB_CS[[#This Row],[Company]])</f>
        <v>DIGIT.R.2TREMEND</v>
      </c>
      <c r="AD3" s="144"/>
      <c r="AE3" s="150"/>
      <c r="AF3" s="151"/>
      <c r="AG3" s="151"/>
      <c r="AH3" s="151"/>
      <c r="AI3" s="150"/>
      <c r="AJ3" s="151"/>
      <c r="AK3" s="156"/>
      <c r="AL3" s="156"/>
      <c r="AM3" s="150"/>
      <c r="AN3" s="150"/>
      <c r="AO3" s="150"/>
      <c r="AP3" s="150"/>
      <c r="AQ3" s="150"/>
      <c r="AR3" s="150"/>
      <c r="AS3" s="351">
        <v>7</v>
      </c>
      <c r="AT3" s="351">
        <v>20</v>
      </c>
      <c r="AU3" s="351">
        <v>18</v>
      </c>
      <c r="AV3" s="352">
        <v>20</v>
      </c>
      <c r="AW3" s="351">
        <v>18.5</v>
      </c>
      <c r="AX3" s="351">
        <v>9</v>
      </c>
      <c r="AY3" s="351">
        <v>15.5</v>
      </c>
      <c r="AZ3" s="351">
        <v>18</v>
      </c>
      <c r="BA3" s="351">
        <v>17</v>
      </c>
      <c r="BB3" s="351">
        <v>18.5</v>
      </c>
      <c r="BC3" s="351">
        <v>18.5</v>
      </c>
      <c r="BD3" s="351">
        <v>8</v>
      </c>
      <c r="BE3" s="351">
        <v>19.5</v>
      </c>
      <c r="BF3" s="351">
        <v>12.5</v>
      </c>
      <c r="BG3" s="643"/>
      <c r="BH3" s="643"/>
      <c r="BI3" s="350"/>
      <c r="BJ3" s="643"/>
      <c r="BK3" s="643"/>
      <c r="BL3" s="643"/>
      <c r="BM3" s="350"/>
      <c r="BN3" s="643"/>
      <c r="BO3" s="643"/>
      <c r="BP3" s="643"/>
      <c r="BQ3" s="643"/>
      <c r="BR3" s="643"/>
      <c r="BS3" s="643"/>
      <c r="BT3" s="643"/>
      <c r="BU3" s="643"/>
      <c r="BV3" s="643"/>
      <c r="BW3" s="643"/>
      <c r="BX3" s="643"/>
      <c r="BY3" s="643"/>
      <c r="BZ3" s="541"/>
    </row>
    <row r="4" spans="1:78" ht="12.75" customHeight="1" x14ac:dyDescent="0.3">
      <c r="A4" s="1">
        <f>IF(ISBLANK(TAB_CS[[#This Row],[Reference]]),"",INDEX(TAB_Offres[ID],MATCH(TAB_CS[[#This Row],[Reference]],TAB_Offres[Reference],0)))</f>
        <v>2</v>
      </c>
      <c r="B4" s="26" t="s">
        <v>5470</v>
      </c>
      <c r="C4" s="1" t="s">
        <v>23</v>
      </c>
      <c r="D4" s="1" t="str">
        <f>IF(ISBLANK(TAB_CS[[#This Row],[Reference]]),"",VLOOKUP(TAB_CS[[#This Row],[ID]],TAB_Offres[],2,FALSE))</f>
        <v>Lot 1</v>
      </c>
      <c r="E4" s="150" t="s">
        <v>5918</v>
      </c>
      <c r="F4" s="26">
        <f>_xlfn.IFNA(IF(ISBLANK(TAB_CS[[#This Row],[Reference]]),"",VLOOKUP(TAB_CS[[#This Row],[Reference]],TAB_Offres[[Reference]:[Modification Request]],COLUMNS(TAB_Offres[[Reference]:[Modification Request]]),FALSE)),)</f>
        <v>0</v>
      </c>
      <c r="G4" s="150" t="str">
        <f>IF(ISBLANK(TAB_CS[[#This Row],[Reference]]),"",INDEX(TAB_Offres[Institution/agency],MATCH(TAB_CS[[#This Row],[Reference]],TAB_Offres[Reference],0)))</f>
        <v>EC</v>
      </c>
      <c r="H4" s="150" t="str">
        <f>IF(ISBLANK(TAB_CS[[#This Row],[Reference]]),"",INDEX(TAB_Offres[DG],MATCH(TAB_CS[[#This Row],[Reference]],TAB_Offres[Reference],0)))</f>
        <v>DIGIT.A.4</v>
      </c>
      <c r="I4" t="str">
        <f>IF(ISBLANK(TAB_CS[[#This Row],[Reference]]),"",INDEX(TAB_Offres[Offer description],MATCH(TAB_CS[[#This Row],[Reference]],TAB_Offres[Reference],0)))</f>
        <v>Full stack Developer Level 8 Far-Site Comref</v>
      </c>
      <c r="J4" s="155">
        <f>_xlfn.IFNA(IF(ISBLANK(TAB_CS[[#This Row],[Ressource]]),,VLOOKUP(TAB_CS[[#This Row],[Reference]],TAB_Offres[[Reference]:[CS signature date]],COLUMNS(TAB_Offres[[Reference]:[CS signature date]]),FALSE)),"")</f>
        <v>45169</v>
      </c>
      <c r="K4" s="155">
        <f>_xlfn.IFNA(IF(ISBLANK(TAB_CS[[#This Row],[Ressource]]),,VLOOKUP(TAB_CS[[#This Row],[Reference]],TAB_Offres[[Reference]:[CS start date]],COLUMNS(TAB_Offres[[Reference]:[CS start date]]),FALSE)),"")</f>
        <v>0</v>
      </c>
      <c r="L4" s="155">
        <f>_xlfn.IFNA(IF(ISBLANK(TAB_CS[[#This Row],[Ressource]]),,VLOOKUP(TAB_CS[[#This Row],[Reference]],TAB_Offres[[Reference]:[CS end date]],COLUMNS(TAB_Offres[[Reference]:[CS end date]]),FALSE)),"")</f>
        <v>45565</v>
      </c>
      <c r="M4" s="1" t="str">
        <f>_xlfn.IFNA(IF(ISBLANK(TAB_CS[[#This Row],[Ressource]]),,VLOOKUP(TAB_CS[[#This Row],[Reference]],TAB_Offres[[Reference]:[CS State]],COLUMNS(TAB_Offres[[Reference]:[CS State]]),FALSE)),"")</f>
        <v>START</v>
      </c>
      <c r="N4" s="26" t="str">
        <f>VLOOKUP(TAB_CS[[#This Row],[Reference]],TAB_Offres[[Reference]:[Ressource 1]],25,FALSE)</f>
        <v>MEDAN, Andrei</v>
      </c>
      <c r="O4" s="1" t="str">
        <f>_xlfn.IFNA(IF(ISBLANK(TAB_CS[[#This Row],[Ressource]]),,VLOOKUP(TAB_CS[[#This Row],[Reference]],TAB_Offres[[Reference]:[Company]],COLUMNS(TAB_Offres[[Reference]:[Company]]),FALSE)),"")</f>
        <v>EDDA</v>
      </c>
      <c r="P4" s="1" t="str">
        <f>_xlfn.CONCAT(TAB_CS[[#This Row],[Ressource]],TAB_CS[[#This Row],[Profile in €]])</f>
        <v>MEDAN, Andrei463,9</v>
      </c>
      <c r="Q4" s="1" t="str">
        <f>_xlfn.CONCAT(TAB_CS[[#This Row],[Company]],TAB_CS[[#This Row],[Business perimeter]])</f>
        <v>EDDABL</v>
      </c>
      <c r="R4" s="1" t="str">
        <f>_xlfn.IFNA(IF(ISBLANK(TAB_CS[[#This Row],[Ressource]]),"",VLOOKUP(TAB_CS[[#This Row],[Reference]],TAB_Offres[[Reference]:[Profile]],COLUMNS(TAB_Offres[[Reference]:[Profile]]),FALSE)),"")</f>
        <v>Full-stack developer-FAR</v>
      </c>
      <c r="S4" s="150">
        <f>_xlfn.IFNA(IF(ISBLANK(TAB_CS[[#This Row],[Ressource]]),"",VLOOKUP(TAB_CS[[#This Row],[Reference]],TAB_Offres[[Reference]:[Level]],COLUMNS(TAB_Offres[[Reference]:[Level]]),FALSE)),"")</f>
        <v>8</v>
      </c>
      <c r="T4" s="156">
        <f>_xlfn.IFNA(IF(OR(ISBLANK(TAB_CS[[#This Row],[Level]]),TAB_CS[[#This Row],[Level]]=""),,VLOOKUP(TAB_CS[[#This Row],[Profile]],TAB_prix[],2+TAB_CS[[#This Row],[Level]],FALSE)),)</f>
        <v>463.9</v>
      </c>
      <c r="U4" s="590">
        <v>0</v>
      </c>
      <c r="V4" s="189">
        <f>IF(OR(ISBLANK(TAB_CS[[#This Row],[Commited days]]),TAB_CS[[#This Row],[Commited days]]=0),,TAB_CS[[#This Row],[Commited days]]*TAB_CS[[#This Row],[Profile in €]])</f>
        <v>0</v>
      </c>
      <c r="W4" s="127">
        <f>SUM(TAB_CS[[#This Row],[F]:[P+1]])-TAB_CS[[#This Row],[P+1]]</f>
        <v>0</v>
      </c>
      <c r="X4" s="189">
        <f>IF(OR(ISBLANK(TAB_CS[[#This Row],[Producted days]]),TAB_CS[[#This Row],[Producted days]]=0),,TAB_CS[[#This Row],[Producted days]]*TAB_CS[[#This Row],[Profile in €]])</f>
        <v>0</v>
      </c>
      <c r="Y4" s="188">
        <f>TAB_CS[[#This Row],[Commited days]]-TAB_CS[[#This Row],[Producted days]]</f>
        <v>0</v>
      </c>
      <c r="Z4" s="189">
        <f>IF(OR(ISBLANK(TAB_CS[[#This Row],[Remaining days]]),TAB_CS[[#This Row],[Remaining days]]=0),,TAB_CS[[#This Row],[Remaining days]]*TAB_CS[[#This Row],[Profile in €]])</f>
        <v>0</v>
      </c>
      <c r="AA4" s="187">
        <f>SUM(TAB_CS[[#This Row],[P+1]:[FP]])</f>
        <v>0</v>
      </c>
      <c r="AB4" s="10">
        <f>IF(OR(ISBLANK(TAB_CS[[#This Row],[Expected days]]),TAB_CS[[#This Row],[Expected days]]=0),,TAB_CS[[#This Row],[Expected days]]*TAB_CS[[#This Row],[Profile in €]])</f>
        <v>0</v>
      </c>
      <c r="AC4" s="14" t="str">
        <f>CONCATENATE(TAB_CS[[#This Row],[DG]],TAB_CS[[#This Row],[Company]])</f>
        <v>DIGIT.A.4EDDA</v>
      </c>
      <c r="AD4" s="144"/>
      <c r="AE4" s="646"/>
      <c r="AF4" s="647"/>
      <c r="AG4" s="647"/>
      <c r="AH4" s="647"/>
      <c r="AI4" s="646"/>
      <c r="AJ4" s="647"/>
      <c r="AK4" s="643"/>
      <c r="AL4" s="643"/>
      <c r="AM4" s="646"/>
      <c r="AN4" s="646"/>
      <c r="AO4" s="646"/>
      <c r="AP4" s="646"/>
      <c r="AQ4" s="646"/>
      <c r="AR4" s="646"/>
      <c r="AS4" s="646"/>
      <c r="AT4" s="643"/>
      <c r="AU4" s="643"/>
      <c r="AV4" s="644"/>
      <c r="AW4" s="644"/>
      <c r="AX4" s="644"/>
      <c r="AY4" s="644"/>
      <c r="AZ4" s="644"/>
      <c r="BA4" s="644"/>
      <c r="BB4" s="644"/>
      <c r="BC4" s="644"/>
      <c r="BD4" s="644"/>
      <c r="BE4" s="644"/>
      <c r="BF4" s="644"/>
      <c r="BG4" s="644"/>
      <c r="BH4" s="644"/>
      <c r="BI4" s="173"/>
      <c r="BJ4" s="644"/>
      <c r="BK4" s="644"/>
      <c r="BL4" s="644"/>
      <c r="BM4" s="173"/>
      <c r="BN4" s="644"/>
      <c r="BO4" s="644"/>
      <c r="BP4" s="644"/>
      <c r="BQ4" s="644"/>
      <c r="BR4" s="644"/>
      <c r="BS4" s="644"/>
      <c r="BT4" s="644"/>
      <c r="BU4" s="644"/>
      <c r="BV4" s="644"/>
      <c r="BW4" s="644"/>
      <c r="BX4" s="644"/>
      <c r="BY4" s="644"/>
      <c r="BZ4" s="223"/>
    </row>
    <row r="5" spans="1:78" ht="12.75" customHeight="1" x14ac:dyDescent="0.3">
      <c r="A5" s="1">
        <f>IF(ISBLANK(TAB_CS[[#This Row],[Reference]]),"",INDEX(TAB_Offres[ID],MATCH(TAB_CS[[#This Row],[Reference]],TAB_Offres[Reference],0)))</f>
        <v>3</v>
      </c>
      <c r="B5" s="154" t="s">
        <v>6052</v>
      </c>
      <c r="C5" s="1" t="s">
        <v>23</v>
      </c>
      <c r="D5" s="1" t="str">
        <f>IF(ISBLANK(TAB_CS[[#This Row],[Reference]]),"",VLOOKUP(TAB_CS[[#This Row],[ID]],TAB_Offres[],2,FALSE))</f>
        <v>Lot 1</v>
      </c>
      <c r="E5" s="150" t="s">
        <v>5918</v>
      </c>
      <c r="F5" s="26">
        <f>_xlfn.IFNA(IF(ISBLANK(TAB_CS[[#This Row],[Reference]]),"",VLOOKUP(TAB_CS[[#This Row],[Reference]],TAB_Offres[[Reference]:[Modification Request]],COLUMNS(TAB_Offres[[Reference]:[Modification Request]]),FALSE)),)</f>
        <v>0</v>
      </c>
      <c r="G5" s="150" t="str">
        <f>IF(ISBLANK(TAB_CS[[#This Row],[Reference]]),"",INDEX(TAB_Offres[Institution/agency],MATCH(TAB_CS[[#This Row],[Reference]],TAB_Offres[Reference],0)))</f>
        <v>EC</v>
      </c>
      <c r="H5" s="150" t="str">
        <f>IF(ISBLANK(TAB_CS[[#This Row],[Reference]]),"",INDEX(TAB_Offres[DG],MATCH(TAB_CS[[#This Row],[Reference]],TAB_Offres[Reference],0)))</f>
        <v>DIGIT.A.3</v>
      </c>
      <c r="I5" t="str">
        <f>IF(ISBLANK(TAB_CS[[#This Row],[Reference]]),"",INDEX(TAB_Offres[Offer description],MATCH(TAB_CS[[#This Row],[Reference]],TAB_Offres[Reference],0)))</f>
        <v>Back-End Developer (BED)</v>
      </c>
      <c r="J5" s="155">
        <f>_xlfn.IFNA(IF(ISBLANK(TAB_CS[[#This Row],[Ressource]]),,VLOOKUP(TAB_CS[[#This Row],[Reference]],TAB_Offres[[Reference]:[CS signature date]],COLUMNS(TAB_Offres[[Reference]:[CS signature date]]),FALSE)),"")</f>
        <v>0</v>
      </c>
      <c r="K5" s="155">
        <f>_xlfn.IFNA(IF(ISBLANK(TAB_CS[[#This Row],[Ressource]]),,VLOOKUP(TAB_CS[[#This Row],[Reference]],TAB_Offres[[Reference]:[CS start date]],COLUMNS(TAB_Offres[[Reference]:[CS start date]]),FALSE)),"")</f>
        <v>0</v>
      </c>
      <c r="L5" s="155">
        <f>_xlfn.IFNA(IF(ISBLANK(TAB_CS[[#This Row],[Ressource]]),,VLOOKUP(TAB_CS[[#This Row],[Reference]],TAB_Offres[[Reference]:[CS end date]],COLUMNS(TAB_Offres[[Reference]:[CS end date]]),FALSE)),"")</f>
        <v>0</v>
      </c>
      <c r="M5" s="1">
        <f>_xlfn.IFNA(IF(ISBLANK(TAB_CS[[#This Row],[Ressource]]),,VLOOKUP(TAB_CS[[#This Row],[Reference]],TAB_Offres[[Reference]:[CS State]],COLUMNS(TAB_Offres[[Reference]:[CS State]]),FALSE)),"")</f>
        <v>0</v>
      </c>
      <c r="N5" s="26" t="str">
        <f>VLOOKUP(TAB_CS[[#This Row],[Reference]],TAB_Offres[[Reference]:[Ressource 1]],25,FALSE)</f>
        <v>POCHON, Régis</v>
      </c>
      <c r="O5" s="1" t="str">
        <f>_xlfn.IFNA(IF(ISBLANK(TAB_CS[[#This Row],[Ressource]]),,VLOOKUP(TAB_CS[[#This Row],[Reference]],TAB_Offres[[Reference]:[Company]],COLUMNS(TAB_Offres[[Reference]:[Company]]),FALSE)),"")</f>
        <v>EDDA</v>
      </c>
      <c r="P5" s="1" t="str">
        <f>_xlfn.CONCAT(TAB_CS[[#This Row],[Ressource]],TAB_CS[[#This Row],[Profile in €]])</f>
        <v>POCHON, Régis659</v>
      </c>
      <c r="Q5" s="1" t="str">
        <f>_xlfn.CONCAT(TAB_CS[[#This Row],[Company]],TAB_CS[[#This Row],[Business perimeter]])</f>
        <v>EDDABL</v>
      </c>
      <c r="R5" s="1" t="str">
        <f>_xlfn.IFNA(IF(ISBLANK(TAB_CS[[#This Row],[Ressource]]),"",VLOOKUP(TAB_CS[[#This Row],[Reference]],TAB_Offres[[Reference]:[Profile]],COLUMNS(TAB_Offres[[Reference]:[Profile]]),FALSE)),"")</f>
        <v>Back-end developer</v>
      </c>
      <c r="S5" s="150">
        <f>_xlfn.IFNA(IF(ISBLANK(TAB_CS[[#This Row],[Ressource]]),"",VLOOKUP(TAB_CS[[#This Row],[Reference]],TAB_Offres[[Reference]:[Level]],COLUMNS(TAB_Offres[[Reference]:[Level]]),FALSE)),"")</f>
        <v>10</v>
      </c>
      <c r="T5" s="156">
        <f>_xlfn.IFNA(IF(OR(ISBLANK(TAB_CS[[#This Row],[Level]]),TAB_CS[[#This Row],[Level]]=""),,VLOOKUP(TAB_CS[[#This Row],[Profile]],TAB_prix[],2+TAB_CS[[#This Row],[Level]],FALSE)),)</f>
        <v>659</v>
      </c>
      <c r="U5" s="590">
        <v>0</v>
      </c>
      <c r="V5" s="189">
        <f>IF(OR(ISBLANK(TAB_CS[[#This Row],[Commited days]]),TAB_CS[[#This Row],[Commited days]]=0),,TAB_CS[[#This Row],[Commited days]]*TAB_CS[[#This Row],[Profile in €]])</f>
        <v>0</v>
      </c>
      <c r="W5" s="127">
        <f>SUM(TAB_CS[[#This Row],[F]:[P+1]])-TAB_CS[[#This Row],[P+1]]</f>
        <v>0</v>
      </c>
      <c r="X5" s="189">
        <f>IF(OR(ISBLANK(TAB_CS[[#This Row],[Producted days]]),TAB_CS[[#This Row],[Producted days]]=0),,TAB_CS[[#This Row],[Producted days]]*TAB_CS[[#This Row],[Profile in €]])</f>
        <v>0</v>
      </c>
      <c r="Y5" s="188">
        <f>TAB_CS[[#This Row],[Commited days]]-TAB_CS[[#This Row],[Producted days]]</f>
        <v>0</v>
      </c>
      <c r="Z5" s="189">
        <f>IF(OR(ISBLANK(TAB_CS[[#This Row],[Remaining days]]),TAB_CS[[#This Row],[Remaining days]]=0),,TAB_CS[[#This Row],[Remaining days]]*TAB_CS[[#This Row],[Profile in €]])</f>
        <v>0</v>
      </c>
      <c r="AA5" s="187">
        <f>SUM(TAB_CS[[#This Row],[P+1]:[FP]])</f>
        <v>0</v>
      </c>
      <c r="AB5" s="10">
        <f>IF(OR(ISBLANK(TAB_CS[[#This Row],[Expected days]]),TAB_CS[[#This Row],[Expected days]]=0),,TAB_CS[[#This Row],[Expected days]]*TAB_CS[[#This Row],[Profile in €]])</f>
        <v>0</v>
      </c>
      <c r="AC5" s="14" t="str">
        <f>CONCATENATE(TAB_CS[[#This Row],[DG]],TAB_CS[[#This Row],[Company]])</f>
        <v>DIGIT.A.3EDDA</v>
      </c>
      <c r="AD5" s="144"/>
      <c r="AE5" s="646"/>
      <c r="AF5" s="647"/>
      <c r="AG5" s="647"/>
      <c r="AH5" s="647"/>
      <c r="AI5" s="646"/>
      <c r="AJ5" s="647"/>
      <c r="AK5" s="643"/>
      <c r="AL5" s="643"/>
      <c r="AM5" s="646"/>
      <c r="AN5" s="646"/>
      <c r="AO5" s="646"/>
      <c r="AP5" s="646"/>
      <c r="AQ5" s="646"/>
      <c r="AR5" s="646"/>
      <c r="AS5" s="646"/>
      <c r="AT5" s="643"/>
      <c r="AU5" s="643"/>
      <c r="AV5" s="644"/>
      <c r="AW5" s="644"/>
      <c r="AX5" s="644"/>
      <c r="AY5" s="644"/>
      <c r="AZ5" s="644"/>
      <c r="BA5" s="644"/>
      <c r="BB5" s="644"/>
      <c r="BC5" s="644"/>
      <c r="BD5" s="644"/>
      <c r="BE5" s="644"/>
      <c r="BF5" s="644"/>
      <c r="BG5" s="644"/>
      <c r="BH5" s="644"/>
      <c r="BI5" s="173"/>
      <c r="BJ5" s="644"/>
      <c r="BK5" s="644"/>
      <c r="BL5" s="644"/>
      <c r="BM5" s="173"/>
      <c r="BN5" s="644"/>
      <c r="BO5" s="644"/>
      <c r="BP5" s="644"/>
      <c r="BQ5" s="644"/>
      <c r="BR5" s="644"/>
      <c r="BS5" s="644"/>
      <c r="BT5" s="644"/>
      <c r="BU5" s="644"/>
      <c r="BV5" s="644"/>
      <c r="BW5" s="644"/>
      <c r="BX5" s="644"/>
      <c r="BY5" s="644"/>
      <c r="BZ5" s="223"/>
    </row>
    <row r="6" spans="1:78" ht="12.75" customHeight="1" x14ac:dyDescent="0.3">
      <c r="A6" s="1">
        <f>IF(ISBLANK(TAB_CS[[#This Row],[Reference]]),"",INDEX(TAB_Offres[ID],MATCH(TAB_CS[[#This Row],[Reference]],TAB_Offres[Reference],0)))</f>
        <v>4</v>
      </c>
      <c r="B6" s="154" t="s">
        <v>242</v>
      </c>
      <c r="C6" s="150" t="s">
        <v>5602</v>
      </c>
      <c r="D6" s="1" t="str">
        <f>IF(ISBLANK(TAB_CS[[#This Row],[Reference]]),"",VLOOKUP(TAB_CS[[#This Row],[ID]],TAB_Offres[],2,FALSE))</f>
        <v>Lot 1</v>
      </c>
      <c r="E6" s="1" t="s">
        <v>5918</v>
      </c>
      <c r="F6" s="26">
        <f>_xlfn.IFNA(IF(ISBLANK(TAB_CS[[#This Row],[Reference]]),"",VLOOKUP(TAB_CS[[#This Row],[Reference]],TAB_Offres[[Reference]:[Modification Request]],COLUMNS(TAB_Offres[[Reference]:[Modification Request]]),FALSE)),)</f>
        <v>0</v>
      </c>
      <c r="G6" s="1" t="str">
        <f>IF(ISBLANK(TAB_CS[[#This Row],[Reference]]),"",INDEX(TAB_Offres[Institution/agency],MATCH(TAB_CS[[#This Row],[Reference]],TAB_Offres[Reference],0)))</f>
        <v>REA</v>
      </c>
      <c r="H6" s="1" t="str">
        <f>IF(ISBLANK(TAB_CS[[#This Row],[Reference]]),"",INDEX(TAB_Offres[DG],MATCH(TAB_CS[[#This Row],[Reference]],TAB_Offres[Reference],0)))</f>
        <v>REA D.2.003</v>
      </c>
      <c r="I6" t="str">
        <f>IF(ISBLANK(TAB_CS[[#This Row],[Reference]]),"",INDEX(TAB_Offres[Offer description],MATCH(TAB_CS[[#This Row],[Reference]],TAB_Offres[Reference],0)))</f>
        <v>Expert Sharepoint</v>
      </c>
      <c r="J6" s="155">
        <f>_xlfn.IFNA(IF(ISBLANK(TAB_CS[[#This Row],[Ressource]]),,VLOOKUP(TAB_CS[[#This Row],[Reference]],TAB_Offres[[Reference]:[CS signature date]],COLUMNS(TAB_Offres[[Reference]:[CS signature date]]),FALSE)),"")</f>
        <v>44810</v>
      </c>
      <c r="K6" s="155">
        <f>_xlfn.IFNA(IF(ISBLANK(TAB_CS[[#This Row],[Ressource]]),,VLOOKUP(TAB_CS[[#This Row],[Reference]],TAB_Offres[[Reference]:[CS start date]],COLUMNS(TAB_Offres[[Reference]:[CS start date]]),FALSE)),"")</f>
        <v>44805</v>
      </c>
      <c r="L6" s="155">
        <f>_xlfn.IFNA(IF(ISBLANK(TAB_CS[[#This Row],[Ressource]]),,VLOOKUP(TAB_CS[[#This Row],[Reference]],TAB_Offres[[Reference]:[CS end date]],COLUMNS(TAB_Offres[[Reference]:[CS end date]]),FALSE)),"")</f>
        <v>44985</v>
      </c>
      <c r="M6" s="1" t="str">
        <f>_xlfn.IFNA(IF(ISBLANK(TAB_CS[[#This Row],[Ressource]]),,VLOOKUP(TAB_CS[[#This Row],[Reference]],TAB_Offres[[Reference]:[CS State]],COLUMNS(TAB_Offres[[Reference]:[CS State]]),FALSE)),"")</f>
        <v>CLOSE</v>
      </c>
      <c r="N6" s="26" t="str">
        <f>VLOOKUP(TAB_CS[[#This Row],[Reference]],TAB_Offres[[Reference]:[Ressource 1]],25,FALSE)</f>
        <v>SAYTEE, Meatau Larry</v>
      </c>
      <c r="O6" s="1" t="str">
        <f>_xlfn.IFNA(IF(ISBLANK(TAB_CS[[#This Row],[Ressource]]),,VLOOKUP(TAB_CS[[#This Row],[Reference]],TAB_Offres[[Reference]:[Company]],COLUMNS(TAB_Offres[[Reference]:[Company]]),FALSE)),"")</f>
        <v>EDDA</v>
      </c>
      <c r="P6" s="1" t="str">
        <f>_xlfn.CONCAT(TAB_CS[[#This Row],[Ressource]],TAB_CS[[#This Row],[Profile in €]])</f>
        <v>SAYTEE, Meatau Larry575,6</v>
      </c>
      <c r="Q6" s="1" t="str">
        <f>_xlfn.CONCAT(TAB_CS[[#This Row],[Company]],TAB_CS[[#This Row],[Business perimeter]])</f>
        <v>EDDABL</v>
      </c>
      <c r="R6" s="150" t="str">
        <f>_xlfn.IFNA(IF(ISBLANK(TAB_CS[[#This Row],[Ressource]]),"",VLOOKUP(TAB_CS[[#This Row],[Reference]],TAB_Offres[[Reference]:[Profile]],COLUMNS(TAB_Offres[[Reference]:[Profile]]),FALSE)),"")</f>
        <v>Back-end developer</v>
      </c>
      <c r="S6" s="1">
        <f>_xlfn.IFNA(IF(ISBLANK(TAB_CS[[#This Row],[Ressource]]),"",VLOOKUP(TAB_CS[[#This Row],[Reference]],TAB_Offres[[Reference]:[Level]],COLUMNS(TAB_Offres[[Reference]:[Level]]),FALSE)),"")</f>
        <v>8</v>
      </c>
      <c r="T6" s="127">
        <f>_xlfn.IFNA(IF(OR(ISBLANK(TAB_CS[[#This Row],[Level]]),TAB_CS[[#This Row],[Level]]=""),,VLOOKUP(TAB_CS[[#This Row],[Profile]],TAB_prix[],2+TAB_CS[[#This Row],[Level]],FALSE)),)</f>
        <v>575.6</v>
      </c>
      <c r="U6" s="13">
        <v>120</v>
      </c>
      <c r="V6" s="189">
        <f>IF(OR(ISBLANK(TAB_CS[[#This Row],[Commited days]]),TAB_CS[[#This Row],[Commited days]]=0),,TAB_CS[[#This Row],[Commited days]]*TAB_CS[[#This Row],[Profile in €]])</f>
        <v>69072</v>
      </c>
      <c r="W6" s="127">
        <f>SUM(TAB_CS[[#This Row],[F]:[P+1]])-TAB_CS[[#This Row],[P+1]]</f>
        <v>120</v>
      </c>
      <c r="X6" s="189">
        <f>IF(OR(ISBLANK(TAB_CS[[#This Row],[Producted days]]),TAB_CS[[#This Row],[Producted days]]=0),,TAB_CS[[#This Row],[Producted days]]*TAB_CS[[#This Row],[Profile in €]])</f>
        <v>69072</v>
      </c>
      <c r="Y6" s="188">
        <f>TAB_CS[[#This Row],[Commited days]]-TAB_CS[[#This Row],[Producted days]]</f>
        <v>0</v>
      </c>
      <c r="Z6" s="189">
        <f>IF(OR(ISBLANK(TAB_CS[[#This Row],[Remaining days]]),TAB_CS[[#This Row],[Remaining days]]=0),,TAB_CS[[#This Row],[Remaining days]]*TAB_CS[[#This Row],[Profile in €]])</f>
        <v>0</v>
      </c>
      <c r="AA6" s="187">
        <f>SUM(TAB_CS[[#This Row],[P+1]:[FP]])</f>
        <v>0</v>
      </c>
      <c r="AB6" s="10">
        <f>IF(OR(ISBLANK(TAB_CS[[#This Row],[Expected days]]),TAB_CS[[#This Row],[Expected days]]=0),,TAB_CS[[#This Row],[Expected days]]*TAB_CS[[#This Row],[Profile in €]])</f>
        <v>0</v>
      </c>
      <c r="AC6" s="10" t="str">
        <f>CONCATENATE(TAB_CS[[#This Row],[DG]],TAB_CS[[#This Row],[Company]])</f>
        <v>REA D.2.003EDDA</v>
      </c>
      <c r="AD6" s="144"/>
      <c r="AE6" s="1"/>
      <c r="AF6" s="13"/>
      <c r="AG6" s="13"/>
      <c r="AH6" s="13"/>
      <c r="AI6" s="1"/>
      <c r="AJ6" s="353">
        <v>11</v>
      </c>
      <c r="AK6" s="354">
        <v>21</v>
      </c>
      <c r="AL6" s="354">
        <v>20</v>
      </c>
      <c r="AM6" s="351">
        <v>16</v>
      </c>
      <c r="AN6" s="351">
        <v>20</v>
      </c>
      <c r="AO6" s="351">
        <v>20</v>
      </c>
      <c r="AP6" s="351">
        <v>12</v>
      </c>
      <c r="AQ6" s="645"/>
      <c r="AR6" s="645"/>
      <c r="AS6" s="645"/>
      <c r="AT6" s="643"/>
      <c r="AU6" s="643"/>
      <c r="AV6" s="643"/>
      <c r="AW6" s="643"/>
      <c r="AX6" s="643"/>
      <c r="AY6" s="643"/>
      <c r="AZ6" s="643"/>
      <c r="BA6" s="643"/>
      <c r="BB6" s="643"/>
      <c r="BC6" s="643"/>
      <c r="BD6" s="643"/>
      <c r="BE6" s="643"/>
      <c r="BF6" s="643"/>
      <c r="BG6" s="643"/>
      <c r="BH6" s="643"/>
      <c r="BI6" s="173"/>
      <c r="BJ6" s="643"/>
      <c r="BK6" s="643"/>
      <c r="BL6" s="643"/>
      <c r="BM6" s="173"/>
      <c r="BN6" s="643"/>
      <c r="BO6" s="643"/>
      <c r="BP6" s="643"/>
      <c r="BQ6" s="643"/>
      <c r="BR6" s="643"/>
      <c r="BS6" s="643"/>
      <c r="BT6" s="643"/>
      <c r="BU6" s="643"/>
      <c r="BV6" s="643"/>
      <c r="BW6" s="643"/>
      <c r="BX6" s="643"/>
      <c r="BY6" s="643"/>
      <c r="BZ6" s="223"/>
    </row>
    <row r="7" spans="1:78" ht="12.75" customHeight="1" x14ac:dyDescent="0.3">
      <c r="A7" s="1">
        <f>IF(ISBLANK(TAB_CS[[#This Row],[Reference]]),"",INDEX(TAB_Offres[ID],MATCH(TAB_CS[[#This Row],[Reference]],TAB_Offres[Reference],0)))</f>
        <v>5</v>
      </c>
      <c r="B7" s="26" t="s">
        <v>264</v>
      </c>
      <c r="C7" s="150" t="s">
        <v>5603</v>
      </c>
      <c r="D7" s="1" t="str">
        <f>IF(ISBLANK(TAB_CS[[#This Row],[Reference]]),"",VLOOKUP(TAB_CS[[#This Row],[ID]],TAB_Offres[],2,FALSE))</f>
        <v>Lot 3</v>
      </c>
      <c r="E7" s="1" t="s">
        <v>5918</v>
      </c>
      <c r="F7" s="26">
        <f>_xlfn.IFNA(IF(ISBLANK(TAB_CS[[#This Row],[Reference]]),"",VLOOKUP(TAB_CS[[#This Row],[Reference]],TAB_Offres[[Reference]:[Modification Request]],COLUMNS(TAB_Offres[[Reference]:[Modification Request]]),FALSE)),)</f>
        <v>0</v>
      </c>
      <c r="G7" s="150" t="str">
        <f>IF(ISBLANK(TAB_CS[[#This Row],[Reference]]),"",INDEX(TAB_Offres[Institution/agency],MATCH(TAB_CS[[#This Row],[Reference]],TAB_Offres[Reference],0)))</f>
        <v>EC</v>
      </c>
      <c r="H7" s="150" t="str">
        <f>IF(ISBLANK(TAB_CS[[#This Row],[Reference]]),"",INDEX(TAB_Offres[DG],MATCH(TAB_CS[[#This Row],[Reference]],TAB_Offres[Reference],0)))</f>
        <v>DIGIT.D.3</v>
      </c>
      <c r="I7" t="str">
        <f>IF(ISBLANK(TAB_CS[[#This Row],[Reference]]),"",INDEX(TAB_Offres[Offer description],MATCH(TAB_CS[[#This Row],[Reference]],TAB_Offres[Reference],0)))</f>
        <v>D3.002 - EU Send - OM min lvl 0 max lvl 10 - new</v>
      </c>
      <c r="J7" s="155">
        <f>_xlfn.IFNA(IF(ISBLANK(TAB_CS[[#This Row],[Ressource]]),,VLOOKUP(TAB_CS[[#This Row],[Reference]],TAB_Offres[[Reference]:[CS signature date]],COLUMNS(TAB_Offres[[Reference]:[CS signature date]]),FALSE)),"")</f>
        <v>44813</v>
      </c>
      <c r="K7" s="155">
        <f>_xlfn.IFNA(IF(ISBLANK(TAB_CS[[#This Row],[Ressource]]),,VLOOKUP(TAB_CS[[#This Row],[Reference]],TAB_Offres[[Reference]:[CS start date]],COLUMNS(TAB_Offres[[Reference]:[CS start date]]),FALSE)),"")</f>
        <v>44813</v>
      </c>
      <c r="L7" s="155">
        <f>_xlfn.IFNA(IF(ISBLANK(TAB_CS[[#This Row],[Ressource]]),,VLOOKUP(TAB_CS[[#This Row],[Reference]],TAB_Offres[[Reference]:[CS end date]],COLUMNS(TAB_Offres[[Reference]:[CS end date]]),FALSE)),"")</f>
        <v>45199</v>
      </c>
      <c r="M7" s="1" t="str">
        <f>_xlfn.IFNA(IF(ISBLANK(TAB_CS[[#This Row],[Ressource]]),,VLOOKUP(TAB_CS[[#This Row],[Reference]],TAB_Offres[[Reference]:[CS State]],COLUMNS(TAB_Offres[[Reference]:[CS State]]),FALSE)),"")</f>
        <v>CLOSE</v>
      </c>
      <c r="N7" s="26" t="str">
        <f>VLOOKUP(TAB_CS[[#This Row],[Reference]],TAB_Offres[[Reference]:[Ressource 1]],25,FALSE)</f>
        <v>LOPES GONÇALVES, Débora</v>
      </c>
      <c r="O7" s="1" t="str">
        <f>_xlfn.IFNA(IF(ISBLANK(TAB_CS[[#This Row],[Ressource]]),,VLOOKUP(TAB_CS[[#This Row],[Reference]],TAB_Offres[[Reference]:[Company]],COLUMNS(TAB_Offres[[Reference]:[Company]]),FALSE)),"")</f>
        <v>Wavestone</v>
      </c>
      <c r="P7" s="1" t="str">
        <f>_xlfn.CONCAT(TAB_CS[[#This Row],[Ressource]],TAB_CS[[#This Row],[Profile in €]])</f>
        <v>LOPES GONÇALVES, Débora539,02</v>
      </c>
      <c r="Q7" s="1" t="str">
        <f>_xlfn.CONCAT(TAB_CS[[#This Row],[Company]],TAB_CS[[#This Row],[Business perimeter]])</f>
        <v>WavestoneBL</v>
      </c>
      <c r="R7" s="150" t="str">
        <f>_xlfn.IFNA(IF(ISBLANK(TAB_CS[[#This Row],[Ressource]]),"",VLOOKUP(TAB_CS[[#This Row],[Reference]],TAB_Offres[[Reference]:[Profile]],COLUMNS(TAB_Offres[[Reference]:[Profile]]),FALSE)),"")</f>
        <v>Onboarding manager</v>
      </c>
      <c r="S7" s="1">
        <f>_xlfn.IFNA(IF(ISBLANK(TAB_CS[[#This Row],[Ressource]]),"",VLOOKUP(TAB_CS[[#This Row],[Reference]],TAB_Offres[[Reference]:[Level]],COLUMNS(TAB_Offres[[Reference]:[Level]]),FALSE)),"")</f>
        <v>3</v>
      </c>
      <c r="T7" s="127">
        <f>_xlfn.IFNA(IF(OR(ISBLANK(TAB_CS[[#This Row],[Level]]),TAB_CS[[#This Row],[Level]]=""),,VLOOKUP(TAB_CS[[#This Row],[Profile]],TAB_prix[],2+TAB_CS[[#This Row],[Level]],FALSE)),)</f>
        <v>539.02</v>
      </c>
      <c r="U7" s="13">
        <v>221</v>
      </c>
      <c r="V7" s="189">
        <f>IF(OR(ISBLANK(TAB_CS[[#This Row],[Commited days]]),TAB_CS[[#This Row],[Commited days]]=0),,TAB_CS[[#This Row],[Commited days]]*TAB_CS[[#This Row],[Profile in €]])</f>
        <v>119123.42</v>
      </c>
      <c r="W7" s="127">
        <f>SUM(TAB_CS[[#This Row],[F]:[P+1]])-TAB_CS[[#This Row],[P+1]]</f>
        <v>221</v>
      </c>
      <c r="X7" s="189">
        <f>IF(OR(ISBLANK(TAB_CS[[#This Row],[Producted days]]),TAB_CS[[#This Row],[Producted days]]=0),,TAB_CS[[#This Row],[Producted days]]*TAB_CS[[#This Row],[Profile in €]])</f>
        <v>119123.42</v>
      </c>
      <c r="Y7" s="188">
        <f>TAB_CS[[#This Row],[Commited days]]-TAB_CS[[#This Row],[Producted days]]</f>
        <v>0</v>
      </c>
      <c r="Z7" s="189">
        <f>IF(OR(ISBLANK(TAB_CS[[#This Row],[Remaining days]]),TAB_CS[[#This Row],[Remaining days]]=0),,TAB_CS[[#This Row],[Remaining days]]*TAB_CS[[#This Row],[Profile in €]])</f>
        <v>0</v>
      </c>
      <c r="AA7" s="187">
        <f>SUM(TAB_CS[[#This Row],[P+1]:[FP]])</f>
        <v>0</v>
      </c>
      <c r="AB7" s="10">
        <f>IF(OR(ISBLANK(TAB_CS[[#This Row],[Expected days]]),TAB_CS[[#This Row],[Expected days]]=0),,TAB_CS[[#This Row],[Expected days]]*TAB_CS[[#This Row],[Profile in €]])</f>
        <v>0</v>
      </c>
      <c r="AC7" s="10" t="str">
        <f>CONCATENATE(TAB_CS[[#This Row],[DG]],TAB_CS[[#This Row],[Company]])</f>
        <v>DIGIT.D.3Wavestone</v>
      </c>
      <c r="AD7" s="144"/>
      <c r="AE7" s="150"/>
      <c r="AF7" s="151"/>
      <c r="AG7" s="151"/>
      <c r="AH7" s="151"/>
      <c r="AI7" s="150"/>
      <c r="AJ7" s="355">
        <v>4</v>
      </c>
      <c r="AK7" s="351">
        <v>15.5</v>
      </c>
      <c r="AL7" s="354">
        <v>20</v>
      </c>
      <c r="AM7" s="351">
        <v>16</v>
      </c>
      <c r="AN7" s="351">
        <v>22</v>
      </c>
      <c r="AO7" s="351">
        <v>19</v>
      </c>
      <c r="AP7" s="351">
        <v>23</v>
      </c>
      <c r="AQ7" s="351">
        <v>13.5</v>
      </c>
      <c r="AR7" s="351">
        <v>19</v>
      </c>
      <c r="AS7" s="351">
        <v>19.5</v>
      </c>
      <c r="AT7" s="351">
        <v>15</v>
      </c>
      <c r="AU7" s="351">
        <v>22</v>
      </c>
      <c r="AV7" s="351">
        <v>10</v>
      </c>
      <c r="AW7" s="351">
        <v>2.5</v>
      </c>
      <c r="AX7" s="643"/>
      <c r="AY7" s="643"/>
      <c r="AZ7" s="643"/>
      <c r="BA7" s="643"/>
      <c r="BB7" s="643"/>
      <c r="BC7" s="643"/>
      <c r="BD7" s="643"/>
      <c r="BE7" s="643"/>
      <c r="BF7" s="643"/>
      <c r="BG7" s="643"/>
      <c r="BH7" s="643"/>
      <c r="BI7" s="173"/>
      <c r="BJ7" s="643"/>
      <c r="BK7" s="643"/>
      <c r="BL7" s="643"/>
      <c r="BM7" s="173"/>
      <c r="BN7" s="643"/>
      <c r="BO7" s="643"/>
      <c r="BP7" s="643"/>
      <c r="BQ7" s="643"/>
      <c r="BR7" s="643"/>
      <c r="BS7" s="643"/>
      <c r="BT7" s="643"/>
      <c r="BU7" s="643"/>
      <c r="BV7" s="643"/>
      <c r="BW7" s="643"/>
      <c r="BX7" s="643"/>
      <c r="BY7" s="643"/>
      <c r="BZ7" s="223"/>
    </row>
    <row r="8" spans="1:78" ht="12.75" customHeight="1" x14ac:dyDescent="0.3">
      <c r="A8" s="1">
        <f>IF(ISBLANK(TAB_CS[[#This Row],[Reference]]),"",INDEX(TAB_Offres[ID],MATCH(TAB_CS[[#This Row],[Reference]],TAB_Offres[Reference],0)))</f>
        <v>6</v>
      </c>
      <c r="B8" s="26" t="s">
        <v>267</v>
      </c>
      <c r="C8" s="150" t="s">
        <v>5604</v>
      </c>
      <c r="D8" s="1" t="str">
        <f>IF(ISBLANK(TAB_CS[[#This Row],[Reference]]),"",VLOOKUP(TAB_CS[[#This Row],[ID]],TAB_Offres[],2,FALSE))</f>
        <v>Lot 3</v>
      </c>
      <c r="E8" s="1" t="s">
        <v>5918</v>
      </c>
      <c r="F8" s="26">
        <f>_xlfn.IFNA(IF(ISBLANK(TAB_CS[[#This Row],[Reference]]),"",VLOOKUP(TAB_CS[[#This Row],[Reference]],TAB_Offres[[Reference]:[Modification Request]],COLUMNS(TAB_Offres[[Reference]:[Modification Request]]),FALSE)),)</f>
        <v>0</v>
      </c>
      <c r="G8" s="150" t="str">
        <f>IF(ISBLANK(TAB_CS[[#This Row],[Reference]]),"",INDEX(TAB_Offres[Institution/agency],MATCH(TAB_CS[[#This Row],[Reference]],TAB_Offres[Reference],0)))</f>
        <v>REA</v>
      </c>
      <c r="H8" s="150" t="str">
        <f>IF(ISBLANK(TAB_CS[[#This Row],[Reference]]),"",INDEX(TAB_Offres[DG],MATCH(TAB_CS[[#This Row],[Reference]],TAB_Offres[Reference],0)))</f>
        <v>REA</v>
      </c>
      <c r="I8" t="str">
        <f>IF(ISBLANK(TAB_CS[[#This Row],[Reference]]),"",INDEX(TAB_Offres[Offer description],MATCH(TAB_CS[[#This Row],[Reference]],TAB_Offres[Reference],0)))</f>
        <v>Expert in BI - 1</v>
      </c>
      <c r="J8" s="155">
        <f>_xlfn.IFNA(IF(ISBLANK(TAB_CS[[#This Row],[Ressource]]),,VLOOKUP(TAB_CS[[#This Row],[Reference]],TAB_Offres[[Reference]:[CS signature date]],COLUMNS(TAB_Offres[[Reference]:[CS signature date]]),FALSE)),"")</f>
        <v>44820</v>
      </c>
      <c r="K8" s="155">
        <f>_xlfn.IFNA(IF(ISBLANK(TAB_CS[[#This Row],[Ressource]]),,VLOOKUP(TAB_CS[[#This Row],[Reference]],TAB_Offres[[Reference]:[CS start date]],COLUMNS(TAB_Offres[[Reference]:[CS start date]]),FALSE)),"")</f>
        <v>44805</v>
      </c>
      <c r="L8" s="155">
        <f>_xlfn.IFNA(IF(ISBLANK(TAB_CS[[#This Row],[Ressource]]),,VLOOKUP(TAB_CS[[#This Row],[Reference]],TAB_Offres[[Reference]:[CS end date]],COLUMNS(TAB_Offres[[Reference]:[CS end date]]),FALSE)),"")</f>
        <v>45121</v>
      </c>
      <c r="M8" s="1" t="str">
        <f>_xlfn.IFNA(IF(ISBLANK(TAB_CS[[#This Row],[Ressource]]),,VLOOKUP(TAB_CS[[#This Row],[Reference]],TAB_Offres[[Reference]:[CS State]],COLUMNS(TAB_Offres[[Reference]:[CS State]]),FALSE)),"")</f>
        <v>CLOSE</v>
      </c>
      <c r="N8" s="26" t="str">
        <f>VLOOKUP(TAB_CS[[#This Row],[Reference]],TAB_Offres[[Reference]:[Ressource 1]],25,FALSE)</f>
        <v>VASILIKIOTIS, Themistoklis</v>
      </c>
      <c r="O8" s="1" t="str">
        <f>_xlfn.IFNA(IF(ISBLANK(TAB_CS[[#This Row],[Ressource]]),,VLOOKUP(TAB_CS[[#This Row],[Reference]],TAB_Offres[[Reference]:[Company]],COLUMNS(TAB_Offres[[Reference]:[Company]]),FALSE)),"")</f>
        <v>EDDA</v>
      </c>
      <c r="P8" s="1" t="str">
        <f>_xlfn.CONCAT(TAB_CS[[#This Row],[Ressource]],TAB_CS[[#This Row],[Profile in €]])</f>
        <v>VASILIKIOTIS, Themistoklis515,46</v>
      </c>
      <c r="Q8" s="1" t="str">
        <f>_xlfn.CONCAT(TAB_CS[[#This Row],[Company]],TAB_CS[[#This Row],[Business perimeter]])</f>
        <v>EDDABL</v>
      </c>
      <c r="R8" s="150" t="str">
        <f>_xlfn.IFNA(IF(ISBLANK(TAB_CS[[#This Row],[Ressource]]),"",VLOOKUP(TAB_CS[[#This Row],[Reference]],TAB_Offres[[Reference]:[Profile]],COLUMNS(TAB_Offres[[Reference]:[Profile]]),FALSE)),"")</f>
        <v>Business Intelligence expert-FAR</v>
      </c>
      <c r="S8" s="1">
        <f>_xlfn.IFNA(IF(ISBLANK(TAB_CS[[#This Row],[Ressource]]),"",VLOOKUP(TAB_CS[[#This Row],[Reference]],TAB_Offres[[Reference]:[Level]],COLUMNS(TAB_Offres[[Reference]:[Level]]),FALSE)),"")</f>
        <v>8</v>
      </c>
      <c r="T8" s="127">
        <f>_xlfn.IFNA(IF(OR(ISBLANK(TAB_CS[[#This Row],[Level]]),TAB_CS[[#This Row],[Level]]=""),,VLOOKUP(TAB_CS[[#This Row],[Profile]],TAB_prix[],2+TAB_CS[[#This Row],[Level]],FALSE)),)</f>
        <v>515.46</v>
      </c>
      <c r="U8" s="13">
        <v>160</v>
      </c>
      <c r="V8" s="189">
        <f>IF(OR(ISBLANK(TAB_CS[[#This Row],[Commited days]]),TAB_CS[[#This Row],[Commited days]]=0),,TAB_CS[[#This Row],[Commited days]]*TAB_CS[[#This Row],[Profile in €]])</f>
        <v>82473.600000000006</v>
      </c>
      <c r="W8" s="127">
        <f>SUM(TAB_CS[[#This Row],[F]:[P+1]])-TAB_CS[[#This Row],[P+1]]</f>
        <v>160</v>
      </c>
      <c r="X8" s="189">
        <f>IF(OR(ISBLANK(TAB_CS[[#This Row],[Producted days]]),TAB_CS[[#This Row],[Producted days]]=0),,TAB_CS[[#This Row],[Producted days]]*TAB_CS[[#This Row],[Profile in €]])</f>
        <v>82473.600000000006</v>
      </c>
      <c r="Y8" s="188">
        <f>TAB_CS[[#This Row],[Commited days]]-TAB_CS[[#This Row],[Producted days]]</f>
        <v>0</v>
      </c>
      <c r="Z8" s="189">
        <f>IF(OR(ISBLANK(TAB_CS[[#This Row],[Remaining days]]),TAB_CS[[#This Row],[Remaining days]]=0),,TAB_CS[[#This Row],[Remaining days]]*TAB_CS[[#This Row],[Profile in €]])</f>
        <v>0</v>
      </c>
      <c r="AA8" s="187">
        <f>SUM(TAB_CS[[#This Row],[P+1]:[FP]])</f>
        <v>0</v>
      </c>
      <c r="AB8" s="10">
        <f>IF(OR(ISBLANK(TAB_CS[[#This Row],[Expected days]]),TAB_CS[[#This Row],[Expected days]]=0),,TAB_CS[[#This Row],[Expected days]]*TAB_CS[[#This Row],[Profile in €]])</f>
        <v>0</v>
      </c>
      <c r="AC8" s="10" t="str">
        <f>CONCATENATE(TAB_CS[[#This Row],[DG]],TAB_CS[[#This Row],[Company]])</f>
        <v>REAEDDA</v>
      </c>
      <c r="AD8" s="144"/>
      <c r="AE8" s="150"/>
      <c r="AF8" s="151"/>
      <c r="AG8" s="151"/>
      <c r="AH8" s="151"/>
      <c r="AI8" s="150"/>
      <c r="AJ8" s="355">
        <v>8</v>
      </c>
      <c r="AK8" s="351">
        <v>21</v>
      </c>
      <c r="AL8" s="351">
        <v>18.5</v>
      </c>
      <c r="AM8" s="351">
        <v>15</v>
      </c>
      <c r="AN8" s="351">
        <v>16.5</v>
      </c>
      <c r="AO8" s="351">
        <v>20</v>
      </c>
      <c r="AP8" s="351">
        <v>23</v>
      </c>
      <c r="AQ8" s="351">
        <v>18</v>
      </c>
      <c r="AR8" s="351">
        <v>17</v>
      </c>
      <c r="AS8" s="351">
        <v>3</v>
      </c>
      <c r="AT8" s="643"/>
      <c r="AU8" s="643"/>
      <c r="AV8" s="643"/>
      <c r="AW8" s="643"/>
      <c r="AX8" s="643"/>
      <c r="AY8" s="643"/>
      <c r="AZ8" s="643"/>
      <c r="BA8" s="643"/>
      <c r="BB8" s="643"/>
      <c r="BC8" s="643"/>
      <c r="BD8" s="643"/>
      <c r="BE8" s="643"/>
      <c r="BF8" s="643"/>
      <c r="BG8" s="643"/>
      <c r="BH8" s="643"/>
      <c r="BI8" s="173"/>
      <c r="BJ8" s="643"/>
      <c r="BK8" s="643"/>
      <c r="BL8" s="643"/>
      <c r="BM8" s="173"/>
      <c r="BN8" s="643"/>
      <c r="BO8" s="643"/>
      <c r="BP8" s="643"/>
      <c r="BQ8" s="643"/>
      <c r="BR8" s="643"/>
      <c r="BS8" s="643"/>
      <c r="BT8" s="643"/>
      <c r="BU8" s="643"/>
      <c r="BV8" s="643"/>
      <c r="BW8" s="643"/>
      <c r="BX8" s="643"/>
      <c r="BY8" s="643"/>
      <c r="BZ8" s="223"/>
    </row>
    <row r="9" spans="1:78" ht="12.75" customHeight="1" x14ac:dyDescent="0.3">
      <c r="A9" s="1">
        <f>IF(ISBLANK(TAB_CS[[#This Row],[Reference]]),"",INDEX(TAB_Offres[ID],MATCH(TAB_CS[[#This Row],[Reference]],TAB_Offres[Reference],0)))</f>
        <v>7</v>
      </c>
      <c r="B9" s="26" t="s">
        <v>269</v>
      </c>
      <c r="C9" s="150" t="s">
        <v>5605</v>
      </c>
      <c r="D9" s="1" t="str">
        <f>IF(ISBLANK(TAB_CS[[#This Row],[Reference]]),"",VLOOKUP(TAB_CS[[#This Row],[ID]],TAB_Offres[],2,FALSE))</f>
        <v>Lot 1</v>
      </c>
      <c r="E9" s="1" t="s">
        <v>5918</v>
      </c>
      <c r="F9" s="26">
        <f>_xlfn.IFNA(IF(ISBLANK(TAB_CS[[#This Row],[Reference]]),"",VLOOKUP(TAB_CS[[#This Row],[Reference]],TAB_Offres[[Reference]:[Modification Request]],COLUMNS(TAB_Offres[[Reference]:[Modification Request]]),FALSE)),)</f>
        <v>0</v>
      </c>
      <c r="G9" s="150" t="str">
        <f>IF(ISBLANK(TAB_CS[[#This Row],[Reference]]),"",INDEX(TAB_Offres[Institution/agency],MATCH(TAB_CS[[#This Row],[Reference]],TAB_Offres[Reference],0)))</f>
        <v>REA</v>
      </c>
      <c r="H9" s="150" t="str">
        <f>IF(ISBLANK(TAB_CS[[#This Row],[Reference]]),"",INDEX(TAB_Offres[DG],MATCH(TAB_CS[[#This Row],[Reference]],TAB_Offres[Reference],0)))</f>
        <v>REA</v>
      </c>
      <c r="I9" t="str">
        <f>IF(ISBLANK(TAB_CS[[#This Row],[Reference]]),"",INDEX(TAB_Offres[Offer description],MATCH(TAB_CS[[#This Row],[Reference]],TAB_Offres[Reference],0)))</f>
        <v>Full-Stack Developer (FSD) level 7-8 Near-site in Java, Spring, Hibernate, Angular</v>
      </c>
      <c r="J9" s="155">
        <f>_xlfn.IFNA(IF(ISBLANK(TAB_CS[[#This Row],[Ressource]]),,VLOOKUP(TAB_CS[[#This Row],[Reference]],TAB_Offres[[Reference]:[CS signature date]],COLUMNS(TAB_Offres[[Reference]:[CS signature date]]),FALSE)),"")</f>
        <v>44840</v>
      </c>
      <c r="K9" s="155">
        <f>_xlfn.IFNA(IF(ISBLANK(TAB_CS[[#This Row],[Ressource]]),,VLOOKUP(TAB_CS[[#This Row],[Reference]],TAB_Offres[[Reference]:[CS start date]],COLUMNS(TAB_Offres[[Reference]:[CS start date]]),FALSE)),"")</f>
        <v>44834</v>
      </c>
      <c r="L9" s="155">
        <f>_xlfn.IFNA(IF(ISBLANK(TAB_CS[[#This Row],[Ressource]]),,VLOOKUP(TAB_CS[[#This Row],[Reference]],TAB_Offres[[Reference]:[CS end date]],COLUMNS(TAB_Offres[[Reference]:[CS end date]]),FALSE)),"")</f>
        <v>45077</v>
      </c>
      <c r="M9" s="1" t="str">
        <f>_xlfn.IFNA(IF(ISBLANK(TAB_CS[[#This Row],[Ressource]]),,VLOOKUP(TAB_CS[[#This Row],[Reference]],TAB_Offres[[Reference]:[CS State]],COLUMNS(TAB_Offres[[Reference]:[CS State]]),FALSE)),"")</f>
        <v>CLOSE</v>
      </c>
      <c r="N9" s="26" t="str">
        <f>VLOOKUP(TAB_CS[[#This Row],[Reference]],TAB_Offres[[Reference]:[Ressource 1]],25,FALSE)</f>
        <v>SARBU, Cornelia</v>
      </c>
      <c r="O9" s="1" t="str">
        <f>_xlfn.IFNA(IF(ISBLANK(TAB_CS[[#This Row],[Ressource]]),,VLOOKUP(TAB_CS[[#This Row],[Reference]],TAB_Offres[[Reference]:[Company]],COLUMNS(TAB_Offres[[Reference]:[Company]]),FALSE)),"")</f>
        <v>EDDA</v>
      </c>
      <c r="P9" s="1" t="str">
        <f>_xlfn.CONCAT(TAB_CS[[#This Row],[Ressource]],TAB_CS[[#This Row],[Profile in €]])</f>
        <v>SARBU, Cornelia580,74</v>
      </c>
      <c r="Q9" s="1" t="str">
        <f>_xlfn.CONCAT(TAB_CS[[#This Row],[Company]],TAB_CS[[#This Row],[Business perimeter]])</f>
        <v>EDDABL</v>
      </c>
      <c r="R9" s="150" t="str">
        <f>_xlfn.IFNA(IF(ISBLANK(TAB_CS[[#This Row],[Ressource]]),"",VLOOKUP(TAB_CS[[#This Row],[Reference]],TAB_Offres[[Reference]:[Profile]],COLUMNS(TAB_Offres[[Reference]:[Profile]]),FALSE)),"")</f>
        <v>Full-stack developer</v>
      </c>
      <c r="S9" s="1">
        <f>_xlfn.IFNA(IF(ISBLANK(TAB_CS[[#This Row],[Ressource]]),"",VLOOKUP(TAB_CS[[#This Row],[Reference]],TAB_Offres[[Reference]:[Level]],COLUMNS(TAB_Offres[[Reference]:[Level]]),FALSE)),"")</f>
        <v>8</v>
      </c>
      <c r="T9" s="127">
        <f>_xlfn.IFNA(IF(OR(ISBLANK(TAB_CS[[#This Row],[Level]]),TAB_CS[[#This Row],[Level]]=""),,VLOOKUP(TAB_CS[[#This Row],[Profile]],TAB_prix[],2+TAB_CS[[#This Row],[Level]],FALSE)),)</f>
        <v>580.74</v>
      </c>
      <c r="U9" s="13">
        <v>120</v>
      </c>
      <c r="V9" s="189">
        <f>IF(OR(ISBLANK(TAB_CS[[#This Row],[Commited days]]),TAB_CS[[#This Row],[Commited days]]=0),,TAB_CS[[#This Row],[Commited days]]*TAB_CS[[#This Row],[Profile in €]])</f>
        <v>69688.800000000003</v>
      </c>
      <c r="W9" s="127">
        <f>SUM(TAB_CS[[#This Row],[F]:[P+1]])-TAB_CS[[#This Row],[P+1]]</f>
        <v>120</v>
      </c>
      <c r="X9" s="189">
        <f>IF(OR(ISBLANK(TAB_CS[[#This Row],[Producted days]]),TAB_CS[[#This Row],[Producted days]]=0),,TAB_CS[[#This Row],[Producted days]]*TAB_CS[[#This Row],[Profile in €]])</f>
        <v>69688.800000000003</v>
      </c>
      <c r="Y9" s="188">
        <f>TAB_CS[[#This Row],[Commited days]]-TAB_CS[[#This Row],[Producted days]]</f>
        <v>0</v>
      </c>
      <c r="Z9" s="189">
        <f>IF(OR(ISBLANK(TAB_CS[[#This Row],[Remaining days]]),TAB_CS[[#This Row],[Remaining days]]=0),,TAB_CS[[#This Row],[Remaining days]]*TAB_CS[[#This Row],[Profile in €]])</f>
        <v>0</v>
      </c>
      <c r="AA9" s="187">
        <f>SUM(TAB_CS[[#This Row],[P+1]:[FP]])</f>
        <v>0</v>
      </c>
      <c r="AB9" s="10">
        <f>IF(OR(ISBLANK(TAB_CS[[#This Row],[Expected days]]),TAB_CS[[#This Row],[Expected days]]=0),,TAB_CS[[#This Row],[Expected days]]*TAB_CS[[#This Row],[Profile in €]])</f>
        <v>0</v>
      </c>
      <c r="AC9" s="10" t="str">
        <f>CONCATENATE(TAB_CS[[#This Row],[DG]],TAB_CS[[#This Row],[Company]])</f>
        <v>REAEDDA</v>
      </c>
      <c r="AD9" s="144"/>
      <c r="AE9" s="150"/>
      <c r="AF9" s="151"/>
      <c r="AG9" s="151"/>
      <c r="AH9" s="151"/>
      <c r="AI9" s="150"/>
      <c r="AJ9" s="151"/>
      <c r="AK9" s="351">
        <v>13</v>
      </c>
      <c r="AL9" s="351">
        <v>18</v>
      </c>
      <c r="AM9" s="351">
        <v>16</v>
      </c>
      <c r="AN9" s="351">
        <v>21</v>
      </c>
      <c r="AO9" s="351">
        <v>20</v>
      </c>
      <c r="AP9" s="351">
        <v>21</v>
      </c>
      <c r="AQ9" s="351">
        <v>11</v>
      </c>
      <c r="AR9" s="643"/>
      <c r="AS9" s="643"/>
      <c r="AT9" s="643"/>
      <c r="AU9" s="643"/>
      <c r="AV9" s="643"/>
      <c r="AW9" s="643"/>
      <c r="AX9" s="643"/>
      <c r="AY9" s="643"/>
      <c r="AZ9" s="643"/>
      <c r="BA9" s="643"/>
      <c r="BB9" s="643"/>
      <c r="BC9" s="643"/>
      <c r="BD9" s="643"/>
      <c r="BE9" s="643"/>
      <c r="BF9" s="643"/>
      <c r="BG9" s="643"/>
      <c r="BH9" s="643"/>
      <c r="BI9" s="173"/>
      <c r="BJ9" s="643"/>
      <c r="BK9" s="643"/>
      <c r="BL9" s="643"/>
      <c r="BM9" s="173"/>
      <c r="BN9" s="643"/>
      <c r="BO9" s="643"/>
      <c r="BP9" s="643"/>
      <c r="BQ9" s="643"/>
      <c r="BR9" s="643"/>
      <c r="BS9" s="643"/>
      <c r="BT9" s="643"/>
      <c r="BU9" s="643"/>
      <c r="BV9" s="643"/>
      <c r="BW9" s="643"/>
      <c r="BX9" s="643"/>
      <c r="BY9" s="643"/>
      <c r="BZ9" s="223"/>
    </row>
    <row r="10" spans="1:78" ht="12.75" customHeight="1" x14ac:dyDescent="0.3">
      <c r="A10" s="1">
        <f>IF(ISBLANK(TAB_CS[[#This Row],[Reference]]),"",INDEX(TAB_Offres[ID],MATCH(TAB_CS[[#This Row],[Reference]],TAB_Offres[Reference],0)))</f>
        <v>8</v>
      </c>
      <c r="B10" s="26" t="s">
        <v>271</v>
      </c>
      <c r="C10" s="150" t="s">
        <v>5606</v>
      </c>
      <c r="D10" s="1" t="str">
        <f>IF(ISBLANK(TAB_CS[[#This Row],[Reference]]),"",VLOOKUP(TAB_CS[[#This Row],[ID]],TAB_Offres[],2,FALSE))</f>
        <v>Lot 1</v>
      </c>
      <c r="E10" s="1" t="s">
        <v>5918</v>
      </c>
      <c r="F10" s="26">
        <f>_xlfn.IFNA(IF(ISBLANK(TAB_CS[[#This Row],[Reference]]),"",VLOOKUP(TAB_CS[[#This Row],[Reference]],TAB_Offres[[Reference]:[Modification Request]],COLUMNS(TAB_Offres[[Reference]:[Modification Request]]),FALSE)),)</f>
        <v>0</v>
      </c>
      <c r="G10" s="150" t="str">
        <f>IF(ISBLANK(TAB_CS[[#This Row],[Reference]]),"",INDEX(TAB_Offres[Institution/agency],MATCH(TAB_CS[[#This Row],[Reference]],TAB_Offres[Reference],0)))</f>
        <v>REA</v>
      </c>
      <c r="H10" s="150" t="str">
        <f>IF(ISBLANK(TAB_CS[[#This Row],[Reference]]),"",INDEX(TAB_Offres[DG],MATCH(TAB_CS[[#This Row],[Reference]],TAB_Offres[Reference],0)))</f>
        <v>REA</v>
      </c>
      <c r="I10" t="str">
        <f>IF(ISBLANK(TAB_CS[[#This Row],[Reference]]),"",INDEX(TAB_Offres[Offer description],MATCH(TAB_CS[[#This Row],[Reference]],TAB_Offres[Reference],0)))</f>
        <v>Full-Stack Developer (FSD) level 7-8 Near-site in Java, Spring, Hibernate, Angular</v>
      </c>
      <c r="J10" s="155">
        <f>_xlfn.IFNA(IF(ISBLANK(TAB_CS[[#This Row],[Ressource]]),,VLOOKUP(TAB_CS[[#This Row],[Reference]],TAB_Offres[[Reference]:[CS signature date]],COLUMNS(TAB_Offres[[Reference]:[CS signature date]]),FALSE)),"")</f>
        <v>44853</v>
      </c>
      <c r="K10" s="155">
        <f>_xlfn.IFNA(IF(ISBLANK(TAB_CS[[#This Row],[Ressource]]),,VLOOKUP(TAB_CS[[#This Row],[Reference]],TAB_Offres[[Reference]:[CS start date]],COLUMNS(TAB_Offres[[Reference]:[CS start date]]),FALSE)),"")</f>
        <v>44834</v>
      </c>
      <c r="L10" s="155">
        <f>_xlfn.IFNA(IF(ISBLANK(TAB_CS[[#This Row],[Ressource]]),,VLOOKUP(TAB_CS[[#This Row],[Reference]],TAB_Offres[[Reference]:[CS end date]],COLUMNS(TAB_Offres[[Reference]:[CS end date]]),FALSE)),"")</f>
        <v>45093</v>
      </c>
      <c r="M10" s="1" t="str">
        <f>_xlfn.IFNA(IF(ISBLANK(TAB_CS[[#This Row],[Ressource]]),,VLOOKUP(TAB_CS[[#This Row],[Reference]],TAB_Offres[[Reference]:[CS State]],COLUMNS(TAB_Offres[[Reference]:[CS State]]),FALSE)),"")</f>
        <v>CLOSE</v>
      </c>
      <c r="N10" s="26" t="str">
        <f>VLOOKUP(TAB_CS[[#This Row],[Reference]],TAB_Offres[[Reference]:[Ressource 1]],25,FALSE)</f>
        <v>DIAZ MUNOZ, Jaime</v>
      </c>
      <c r="O10" s="1" t="str">
        <f>_xlfn.IFNA(IF(ISBLANK(TAB_CS[[#This Row],[Ressource]]),,VLOOKUP(TAB_CS[[#This Row],[Reference]],TAB_Offres[[Reference]:[Company]],COLUMNS(TAB_Offres[[Reference]:[Company]]),FALSE)),"")</f>
        <v>EDDA</v>
      </c>
      <c r="P10" s="1" t="str">
        <f>_xlfn.CONCAT(TAB_CS[[#This Row],[Ressource]],TAB_CS[[#This Row],[Profile in €]])</f>
        <v>DIAZ MUNOZ, Jaime580,74</v>
      </c>
      <c r="Q10" s="1" t="str">
        <f>_xlfn.CONCAT(TAB_CS[[#This Row],[Company]],TAB_CS[[#This Row],[Business perimeter]])</f>
        <v>EDDABL</v>
      </c>
      <c r="R10" s="150" t="str">
        <f>_xlfn.IFNA(IF(ISBLANK(TAB_CS[[#This Row],[Ressource]]),"",VLOOKUP(TAB_CS[[#This Row],[Reference]],TAB_Offres[[Reference]:[Profile]],COLUMNS(TAB_Offres[[Reference]:[Profile]]),FALSE)),"")</f>
        <v>Full-stack developer</v>
      </c>
      <c r="S10" s="1">
        <f>_xlfn.IFNA(IF(ISBLANK(TAB_CS[[#This Row],[Ressource]]),"",VLOOKUP(TAB_CS[[#This Row],[Reference]],TAB_Offres[[Reference]:[Level]],COLUMNS(TAB_Offres[[Reference]:[Level]]),FALSE)),"")</f>
        <v>8</v>
      </c>
      <c r="T10" s="127">
        <f>_xlfn.IFNA(IF(OR(ISBLANK(TAB_CS[[#This Row],[Level]]),TAB_CS[[#This Row],[Level]]=""),,VLOOKUP(TAB_CS[[#This Row],[Profile]],TAB_prix[],2+TAB_CS[[#This Row],[Level]],FALSE)),)</f>
        <v>580.74</v>
      </c>
      <c r="U10" s="13">
        <v>110</v>
      </c>
      <c r="V10" s="189">
        <f>IF(OR(ISBLANK(TAB_CS[[#This Row],[Commited days]]),TAB_CS[[#This Row],[Commited days]]=0),,TAB_CS[[#This Row],[Commited days]]*TAB_CS[[#This Row],[Profile in €]])</f>
        <v>63881.4</v>
      </c>
      <c r="W10" s="127">
        <f>SUM(TAB_CS[[#This Row],[F]:[P+1]])-TAB_CS[[#This Row],[P+1]]</f>
        <v>110</v>
      </c>
      <c r="X10" s="189">
        <f>IF(OR(ISBLANK(TAB_CS[[#This Row],[Producted days]]),TAB_CS[[#This Row],[Producted days]]=0),,TAB_CS[[#This Row],[Producted days]]*TAB_CS[[#This Row],[Profile in €]])</f>
        <v>63881.4</v>
      </c>
      <c r="Y10" s="188">
        <f>TAB_CS[[#This Row],[Commited days]]-TAB_CS[[#This Row],[Producted days]]</f>
        <v>0</v>
      </c>
      <c r="Z10" s="189">
        <f>IF(OR(ISBLANK(TAB_CS[[#This Row],[Remaining days]]),TAB_CS[[#This Row],[Remaining days]]=0),,TAB_CS[[#This Row],[Remaining days]]*TAB_CS[[#This Row],[Profile in €]])</f>
        <v>0</v>
      </c>
      <c r="AA10" s="187">
        <f>SUM(TAB_CS[[#This Row],[P+1]:[FP]])</f>
        <v>0</v>
      </c>
      <c r="AB10" s="10">
        <f>IF(OR(ISBLANK(TAB_CS[[#This Row],[Expected days]]),TAB_CS[[#This Row],[Expected days]]=0),,TAB_CS[[#This Row],[Expected days]]*TAB_CS[[#This Row],[Profile in €]])</f>
        <v>0</v>
      </c>
      <c r="AC10" s="10" t="str">
        <f>CONCATENATE(TAB_CS[[#This Row],[DG]],TAB_CS[[#This Row],[Company]])</f>
        <v>REAEDDA</v>
      </c>
      <c r="AD10" s="144"/>
      <c r="AE10" s="150"/>
      <c r="AF10" s="151"/>
      <c r="AG10" s="151"/>
      <c r="AH10" s="151"/>
      <c r="AI10" s="150"/>
      <c r="AJ10" s="151"/>
      <c r="AK10" s="156"/>
      <c r="AL10" s="156"/>
      <c r="AM10" s="351">
        <v>6</v>
      </c>
      <c r="AN10" s="351">
        <v>21</v>
      </c>
      <c r="AO10" s="351">
        <v>20</v>
      </c>
      <c r="AP10" s="351">
        <v>22</v>
      </c>
      <c r="AQ10" s="351">
        <v>17</v>
      </c>
      <c r="AR10" s="351">
        <v>19</v>
      </c>
      <c r="AS10" s="351">
        <v>5</v>
      </c>
      <c r="AT10" s="643"/>
      <c r="AU10" s="643"/>
      <c r="AV10" s="643"/>
      <c r="AW10" s="643"/>
      <c r="AX10" s="643"/>
      <c r="AY10" s="643"/>
      <c r="AZ10" s="643"/>
      <c r="BA10" s="643"/>
      <c r="BB10" s="643"/>
      <c r="BC10" s="643"/>
      <c r="BD10" s="643"/>
      <c r="BE10" s="643"/>
      <c r="BF10" s="643"/>
      <c r="BG10" s="643"/>
      <c r="BH10" s="643"/>
      <c r="BI10" s="173"/>
      <c r="BJ10" s="643"/>
      <c r="BK10" s="643"/>
      <c r="BL10" s="643"/>
      <c r="BM10" s="173"/>
      <c r="BN10" s="643"/>
      <c r="BO10" s="643"/>
      <c r="BP10" s="643"/>
      <c r="BQ10" s="643"/>
      <c r="BR10" s="643"/>
      <c r="BS10" s="643"/>
      <c r="BT10" s="643"/>
      <c r="BU10" s="643"/>
      <c r="BV10" s="643"/>
      <c r="BW10" s="643"/>
      <c r="BX10" s="643"/>
      <c r="BY10" s="643"/>
      <c r="BZ10" s="223"/>
    </row>
    <row r="11" spans="1:78" ht="12.75" customHeight="1" x14ac:dyDescent="0.3">
      <c r="A11" s="1">
        <f>IF(ISBLANK(TAB_CS[[#This Row],[Reference]]),"",INDEX(TAB_Offres[ID],MATCH(TAB_CS[[#This Row],[Reference]],TAB_Offres[Reference],0)))</f>
        <v>9</v>
      </c>
      <c r="B11" s="26" t="s">
        <v>274</v>
      </c>
      <c r="C11" s="150" t="s">
        <v>5607</v>
      </c>
      <c r="D11" s="1" t="str">
        <f>IF(ISBLANK(TAB_CS[[#This Row],[Reference]]),"",VLOOKUP(TAB_CS[[#This Row],[ID]],TAB_Offres[],2,FALSE))</f>
        <v>Lot 2</v>
      </c>
      <c r="E11" s="1" t="s">
        <v>5918</v>
      </c>
      <c r="F11" s="26">
        <f>_xlfn.IFNA(IF(ISBLANK(TAB_CS[[#This Row],[Reference]]),"",VLOOKUP(TAB_CS[[#This Row],[Reference]],TAB_Offres[[Reference]:[Modification Request]],COLUMNS(TAB_Offres[[Reference]:[Modification Request]]),FALSE)),)</f>
        <v>0</v>
      </c>
      <c r="G11" s="150" t="str">
        <f>IF(ISBLANK(TAB_CS[[#This Row],[Reference]]),"",INDEX(TAB_Offres[Institution/agency],MATCH(TAB_CS[[#This Row],[Reference]],TAB_Offres[Reference],0)))</f>
        <v>EC</v>
      </c>
      <c r="H11" s="150" t="str">
        <f>IF(ISBLANK(TAB_CS[[#This Row],[Reference]]),"",INDEX(TAB_Offres[DG],MATCH(TAB_CS[[#This Row],[Reference]],TAB_Offres[Reference],0)))</f>
        <v>SANTE.R.1</v>
      </c>
      <c r="I11" t="str">
        <f>IF(ISBLANK(TAB_CS[[#This Row],[Reference]]),"",INDEX(TAB_Offres[Offer description],MATCH(TAB_CS[[#This Row],[Reference]],TAB_Offres[Reference],0)))</f>
        <v>APPLICATION/CLOUD ARCHITECT with expertise in Java EE full stack</v>
      </c>
      <c r="J11" s="155">
        <f>_xlfn.IFNA(IF(ISBLANK(TAB_CS[[#This Row],[Ressource]]),,VLOOKUP(TAB_CS[[#This Row],[Reference]],TAB_Offres[[Reference]:[CS signature date]],COLUMNS(TAB_Offres[[Reference]:[CS signature date]]),FALSE)),"")</f>
        <v>44880</v>
      </c>
      <c r="K11" s="155">
        <f>_xlfn.IFNA(IF(ISBLANK(TAB_CS[[#This Row],[Ressource]]),,VLOOKUP(TAB_CS[[#This Row],[Reference]],TAB_Offres[[Reference]:[CS start date]],COLUMNS(TAB_Offres[[Reference]:[CS start date]]),FALSE)),"")</f>
        <v>44896</v>
      </c>
      <c r="L11" s="155">
        <f>_xlfn.IFNA(IF(ISBLANK(TAB_CS[[#This Row],[Ressource]]),,VLOOKUP(TAB_CS[[#This Row],[Reference]],TAB_Offres[[Reference]:[CS end date]],COLUMNS(TAB_Offres[[Reference]:[CS end date]]),FALSE)),"")</f>
        <v>45351</v>
      </c>
      <c r="M11" s="1" t="str">
        <f>_xlfn.IFNA(IF(ISBLANK(TAB_CS[[#This Row],[Ressource]]),,VLOOKUP(TAB_CS[[#This Row],[Reference]],TAB_Offres[[Reference]:[CS State]],COLUMNS(TAB_Offres[[Reference]:[CS State]]),FALSE)),"")</f>
        <v>START</v>
      </c>
      <c r="N11" s="26" t="str">
        <f>VLOOKUP(TAB_CS[[#This Row],[Reference]],TAB_Offres[[Reference]:[Ressource 1]],25,FALSE)</f>
        <v>KATHAL, Tanisha</v>
      </c>
      <c r="O11" s="1" t="str">
        <f>_xlfn.IFNA(IF(ISBLANK(TAB_CS[[#This Row],[Ressource]]),,VLOOKUP(TAB_CS[[#This Row],[Reference]],TAB_Offres[[Reference]:[Company]],COLUMNS(TAB_Offres[[Reference]:[Company]]),FALSE)),"")</f>
        <v>EDDA</v>
      </c>
      <c r="P11" s="1" t="str">
        <f>_xlfn.CONCAT(TAB_CS[[#This Row],[Ressource]],TAB_CS[[#This Row],[Profile in €]])</f>
        <v>KATHAL, Tanisha506,96</v>
      </c>
      <c r="Q11" s="1" t="str">
        <f>_xlfn.CONCAT(TAB_CS[[#This Row],[Company]],TAB_CS[[#This Row],[Business perimeter]])</f>
        <v>EDDABL</v>
      </c>
      <c r="R11" s="150" t="str">
        <f>_xlfn.IFNA(IF(ISBLANK(TAB_CS[[#This Row],[Ressource]]),"",VLOOKUP(TAB_CS[[#This Row],[Reference]],TAB_Offres[[Reference]:[Profile]],COLUMNS(TAB_Offres[[Reference]:[Profile]]),FALSE)),"")</f>
        <v>Application/Cloud architect</v>
      </c>
      <c r="S11" s="1">
        <f>_xlfn.IFNA(IF(ISBLANK(TAB_CS[[#This Row],[Ressource]]),"",VLOOKUP(TAB_CS[[#This Row],[Reference]],TAB_Offres[[Reference]:[Level]],COLUMNS(TAB_Offres[[Reference]:[Level]]),FALSE)),"")</f>
        <v>7</v>
      </c>
      <c r="T11" s="127">
        <f>_xlfn.IFNA(IF(OR(ISBLANK(TAB_CS[[#This Row],[Level]]),TAB_CS[[#This Row],[Level]]=""),,VLOOKUP(TAB_CS[[#This Row],[Profile]],TAB_prix[],2+TAB_CS[[#This Row],[Level]],FALSE)),)</f>
        <v>506.96</v>
      </c>
      <c r="U11" s="13">
        <v>220</v>
      </c>
      <c r="V11" s="189">
        <f>IF(OR(ISBLANK(TAB_CS[[#This Row],[Commited days]]),TAB_CS[[#This Row],[Commited days]]=0),,TAB_CS[[#This Row],[Commited days]]*TAB_CS[[#This Row],[Profile in €]])</f>
        <v>111531.2</v>
      </c>
      <c r="W11" s="127">
        <f>SUM(TAB_CS[[#This Row],[F]:[P+1]])-TAB_CS[[#This Row],[P+1]]</f>
        <v>220</v>
      </c>
      <c r="X11" s="189">
        <f>IF(OR(ISBLANK(TAB_CS[[#This Row],[Producted days]]),TAB_CS[[#This Row],[Producted days]]=0),,TAB_CS[[#This Row],[Producted days]]*TAB_CS[[#This Row],[Profile in €]])</f>
        <v>111531.2</v>
      </c>
      <c r="Y11" s="188">
        <f>TAB_CS[[#This Row],[Commited days]]-TAB_CS[[#This Row],[Producted days]]</f>
        <v>0</v>
      </c>
      <c r="Z11" s="189">
        <f>IF(OR(ISBLANK(TAB_CS[[#This Row],[Remaining days]]),TAB_CS[[#This Row],[Remaining days]]=0),,TAB_CS[[#This Row],[Remaining days]]*TAB_CS[[#This Row],[Profile in €]])</f>
        <v>0</v>
      </c>
      <c r="AA11" s="187">
        <f>SUM(TAB_CS[[#This Row],[P+1]:[FP]])</f>
        <v>0</v>
      </c>
      <c r="AB11" s="10">
        <f>IF(OR(ISBLANK(TAB_CS[[#This Row],[Expected days]]),TAB_CS[[#This Row],[Expected days]]=0),,TAB_CS[[#This Row],[Expected days]]*TAB_CS[[#This Row],[Profile in €]])</f>
        <v>0</v>
      </c>
      <c r="AC11" s="10" t="str">
        <f>CONCATENATE(TAB_CS[[#This Row],[DG]],TAB_CS[[#This Row],[Company]])</f>
        <v>SANTE.R.1EDDA</v>
      </c>
      <c r="AD11" s="144"/>
      <c r="AE11" s="150"/>
      <c r="AF11" s="151"/>
      <c r="AG11" s="151"/>
      <c r="AH11" s="151"/>
      <c r="AI11" s="150"/>
      <c r="AJ11" s="151"/>
      <c r="AK11" s="156"/>
      <c r="AL11" s="156"/>
      <c r="AM11" s="156"/>
      <c r="AN11" s="351">
        <v>18</v>
      </c>
      <c r="AO11" s="351">
        <v>19</v>
      </c>
      <c r="AP11" s="351">
        <v>22</v>
      </c>
      <c r="AQ11" s="351">
        <v>17</v>
      </c>
      <c r="AR11" s="351">
        <v>18</v>
      </c>
      <c r="AS11" s="351">
        <v>21.5</v>
      </c>
      <c r="AT11" s="351">
        <v>17.5</v>
      </c>
      <c r="AU11" s="351">
        <v>16</v>
      </c>
      <c r="AV11" s="351">
        <v>18</v>
      </c>
      <c r="AW11" s="351">
        <v>19</v>
      </c>
      <c r="AX11" s="351">
        <v>19.5</v>
      </c>
      <c r="AY11" s="351">
        <v>5</v>
      </c>
      <c r="AZ11" s="351">
        <v>9.5</v>
      </c>
      <c r="BA11" s="643"/>
      <c r="BB11" s="643"/>
      <c r="BC11" s="643"/>
      <c r="BD11" s="643"/>
      <c r="BE11" s="643"/>
      <c r="BF11" s="643"/>
      <c r="BG11" s="643"/>
      <c r="BH11" s="643"/>
      <c r="BI11" s="173"/>
      <c r="BJ11" s="643"/>
      <c r="BK11" s="643"/>
      <c r="BL11" s="643"/>
      <c r="BM11" s="173"/>
      <c r="BN11" s="643"/>
      <c r="BO11" s="643"/>
      <c r="BP11" s="643"/>
      <c r="BQ11" s="643"/>
      <c r="BR11" s="643"/>
      <c r="BS11" s="643"/>
      <c r="BT11" s="643"/>
      <c r="BU11" s="643"/>
      <c r="BV11" s="643"/>
      <c r="BW11" s="643"/>
      <c r="BX11" s="643"/>
      <c r="BY11" s="643"/>
      <c r="BZ11" s="223"/>
    </row>
    <row r="12" spans="1:78" ht="12.75" customHeight="1" x14ac:dyDescent="0.3">
      <c r="A12" s="1">
        <f>IF(ISBLANK(TAB_CS[[#This Row],[Reference]]),"",INDEX(TAB_Offres[ID],MATCH(TAB_CS[[#This Row],[Reference]],TAB_Offres[Reference],0)))</f>
        <v>10</v>
      </c>
      <c r="B12" s="26" t="s">
        <v>276</v>
      </c>
      <c r="C12" s="150" t="s">
        <v>5608</v>
      </c>
      <c r="D12" s="1" t="str">
        <f>IF(ISBLANK(TAB_CS[[#This Row],[Reference]]),"",VLOOKUP(TAB_CS[[#This Row],[ID]],TAB_Offres[],2,FALSE))</f>
        <v>Lot 2</v>
      </c>
      <c r="E12" s="1" t="s">
        <v>5918</v>
      </c>
      <c r="F12" s="26">
        <f>_xlfn.IFNA(IF(ISBLANK(TAB_CS[[#This Row],[Reference]]),"",VLOOKUP(TAB_CS[[#This Row],[Reference]],TAB_Offres[[Reference]:[Modification Request]],COLUMNS(TAB_Offres[[Reference]:[Modification Request]]),FALSE)),)</f>
        <v>0</v>
      </c>
      <c r="G12" s="150" t="str">
        <f>IF(ISBLANK(TAB_CS[[#This Row],[Reference]]),"",INDEX(TAB_Offres[Institution/agency],MATCH(TAB_CS[[#This Row],[Reference]],TAB_Offres[Reference],0)))</f>
        <v>EC</v>
      </c>
      <c r="H12" s="150" t="str">
        <f>IF(ISBLANK(TAB_CS[[#This Row],[Reference]]),"",INDEX(TAB_Offres[DG],MATCH(TAB_CS[[#This Row],[Reference]],TAB_Offres[Reference],0)))</f>
        <v>JUST B.3</v>
      </c>
      <c r="I12" t="str">
        <f>IF(ISBLANK(TAB_CS[[#This Row],[Reference]]),"",INDEX(TAB_Offres[Offer description],MATCH(TAB_CS[[#This Row],[Reference]],TAB_Offres[Reference],0)))</f>
        <v>Project Manager (PM)</v>
      </c>
      <c r="J12" s="155">
        <f>_xlfn.IFNA(IF(ISBLANK(TAB_CS[[#This Row],[Ressource]]),,VLOOKUP(TAB_CS[[#This Row],[Reference]],TAB_Offres[[Reference]:[CS signature date]],COLUMNS(TAB_Offres[[Reference]:[CS signature date]]),FALSE)),"")</f>
        <v>44851</v>
      </c>
      <c r="K12" s="155">
        <f>_xlfn.IFNA(IF(ISBLANK(TAB_CS[[#This Row],[Ressource]]),,VLOOKUP(TAB_CS[[#This Row],[Reference]],TAB_Offres[[Reference]:[CS start date]],COLUMNS(TAB_Offres[[Reference]:[CS start date]]),FALSE)),"")</f>
        <v>44851</v>
      </c>
      <c r="L12" s="155">
        <f>_xlfn.IFNA(IF(ISBLANK(TAB_CS[[#This Row],[Ressource]]),,VLOOKUP(TAB_CS[[#This Row],[Reference]],TAB_Offres[[Reference]:[CS end date]],COLUMNS(TAB_Offres[[Reference]:[CS end date]]),FALSE)),"")</f>
        <v>45322</v>
      </c>
      <c r="M12" s="1" t="str">
        <f>_xlfn.IFNA(IF(ISBLANK(TAB_CS[[#This Row],[Ressource]]),,VLOOKUP(TAB_CS[[#This Row],[Reference]],TAB_Offres[[Reference]:[CS State]],COLUMNS(TAB_Offres[[Reference]:[CS State]]),FALSE)),"")</f>
        <v>CLOSE</v>
      </c>
      <c r="N12" s="26" t="str">
        <f>VLOOKUP(TAB_CS[[#This Row],[Reference]],TAB_Offres[[Reference]:[Ressource 1]],25,FALSE)</f>
        <v>VAN DE GUCHT, Pascal</v>
      </c>
      <c r="O12" s="1" t="str">
        <f>_xlfn.IFNA(IF(ISBLANK(TAB_CS[[#This Row],[Ressource]]),,VLOOKUP(TAB_CS[[#This Row],[Reference]],TAB_Offres[[Reference]:[Company]],COLUMNS(TAB_Offres[[Reference]:[Company]]),FALSE)),"")</f>
        <v>CGI LUX</v>
      </c>
      <c r="P12" s="1" t="str">
        <f>_xlfn.CONCAT(TAB_CS[[#This Row],[Ressource]],TAB_CS[[#This Row],[Profile in €]])</f>
        <v>VAN DE GUCHT, Pascal806,53</v>
      </c>
      <c r="Q12" s="1" t="str">
        <f>_xlfn.CONCAT(TAB_CS[[#This Row],[Company]],TAB_CS[[#This Row],[Business perimeter]])</f>
        <v>CGI LUXBL</v>
      </c>
      <c r="R12" s="150" t="str">
        <f>_xlfn.IFNA(IF(ISBLANK(TAB_CS[[#This Row],[Ressource]]),"",VLOOKUP(TAB_CS[[#This Row],[Reference]],TAB_Offres[[Reference]:[Profile]],COLUMNS(TAB_Offres[[Reference]:[Profile]]),FALSE)),"")</f>
        <v>Project Manager</v>
      </c>
      <c r="S12" s="1">
        <f>_xlfn.IFNA(IF(ISBLANK(TAB_CS[[#This Row],[Ressource]]),"",VLOOKUP(TAB_CS[[#This Row],[Reference]],TAB_Offres[[Reference]:[Level]],COLUMNS(TAB_Offres[[Reference]:[Level]]),FALSE)),"")</f>
        <v>10</v>
      </c>
      <c r="T12" s="127">
        <f>_xlfn.IFNA(IF(OR(ISBLANK(TAB_CS[[#This Row],[Level]]),TAB_CS[[#This Row],[Level]]=""),,VLOOKUP(TAB_CS[[#This Row],[Profile]],TAB_prix[],2+TAB_CS[[#This Row],[Level]],FALSE)),)</f>
        <v>806.53</v>
      </c>
      <c r="U12" s="13">
        <v>220</v>
      </c>
      <c r="V12" s="189">
        <f>IF(OR(ISBLANK(TAB_CS[[#This Row],[Commited days]]),TAB_CS[[#This Row],[Commited days]]=0),,TAB_CS[[#This Row],[Commited days]]*TAB_CS[[#This Row],[Profile in €]])</f>
        <v>177436.6</v>
      </c>
      <c r="W12" s="127">
        <f>SUM(TAB_CS[[#This Row],[F]:[P+1]])-TAB_CS[[#This Row],[P+1]]</f>
        <v>220</v>
      </c>
      <c r="X12" s="189">
        <f>IF(OR(ISBLANK(TAB_CS[[#This Row],[Producted days]]),TAB_CS[[#This Row],[Producted days]]=0),,TAB_CS[[#This Row],[Producted days]]*TAB_CS[[#This Row],[Profile in €]])</f>
        <v>177436.6</v>
      </c>
      <c r="Y12" s="188">
        <f>TAB_CS[[#This Row],[Commited days]]-TAB_CS[[#This Row],[Producted days]]</f>
        <v>0</v>
      </c>
      <c r="Z12" s="189">
        <f>IF(OR(ISBLANK(TAB_CS[[#This Row],[Remaining days]]),TAB_CS[[#This Row],[Remaining days]]=0),,TAB_CS[[#This Row],[Remaining days]]*TAB_CS[[#This Row],[Profile in €]])</f>
        <v>0</v>
      </c>
      <c r="AA12" s="187">
        <f>SUM(TAB_CS[[#This Row],[P+1]:[FP]])</f>
        <v>0</v>
      </c>
      <c r="AB12" s="10">
        <f>IF(OR(ISBLANK(TAB_CS[[#This Row],[Expected days]]),TAB_CS[[#This Row],[Expected days]]=0),,TAB_CS[[#This Row],[Expected days]]*TAB_CS[[#This Row],[Profile in €]])</f>
        <v>0</v>
      </c>
      <c r="AC12" s="10" t="str">
        <f>CONCATENATE(TAB_CS[[#This Row],[DG]],TAB_CS[[#This Row],[Company]])</f>
        <v>JUST B.3CGI LUX</v>
      </c>
      <c r="AD12" s="144"/>
      <c r="AE12" s="150"/>
      <c r="AF12" s="151"/>
      <c r="AG12" s="151"/>
      <c r="AH12" s="151"/>
      <c r="AI12" s="150"/>
      <c r="AJ12" s="151"/>
      <c r="AK12" s="351">
        <v>9.5</v>
      </c>
      <c r="AL12" s="351">
        <v>20.5</v>
      </c>
      <c r="AM12" s="351">
        <v>20</v>
      </c>
      <c r="AN12" s="351">
        <v>21</v>
      </c>
      <c r="AO12" s="351">
        <v>20</v>
      </c>
      <c r="AP12" s="351">
        <v>23</v>
      </c>
      <c r="AQ12" s="351">
        <v>18</v>
      </c>
      <c r="AR12" s="351">
        <v>20</v>
      </c>
      <c r="AS12" s="351">
        <v>23</v>
      </c>
      <c r="AT12" s="351">
        <v>19</v>
      </c>
      <c r="AU12" s="351">
        <v>20.5</v>
      </c>
      <c r="AV12" s="351">
        <v>5.5</v>
      </c>
      <c r="AW12" s="643"/>
      <c r="AX12" s="643"/>
      <c r="AY12" s="643"/>
      <c r="AZ12" s="643"/>
      <c r="BA12" s="643"/>
      <c r="BB12" s="643"/>
      <c r="BC12" s="643"/>
      <c r="BD12" s="643"/>
      <c r="BE12" s="643"/>
      <c r="BF12" s="643"/>
      <c r="BG12" s="643"/>
      <c r="BH12" s="643"/>
      <c r="BI12" s="173"/>
      <c r="BJ12" s="643"/>
      <c r="BK12" s="643"/>
      <c r="BL12" s="643"/>
      <c r="BM12" s="173"/>
      <c r="BN12" s="643"/>
      <c r="BO12" s="643"/>
      <c r="BP12" s="643"/>
      <c r="BQ12" s="643"/>
      <c r="BR12" s="643"/>
      <c r="BS12" s="643"/>
      <c r="BT12" s="643"/>
      <c r="BU12" s="643"/>
      <c r="BV12" s="643"/>
      <c r="BW12" s="643"/>
      <c r="BX12" s="643"/>
      <c r="BY12" s="643"/>
      <c r="BZ12" s="223"/>
    </row>
    <row r="13" spans="1:78" ht="12.75" customHeight="1" x14ac:dyDescent="0.3">
      <c r="A13" s="1">
        <f>IF(ISBLANK(TAB_CS[[#This Row],[Reference]]),"",INDEX(TAB_Offres[ID],MATCH(TAB_CS[[#This Row],[Reference]],TAB_Offres[Reference],0)))</f>
        <v>11</v>
      </c>
      <c r="B13" s="26" t="s">
        <v>278</v>
      </c>
      <c r="C13" s="150" t="s">
        <v>5609</v>
      </c>
      <c r="D13" s="1" t="str">
        <f>IF(ISBLANK(TAB_CS[[#This Row],[Reference]]),"",VLOOKUP(TAB_CS[[#This Row],[ID]],TAB_Offres[],2,FALSE))</f>
        <v>Lot 3</v>
      </c>
      <c r="E13" s="1" t="s">
        <v>5918</v>
      </c>
      <c r="F13" s="26">
        <f>_xlfn.IFNA(IF(ISBLANK(TAB_CS[[#This Row],[Reference]]),"",VLOOKUP(TAB_CS[[#This Row],[Reference]],TAB_Offres[[Reference]:[Modification Request]],COLUMNS(TAB_Offres[[Reference]:[Modification Request]]),FALSE)),)</f>
        <v>0</v>
      </c>
      <c r="G13" s="150" t="str">
        <f>IF(ISBLANK(TAB_CS[[#This Row],[Reference]]),"",INDEX(TAB_Offres[Institution/agency],MATCH(TAB_CS[[#This Row],[Reference]],TAB_Offres[Reference],0)))</f>
        <v>EC</v>
      </c>
      <c r="H13" s="150" t="str">
        <f>IF(ISBLANK(TAB_CS[[#This Row],[Reference]]),"",INDEX(TAB_Offres[DG],MATCH(TAB_CS[[#This Row],[Reference]],TAB_Offres[Reference],0)))</f>
        <v>EMPL</v>
      </c>
      <c r="I13" t="str">
        <f>IF(ISBLANK(TAB_CS[[#This Row],[Reference]]),"",INDEX(TAB_Offres[Offer description],MATCH(TAB_CS[[#This Row],[Reference]],TAB_Offres[Reference],0)))</f>
        <v>Onboarding manager for EUROPASS project</v>
      </c>
      <c r="J13" s="155">
        <f>_xlfn.IFNA(IF(ISBLANK(TAB_CS[[#This Row],[Ressource]]),,VLOOKUP(TAB_CS[[#This Row],[Reference]],TAB_Offres[[Reference]:[CS signature date]],COLUMNS(TAB_Offres[[Reference]:[CS signature date]]),FALSE)),"")</f>
        <v>44868</v>
      </c>
      <c r="K13" s="155">
        <f>_xlfn.IFNA(IF(ISBLANK(TAB_CS[[#This Row],[Ressource]]),,VLOOKUP(TAB_CS[[#This Row],[Reference]],TAB_Offres[[Reference]:[CS start date]],COLUMNS(TAB_Offres[[Reference]:[CS start date]]),FALSE)),"")</f>
        <v>44868</v>
      </c>
      <c r="L13" s="155">
        <f>_xlfn.IFNA(IF(ISBLANK(TAB_CS[[#This Row],[Ressource]]),,VLOOKUP(TAB_CS[[#This Row],[Reference]],TAB_Offres[[Reference]:[CS end date]],COLUMNS(TAB_Offres[[Reference]:[CS end date]]),FALSE)),"")</f>
        <v>45107</v>
      </c>
      <c r="M13" s="1" t="str">
        <f>_xlfn.IFNA(IF(ISBLANK(TAB_CS[[#This Row],[Ressource]]),,VLOOKUP(TAB_CS[[#This Row],[Reference]],TAB_Offres[[Reference]:[CS State]],COLUMNS(TAB_Offres[[Reference]:[CS State]]),FALSE)),"")</f>
        <v>CLOSE</v>
      </c>
      <c r="N13" s="26" t="str">
        <f>VLOOKUP(TAB_CS[[#This Row],[Reference]],TAB_Offres[[Reference]:[Ressource 1]],25,FALSE)</f>
        <v>COOKE, Justin</v>
      </c>
      <c r="O13" s="1" t="str">
        <f>_xlfn.IFNA(IF(ISBLANK(TAB_CS[[#This Row],[Ressource]]),,VLOOKUP(TAB_CS[[#This Row],[Reference]],TAB_Offres[[Reference]:[Company]],COLUMNS(TAB_Offres[[Reference]:[Company]]),FALSE)),"")</f>
        <v>CGI LUX</v>
      </c>
      <c r="P13" s="1" t="str">
        <f>_xlfn.CONCAT(TAB_CS[[#This Row],[Ressource]],TAB_CS[[#This Row],[Profile in €]])</f>
        <v>COOKE, Justin865,54</v>
      </c>
      <c r="Q13" s="1" t="str">
        <f>_xlfn.CONCAT(TAB_CS[[#This Row],[Company]],TAB_CS[[#This Row],[Business perimeter]])</f>
        <v>CGI LUXBL</v>
      </c>
      <c r="R13" s="150" t="str">
        <f>_xlfn.IFNA(IF(ISBLANK(TAB_CS[[#This Row],[Ressource]]),"",VLOOKUP(TAB_CS[[#This Row],[Reference]],TAB_Offres[[Reference]:[Profile]],COLUMNS(TAB_Offres[[Reference]:[Profile]]),FALSE)),"")</f>
        <v>Onboarding manager</v>
      </c>
      <c r="S13" s="1">
        <f>_xlfn.IFNA(IF(ISBLANK(TAB_CS[[#This Row],[Ressource]]),"",VLOOKUP(TAB_CS[[#This Row],[Reference]],TAB_Offres[[Reference]:[Level]],COLUMNS(TAB_Offres[[Reference]:[Level]]),FALSE)),"")</f>
        <v>10</v>
      </c>
      <c r="T13" s="127">
        <f>_xlfn.IFNA(IF(OR(ISBLANK(TAB_CS[[#This Row],[Level]]),TAB_CS[[#This Row],[Level]]=""),,VLOOKUP(TAB_CS[[#This Row],[Profile]],TAB_prix[],2+TAB_CS[[#This Row],[Level]],FALSE)),)</f>
        <v>865.54</v>
      </c>
      <c r="U13" s="13">
        <v>60</v>
      </c>
      <c r="V13" s="189">
        <f>IF(OR(ISBLANK(TAB_CS[[#This Row],[Commited days]]),TAB_CS[[#This Row],[Commited days]]=0),,TAB_CS[[#This Row],[Commited days]]*TAB_CS[[#This Row],[Profile in €]])</f>
        <v>51932.399999999994</v>
      </c>
      <c r="W13" s="127">
        <f>SUM(TAB_CS[[#This Row],[F]:[P+1]])-TAB_CS[[#This Row],[P+1]]</f>
        <v>60</v>
      </c>
      <c r="X13" s="189">
        <f>IF(OR(ISBLANK(TAB_CS[[#This Row],[Producted days]]),TAB_CS[[#This Row],[Producted days]]=0),,TAB_CS[[#This Row],[Producted days]]*TAB_CS[[#This Row],[Profile in €]])</f>
        <v>51932.399999999994</v>
      </c>
      <c r="Y13" s="188">
        <f>TAB_CS[[#This Row],[Commited days]]-TAB_CS[[#This Row],[Producted days]]</f>
        <v>0</v>
      </c>
      <c r="Z13" s="189">
        <f>IF(OR(ISBLANK(TAB_CS[[#This Row],[Remaining days]]),TAB_CS[[#This Row],[Remaining days]]=0),,TAB_CS[[#This Row],[Remaining days]]*TAB_CS[[#This Row],[Profile in €]])</f>
        <v>0</v>
      </c>
      <c r="AA13" s="187">
        <f>SUM(TAB_CS[[#This Row],[P+1]:[FP]])</f>
        <v>0</v>
      </c>
      <c r="AB13" s="10">
        <f>IF(OR(ISBLANK(TAB_CS[[#This Row],[Expected days]]),TAB_CS[[#This Row],[Expected days]]=0),,TAB_CS[[#This Row],[Expected days]]*TAB_CS[[#This Row],[Profile in €]])</f>
        <v>0</v>
      </c>
      <c r="AC13" s="10" t="str">
        <f>CONCATENATE(TAB_CS[[#This Row],[DG]],TAB_CS[[#This Row],[Company]])</f>
        <v>EMPLCGI LUX</v>
      </c>
      <c r="AD13" s="144"/>
      <c r="AE13" s="150"/>
      <c r="AF13" s="151"/>
      <c r="AG13" s="151"/>
      <c r="AH13" s="151"/>
      <c r="AI13" s="150"/>
      <c r="AJ13" s="151"/>
      <c r="AK13" s="156"/>
      <c r="AL13" s="156"/>
      <c r="AM13" s="351">
        <v>3.5</v>
      </c>
      <c r="AN13" s="351">
        <v>19</v>
      </c>
      <c r="AO13" s="351">
        <v>15</v>
      </c>
      <c r="AP13" s="351">
        <v>21.5</v>
      </c>
      <c r="AQ13" s="351">
        <v>1</v>
      </c>
      <c r="AR13" s="643"/>
      <c r="AS13" s="643"/>
      <c r="AT13" s="643"/>
      <c r="AU13" s="643"/>
      <c r="AV13" s="643"/>
      <c r="AW13" s="643"/>
      <c r="AX13" s="643"/>
      <c r="AY13" s="643"/>
      <c r="AZ13" s="643"/>
      <c r="BA13" s="643"/>
      <c r="BB13" s="643"/>
      <c r="BC13" s="643"/>
      <c r="BD13" s="643"/>
      <c r="BE13" s="643"/>
      <c r="BF13" s="643"/>
      <c r="BG13" s="643"/>
      <c r="BH13" s="643"/>
      <c r="BI13" s="173"/>
      <c r="BJ13" s="643"/>
      <c r="BK13" s="643"/>
      <c r="BL13" s="643"/>
      <c r="BM13" s="173"/>
      <c r="BN13" s="643"/>
      <c r="BO13" s="643"/>
      <c r="BP13" s="643"/>
      <c r="BQ13" s="643"/>
      <c r="BR13" s="643"/>
      <c r="BS13" s="643"/>
      <c r="BT13" s="643"/>
      <c r="BU13" s="643"/>
      <c r="BV13" s="643"/>
      <c r="BW13" s="643"/>
      <c r="BX13" s="643"/>
      <c r="BY13" s="643"/>
      <c r="BZ13" s="223"/>
    </row>
    <row r="14" spans="1:78" ht="12.75" customHeight="1" x14ac:dyDescent="0.3">
      <c r="A14" s="1">
        <f>IF(ISBLANK(TAB_CS[[#This Row],[Reference]]),"",INDEX(TAB_Offres[ID],MATCH(TAB_CS[[#This Row],[Reference]],TAB_Offres[Reference],0)))</f>
        <v>12</v>
      </c>
      <c r="B14" s="154" t="s">
        <v>281</v>
      </c>
      <c r="C14" s="150" t="s">
        <v>5610</v>
      </c>
      <c r="D14" s="1" t="str">
        <f>IF(ISBLANK(TAB_CS[[#This Row],[Reference]]),"",VLOOKUP(TAB_CS[[#This Row],[ID]],TAB_Offres[],2,FALSE))</f>
        <v>Lot 1</v>
      </c>
      <c r="E14" s="1" t="s">
        <v>5918</v>
      </c>
      <c r="F14" s="26" t="str">
        <f>_xlfn.IFNA(IF(ISBLANK(TAB_CS[[#This Row],[Reference]]),"",VLOOKUP(TAB_CS[[#This Row],[Reference]],TAB_Offres[[Reference]:[Modification Request]],COLUMNS(TAB_Offres[[Reference]:[Modification Request]]),FALSE)),)</f>
        <v>DIGITTMII-005124-DIGITTMII-001957-MOD-01-6000053863-REQ-01</v>
      </c>
      <c r="G14" s="150" t="str">
        <f>IF(ISBLANK(TAB_CS[[#This Row],[Reference]]),"",INDEX(TAB_Offres[Institution/agency],MATCH(TAB_CS[[#This Row],[Reference]],TAB_Offres[Reference],0)))</f>
        <v>EC</v>
      </c>
      <c r="H14" s="150" t="str">
        <f>IF(ISBLANK(TAB_CS[[#This Row],[Reference]]),"",INDEX(TAB_Offres[DG],MATCH(TAB_CS[[#This Row],[Reference]],TAB_Offres[Reference],0)))</f>
        <v>DIGIT.D.1</v>
      </c>
      <c r="I14" t="str">
        <f>IF(ISBLANK(TAB_CS[[#This Row],[Reference]]),"",INDEX(TAB_Offres[Offer description],MATCH(TAB_CS[[#This Row],[Reference]],TAB_Offres[Reference],0)))</f>
        <v>2022-D1.003.370 - NEW - DIGIT TMII - Full Stack Developer L6/7</v>
      </c>
      <c r="J14" s="155">
        <f>_xlfn.IFNA(IF(ISBLANK(TAB_CS[[#This Row],[Ressource]]),,VLOOKUP(TAB_CS[[#This Row],[Reference]],TAB_Offres[[Reference]:[CS signature date]],COLUMNS(TAB_Offres[[Reference]:[CS signature date]]),FALSE)),"")</f>
        <v>44855</v>
      </c>
      <c r="K14" s="155">
        <f>_xlfn.IFNA(IF(ISBLANK(TAB_CS[[#This Row],[Ressource]]),,VLOOKUP(TAB_CS[[#This Row],[Reference]],TAB_Offres[[Reference]:[CS start date]],COLUMNS(TAB_Offres[[Reference]:[CS start date]]),FALSE)),"")</f>
        <v>44855</v>
      </c>
      <c r="L14" s="155">
        <f>_xlfn.IFNA(IF(ISBLANK(TAB_CS[[#This Row],[Ressource]]),,VLOOKUP(TAB_CS[[#This Row],[Reference]],TAB_Offres[[Reference]:[CS end date]],COLUMNS(TAB_Offres[[Reference]:[CS end date]]),FALSE)),"")</f>
        <v>45199</v>
      </c>
      <c r="M14" s="1" t="str">
        <f>_xlfn.IFNA(IF(ISBLANK(TAB_CS[[#This Row],[Ressource]]),,VLOOKUP(TAB_CS[[#This Row],[Reference]],TAB_Offres[[Reference]:[CS State]],COLUMNS(TAB_Offres[[Reference]:[CS State]]),FALSE)),"")</f>
        <v>START</v>
      </c>
      <c r="N14" s="320" t="s">
        <v>349</v>
      </c>
      <c r="O14" s="1" t="str">
        <f>_xlfn.IFNA(IF(ISBLANK(TAB_CS[[#This Row],[Ressource]]),,VLOOKUP(TAB_CS[[#This Row],[Reference]],TAB_Offres[[Reference]:[Company]],COLUMNS(TAB_Offres[[Reference]:[Company]]),FALSE)),"")</f>
        <v>TALAN</v>
      </c>
      <c r="P14" s="1" t="str">
        <f>_xlfn.CONCAT(TAB_CS[[#This Row],[Ressource]],TAB_CS[[#This Row],[Profile in €]])</f>
        <v>LORENC, Adrian433,55</v>
      </c>
      <c r="Q14" s="1" t="str">
        <f>_xlfn.CONCAT(TAB_CS[[#This Row],[Company]],TAB_CS[[#This Row],[Business perimeter]])</f>
        <v>TALANBL</v>
      </c>
      <c r="R14" s="150" t="str">
        <f>_xlfn.IFNA(IF(ISBLANK(TAB_CS[[#This Row],[Ressource]]),"",VLOOKUP(TAB_CS[[#This Row],[Reference]],TAB_Offres[[Reference]:[Profile]],COLUMNS(TAB_Offres[[Reference]:[Profile]]),FALSE)),"")</f>
        <v>Full-stack developer-FAR</v>
      </c>
      <c r="S14" s="1">
        <f>_xlfn.IFNA(IF(ISBLANK(TAB_CS[[#This Row],[Ressource]]),"",VLOOKUP(TAB_CS[[#This Row],[Reference]],TAB_Offres[[Reference]:[Level]],COLUMNS(TAB_Offres[[Reference]:[Level]]),FALSE)),"")</f>
        <v>7</v>
      </c>
      <c r="T14" s="127">
        <f>_xlfn.IFNA(IF(OR(ISBLANK(TAB_CS[[#This Row],[Level]]),TAB_CS[[#This Row],[Level]]=""),,VLOOKUP(TAB_CS[[#This Row],[Profile]],TAB_prix[],2+TAB_CS[[#This Row],[Level]],FALSE)),)</f>
        <v>433.55</v>
      </c>
      <c r="U14" s="13">
        <v>60</v>
      </c>
      <c r="V14" s="189">
        <f>IF(OR(ISBLANK(TAB_CS[[#This Row],[Commited days]]),TAB_CS[[#This Row],[Commited days]]=0),,TAB_CS[[#This Row],[Commited days]]*TAB_CS[[#This Row],[Profile in €]])</f>
        <v>26013</v>
      </c>
      <c r="W14" s="127">
        <f>SUM(TAB_CS[[#This Row],[F]:[P+1]])-TAB_CS[[#This Row],[P+1]]</f>
        <v>77.5</v>
      </c>
      <c r="X14" s="189">
        <f>IF(OR(ISBLANK(TAB_CS[[#This Row],[Producted days]]),TAB_CS[[#This Row],[Producted days]]=0),,TAB_CS[[#This Row],[Producted days]]*TAB_CS[[#This Row],[Profile in €]])</f>
        <v>33600.125</v>
      </c>
      <c r="Y14" s="188">
        <f>TAB_CS[[#This Row],[Commited days]]-TAB_CS[[#This Row],[Producted days]]</f>
        <v>-17.5</v>
      </c>
      <c r="Z14" s="189">
        <f>IF(OR(ISBLANK(TAB_CS[[#This Row],[Remaining days]]),TAB_CS[[#This Row],[Remaining days]]=0),,TAB_CS[[#This Row],[Remaining days]]*TAB_CS[[#This Row],[Profile in €]])</f>
        <v>-7587.125</v>
      </c>
      <c r="AA14" s="187">
        <f>SUM(TAB_CS[[#This Row],[P+1]:[FP]])</f>
        <v>0</v>
      </c>
      <c r="AB14" s="10">
        <f>IF(OR(ISBLANK(TAB_CS[[#This Row],[Expected days]]),TAB_CS[[#This Row],[Expected days]]=0),,TAB_CS[[#This Row],[Expected days]]*TAB_CS[[#This Row],[Profile in €]])</f>
        <v>0</v>
      </c>
      <c r="AC14" s="10" t="str">
        <f>CONCATENATE(TAB_CS[[#This Row],[DG]],TAB_CS[[#This Row],[Company]])</f>
        <v>DIGIT.D.1TALAN</v>
      </c>
      <c r="AD14" s="144"/>
      <c r="AE14" s="150"/>
      <c r="AF14" s="151"/>
      <c r="AG14" s="151"/>
      <c r="AH14" s="151"/>
      <c r="AI14" s="150"/>
      <c r="AJ14" s="151"/>
      <c r="AK14" s="156"/>
      <c r="AL14" s="156"/>
      <c r="AM14" s="156"/>
      <c r="AN14" s="156"/>
      <c r="AO14" s="351">
        <v>10</v>
      </c>
      <c r="AP14" s="351">
        <v>22</v>
      </c>
      <c r="AQ14" s="351">
        <v>17</v>
      </c>
      <c r="AR14" s="351">
        <v>11</v>
      </c>
      <c r="AS14" s="156"/>
      <c r="AT14" s="156"/>
      <c r="AU14" s="351">
        <v>1</v>
      </c>
      <c r="AV14" s="352">
        <v>16.5</v>
      </c>
      <c r="AW14" s="643"/>
      <c r="AX14" s="643"/>
      <c r="AY14" s="643"/>
      <c r="AZ14" s="643"/>
      <c r="BA14" s="643"/>
      <c r="BB14" s="643"/>
      <c r="BC14" s="643"/>
      <c r="BD14" s="643"/>
      <c r="BE14" s="643"/>
      <c r="BF14" s="643"/>
      <c r="BG14" s="643"/>
      <c r="BH14" s="643"/>
      <c r="BI14" s="173"/>
      <c r="BJ14" s="643"/>
      <c r="BK14" s="643"/>
      <c r="BL14" s="643"/>
      <c r="BM14" s="173"/>
      <c r="BN14" s="643"/>
      <c r="BO14" s="643"/>
      <c r="BP14" s="643"/>
      <c r="BQ14" s="643"/>
      <c r="BR14" s="643"/>
      <c r="BS14" s="643"/>
      <c r="BT14" s="643"/>
      <c r="BU14" s="643"/>
      <c r="BV14" s="643"/>
      <c r="BW14" s="643"/>
      <c r="BX14" s="643"/>
      <c r="BY14" s="643"/>
      <c r="BZ14" s="223"/>
    </row>
    <row r="15" spans="1:78" ht="12.75" customHeight="1" x14ac:dyDescent="0.3">
      <c r="A15" s="1">
        <f>IF(ISBLANK(TAB_CS[[#This Row],[Reference]]),"",INDEX(TAB_Offres[ID],MATCH(TAB_CS[[#This Row],[Reference]],TAB_Offres[Reference],0)))</f>
        <v>12</v>
      </c>
      <c r="B15" s="154" t="s">
        <v>281</v>
      </c>
      <c r="C15" s="150" t="s">
        <v>5610</v>
      </c>
      <c r="D15" s="1" t="str">
        <f>IF(ISBLANK(TAB_CS[[#This Row],[Reference]]),"",VLOOKUP(TAB_CS[[#This Row],[ID]],TAB_Offres[],2,FALSE))</f>
        <v>Lot 1</v>
      </c>
      <c r="E15" s="1" t="s">
        <v>5918</v>
      </c>
      <c r="F15" s="26" t="str">
        <f>_xlfn.IFNA(IF(ISBLANK(TAB_CS[[#This Row],[Reference]]),"",VLOOKUP(TAB_CS[[#This Row],[Reference]],TAB_Offres[[Reference]:[Modification Request]],COLUMNS(TAB_Offres[[Reference]:[Modification Request]]),FALSE)),)</f>
        <v>DIGITTMII-005124-DIGITTMII-001957-MOD-01-6000053863-REQ-01</v>
      </c>
      <c r="G15" s="150" t="str">
        <f>IF(ISBLANK(TAB_CS[[#This Row],[Reference]]),"",INDEX(TAB_Offres[Institution/agency],MATCH(TAB_CS[[#This Row],[Reference]],TAB_Offres[Reference],0)))</f>
        <v>EC</v>
      </c>
      <c r="H15" s="150" t="str">
        <f>IF(ISBLANK(TAB_CS[[#This Row],[Reference]]),"",INDEX(TAB_Offres[DG],MATCH(TAB_CS[[#This Row],[Reference]],TAB_Offres[Reference],0)))</f>
        <v>DIGIT.D.1</v>
      </c>
      <c r="I15" t="str">
        <f>IF(ISBLANK(TAB_CS[[#This Row],[Reference]]),"",INDEX(TAB_Offres[Offer description],MATCH(TAB_CS[[#This Row],[Reference]],TAB_Offres[Reference],0)))</f>
        <v>2022-D1.003.370 - NEW - DIGIT TMII - Full Stack Developer L6/7</v>
      </c>
      <c r="J15" s="155">
        <f>_xlfn.IFNA(IF(ISBLANK(TAB_CS[[#This Row],[Ressource]]),,VLOOKUP(TAB_CS[[#This Row],[Reference]],TAB_Offres[[Reference]:[CS signature date]],COLUMNS(TAB_Offres[[Reference]:[CS signature date]]),FALSE)),"")</f>
        <v>44855</v>
      </c>
      <c r="K15" s="155">
        <f>_xlfn.IFNA(IF(ISBLANK(TAB_CS[[#This Row],[Ressource]]),,VLOOKUP(TAB_CS[[#This Row],[Reference]],TAB_Offres[[Reference]:[CS start date]],COLUMNS(TAB_Offres[[Reference]:[CS start date]]),FALSE)),"")</f>
        <v>44855</v>
      </c>
      <c r="L15" s="155">
        <f>_xlfn.IFNA(IF(ISBLANK(TAB_CS[[#This Row],[Ressource]]),,VLOOKUP(TAB_CS[[#This Row],[Reference]],TAB_Offres[[Reference]:[CS end date]],COLUMNS(TAB_Offres[[Reference]:[CS end date]]),FALSE)),"")</f>
        <v>45199</v>
      </c>
      <c r="M15" s="1" t="str">
        <f>_xlfn.IFNA(IF(ISBLANK(TAB_CS[[#This Row],[Ressource]]),,VLOOKUP(TAB_CS[[#This Row],[Reference]],TAB_Offres[[Reference]:[CS State]],COLUMNS(TAB_Offres[[Reference]:[CS State]]),FALSE)),"")</f>
        <v>START</v>
      </c>
      <c r="N15" s="26" t="str">
        <f>VLOOKUP(TAB_CS[[#This Row],[Reference]],TAB_Offres[[Reference]:[Ressource 1]],25,FALSE)</f>
        <v>PIETRAS, Adam</v>
      </c>
      <c r="O15" s="1" t="str">
        <f>_xlfn.IFNA(IF(ISBLANK(TAB_CS[[#This Row],[Ressource]]),,VLOOKUP(TAB_CS[[#This Row],[Reference]],TAB_Offres[[Reference]:[Company]],COLUMNS(TAB_Offres[[Reference]:[Company]]),FALSE)),"")</f>
        <v>TALAN</v>
      </c>
      <c r="P15" s="1" t="str">
        <f>_xlfn.CONCAT(TAB_CS[[#This Row],[Ressource]],TAB_CS[[#This Row],[Profile in €]])</f>
        <v>PIETRAS, Adam443,55</v>
      </c>
      <c r="Q15" s="1" t="str">
        <f>_xlfn.CONCAT(TAB_CS[[#This Row],[Company]],TAB_CS[[#This Row],[Business perimeter]])</f>
        <v>TALANBL</v>
      </c>
      <c r="R15" s="150" t="str">
        <f>_xlfn.IFNA(IF(ISBLANK(TAB_CS[[#This Row],[Ressource]]),"",VLOOKUP(TAB_CS[[#This Row],[Reference]],TAB_Offres[[Reference]:[Profile]],COLUMNS(TAB_Offres[[Reference]:[Profile]]),FALSE)),"")</f>
        <v>Full-stack developer-FAR</v>
      </c>
      <c r="S15" s="1">
        <f>_xlfn.IFNA(IF(ISBLANK(TAB_CS[[#This Row],[Ressource]]),"",VLOOKUP(TAB_CS[[#This Row],[Reference]],TAB_Offres[[Reference]:[Level]],COLUMNS(TAB_Offres[[Reference]:[Level]]),FALSE)),"")</f>
        <v>7</v>
      </c>
      <c r="T15" s="357">
        <v>443.55</v>
      </c>
      <c r="U15" s="13">
        <v>142.5</v>
      </c>
      <c r="V15" s="189">
        <f>IF(OR(ISBLANK(TAB_CS[[#This Row],[Commited days]]),TAB_CS[[#This Row],[Commited days]]=0),,TAB_CS[[#This Row],[Commited days]]*TAB_CS[[#This Row],[Profile in €]])</f>
        <v>63205.875</v>
      </c>
      <c r="W15" s="127">
        <f>SUM(TAB_CS[[#This Row],[F]:[P+1]])-TAB_CS[[#This Row],[P+1]]</f>
        <v>125</v>
      </c>
      <c r="X15" s="189">
        <f>IF(OR(ISBLANK(TAB_CS[[#This Row],[Producted days]]),TAB_CS[[#This Row],[Producted days]]=0),,TAB_CS[[#This Row],[Producted days]]*TAB_CS[[#This Row],[Profile in €]])</f>
        <v>55443.75</v>
      </c>
      <c r="Y15" s="188">
        <f>TAB_CS[[#This Row],[Commited days]]-TAB_CS[[#This Row],[Producted days]]</f>
        <v>17.5</v>
      </c>
      <c r="Z15" s="189">
        <f>IF(OR(ISBLANK(TAB_CS[[#This Row],[Remaining days]]),TAB_CS[[#This Row],[Remaining days]]=0),,TAB_CS[[#This Row],[Remaining days]]*TAB_CS[[#This Row],[Profile in €]])</f>
        <v>7762.125</v>
      </c>
      <c r="AA15" s="187">
        <f>SUM(TAB_CS[[#This Row],[P+1]:[FP]])</f>
        <v>0</v>
      </c>
      <c r="AB15" s="10">
        <f>IF(OR(ISBLANK(TAB_CS[[#This Row],[Expected days]]),TAB_CS[[#This Row],[Expected days]]=0),,TAB_CS[[#This Row],[Expected days]]*TAB_CS[[#This Row],[Profile in €]])</f>
        <v>0</v>
      </c>
      <c r="AC15" s="10" t="str">
        <f>CONCATENATE(TAB_CS[[#This Row],[DG]],TAB_CS[[#This Row],[Company]])</f>
        <v>DIGIT.D.1TALAN</v>
      </c>
      <c r="AD15" s="144"/>
      <c r="AE15" s="150"/>
      <c r="AF15" s="151"/>
      <c r="AG15" s="151"/>
      <c r="AH15" s="151"/>
      <c r="AI15" s="150"/>
      <c r="AJ15" s="151"/>
      <c r="AK15" s="351">
        <v>6</v>
      </c>
      <c r="AL15" s="351">
        <v>20</v>
      </c>
      <c r="AM15" s="351">
        <v>12</v>
      </c>
      <c r="AN15" s="351">
        <v>15</v>
      </c>
      <c r="AO15" s="351">
        <v>13</v>
      </c>
      <c r="AP15" s="351">
        <v>8.5</v>
      </c>
      <c r="AQ15" s="351">
        <v>13</v>
      </c>
      <c r="AR15" s="351">
        <v>12.5</v>
      </c>
      <c r="AS15" s="351">
        <v>14</v>
      </c>
      <c r="AT15" s="351">
        <v>8</v>
      </c>
      <c r="AU15" s="156"/>
      <c r="AV15" s="351">
        <v>3</v>
      </c>
      <c r="AW15" s="643"/>
      <c r="AX15" s="643"/>
      <c r="AY15" s="643"/>
      <c r="AZ15" s="643"/>
      <c r="BA15" s="643"/>
      <c r="BB15" s="643"/>
      <c r="BC15" s="643"/>
      <c r="BD15" s="643"/>
      <c r="BE15" s="643"/>
      <c r="BF15" s="643"/>
      <c r="BG15" s="643"/>
      <c r="BH15" s="643"/>
      <c r="BI15" s="173"/>
      <c r="BJ15" s="643"/>
      <c r="BK15" s="643"/>
      <c r="BL15" s="643"/>
      <c r="BM15" s="173"/>
      <c r="BN15" s="643"/>
      <c r="BO15" s="643"/>
      <c r="BP15" s="643"/>
      <c r="BQ15" s="643"/>
      <c r="BR15" s="643"/>
      <c r="BS15" s="643"/>
      <c r="BT15" s="643"/>
      <c r="BU15" s="643"/>
      <c r="BV15" s="643"/>
      <c r="BW15" s="643"/>
      <c r="BX15" s="643"/>
      <c r="BY15" s="643"/>
      <c r="BZ15" s="223"/>
    </row>
    <row r="16" spans="1:78" ht="12.75" customHeight="1" x14ac:dyDescent="0.3">
      <c r="A16" s="1">
        <f>IF(ISBLANK(TAB_CS[[#This Row],[Reference]]),"",INDEX(TAB_Offres[ID],MATCH(TAB_CS[[#This Row],[Reference]],TAB_Offres[Reference],0)))</f>
        <v>13</v>
      </c>
      <c r="B16" s="26" t="s">
        <v>283</v>
      </c>
      <c r="C16" s="150" t="s">
        <v>5611</v>
      </c>
      <c r="D16" s="1" t="str">
        <f>IF(ISBLANK(TAB_CS[[#This Row],[Reference]]),"",VLOOKUP(TAB_CS[[#This Row],[ID]],TAB_Offres[],2,FALSE))</f>
        <v>Lot 2</v>
      </c>
      <c r="E16" s="1" t="s">
        <v>5918</v>
      </c>
      <c r="F16" s="26">
        <f>_xlfn.IFNA(IF(ISBLANK(TAB_CS[[#This Row],[Reference]]),"",VLOOKUP(TAB_CS[[#This Row],[Reference]],TAB_Offres[[Reference]:[Modification Request]],COLUMNS(TAB_Offres[[Reference]:[Modification Request]]),FALSE)),)</f>
        <v>0</v>
      </c>
      <c r="G16" s="150" t="str">
        <f>IF(ISBLANK(TAB_CS[[#This Row],[Reference]]),"",INDEX(TAB_Offres[Institution/agency],MATCH(TAB_CS[[#This Row],[Reference]],TAB_Offres[Reference],0)))</f>
        <v>EC</v>
      </c>
      <c r="H16" s="150" t="str">
        <f>IF(ISBLANK(TAB_CS[[#This Row],[Reference]]),"",INDEX(TAB_Offres[DG],MATCH(TAB_CS[[#This Row],[Reference]],TAB_Offres[Reference],0)))</f>
        <v>DIGIT.B.4</v>
      </c>
      <c r="I16" t="str">
        <f>IF(ISBLANK(TAB_CS[[#This Row],[Reference]]),"",INDEX(TAB_Offres[Offer description],MATCH(TAB_CS[[#This Row],[Reference]],TAB_Offres[Reference],0)))</f>
        <v>Project manager (PM) level 9</v>
      </c>
      <c r="J16" s="155">
        <f>_xlfn.IFNA(IF(ISBLANK(TAB_CS[[#This Row],[Ressource]]),,VLOOKUP(TAB_CS[[#This Row],[Reference]],TAB_Offres[[Reference]:[CS signature date]],COLUMNS(TAB_Offres[[Reference]:[CS signature date]]),FALSE)),"")</f>
        <v>44854</v>
      </c>
      <c r="K16" s="155">
        <f>_xlfn.IFNA(IF(ISBLANK(TAB_CS[[#This Row],[Ressource]]),,VLOOKUP(TAB_CS[[#This Row],[Reference]],TAB_Offres[[Reference]:[CS start date]],COLUMNS(TAB_Offres[[Reference]:[CS start date]]),FALSE)),"")</f>
        <v>44854</v>
      </c>
      <c r="L16" s="155">
        <f>_xlfn.IFNA(IF(ISBLANK(TAB_CS[[#This Row],[Ressource]]),,VLOOKUP(TAB_CS[[#This Row],[Reference]],TAB_Offres[[Reference]:[CS end date]],COLUMNS(TAB_Offres[[Reference]:[CS end date]]),FALSE)),"")</f>
        <v>45199</v>
      </c>
      <c r="M16" s="1" t="str">
        <f>_xlfn.IFNA(IF(ISBLANK(TAB_CS[[#This Row],[Ressource]]),,VLOOKUP(TAB_CS[[#This Row],[Reference]],TAB_Offres[[Reference]:[CS State]],COLUMNS(TAB_Offres[[Reference]:[CS State]]),FALSE)),"")</f>
        <v>CLOSE</v>
      </c>
      <c r="N16" s="26" t="str">
        <f>VLOOKUP(TAB_CS[[#This Row],[Reference]],TAB_Offres[[Reference]:[Ressource 1]],25,FALSE)</f>
        <v>DE ANDRES DEL CASTILLO, David</v>
      </c>
      <c r="O16" s="1" t="str">
        <f>_xlfn.IFNA(IF(ISBLANK(TAB_CS[[#This Row],[Ressource]]),,VLOOKUP(TAB_CS[[#This Row],[Reference]],TAB_Offres[[Reference]:[Company]],COLUMNS(TAB_Offres[[Reference]:[Company]]),FALSE)),"")</f>
        <v>CGI LUX</v>
      </c>
      <c r="P16" s="1" t="str">
        <f>_xlfn.CONCAT(TAB_CS[[#This Row],[Ressource]],TAB_CS[[#This Row],[Profile in €]])</f>
        <v>DE ANDRES DEL CASTILLO, David753,77</v>
      </c>
      <c r="Q16" s="1" t="str">
        <f>_xlfn.CONCAT(TAB_CS[[#This Row],[Company]],TAB_CS[[#This Row],[Business perimeter]])</f>
        <v>CGI LUXBL</v>
      </c>
      <c r="R16" s="150" t="str">
        <f>_xlfn.IFNA(IF(ISBLANK(TAB_CS[[#This Row],[Ressource]]),"",VLOOKUP(TAB_CS[[#This Row],[Reference]],TAB_Offres[[Reference]:[Profile]],COLUMNS(TAB_Offres[[Reference]:[Profile]]),FALSE)),"")</f>
        <v>Project Manager</v>
      </c>
      <c r="S16" s="1">
        <f>_xlfn.IFNA(IF(ISBLANK(TAB_CS[[#This Row],[Ressource]]),"",VLOOKUP(TAB_CS[[#This Row],[Reference]],TAB_Offres[[Reference]:[Level]],COLUMNS(TAB_Offres[[Reference]:[Level]]),FALSE)),"")</f>
        <v>9</v>
      </c>
      <c r="T16" s="127">
        <f>_xlfn.IFNA(IF(OR(ISBLANK(TAB_CS[[#This Row],[Level]]),TAB_CS[[#This Row],[Level]]=""),,VLOOKUP(TAB_CS[[#This Row],[Profile]],TAB_prix[],2+TAB_CS[[#This Row],[Level]],FALSE)),)</f>
        <v>753.77</v>
      </c>
      <c r="U16" s="13">
        <v>110</v>
      </c>
      <c r="V16" s="189">
        <f>IF(OR(ISBLANK(TAB_CS[[#This Row],[Commited days]]),TAB_CS[[#This Row],[Commited days]]=0),,TAB_CS[[#This Row],[Commited days]]*TAB_CS[[#This Row],[Profile in €]])</f>
        <v>82914.7</v>
      </c>
      <c r="W16" s="127">
        <f>SUM(TAB_CS[[#This Row],[F]:[P+1]])-TAB_CS[[#This Row],[P+1]]</f>
        <v>110</v>
      </c>
      <c r="X16" s="189">
        <f>IF(OR(ISBLANK(TAB_CS[[#This Row],[Producted days]]),TAB_CS[[#This Row],[Producted days]]=0),,TAB_CS[[#This Row],[Producted days]]*TAB_CS[[#This Row],[Profile in €]])</f>
        <v>82914.7</v>
      </c>
      <c r="Y16" s="188">
        <f>TAB_CS[[#This Row],[Commited days]]-TAB_CS[[#This Row],[Producted days]]</f>
        <v>0</v>
      </c>
      <c r="Z16" s="189">
        <f>IF(OR(ISBLANK(TAB_CS[[#This Row],[Remaining days]]),TAB_CS[[#This Row],[Remaining days]]=0),,TAB_CS[[#This Row],[Remaining days]]*TAB_CS[[#This Row],[Profile in €]])</f>
        <v>0</v>
      </c>
      <c r="AA16" s="187">
        <f>SUM(TAB_CS[[#This Row],[P+1]:[FP]])</f>
        <v>0</v>
      </c>
      <c r="AB16" s="10">
        <f>IF(OR(ISBLANK(TAB_CS[[#This Row],[Expected days]]),TAB_CS[[#This Row],[Expected days]]=0),,TAB_CS[[#This Row],[Expected days]]*TAB_CS[[#This Row],[Profile in €]])</f>
        <v>0</v>
      </c>
      <c r="AC16" s="10" t="str">
        <f>CONCATENATE(TAB_CS[[#This Row],[DG]],TAB_CS[[#This Row],[Company]])</f>
        <v>DIGIT.B.4CGI LUX</v>
      </c>
      <c r="AD16" s="144"/>
      <c r="AE16" s="150"/>
      <c r="AF16" s="151"/>
      <c r="AG16" s="151"/>
      <c r="AH16" s="151"/>
      <c r="AI16" s="150"/>
      <c r="AJ16" s="151"/>
      <c r="AK16" s="156"/>
      <c r="AL16" s="351">
        <v>4</v>
      </c>
      <c r="AM16" s="351">
        <v>16</v>
      </c>
      <c r="AN16" s="351">
        <v>20</v>
      </c>
      <c r="AO16" s="351">
        <v>19</v>
      </c>
      <c r="AP16" s="351">
        <v>21</v>
      </c>
      <c r="AQ16" s="351">
        <v>14</v>
      </c>
      <c r="AR16" s="351">
        <v>16</v>
      </c>
      <c r="AS16" s="643"/>
      <c r="AT16" s="643"/>
      <c r="AU16" s="643"/>
      <c r="AV16" s="643"/>
      <c r="AW16" s="643"/>
      <c r="AX16" s="643"/>
      <c r="AY16" s="643"/>
      <c r="AZ16" s="643"/>
      <c r="BA16" s="643"/>
      <c r="BB16" s="643"/>
      <c r="BC16" s="643"/>
      <c r="BD16" s="643"/>
      <c r="BE16" s="643"/>
      <c r="BF16" s="643"/>
      <c r="BG16" s="643"/>
      <c r="BH16" s="643"/>
      <c r="BI16" s="173"/>
      <c r="BJ16" s="643"/>
      <c r="BK16" s="643"/>
      <c r="BL16" s="643"/>
      <c r="BM16" s="173"/>
      <c r="BN16" s="643"/>
      <c r="BO16" s="643"/>
      <c r="BP16" s="643"/>
      <c r="BQ16" s="643"/>
      <c r="BR16" s="643"/>
      <c r="BS16" s="643"/>
      <c r="BT16" s="643"/>
      <c r="BU16" s="643"/>
      <c r="BV16" s="643"/>
      <c r="BW16" s="643"/>
      <c r="BX16" s="643"/>
      <c r="BY16" s="643"/>
      <c r="BZ16" s="223"/>
    </row>
    <row r="17" spans="1:78" ht="12.75" customHeight="1" x14ac:dyDescent="0.3">
      <c r="A17" s="1">
        <f>IF(ISBLANK(TAB_CS[[#This Row],[Reference]]),"",INDEX(TAB_Offres[ID],MATCH(TAB_CS[[#This Row],[Reference]],TAB_Offres[Reference],0)))</f>
        <v>14</v>
      </c>
      <c r="B17" s="26" t="s">
        <v>285</v>
      </c>
      <c r="C17" s="150" t="s">
        <v>5612</v>
      </c>
      <c r="D17" s="1" t="str">
        <f>IF(ISBLANK(TAB_CS[[#This Row],[Reference]]),"",VLOOKUP(TAB_CS[[#This Row],[ID]],TAB_Offres[],2,FALSE))</f>
        <v>Lot 3</v>
      </c>
      <c r="E17" s="1" t="s">
        <v>5918</v>
      </c>
      <c r="F17" s="26">
        <f>_xlfn.IFNA(IF(ISBLANK(TAB_CS[[#This Row],[Reference]]),"",VLOOKUP(TAB_CS[[#This Row],[Reference]],TAB_Offres[[Reference]:[Modification Request]],COLUMNS(TAB_Offres[[Reference]:[Modification Request]]),FALSE)),)</f>
        <v>0</v>
      </c>
      <c r="G17" s="150" t="str">
        <f>IF(ISBLANK(TAB_CS[[#This Row],[Reference]]),"",INDEX(TAB_Offres[Institution/agency],MATCH(TAB_CS[[#This Row],[Reference]],TAB_Offres[Reference],0)))</f>
        <v>EC</v>
      </c>
      <c r="H17" s="150" t="str">
        <f>IF(ISBLANK(TAB_CS[[#This Row],[Reference]]),"",INDEX(TAB_Offres[DG],MATCH(TAB_CS[[#This Row],[Reference]],TAB_Offres[Reference],0)))</f>
        <v>EMPL</v>
      </c>
      <c r="I17" t="str">
        <f>IF(ISBLANK(TAB_CS[[#This Row],[Reference]]),"",INDEX(TAB_Offres[Offer description],MATCH(TAB_CS[[#This Row],[Reference]],TAB_Offres[Reference],0)))</f>
        <v>Onboarding manager for Europass project</v>
      </c>
      <c r="J17" s="155">
        <f>_xlfn.IFNA(IF(ISBLANK(TAB_CS[[#This Row],[Ressource]]),,VLOOKUP(TAB_CS[[#This Row],[Reference]],TAB_Offres[[Reference]:[CS signature date]],COLUMNS(TAB_Offres[[Reference]:[CS signature date]]),FALSE)),"")</f>
        <v>44872</v>
      </c>
      <c r="K17" s="155">
        <f>_xlfn.IFNA(IF(ISBLANK(TAB_CS[[#This Row],[Ressource]]),,VLOOKUP(TAB_CS[[#This Row],[Reference]],TAB_Offres[[Reference]:[CS start date]],COLUMNS(TAB_Offres[[Reference]:[CS start date]]),FALSE)),"")</f>
        <v>44872</v>
      </c>
      <c r="L17" s="155">
        <f>_xlfn.IFNA(IF(ISBLANK(TAB_CS[[#This Row],[Ressource]]),,VLOOKUP(TAB_CS[[#This Row],[Reference]],TAB_Offres[[Reference]:[CS end date]],COLUMNS(TAB_Offres[[Reference]:[CS end date]]),FALSE)),"")</f>
        <v>45291</v>
      </c>
      <c r="M17" s="1" t="str">
        <f>_xlfn.IFNA(IF(ISBLANK(TAB_CS[[#This Row],[Ressource]]),,VLOOKUP(TAB_CS[[#This Row],[Reference]],TAB_Offres[[Reference]:[CS State]],COLUMNS(TAB_Offres[[Reference]:[CS State]]),FALSE)),"")</f>
        <v>CLOSE</v>
      </c>
      <c r="N17" s="26" t="str">
        <f>VLOOKUP(TAB_CS[[#This Row],[Reference]],TAB_Offres[[Reference]:[Ressource 1]],25,FALSE)</f>
        <v>NICULESCU, Calin</v>
      </c>
      <c r="O17" s="1" t="str">
        <f>_xlfn.IFNA(IF(ISBLANK(TAB_CS[[#This Row],[Ressource]]),,VLOOKUP(TAB_CS[[#This Row],[Reference]],TAB_Offres[[Reference]:[Company]],COLUMNS(TAB_Offres[[Reference]:[Company]]),FALSE)),"")</f>
        <v>CGI LUX</v>
      </c>
      <c r="P17" s="1" t="str">
        <f>_xlfn.CONCAT(TAB_CS[[#This Row],[Ressource]],TAB_CS[[#This Row],[Profile in €]])</f>
        <v>NICULESCU, Calin865,54</v>
      </c>
      <c r="Q17" s="1" t="str">
        <f>_xlfn.CONCAT(TAB_CS[[#This Row],[Company]],TAB_CS[[#This Row],[Business perimeter]])</f>
        <v>CGI LUXBL</v>
      </c>
      <c r="R17" s="150" t="str">
        <f>_xlfn.IFNA(IF(ISBLANK(TAB_CS[[#This Row],[Ressource]]),"",VLOOKUP(TAB_CS[[#This Row],[Reference]],TAB_Offres[[Reference]:[Profile]],COLUMNS(TAB_Offres[[Reference]:[Profile]]),FALSE)),"")</f>
        <v>Onboarding manager</v>
      </c>
      <c r="S17" s="1">
        <f>_xlfn.IFNA(IF(ISBLANK(TAB_CS[[#This Row],[Ressource]]),"",VLOOKUP(TAB_CS[[#This Row],[Reference]],TAB_Offres[[Reference]:[Level]],COLUMNS(TAB_Offres[[Reference]:[Level]]),FALSE)),"")</f>
        <v>10</v>
      </c>
      <c r="T17" s="127">
        <f>_xlfn.IFNA(IF(OR(ISBLANK(TAB_CS[[#This Row],[Level]]),TAB_CS[[#This Row],[Level]]=""),,VLOOKUP(TAB_CS[[#This Row],[Profile]],TAB_prix[],2+TAB_CS[[#This Row],[Level]],FALSE)),)</f>
        <v>865.54</v>
      </c>
      <c r="U17" s="13">
        <v>40</v>
      </c>
      <c r="V17" s="189">
        <f>IF(OR(ISBLANK(TAB_CS[[#This Row],[Commited days]]),TAB_CS[[#This Row],[Commited days]]=0),,TAB_CS[[#This Row],[Commited days]]*TAB_CS[[#This Row],[Profile in €]])</f>
        <v>34621.599999999999</v>
      </c>
      <c r="W17" s="127">
        <f>SUM(TAB_CS[[#This Row],[F]:[P+1]])-TAB_CS[[#This Row],[P+1]]</f>
        <v>40</v>
      </c>
      <c r="X17" s="189">
        <f>IF(OR(ISBLANK(TAB_CS[[#This Row],[Producted days]]),TAB_CS[[#This Row],[Producted days]]=0),,TAB_CS[[#This Row],[Producted days]]*TAB_CS[[#This Row],[Profile in €]])</f>
        <v>34621.599999999999</v>
      </c>
      <c r="Y17" s="188">
        <f>TAB_CS[[#This Row],[Commited days]]-TAB_CS[[#This Row],[Producted days]]</f>
        <v>0</v>
      </c>
      <c r="Z17" s="189">
        <f>IF(OR(ISBLANK(TAB_CS[[#This Row],[Remaining days]]),TAB_CS[[#This Row],[Remaining days]]=0),,TAB_CS[[#This Row],[Remaining days]]*TAB_CS[[#This Row],[Profile in €]])</f>
        <v>0</v>
      </c>
      <c r="AA17" s="187">
        <f>SUM(TAB_CS[[#This Row],[P+1]:[FP]])</f>
        <v>0</v>
      </c>
      <c r="AB17" s="10">
        <f>IF(OR(ISBLANK(TAB_CS[[#This Row],[Expected days]]),TAB_CS[[#This Row],[Expected days]]=0),,TAB_CS[[#This Row],[Expected days]]*TAB_CS[[#This Row],[Profile in €]])</f>
        <v>0</v>
      </c>
      <c r="AC17" s="10" t="str">
        <f>CONCATENATE(TAB_CS[[#This Row],[DG]],TAB_CS[[#This Row],[Company]])</f>
        <v>EMPLCGI LUX</v>
      </c>
      <c r="AD17" s="144"/>
      <c r="AE17" s="150"/>
      <c r="AF17" s="151"/>
      <c r="AG17" s="151"/>
      <c r="AH17" s="151"/>
      <c r="AI17" s="150"/>
      <c r="AJ17" s="151"/>
      <c r="AK17" s="156"/>
      <c r="AL17" s="156"/>
      <c r="AM17" s="156"/>
      <c r="AN17" s="156"/>
      <c r="AO17" s="351">
        <v>16</v>
      </c>
      <c r="AP17" s="351">
        <v>23</v>
      </c>
      <c r="AQ17" s="351">
        <v>1</v>
      </c>
      <c r="AR17" s="643"/>
      <c r="AS17" s="643"/>
      <c r="AT17" s="643"/>
      <c r="AU17" s="643"/>
      <c r="AV17" s="643"/>
      <c r="AW17" s="643"/>
      <c r="AX17" s="643"/>
      <c r="AY17" s="643"/>
      <c r="AZ17" s="643"/>
      <c r="BA17" s="643"/>
      <c r="BB17" s="643"/>
      <c r="BC17" s="643"/>
      <c r="BD17" s="643"/>
      <c r="BE17" s="643"/>
      <c r="BF17" s="643"/>
      <c r="BG17" s="643"/>
      <c r="BH17" s="643"/>
      <c r="BI17" s="173"/>
      <c r="BJ17" s="643"/>
      <c r="BK17" s="643"/>
      <c r="BL17" s="643"/>
      <c r="BM17" s="173"/>
      <c r="BN17" s="643"/>
      <c r="BO17" s="643"/>
      <c r="BP17" s="643"/>
      <c r="BQ17" s="643"/>
      <c r="BR17" s="643"/>
      <c r="BS17" s="643"/>
      <c r="BT17" s="643"/>
      <c r="BU17" s="643"/>
      <c r="BV17" s="643"/>
      <c r="BW17" s="643"/>
      <c r="BX17" s="643"/>
      <c r="BY17" s="643"/>
      <c r="BZ17" s="223"/>
    </row>
    <row r="18" spans="1:78" ht="12.75" customHeight="1" x14ac:dyDescent="0.3">
      <c r="A18" s="1">
        <f>IF(ISBLANK(TAB_CS[[#This Row],[Reference]]),"",INDEX(TAB_Offres[ID],MATCH(TAB_CS[[#This Row],[Reference]],TAB_Offres[Reference],0)))</f>
        <v>15</v>
      </c>
      <c r="B18" s="154" t="s">
        <v>324</v>
      </c>
      <c r="C18" s="150" t="s">
        <v>5613</v>
      </c>
      <c r="D18" s="150" t="str">
        <f>IF(ISBLANK(TAB_CS[[#This Row],[Reference]]),"",VLOOKUP(TAB_CS[[#This Row],[ID]],TAB_Offres[],2,FALSE))</f>
        <v>Lot 2</v>
      </c>
      <c r="E18" s="1" t="s">
        <v>5918</v>
      </c>
      <c r="F18" s="154">
        <f>_xlfn.IFNA(IF(ISBLANK(TAB_CS[[#This Row],[Reference]]),"",VLOOKUP(TAB_CS[[#This Row],[Reference]],TAB_Offres[[Reference]:[Modification Request]],COLUMNS(TAB_Offres[[Reference]:[Modification Request]]),FALSE)),)</f>
        <v>0</v>
      </c>
      <c r="G18" s="150" t="str">
        <f>IF(ISBLANK(TAB_CS[[#This Row],[Reference]]),"",INDEX(TAB_Offres[Institution/agency],MATCH(TAB_CS[[#This Row],[Reference]],TAB_Offres[Reference],0)))</f>
        <v>EC</v>
      </c>
      <c r="H18" s="150" t="str">
        <f>IF(ISBLANK(TAB_CS[[#This Row],[Reference]]),"",INDEX(TAB_Offres[DG],MATCH(TAB_CS[[#This Row],[Reference]],TAB_Offres[Reference],0)))</f>
        <v>HR</v>
      </c>
      <c r="I18" s="4" t="str">
        <f>IF(ISBLANK(TAB_CS[[#This Row],[Reference]]),"",INDEX(TAB_Offres[Offer description],MATCH(TAB_CS[[#This Row],[Reference]],TAB_Offres[Reference],0)))</f>
        <v>Project manager</v>
      </c>
      <c r="J18" s="204">
        <f>_xlfn.IFNA(IF(ISBLANK(TAB_CS[[#This Row],[Ressource]]),,VLOOKUP(TAB_CS[[#This Row],[Reference]],TAB_Offres[[Reference]:[CS signature date]],COLUMNS(TAB_Offres[[Reference]:[CS signature date]]),FALSE)),"")</f>
        <v>44914</v>
      </c>
      <c r="K18" s="204">
        <f>_xlfn.IFNA(IF(ISBLANK(TAB_CS[[#This Row],[Ressource]]),,VLOOKUP(TAB_CS[[#This Row],[Reference]],TAB_Offres[[Reference]:[CS start date]],COLUMNS(TAB_Offres[[Reference]:[CS start date]]),FALSE)),"")</f>
        <v>0</v>
      </c>
      <c r="L18" s="204">
        <f>_xlfn.IFNA(IF(ISBLANK(TAB_CS[[#This Row],[Ressource]]),,VLOOKUP(TAB_CS[[#This Row],[Reference]],TAB_Offres[[Reference]:[CS end date]],COLUMNS(TAB_Offres[[Reference]:[CS end date]]),FALSE)),"")</f>
        <v>0</v>
      </c>
      <c r="M18" s="150" t="str">
        <f>_xlfn.IFNA(IF(ISBLANK(TAB_CS[[#This Row],[Ressource]]),,VLOOKUP(TAB_CS[[#This Row],[Reference]],TAB_Offres[[Reference]:[CS State]],COLUMNS(TAB_Offres[[Reference]:[CS State]]),FALSE)),"")</f>
        <v>CLOSE</v>
      </c>
      <c r="N18" s="26" t="str">
        <f>VLOOKUP(TAB_CS[[#This Row],[Reference]],TAB_Offres[[Reference]:[Ressource 1]],25,FALSE)</f>
        <v>FREIRE FERREIRA, Carlos Miguel</v>
      </c>
      <c r="O18" s="150" t="str">
        <f>_xlfn.IFNA(IF(ISBLANK(TAB_CS[[#This Row],[Ressource]]),,VLOOKUP(TAB_CS[[#This Row],[Reference]],TAB_Offres[[Reference]:[Company]],COLUMNS(TAB_Offres[[Reference]:[Company]]),FALSE)),"")</f>
        <v>CGI LUX</v>
      </c>
      <c r="P18" s="150" t="str">
        <f>_xlfn.CONCAT(TAB_CS[[#This Row],[Ressource]],TAB_CS[[#This Row],[Profile in €]])</f>
        <v>FREIRE FERREIRA, Carlos Miguel704,46</v>
      </c>
      <c r="Q18" s="150" t="str">
        <f>_xlfn.CONCAT(TAB_CS[[#This Row],[Company]],TAB_CS[[#This Row],[Business perimeter]])</f>
        <v>CGI LUXBL</v>
      </c>
      <c r="R18" s="150" t="str">
        <f>_xlfn.IFNA(IF(ISBLANK(TAB_CS[[#This Row],[Ressource]]),"",VLOOKUP(TAB_CS[[#This Row],[Reference]],TAB_Offres[[Reference]:[Profile]],COLUMNS(TAB_Offres[[Reference]:[Profile]]),FALSE)),"")</f>
        <v>Project Manager</v>
      </c>
      <c r="S18" s="150">
        <f>_xlfn.IFNA(IF(ISBLANK(TAB_CS[[#This Row],[Ressource]]),"",VLOOKUP(TAB_CS[[#This Row],[Reference]],TAB_Offres[[Reference]:[Level]],COLUMNS(TAB_Offres[[Reference]:[Level]]),FALSE)),"")</f>
        <v>8</v>
      </c>
      <c r="T18" s="156">
        <f>_xlfn.IFNA(IF(OR(ISBLANK(TAB_CS[[#This Row],[Level]]),TAB_CS[[#This Row],[Level]]=""),,VLOOKUP(TAB_CS[[#This Row],[Profile]],TAB_prix[],2+TAB_CS[[#This Row],[Level]],FALSE)),)</f>
        <v>704.46</v>
      </c>
      <c r="U18" s="151">
        <v>220</v>
      </c>
      <c r="V18" s="205">
        <f>IF(OR(ISBLANK(TAB_CS[[#This Row],[Commited days]]),TAB_CS[[#This Row],[Commited days]]=0),,TAB_CS[[#This Row],[Commited days]]*TAB_CS[[#This Row],[Profile in €]])</f>
        <v>154981.20000000001</v>
      </c>
      <c r="W18" s="156">
        <f>SUM(TAB_CS[[#This Row],[F]:[P+1]])-TAB_CS[[#This Row],[P+1]]</f>
        <v>220</v>
      </c>
      <c r="X18" s="205">
        <f>IF(OR(ISBLANK(TAB_CS[[#This Row],[Producted days]]),TAB_CS[[#This Row],[Producted days]]=0),,TAB_CS[[#This Row],[Producted days]]*TAB_CS[[#This Row],[Profile in €]])</f>
        <v>154981.20000000001</v>
      </c>
      <c r="Y18" s="206">
        <f>TAB_CS[[#This Row],[Commited days]]-TAB_CS[[#This Row],[Producted days]]</f>
        <v>0</v>
      </c>
      <c r="Z18" s="205">
        <f>IF(OR(ISBLANK(TAB_CS[[#This Row],[Remaining days]]),TAB_CS[[#This Row],[Remaining days]]=0),,TAB_CS[[#This Row],[Remaining days]]*TAB_CS[[#This Row],[Profile in €]])</f>
        <v>0</v>
      </c>
      <c r="AA18" s="207">
        <f>SUM(TAB_CS[[#This Row],[P+1]:[FP]])</f>
        <v>0</v>
      </c>
      <c r="AB18" s="208">
        <f>IF(OR(ISBLANK(TAB_CS[[#This Row],[Expected days]]),TAB_CS[[#This Row],[Expected days]]=0),,TAB_CS[[#This Row],[Expected days]]*TAB_CS[[#This Row],[Profile in €]])</f>
        <v>0</v>
      </c>
      <c r="AC18" s="208" t="str">
        <f>CONCATENATE(TAB_CS[[#This Row],[DG]],TAB_CS[[#This Row],[Company]])</f>
        <v>HRCGI LUX</v>
      </c>
      <c r="AD18" s="209"/>
      <c r="AE18" s="150"/>
      <c r="AF18" s="151"/>
      <c r="AG18" s="151"/>
      <c r="AH18" s="151"/>
      <c r="AI18" s="150"/>
      <c r="AJ18" s="151"/>
      <c r="AK18" s="156"/>
      <c r="AL18" s="156"/>
      <c r="AM18" s="156"/>
      <c r="AN18" s="351">
        <v>21</v>
      </c>
      <c r="AO18" s="351">
        <v>20</v>
      </c>
      <c r="AP18" s="351">
        <v>23</v>
      </c>
      <c r="AQ18" s="351">
        <v>14</v>
      </c>
      <c r="AR18" s="351">
        <v>19</v>
      </c>
      <c r="AS18" s="351">
        <v>21</v>
      </c>
      <c r="AT18" s="351">
        <v>11</v>
      </c>
      <c r="AU18" s="351">
        <v>21</v>
      </c>
      <c r="AV18" s="351">
        <v>20</v>
      </c>
      <c r="AW18" s="351">
        <v>20</v>
      </c>
      <c r="AX18" s="351">
        <v>20</v>
      </c>
      <c r="AY18" s="351">
        <v>10</v>
      </c>
      <c r="AZ18" s="643"/>
      <c r="BA18" s="643"/>
      <c r="BB18" s="643"/>
      <c r="BC18" s="643"/>
      <c r="BD18" s="643"/>
      <c r="BE18" s="643"/>
      <c r="BF18" s="643"/>
      <c r="BG18" s="643"/>
      <c r="BH18" s="643"/>
      <c r="BI18" s="173"/>
      <c r="BJ18" s="643"/>
      <c r="BK18" s="643"/>
      <c r="BL18" s="643"/>
      <c r="BM18" s="225"/>
      <c r="BN18" s="643"/>
      <c r="BO18" s="643"/>
      <c r="BP18" s="643"/>
      <c r="BQ18" s="643"/>
      <c r="BR18" s="643"/>
      <c r="BS18" s="643"/>
      <c r="BT18" s="643"/>
      <c r="BU18" s="643"/>
      <c r="BV18" s="643"/>
      <c r="BW18" s="643"/>
      <c r="BX18" s="643"/>
      <c r="BY18" s="643"/>
      <c r="BZ18" s="223"/>
    </row>
    <row r="19" spans="1:78" ht="12.75" customHeight="1" x14ac:dyDescent="0.3">
      <c r="A19" s="1">
        <f>IF(ISBLANK(TAB_CS[[#This Row],[Reference]]),"",INDEX(TAB_Offres[ID],MATCH(TAB_CS[[#This Row],[Reference]],TAB_Offres[Reference],0)))</f>
        <v>16</v>
      </c>
      <c r="B19" s="26" t="s">
        <v>256</v>
      </c>
      <c r="C19" s="150" t="s">
        <v>5614</v>
      </c>
      <c r="D19" s="1" t="str">
        <f>IF(ISBLANK(TAB_CS[[#This Row],[Reference]]),"",VLOOKUP(TAB_CS[[#This Row],[ID]],TAB_Offres[],2,FALSE))</f>
        <v>Lot 2</v>
      </c>
      <c r="E19" s="1" t="s">
        <v>5918</v>
      </c>
      <c r="F19" s="26">
        <f>_xlfn.IFNA(IF(ISBLANK(TAB_CS[[#This Row],[Reference]]),"",VLOOKUP(TAB_CS[[#This Row],[Reference]],TAB_Offres[[Reference]:[Modification Request]],COLUMNS(TAB_Offres[[Reference]:[Modification Request]]),FALSE)),)</f>
        <v>0</v>
      </c>
      <c r="G19" s="150" t="str">
        <f>IF(ISBLANK(TAB_CS[[#This Row],[Reference]]),"",INDEX(TAB_Offres[Institution/agency],MATCH(TAB_CS[[#This Row],[Reference]],TAB_Offres[Reference],0)))</f>
        <v>EC</v>
      </c>
      <c r="H19" s="150" t="str">
        <f>IF(ISBLANK(TAB_CS[[#This Row],[Reference]]),"",INDEX(TAB_Offres[DG],MATCH(TAB_CS[[#This Row],[Reference]],TAB_Offres[Reference],0)))</f>
        <v>JUST CRIM</v>
      </c>
      <c r="I19" t="str">
        <f>IF(ISBLANK(TAB_CS[[#This Row],[Reference]]),"",INDEX(TAB_Offres[Offer description],MATCH(TAB_CS[[#This Row],[Reference]],TAB_Offres[Reference],0)))</f>
        <v>Project Manager (PM)</v>
      </c>
      <c r="J19" s="155">
        <f>_xlfn.IFNA(IF(ISBLANK(TAB_CS[[#This Row],[Ressource]]),,VLOOKUP(TAB_CS[[#This Row],[Reference]],TAB_Offres[[Reference]:[CS signature date]],COLUMNS(TAB_Offres[[Reference]:[CS signature date]]),FALSE)),"")</f>
        <v>44869</v>
      </c>
      <c r="K19" s="155">
        <f>_xlfn.IFNA(IF(ISBLANK(TAB_CS[[#This Row],[Ressource]]),,VLOOKUP(TAB_CS[[#This Row],[Reference]],TAB_Offres[[Reference]:[CS start date]],COLUMNS(TAB_Offres[[Reference]:[CS start date]]),FALSE)),"")</f>
        <v>44869</v>
      </c>
      <c r="L19" s="155">
        <f>_xlfn.IFNA(IF(ISBLANK(TAB_CS[[#This Row],[Ressource]]),,VLOOKUP(TAB_CS[[#This Row],[Reference]],TAB_Offres[[Reference]:[CS end date]],COLUMNS(TAB_Offres[[Reference]:[CS end date]]),FALSE)),"")</f>
        <v>45322</v>
      </c>
      <c r="M19" s="1" t="str">
        <f>_xlfn.IFNA(IF(ISBLANK(TAB_CS[[#This Row],[Ressource]]),,VLOOKUP(TAB_CS[[#This Row],[Reference]],TAB_Offres[[Reference]:[CS State]],COLUMNS(TAB_Offres[[Reference]:[CS State]]),FALSE)),"")</f>
        <v>CLOSE</v>
      </c>
      <c r="N19" s="26" t="str">
        <f>VLOOKUP(TAB_CS[[#This Row],[Reference]],TAB_Offres[[Reference]:[Ressource 1]],25,FALSE)</f>
        <v>BEN MILOUD, Djamila</v>
      </c>
      <c r="O19" s="1" t="str">
        <f>_xlfn.IFNA(IF(ISBLANK(TAB_CS[[#This Row],[Ressource]]),,VLOOKUP(TAB_CS[[#This Row],[Reference]],TAB_Offres[[Reference]:[Company]],COLUMNS(TAB_Offres[[Reference]:[Company]]),FALSE)),"")</f>
        <v>CGI LUX</v>
      </c>
      <c r="P19" s="1" t="str">
        <f>_xlfn.CONCAT(TAB_CS[[#This Row],[Ressource]],TAB_CS[[#This Row],[Profile in €]])</f>
        <v>BEN MILOUD, Djamila806,53</v>
      </c>
      <c r="Q19" s="1" t="str">
        <f>_xlfn.CONCAT(TAB_CS[[#This Row],[Company]],TAB_CS[[#This Row],[Business perimeter]])</f>
        <v>CGI LUXBL</v>
      </c>
      <c r="R19" s="150" t="str">
        <f>_xlfn.IFNA(IF(ISBLANK(TAB_CS[[#This Row],[Ressource]]),"",VLOOKUP(TAB_CS[[#This Row],[Reference]],TAB_Offres[[Reference]:[Profile]],COLUMNS(TAB_Offres[[Reference]:[Profile]]),FALSE)),"")</f>
        <v>Project Manager</v>
      </c>
      <c r="S19" s="1">
        <f>_xlfn.IFNA(IF(ISBLANK(TAB_CS[[#This Row],[Ressource]]),"",VLOOKUP(TAB_CS[[#This Row],[Reference]],TAB_Offres[[Reference]:[Level]],COLUMNS(TAB_Offres[[Reference]:[Level]]),FALSE)),"")</f>
        <v>10</v>
      </c>
      <c r="T19" s="127">
        <f>_xlfn.IFNA(IF(OR(ISBLANK(TAB_CS[[#This Row],[Level]]),TAB_CS[[#This Row],[Level]]=""),,VLOOKUP(TAB_CS[[#This Row],[Profile]],TAB_prix[],2+TAB_CS[[#This Row],[Level]],FALSE)),)</f>
        <v>806.53</v>
      </c>
      <c r="U19" s="13">
        <v>220</v>
      </c>
      <c r="V19" s="189">
        <f>IF(OR(ISBLANK(TAB_CS[[#This Row],[Commited days]]),TAB_CS[[#This Row],[Commited days]]=0),,TAB_CS[[#This Row],[Commited days]]*TAB_CS[[#This Row],[Profile in €]])</f>
        <v>177436.6</v>
      </c>
      <c r="W19" s="127">
        <f>SUM(TAB_CS[[#This Row],[F]:[P+1]])-TAB_CS[[#This Row],[P+1]]</f>
        <v>220</v>
      </c>
      <c r="X19" s="189">
        <f>IF(OR(ISBLANK(TAB_CS[[#This Row],[Producted days]]),TAB_CS[[#This Row],[Producted days]]=0),,TAB_CS[[#This Row],[Producted days]]*TAB_CS[[#This Row],[Profile in €]])</f>
        <v>177436.6</v>
      </c>
      <c r="Y19" s="188">
        <f>TAB_CS[[#This Row],[Commited days]]-TAB_CS[[#This Row],[Producted days]]</f>
        <v>0</v>
      </c>
      <c r="Z19" s="189">
        <f>IF(OR(ISBLANK(TAB_CS[[#This Row],[Remaining days]]),TAB_CS[[#This Row],[Remaining days]]=0),,TAB_CS[[#This Row],[Remaining days]]*TAB_CS[[#This Row],[Profile in €]])</f>
        <v>0</v>
      </c>
      <c r="AA19" s="187">
        <f>SUM(TAB_CS[[#This Row],[P+1]:[FP]])</f>
        <v>0</v>
      </c>
      <c r="AB19" s="10">
        <f>IF(OR(ISBLANK(TAB_CS[[#This Row],[Expected days]]),TAB_CS[[#This Row],[Expected days]]=0),,TAB_CS[[#This Row],[Expected days]]*TAB_CS[[#This Row],[Profile in €]])</f>
        <v>0</v>
      </c>
      <c r="AC19" s="10" t="str">
        <f>CONCATENATE(TAB_CS[[#This Row],[DG]],TAB_CS[[#This Row],[Company]])</f>
        <v>JUST CRIMCGI LUX</v>
      </c>
      <c r="AD19" s="144"/>
      <c r="AE19" s="150"/>
      <c r="AF19" s="151"/>
      <c r="AG19" s="151"/>
      <c r="AH19" s="151"/>
      <c r="AI19" s="150"/>
      <c r="AJ19" s="151"/>
      <c r="AK19" s="156"/>
      <c r="AL19" s="156"/>
      <c r="AM19" s="351">
        <v>12</v>
      </c>
      <c r="AN19" s="351">
        <v>20</v>
      </c>
      <c r="AO19" s="351">
        <v>20</v>
      </c>
      <c r="AP19" s="351">
        <v>23</v>
      </c>
      <c r="AQ19" s="351">
        <v>19</v>
      </c>
      <c r="AR19" s="351">
        <v>20</v>
      </c>
      <c r="AS19" s="351">
        <v>22</v>
      </c>
      <c r="AT19" s="351">
        <v>8.5</v>
      </c>
      <c r="AU19" s="351">
        <v>16</v>
      </c>
      <c r="AV19" s="351">
        <v>20</v>
      </c>
      <c r="AW19" s="351">
        <v>22</v>
      </c>
      <c r="AX19" s="351">
        <v>17.5</v>
      </c>
      <c r="AY19" s="643"/>
      <c r="AZ19" s="643"/>
      <c r="BA19" s="643"/>
      <c r="BB19" s="643"/>
      <c r="BC19" s="643"/>
      <c r="BD19" s="643"/>
      <c r="BE19" s="643"/>
      <c r="BF19" s="643"/>
      <c r="BG19" s="643"/>
      <c r="BH19" s="643"/>
      <c r="BI19" s="173"/>
      <c r="BJ19" s="643"/>
      <c r="BK19" s="643"/>
      <c r="BL19" s="643"/>
      <c r="BM19" s="173"/>
      <c r="BN19" s="643"/>
      <c r="BO19" s="643"/>
      <c r="BP19" s="643"/>
      <c r="BQ19" s="643"/>
      <c r="BR19" s="643"/>
      <c r="BS19" s="643"/>
      <c r="BT19" s="643"/>
      <c r="BU19" s="643"/>
      <c r="BV19" s="643"/>
      <c r="BW19" s="643"/>
      <c r="BX19" s="643"/>
      <c r="BY19" s="643"/>
      <c r="BZ19" s="223"/>
    </row>
    <row r="20" spans="1:78" ht="12.75" customHeight="1" x14ac:dyDescent="0.3">
      <c r="A20" s="1">
        <f>IF(ISBLANK(TAB_CS[[#This Row],[Reference]]),"",INDEX(TAB_Offres[ID],MATCH(TAB_CS[[#This Row],[Reference]],TAB_Offres[Reference],0)))</f>
        <v>17</v>
      </c>
      <c r="B20" s="26" t="s">
        <v>287</v>
      </c>
      <c r="C20" s="150" t="s">
        <v>5615</v>
      </c>
      <c r="D20" s="1" t="str">
        <f>IF(ISBLANK(TAB_CS[[#This Row],[Reference]]),"",VLOOKUP(TAB_CS[[#This Row],[ID]],TAB_Offres[],2,FALSE))</f>
        <v>Lot 1</v>
      </c>
      <c r="E20" s="1" t="s">
        <v>5918</v>
      </c>
      <c r="F20" s="26">
        <f>_xlfn.IFNA(IF(ISBLANK(TAB_CS[[#This Row],[Reference]]),"",VLOOKUP(TAB_CS[[#This Row],[Reference]],TAB_Offres[[Reference]:[Modification Request]],COLUMNS(TAB_Offres[[Reference]:[Modification Request]]),FALSE)),)</f>
        <v>0</v>
      </c>
      <c r="G20" s="150" t="str">
        <f>IF(ISBLANK(TAB_CS[[#This Row],[Reference]]),"",INDEX(TAB_Offres[Institution/agency],MATCH(TAB_CS[[#This Row],[Reference]],TAB_Offres[Reference],0)))</f>
        <v>EC</v>
      </c>
      <c r="H20" s="150" t="str">
        <f>IF(ISBLANK(TAB_CS[[#This Row],[Reference]]),"",INDEX(TAB_Offres[DG],MATCH(TAB_CS[[#This Row],[Reference]],TAB_Offres[Reference],0)))</f>
        <v>DIGIT.D.1</v>
      </c>
      <c r="I20" t="str">
        <f>IF(ISBLANK(TAB_CS[[#This Row],[Reference]]),"",INDEX(TAB_Offres[Offer description],MATCH(TAB_CS[[#This Row],[Reference]],TAB_Offres[Reference],0)))</f>
        <v>2022-D1.002.352- NEW - DIGIT TMII - Full stack developer L7/8</v>
      </c>
      <c r="J20" s="155">
        <f>_xlfn.IFNA(IF(ISBLANK(TAB_CS[[#This Row],[Ressource]]),,VLOOKUP(TAB_CS[[#This Row],[Reference]],TAB_Offres[[Reference]:[CS signature date]],COLUMNS(TAB_Offres[[Reference]:[CS signature date]]),FALSE)),"")</f>
        <v>44859</v>
      </c>
      <c r="K20" s="155">
        <f>_xlfn.IFNA(IF(ISBLANK(TAB_CS[[#This Row],[Ressource]]),,VLOOKUP(TAB_CS[[#This Row],[Reference]],TAB_Offres[[Reference]:[CS start date]],COLUMNS(TAB_Offres[[Reference]:[CS start date]]),FALSE)),"")</f>
        <v>44859</v>
      </c>
      <c r="L20" s="155">
        <f>_xlfn.IFNA(IF(ISBLANK(TAB_CS[[#This Row],[Ressource]]),,VLOOKUP(TAB_CS[[#This Row],[Reference]],TAB_Offres[[Reference]:[CS end date]],COLUMNS(TAB_Offres[[Reference]:[CS end date]]),FALSE)),"")</f>
        <v>45199</v>
      </c>
      <c r="M20" s="1" t="str">
        <f>_xlfn.IFNA(IF(ISBLANK(TAB_CS[[#This Row],[Ressource]]),,VLOOKUP(TAB_CS[[#This Row],[Reference]],TAB_Offres[[Reference]:[CS State]],COLUMNS(TAB_Offres[[Reference]:[CS State]]),FALSE)),"")</f>
        <v>CLOSE</v>
      </c>
      <c r="N20" s="26" t="str">
        <f>VLOOKUP(TAB_CS[[#This Row],[Reference]],TAB_Offres[[Reference]:[Ressource 1]],25,FALSE)</f>
        <v>ADAM, Nathalie</v>
      </c>
      <c r="O20" s="1" t="str">
        <f>_xlfn.IFNA(IF(ISBLANK(TAB_CS[[#This Row],[Ressource]]),,VLOOKUP(TAB_CS[[#This Row],[Reference]],TAB_Offres[[Reference]:[Company]],COLUMNS(TAB_Offres[[Reference]:[Company]]),FALSE)),"")</f>
        <v>EDDA</v>
      </c>
      <c r="P20" s="1" t="str">
        <f>_xlfn.CONCAT(TAB_CS[[#This Row],[Ressource]],TAB_CS[[#This Row],[Profile in €]])</f>
        <v>ADAM, Nathalie580,74</v>
      </c>
      <c r="Q20" s="1" t="str">
        <f>_xlfn.CONCAT(TAB_CS[[#This Row],[Company]],TAB_CS[[#This Row],[Business perimeter]])</f>
        <v>EDDABL</v>
      </c>
      <c r="R20" s="150" t="str">
        <f>_xlfn.IFNA(IF(ISBLANK(TAB_CS[[#This Row],[Ressource]]),"",VLOOKUP(TAB_CS[[#This Row],[Reference]],TAB_Offres[[Reference]:[Profile]],COLUMNS(TAB_Offres[[Reference]:[Profile]]),FALSE)),"")</f>
        <v>Full-stack developer</v>
      </c>
      <c r="S20" s="1">
        <f>_xlfn.IFNA(IF(ISBLANK(TAB_CS[[#This Row],[Ressource]]),"",VLOOKUP(TAB_CS[[#This Row],[Reference]],TAB_Offres[[Reference]:[Level]],COLUMNS(TAB_Offres[[Reference]:[Level]]),FALSE)),"")</f>
        <v>8</v>
      </c>
      <c r="T20" s="127">
        <f>_xlfn.IFNA(IF(OR(ISBLANK(TAB_CS[[#This Row],[Level]]),TAB_CS[[#This Row],[Level]]=""),,VLOOKUP(TAB_CS[[#This Row],[Profile]],TAB_prix[],2+TAB_CS[[#This Row],[Level]],FALSE)),)</f>
        <v>580.74</v>
      </c>
      <c r="U20" s="13">
        <v>90</v>
      </c>
      <c r="V20" s="189">
        <f>IF(OR(ISBLANK(TAB_CS[[#This Row],[Commited days]]),TAB_CS[[#This Row],[Commited days]]=0),,TAB_CS[[#This Row],[Commited days]]*TAB_CS[[#This Row],[Profile in €]])</f>
        <v>52266.6</v>
      </c>
      <c r="W20" s="127">
        <f>SUM(TAB_CS[[#This Row],[F]:[P+1]])-TAB_CS[[#This Row],[P+1]]</f>
        <v>90</v>
      </c>
      <c r="X20" s="189">
        <f>IF(OR(ISBLANK(TAB_CS[[#This Row],[Producted days]]),TAB_CS[[#This Row],[Producted days]]=0),,TAB_CS[[#This Row],[Producted days]]*TAB_CS[[#This Row],[Profile in €]])</f>
        <v>52266.6</v>
      </c>
      <c r="Y20" s="188">
        <f>TAB_CS[[#This Row],[Commited days]]-TAB_CS[[#This Row],[Producted days]]</f>
        <v>0</v>
      </c>
      <c r="Z20" s="189">
        <f>IF(OR(ISBLANK(TAB_CS[[#This Row],[Remaining days]]),TAB_CS[[#This Row],[Remaining days]]=0),,TAB_CS[[#This Row],[Remaining days]]*TAB_CS[[#This Row],[Profile in €]])</f>
        <v>0</v>
      </c>
      <c r="AA20" s="187">
        <f>SUM(TAB_CS[[#This Row],[P+1]:[FP]])</f>
        <v>0</v>
      </c>
      <c r="AB20" s="10">
        <f>IF(OR(ISBLANK(TAB_CS[[#This Row],[Expected days]]),TAB_CS[[#This Row],[Expected days]]=0),,TAB_CS[[#This Row],[Expected days]]*TAB_CS[[#This Row],[Profile in €]])</f>
        <v>0</v>
      </c>
      <c r="AC20" s="10" t="str">
        <f>CONCATENATE(TAB_CS[[#This Row],[DG]],TAB_CS[[#This Row],[Company]])</f>
        <v>DIGIT.D.1EDDA</v>
      </c>
      <c r="AD20" s="144"/>
      <c r="AE20" s="150"/>
      <c r="AF20" s="151"/>
      <c r="AG20" s="151"/>
      <c r="AH20" s="151"/>
      <c r="AI20" s="150"/>
      <c r="AJ20" s="151"/>
      <c r="AK20" s="156"/>
      <c r="AL20" s="351">
        <v>8</v>
      </c>
      <c r="AM20" s="351">
        <v>12</v>
      </c>
      <c r="AN20" s="351">
        <v>16</v>
      </c>
      <c r="AO20" s="351">
        <v>12</v>
      </c>
      <c r="AP20" s="351">
        <v>18</v>
      </c>
      <c r="AQ20" s="351">
        <v>13</v>
      </c>
      <c r="AR20" s="351">
        <v>11</v>
      </c>
      <c r="AS20" s="643"/>
      <c r="AT20" s="643"/>
      <c r="AU20" s="643"/>
      <c r="AV20" s="643"/>
      <c r="AW20" s="643"/>
      <c r="AX20" s="643"/>
      <c r="AY20" s="643"/>
      <c r="AZ20" s="643"/>
      <c r="BA20" s="643"/>
      <c r="BB20" s="643"/>
      <c r="BC20" s="643"/>
      <c r="BD20" s="643"/>
      <c r="BE20" s="643"/>
      <c r="BF20" s="643"/>
      <c r="BG20" s="643"/>
      <c r="BH20" s="643"/>
      <c r="BI20" s="173"/>
      <c r="BJ20" s="643"/>
      <c r="BK20" s="643"/>
      <c r="BL20" s="643"/>
      <c r="BM20" s="173"/>
      <c r="BN20" s="643"/>
      <c r="BO20" s="643"/>
      <c r="BP20" s="643"/>
      <c r="BQ20" s="643"/>
      <c r="BR20" s="643"/>
      <c r="BS20" s="643"/>
      <c r="BT20" s="643"/>
      <c r="BU20" s="643"/>
      <c r="BV20" s="643"/>
      <c r="BW20" s="643"/>
      <c r="BX20" s="643"/>
      <c r="BY20" s="643"/>
      <c r="BZ20" s="223"/>
    </row>
    <row r="21" spans="1:78" ht="12.75" customHeight="1" x14ac:dyDescent="0.3">
      <c r="A21" s="1">
        <f>IF(ISBLANK(TAB_CS[[#This Row],[Reference]]),"",INDEX(TAB_Offres[ID],MATCH(TAB_CS[[#This Row],[Reference]],TAB_Offres[Reference],0)))</f>
        <v>18</v>
      </c>
      <c r="B21" s="26" t="s">
        <v>258</v>
      </c>
      <c r="C21" s="150" t="s">
        <v>5616</v>
      </c>
      <c r="D21" s="1" t="str">
        <f>IF(ISBLANK(TAB_CS[[#This Row],[Reference]]),"",VLOOKUP(TAB_CS[[#This Row],[ID]],TAB_Offres[],2,FALSE))</f>
        <v>Lot 1</v>
      </c>
      <c r="E21" s="1" t="s">
        <v>5920</v>
      </c>
      <c r="F21" s="26">
        <f>_xlfn.IFNA(IF(ISBLANK(TAB_CS[[#This Row],[Reference]]),"",VLOOKUP(TAB_CS[[#This Row],[Reference]],TAB_Offres[[Reference]:[Modification Request]],COLUMNS(TAB_Offres[[Reference]:[Modification Request]]),FALSE)),)</f>
        <v>0</v>
      </c>
      <c r="G21" s="150" t="str">
        <f>IF(ISBLANK(TAB_CS[[#This Row],[Reference]]),"",INDEX(TAB_Offres[Institution/agency],MATCH(TAB_CS[[#This Row],[Reference]],TAB_Offres[Reference],0)))</f>
        <v>EC</v>
      </c>
      <c r="H21" s="150" t="str">
        <f>IF(ISBLANK(TAB_CS[[#This Row],[Reference]]),"",INDEX(TAB_Offres[DG],MATCH(TAB_CS[[#This Row],[Reference]],TAB_Offres[Reference],0)))</f>
        <v>DIGIT.B.4</v>
      </c>
      <c r="I21" t="str">
        <f>IF(ISBLANK(TAB_CS[[#This Row],[Reference]]),"",INDEX(TAB_Offres[Offer description],MATCH(TAB_CS[[#This Row],[Reference]],TAB_Offres[Reference],0)))</f>
        <v>Back-end developer (BED)  Lev 10</v>
      </c>
      <c r="J21" s="155">
        <f>_xlfn.IFNA(IF(ISBLANK(TAB_CS[[#This Row],[Ressource]]),,VLOOKUP(TAB_CS[[#This Row],[Reference]],TAB_Offres[[Reference]:[CS signature date]],COLUMNS(TAB_Offres[[Reference]:[CS signature date]]),FALSE)),"")</f>
        <v>44881</v>
      </c>
      <c r="K21" s="155">
        <f>_xlfn.IFNA(IF(ISBLANK(TAB_CS[[#This Row],[Ressource]]),,VLOOKUP(TAB_CS[[#This Row],[Reference]],TAB_Offres[[Reference]:[CS start date]],COLUMNS(TAB_Offres[[Reference]:[CS start date]]),FALSE)),"")</f>
        <v>44881</v>
      </c>
      <c r="L21" s="155">
        <f>_xlfn.IFNA(IF(ISBLANK(TAB_CS[[#This Row],[Ressource]]),,VLOOKUP(TAB_CS[[#This Row],[Reference]],TAB_Offres[[Reference]:[CS end date]],COLUMNS(TAB_Offres[[Reference]:[CS end date]]),FALSE)),"")</f>
        <v>45199</v>
      </c>
      <c r="M21" s="1" t="str">
        <f>_xlfn.IFNA(IF(ISBLANK(TAB_CS[[#This Row],[Ressource]]),,VLOOKUP(TAB_CS[[#This Row],[Reference]],TAB_Offres[[Reference]:[CS State]],COLUMNS(TAB_Offres[[Reference]:[CS State]]),FALSE)),"")</f>
        <v>CLOSE</v>
      </c>
      <c r="N21" s="26" t="str">
        <f>VLOOKUP(TAB_CS[[#This Row],[Reference]],TAB_Offres[[Reference]:[Ressource 1]],25,FALSE)</f>
        <v>POCHON, Régis</v>
      </c>
      <c r="O21" s="1" t="str">
        <f>_xlfn.IFNA(IF(ISBLANK(TAB_CS[[#This Row],[Ressource]]),,VLOOKUP(TAB_CS[[#This Row],[Reference]],TAB_Offres[[Reference]:[Company]],COLUMNS(TAB_Offres[[Reference]:[Company]]),FALSE)),"")</f>
        <v>EDDA</v>
      </c>
      <c r="P21" s="1" t="str">
        <f>_xlfn.CONCAT(TAB_CS[[#This Row],[Ressource]],TAB_CS[[#This Row],[Profile in €]])</f>
        <v>POCHON, Régis659</v>
      </c>
      <c r="Q21" s="1" t="str">
        <f>_xlfn.CONCAT(TAB_CS[[#This Row],[Company]],TAB_CS[[#This Row],[Business perimeter]])</f>
        <v>EDDANB</v>
      </c>
      <c r="R21" s="150" t="str">
        <f>_xlfn.IFNA(IF(ISBLANK(TAB_CS[[#This Row],[Ressource]]),"",VLOOKUP(TAB_CS[[#This Row],[Reference]],TAB_Offres[[Reference]:[Profile]],COLUMNS(TAB_Offres[[Reference]:[Profile]]),FALSE)),"")</f>
        <v>Back-end developer</v>
      </c>
      <c r="S21" s="1">
        <f>_xlfn.IFNA(IF(ISBLANK(TAB_CS[[#This Row],[Ressource]]),"",VLOOKUP(TAB_CS[[#This Row],[Reference]],TAB_Offres[[Reference]:[Level]],COLUMNS(TAB_Offres[[Reference]:[Level]]),FALSE)),"")</f>
        <v>10</v>
      </c>
      <c r="T21" s="127">
        <f>_xlfn.IFNA(IF(OR(ISBLANK(TAB_CS[[#This Row],[Level]]),TAB_CS[[#This Row],[Level]]=""),,VLOOKUP(TAB_CS[[#This Row],[Profile]],TAB_prix[],2+TAB_CS[[#This Row],[Level]],FALSE)),)</f>
        <v>659</v>
      </c>
      <c r="U21" s="13">
        <v>120</v>
      </c>
      <c r="V21" s="189">
        <f>IF(OR(ISBLANK(TAB_CS[[#This Row],[Commited days]]),TAB_CS[[#This Row],[Commited days]]=0),,TAB_CS[[#This Row],[Commited days]]*TAB_CS[[#This Row],[Profile in €]])</f>
        <v>79080</v>
      </c>
      <c r="W21" s="127">
        <f>SUM(TAB_CS[[#This Row],[F]:[P+1]])-TAB_CS[[#This Row],[P+1]]</f>
        <v>120</v>
      </c>
      <c r="X21" s="189">
        <f>IF(OR(ISBLANK(TAB_CS[[#This Row],[Producted days]]),TAB_CS[[#This Row],[Producted days]]=0),,TAB_CS[[#This Row],[Producted days]]*TAB_CS[[#This Row],[Profile in €]])</f>
        <v>79080</v>
      </c>
      <c r="Y21" s="188">
        <f>TAB_CS[[#This Row],[Commited days]]-TAB_CS[[#This Row],[Producted days]]</f>
        <v>0</v>
      </c>
      <c r="Z21" s="189">
        <f>IF(OR(ISBLANK(TAB_CS[[#This Row],[Remaining days]]),TAB_CS[[#This Row],[Remaining days]]=0),,TAB_CS[[#This Row],[Remaining days]]*TAB_CS[[#This Row],[Profile in €]])</f>
        <v>0</v>
      </c>
      <c r="AA21" s="187">
        <f>SUM(TAB_CS[[#This Row],[P+1]:[FP]])</f>
        <v>0</v>
      </c>
      <c r="AB21" s="10">
        <f>IF(OR(ISBLANK(TAB_CS[[#This Row],[Expected days]]),TAB_CS[[#This Row],[Expected days]]=0),,TAB_CS[[#This Row],[Expected days]]*TAB_CS[[#This Row],[Profile in €]])</f>
        <v>0</v>
      </c>
      <c r="AC21" s="10" t="str">
        <f>CONCATENATE(TAB_CS[[#This Row],[DG]],TAB_CS[[#This Row],[Company]])</f>
        <v>DIGIT.B.4EDDA</v>
      </c>
      <c r="AD21" s="144"/>
      <c r="AE21" s="150"/>
      <c r="AF21" s="151"/>
      <c r="AG21" s="151"/>
      <c r="AH21" s="151"/>
      <c r="AI21" s="150"/>
      <c r="AJ21" s="151"/>
      <c r="AK21" s="156"/>
      <c r="AL21" s="351">
        <v>7.5</v>
      </c>
      <c r="AM21" s="351">
        <v>16</v>
      </c>
      <c r="AN21" s="351">
        <v>21</v>
      </c>
      <c r="AO21" s="351">
        <v>20</v>
      </c>
      <c r="AP21" s="351">
        <v>21</v>
      </c>
      <c r="AQ21" s="351">
        <v>17</v>
      </c>
      <c r="AR21" s="351">
        <v>17</v>
      </c>
      <c r="AS21" s="351">
        <v>0.5</v>
      </c>
      <c r="AT21" s="643"/>
      <c r="AU21" s="643"/>
      <c r="AV21" s="643"/>
      <c r="AW21" s="643"/>
      <c r="AX21" s="643"/>
      <c r="AY21" s="643"/>
      <c r="AZ21" s="643"/>
      <c r="BA21" s="643"/>
      <c r="BB21" s="643"/>
      <c r="BC21" s="643"/>
      <c r="BD21" s="643"/>
      <c r="BE21" s="643"/>
      <c r="BF21" s="643"/>
      <c r="BG21" s="643"/>
      <c r="BH21" s="643"/>
      <c r="BI21" s="173"/>
      <c r="BJ21" s="643"/>
      <c r="BK21" s="643"/>
      <c r="BL21" s="643"/>
      <c r="BM21" s="173"/>
      <c r="BN21" s="643"/>
      <c r="BO21" s="643"/>
      <c r="BP21" s="643"/>
      <c r="BQ21" s="643"/>
      <c r="BR21" s="643"/>
      <c r="BS21" s="643"/>
      <c r="BT21" s="643"/>
      <c r="BU21" s="643"/>
      <c r="BV21" s="643"/>
      <c r="BW21" s="643"/>
      <c r="BX21" s="643"/>
      <c r="BY21" s="643"/>
      <c r="BZ21" s="223"/>
    </row>
    <row r="22" spans="1:78" ht="12.75" customHeight="1" x14ac:dyDescent="0.3">
      <c r="A22" s="1">
        <f>IF(ISBLANK(TAB_CS[[#This Row],[Reference]]),"",INDEX(TAB_Offres[ID],MATCH(TAB_CS[[#This Row],[Reference]],TAB_Offres[Reference],0)))</f>
        <v>19</v>
      </c>
      <c r="B22" s="26" t="s">
        <v>319</v>
      </c>
      <c r="C22" s="150" t="s">
        <v>5617</v>
      </c>
      <c r="D22" s="1" t="str">
        <f>IF(ISBLANK(TAB_CS[[#This Row],[Reference]]),"",VLOOKUP(TAB_CS[[#This Row],[ID]],TAB_Offres[],2,FALSE))</f>
        <v>Lot 1</v>
      </c>
      <c r="E22" s="1" t="s">
        <v>5918</v>
      </c>
      <c r="F22" s="26">
        <f>_xlfn.IFNA(IF(ISBLANK(TAB_CS[[#This Row],[Reference]]),"",VLOOKUP(TAB_CS[[#This Row],[Reference]],TAB_Offres[[Reference]:[Modification Request]],COLUMNS(TAB_Offres[[Reference]:[Modification Request]]),FALSE)),)</f>
        <v>0</v>
      </c>
      <c r="G22" s="150" t="str">
        <f>IF(ISBLANK(TAB_CS[[#This Row],[Reference]]),"",INDEX(TAB_Offres[Institution/agency],MATCH(TAB_CS[[#This Row],[Reference]],TAB_Offres[Reference],0)))</f>
        <v>EC</v>
      </c>
      <c r="H22" s="150" t="str">
        <f>IF(ISBLANK(TAB_CS[[#This Row],[Reference]]),"",INDEX(TAB_Offres[DG],MATCH(TAB_CS[[#This Row],[Reference]],TAB_Offres[Reference],0)))</f>
        <v>ENV</v>
      </c>
      <c r="I22" t="str">
        <f>IF(ISBLANK(TAB_CS[[#This Row],[Reference]]),"",INDEX(TAB_Offres[Offer description],MATCH(TAB_CS[[#This Row],[Reference]],TAB_Offres[Reference],0)))</f>
        <v>Full Stack Developer for policy supporting systems</v>
      </c>
      <c r="J22" s="155">
        <f>_xlfn.IFNA(IF(ISBLANK(TAB_CS[[#This Row],[Ressource]]),,VLOOKUP(TAB_CS[[#This Row],[Reference]],TAB_Offres[[Reference]:[CS signature date]],COLUMNS(TAB_Offres[[Reference]:[CS signature date]]),FALSE)),"")</f>
        <v>44895</v>
      </c>
      <c r="K22" s="155">
        <f>_xlfn.IFNA(IF(ISBLANK(TAB_CS[[#This Row],[Ressource]]),,VLOOKUP(TAB_CS[[#This Row],[Reference]],TAB_Offres[[Reference]:[CS start date]],COLUMNS(TAB_Offres[[Reference]:[CS start date]]),FALSE)),"")</f>
        <v>44895</v>
      </c>
      <c r="L22" s="155">
        <f>_xlfn.IFNA(IF(ISBLANK(TAB_CS[[#This Row],[Ressource]]),,VLOOKUP(TAB_CS[[#This Row],[Reference]],TAB_Offres[[Reference]:[CS end date]],COLUMNS(TAB_Offres[[Reference]:[CS end date]]),FALSE)),"")</f>
        <v>45260</v>
      </c>
      <c r="M22" s="1" t="str">
        <f>_xlfn.IFNA(IF(ISBLANK(TAB_CS[[#This Row],[Ressource]]),,VLOOKUP(TAB_CS[[#This Row],[Reference]],TAB_Offres[[Reference]:[CS State]],COLUMNS(TAB_Offres[[Reference]:[CS State]]),FALSE)),"")</f>
        <v>CLOSE</v>
      </c>
      <c r="N22" s="26" t="str">
        <f>VLOOKUP(TAB_CS[[#This Row],[Reference]],TAB_Offres[[Reference]:[Ressource 1]],25,FALSE)</f>
        <v>TRINDADE-SALGUEIRO, Nuno</v>
      </c>
      <c r="O22" s="1" t="str">
        <f>_xlfn.IFNA(IF(ISBLANK(TAB_CS[[#This Row],[Ressource]]),,VLOOKUP(TAB_CS[[#This Row],[Reference]],TAB_Offres[[Reference]:[Company]],COLUMNS(TAB_Offres[[Reference]:[Company]]),FALSE)),"")</f>
        <v>CGI LUX</v>
      </c>
      <c r="P22" s="1" t="str">
        <f>_xlfn.CONCAT(TAB_CS[[#This Row],[Ressource]],TAB_CS[[#This Row],[Profile in €]])</f>
        <v>TRINDADE-SALGUEIRO, Nuno531,12</v>
      </c>
      <c r="Q22" s="1" t="str">
        <f>_xlfn.CONCAT(TAB_CS[[#This Row],[Company]],TAB_CS[[#This Row],[Business perimeter]])</f>
        <v>CGI LUXBL</v>
      </c>
      <c r="R22" s="150" t="str">
        <f>_xlfn.IFNA(IF(ISBLANK(TAB_CS[[#This Row],[Ressource]]),"",VLOOKUP(TAB_CS[[#This Row],[Reference]],TAB_Offres[[Reference]:[Profile]],COLUMNS(TAB_Offres[[Reference]:[Profile]]),FALSE)),"")</f>
        <v>Full-stack developer-FAR</v>
      </c>
      <c r="S22" s="1">
        <f>_xlfn.IFNA(IF(ISBLANK(TAB_CS[[#This Row],[Ressource]]),"",VLOOKUP(TAB_CS[[#This Row],[Reference]],TAB_Offres[[Reference]:[Level]],COLUMNS(TAB_Offres[[Reference]:[Level]]),FALSE)),"")</f>
        <v>10</v>
      </c>
      <c r="T22" s="127">
        <f>_xlfn.IFNA(IF(OR(ISBLANK(TAB_CS[[#This Row],[Level]]),TAB_CS[[#This Row],[Level]]=""),,VLOOKUP(TAB_CS[[#This Row],[Profile]],TAB_prix[],2+TAB_CS[[#This Row],[Level]],FALSE)),)</f>
        <v>531.12</v>
      </c>
      <c r="U22" s="13">
        <v>181</v>
      </c>
      <c r="V22" s="189">
        <f>IF(OR(ISBLANK(TAB_CS[[#This Row],[Commited days]]),TAB_CS[[#This Row],[Commited days]]=0),,TAB_CS[[#This Row],[Commited days]]*TAB_CS[[#This Row],[Profile in €]])</f>
        <v>96132.72</v>
      </c>
      <c r="W22" s="127">
        <f>SUM(TAB_CS[[#This Row],[F]:[P+1]])-TAB_CS[[#This Row],[P+1]]</f>
        <v>181</v>
      </c>
      <c r="X22" s="189">
        <f>IF(OR(ISBLANK(TAB_CS[[#This Row],[Producted days]]),TAB_CS[[#This Row],[Producted days]]=0),,TAB_CS[[#This Row],[Producted days]]*TAB_CS[[#This Row],[Profile in €]])</f>
        <v>96132.72</v>
      </c>
      <c r="Y22" s="188">
        <f>TAB_CS[[#This Row],[Commited days]]-TAB_CS[[#This Row],[Producted days]]</f>
        <v>0</v>
      </c>
      <c r="Z22" s="189">
        <f>IF(OR(ISBLANK(TAB_CS[[#This Row],[Remaining days]]),TAB_CS[[#This Row],[Remaining days]]=0),,TAB_CS[[#This Row],[Remaining days]]*TAB_CS[[#This Row],[Profile in €]])</f>
        <v>0</v>
      </c>
      <c r="AA22" s="187">
        <f>SUM(TAB_CS[[#This Row],[P+1]:[FP]])</f>
        <v>0</v>
      </c>
      <c r="AB22" s="10">
        <f>IF(OR(ISBLANK(TAB_CS[[#This Row],[Expected days]]),TAB_CS[[#This Row],[Expected days]]=0),,TAB_CS[[#This Row],[Expected days]]*TAB_CS[[#This Row],[Profile in €]])</f>
        <v>0</v>
      </c>
      <c r="AC22" s="10" t="str">
        <f>CONCATENATE(TAB_CS[[#This Row],[DG]],TAB_CS[[#This Row],[Company]])</f>
        <v>ENVCGI LUX</v>
      </c>
      <c r="AD22" s="144"/>
      <c r="AE22" s="150"/>
      <c r="AF22" s="151"/>
      <c r="AG22" s="151"/>
      <c r="AH22" s="151"/>
      <c r="AI22" s="150"/>
      <c r="AJ22" s="151"/>
      <c r="AK22" s="156"/>
      <c r="AL22" s="156"/>
      <c r="AM22" s="351">
        <v>4</v>
      </c>
      <c r="AN22" s="351">
        <v>21</v>
      </c>
      <c r="AO22" s="351">
        <v>19</v>
      </c>
      <c r="AP22" s="351">
        <v>22</v>
      </c>
      <c r="AQ22" s="351">
        <v>14</v>
      </c>
      <c r="AR22" s="351">
        <v>18</v>
      </c>
      <c r="AS22" s="351">
        <v>18</v>
      </c>
      <c r="AT22" s="351">
        <v>19</v>
      </c>
      <c r="AU22" s="351">
        <v>21.5</v>
      </c>
      <c r="AV22" s="351">
        <v>11</v>
      </c>
      <c r="AW22" s="351">
        <v>13.5</v>
      </c>
      <c r="AX22" s="643"/>
      <c r="AY22" s="643"/>
      <c r="AZ22" s="643"/>
      <c r="BA22" s="643"/>
      <c r="BB22" s="643"/>
      <c r="BC22" s="643"/>
      <c r="BD22" s="643"/>
      <c r="BE22" s="643"/>
      <c r="BF22" s="643"/>
      <c r="BG22" s="643"/>
      <c r="BH22" s="643"/>
      <c r="BI22" s="173"/>
      <c r="BJ22" s="643"/>
      <c r="BK22" s="643"/>
      <c r="BL22" s="643"/>
      <c r="BM22" s="173"/>
      <c r="BN22" s="643"/>
      <c r="BO22" s="643"/>
      <c r="BP22" s="643"/>
      <c r="BQ22" s="643"/>
      <c r="BR22" s="643"/>
      <c r="BS22" s="643"/>
      <c r="BT22" s="643"/>
      <c r="BU22" s="643"/>
      <c r="BV22" s="643"/>
      <c r="BW22" s="643"/>
      <c r="BX22" s="643"/>
      <c r="BY22" s="643"/>
      <c r="BZ22" s="223"/>
    </row>
    <row r="23" spans="1:78" ht="12.75" customHeight="1" x14ac:dyDescent="0.3">
      <c r="A23" s="1">
        <f>IF(ISBLANK(TAB_CS[[#This Row],[Reference]]),"",INDEX(TAB_Offres[ID],MATCH(TAB_CS[[#This Row],[Reference]],TAB_Offres[Reference],0)))</f>
        <v>20</v>
      </c>
      <c r="B23" s="26" t="s">
        <v>289</v>
      </c>
      <c r="C23" s="150" t="s">
        <v>5618</v>
      </c>
      <c r="D23" s="1" t="str">
        <f>IF(ISBLANK(TAB_CS[[#This Row],[Reference]]),"",VLOOKUP(TAB_CS[[#This Row],[ID]],TAB_Offres[],2,FALSE))</f>
        <v>Lot 2</v>
      </c>
      <c r="E23" s="1" t="s">
        <v>5918</v>
      </c>
      <c r="F23" s="26">
        <f>_xlfn.IFNA(IF(ISBLANK(TAB_CS[[#This Row],[Reference]]),"",VLOOKUP(TAB_CS[[#This Row],[Reference]],TAB_Offres[[Reference]:[Modification Request]],COLUMNS(TAB_Offres[[Reference]:[Modification Request]]),FALSE)),)</f>
        <v>0</v>
      </c>
      <c r="G23" s="150" t="str">
        <f>IF(ISBLANK(TAB_CS[[#This Row],[Reference]]),"",INDEX(TAB_Offres[Institution/agency],MATCH(TAB_CS[[#This Row],[Reference]],TAB_Offres[Reference],0)))</f>
        <v>EC</v>
      </c>
      <c r="H23" s="150" t="str">
        <f>IF(ISBLANK(TAB_CS[[#This Row],[Reference]]),"",INDEX(TAB_Offres[DG],MATCH(TAB_CS[[#This Row],[Reference]],TAB_Offres[Reference],0)))</f>
        <v>DIGIT.B.4</v>
      </c>
      <c r="I23" t="str">
        <f>IF(ISBLANK(TAB_CS[[#This Row],[Reference]]),"",INDEX(TAB_Offres[Offer description],MATCH(TAB_CS[[#This Row],[Reference]],TAB_Offres[Reference],0)))</f>
        <v>Project manager (PM) level 2</v>
      </c>
      <c r="J23" s="155">
        <f>_xlfn.IFNA(IF(ISBLANK(TAB_CS[[#This Row],[Ressource]]),,VLOOKUP(TAB_CS[[#This Row],[Reference]],TAB_Offres[[Reference]:[CS signature date]],COLUMNS(TAB_Offres[[Reference]:[CS signature date]]),FALSE)),"")</f>
        <v>44895</v>
      </c>
      <c r="K23" s="155">
        <f>_xlfn.IFNA(IF(ISBLANK(TAB_CS[[#This Row],[Ressource]]),,VLOOKUP(TAB_CS[[#This Row],[Reference]],TAB_Offres[[Reference]:[CS start date]],COLUMNS(TAB_Offres[[Reference]:[CS start date]]),FALSE)),"")</f>
        <v>44895</v>
      </c>
      <c r="L23" s="155">
        <f>_xlfn.IFNA(IF(ISBLANK(TAB_CS[[#This Row],[Ressource]]),,VLOOKUP(TAB_CS[[#This Row],[Reference]],TAB_Offres[[Reference]:[CS end date]],COLUMNS(TAB_Offres[[Reference]:[CS end date]]),FALSE)),"")</f>
        <v>45199</v>
      </c>
      <c r="M23" s="1" t="str">
        <f>_xlfn.IFNA(IF(ISBLANK(TAB_CS[[#This Row],[Ressource]]),,VLOOKUP(TAB_CS[[#This Row],[Reference]],TAB_Offres[[Reference]:[CS State]],COLUMNS(TAB_Offres[[Reference]:[CS State]]),FALSE)),"")</f>
        <v>CLOSE</v>
      </c>
      <c r="N23" s="26" t="str">
        <f>VLOOKUP(TAB_CS[[#This Row],[Reference]],TAB_Offres[[Reference]:[Ressource 1]],25,FALSE)</f>
        <v xml:space="preserve">TURCITU, Mihai-Alexandru </v>
      </c>
      <c r="O23" s="1" t="str">
        <f>_xlfn.IFNA(IF(ISBLANK(TAB_CS[[#This Row],[Ressource]]),,VLOOKUP(TAB_CS[[#This Row],[Reference]],TAB_Offres[[Reference]:[Company]],COLUMNS(TAB_Offres[[Reference]:[Company]]),FALSE)),"")</f>
        <v>CGI LUX</v>
      </c>
      <c r="P23" s="1" t="str">
        <f>_xlfn.CONCAT(TAB_CS[[#This Row],[Ressource]],TAB_CS[[#This Row],[Profile in €]])</f>
        <v>TURCITU, Mihai-Alexandru 469,41</v>
      </c>
      <c r="Q23" s="1" t="str">
        <f>_xlfn.CONCAT(TAB_CS[[#This Row],[Company]],TAB_CS[[#This Row],[Business perimeter]])</f>
        <v>CGI LUXBL</v>
      </c>
      <c r="R23" s="150" t="str">
        <f>_xlfn.IFNA(IF(ISBLANK(TAB_CS[[#This Row],[Ressource]]),"",VLOOKUP(TAB_CS[[#This Row],[Reference]],TAB_Offres[[Reference]:[Profile]],COLUMNS(TAB_Offres[[Reference]:[Profile]]),FALSE)),"")</f>
        <v>Project Manager</v>
      </c>
      <c r="S23" s="1">
        <f>_xlfn.IFNA(IF(ISBLANK(TAB_CS[[#This Row],[Ressource]]),"",VLOOKUP(TAB_CS[[#This Row],[Reference]],TAB_Offres[[Reference]:[Level]],COLUMNS(TAB_Offres[[Reference]:[Level]]),FALSE)),"")</f>
        <v>2</v>
      </c>
      <c r="T23" s="127">
        <f>_xlfn.IFNA(IF(OR(ISBLANK(TAB_CS[[#This Row],[Level]]),TAB_CS[[#This Row],[Level]]=""),,VLOOKUP(TAB_CS[[#This Row],[Profile]],TAB_prix[],2+TAB_CS[[#This Row],[Level]],FALSE)),)</f>
        <v>469.41</v>
      </c>
      <c r="U23" s="13">
        <v>110</v>
      </c>
      <c r="V23" s="189">
        <f>IF(OR(ISBLANK(TAB_CS[[#This Row],[Commited days]]),TAB_CS[[#This Row],[Commited days]]=0),,TAB_CS[[#This Row],[Commited days]]*TAB_CS[[#This Row],[Profile in €]])</f>
        <v>51635.100000000006</v>
      </c>
      <c r="W23" s="127">
        <f>SUM(TAB_CS[[#This Row],[F]:[P+1]])-TAB_CS[[#This Row],[P+1]]</f>
        <v>110</v>
      </c>
      <c r="X23" s="189">
        <f>IF(OR(ISBLANK(TAB_CS[[#This Row],[Producted days]]),TAB_CS[[#This Row],[Producted days]]=0),,TAB_CS[[#This Row],[Producted days]]*TAB_CS[[#This Row],[Profile in €]])</f>
        <v>51635.100000000006</v>
      </c>
      <c r="Y23" s="188">
        <f>TAB_CS[[#This Row],[Commited days]]-TAB_CS[[#This Row],[Producted days]]</f>
        <v>0</v>
      </c>
      <c r="Z23" s="189">
        <f>IF(OR(ISBLANK(TAB_CS[[#This Row],[Remaining days]]),TAB_CS[[#This Row],[Remaining days]]=0),,TAB_CS[[#This Row],[Remaining days]]*TAB_CS[[#This Row],[Profile in €]])</f>
        <v>0</v>
      </c>
      <c r="AA23" s="187">
        <f>SUM(TAB_CS[[#This Row],[P+1]:[FP]])</f>
        <v>0</v>
      </c>
      <c r="AB23" s="10">
        <f>IF(OR(ISBLANK(TAB_CS[[#This Row],[Expected days]]),TAB_CS[[#This Row],[Expected days]]=0),,TAB_CS[[#This Row],[Expected days]]*TAB_CS[[#This Row],[Profile in €]])</f>
        <v>0</v>
      </c>
      <c r="AC23" s="10" t="str">
        <f>CONCATENATE(TAB_CS[[#This Row],[DG]],TAB_CS[[#This Row],[Company]])</f>
        <v>DIGIT.B.4CGI LUX</v>
      </c>
      <c r="AD23" s="144"/>
      <c r="AE23" s="150"/>
      <c r="AF23" s="151"/>
      <c r="AG23" s="151"/>
      <c r="AH23" s="151"/>
      <c r="AI23" s="150"/>
      <c r="AJ23" s="151"/>
      <c r="AK23" s="156"/>
      <c r="AL23" s="351">
        <v>5.5</v>
      </c>
      <c r="AM23" s="351">
        <v>16</v>
      </c>
      <c r="AN23" s="351">
        <v>17</v>
      </c>
      <c r="AO23" s="351">
        <v>18</v>
      </c>
      <c r="AP23" s="351">
        <v>20</v>
      </c>
      <c r="AQ23" s="351">
        <v>18</v>
      </c>
      <c r="AR23" s="351">
        <v>15.5</v>
      </c>
      <c r="AS23" s="643"/>
      <c r="AT23" s="643"/>
      <c r="AU23" s="643"/>
      <c r="AV23" s="643"/>
      <c r="AW23" s="643"/>
      <c r="AX23" s="643"/>
      <c r="AY23" s="643"/>
      <c r="AZ23" s="643"/>
      <c r="BA23" s="643"/>
      <c r="BB23" s="643"/>
      <c r="BC23" s="643"/>
      <c r="BD23" s="643"/>
      <c r="BE23" s="643"/>
      <c r="BF23" s="643"/>
      <c r="BG23" s="643"/>
      <c r="BH23" s="643"/>
      <c r="BI23" s="173"/>
      <c r="BJ23" s="643"/>
      <c r="BK23" s="643"/>
      <c r="BL23" s="643"/>
      <c r="BM23" s="173"/>
      <c r="BN23" s="643"/>
      <c r="BO23" s="643"/>
      <c r="BP23" s="643"/>
      <c r="BQ23" s="643"/>
      <c r="BR23" s="643"/>
      <c r="BS23" s="643"/>
      <c r="BT23" s="643"/>
      <c r="BU23" s="643"/>
      <c r="BV23" s="643"/>
      <c r="BW23" s="643"/>
      <c r="BX23" s="643"/>
      <c r="BY23" s="643"/>
      <c r="BZ23" s="223"/>
    </row>
    <row r="24" spans="1:78" ht="12.75" customHeight="1" x14ac:dyDescent="0.3">
      <c r="A24" s="1">
        <f>IF(ISBLANK(TAB_CS[[#This Row],[Reference]]),"",INDEX(TAB_Offres[ID],MATCH(TAB_CS[[#This Row],[Reference]],TAB_Offres[Reference],0)))</f>
        <v>21</v>
      </c>
      <c r="B24" s="26" t="s">
        <v>291</v>
      </c>
      <c r="C24" s="150" t="s">
        <v>5619</v>
      </c>
      <c r="D24" s="1" t="str">
        <f>IF(ISBLANK(TAB_CS[[#This Row],[Reference]]),"",VLOOKUP(TAB_CS[[#This Row],[ID]],TAB_Offres[],2,FALSE))</f>
        <v>Lot 2</v>
      </c>
      <c r="E24" s="1" t="s">
        <v>5918</v>
      </c>
      <c r="F24" s="26">
        <f>_xlfn.IFNA(IF(ISBLANK(TAB_CS[[#This Row],[Reference]]),"",VLOOKUP(TAB_CS[[#This Row],[Reference]],TAB_Offres[[Reference]:[Modification Request]],COLUMNS(TAB_Offres[[Reference]:[Modification Request]]),FALSE)),)</f>
        <v>0</v>
      </c>
      <c r="G24" s="150" t="str">
        <f>IF(ISBLANK(TAB_CS[[#This Row],[Reference]]),"",INDEX(TAB_Offres[Institution/agency],MATCH(TAB_CS[[#This Row],[Reference]],TAB_Offres[Reference],0)))</f>
        <v>EC</v>
      </c>
      <c r="H24" s="150" t="str">
        <f>IF(ISBLANK(TAB_CS[[#This Row],[Reference]]),"",INDEX(TAB_Offres[DG],MATCH(TAB_CS[[#This Row],[Reference]],TAB_Offres[Reference],0)))</f>
        <v>DIGIT.D.1</v>
      </c>
      <c r="I24" t="str">
        <f>IF(ISBLANK(TAB_CS[[#This Row],[Reference]]),"",INDEX(TAB_Offres[Offer description],MATCH(TAB_CS[[#This Row],[Reference]],TAB_Offres[Reference],0)))</f>
        <v>2022-D1.001.505 - NEW - DIGIT TMII - DS- L6/7</v>
      </c>
      <c r="J24" s="155">
        <f>_xlfn.IFNA(IF(ISBLANK(TAB_CS[[#This Row],[Ressource]]),,VLOOKUP(TAB_CS[[#This Row],[Reference]],TAB_Offres[[Reference]:[CS signature date]],COLUMNS(TAB_Offres[[Reference]:[CS signature date]]),FALSE)),"")</f>
        <v>44879</v>
      </c>
      <c r="K24" s="155">
        <f>_xlfn.IFNA(IF(ISBLANK(TAB_CS[[#This Row],[Ressource]]),,VLOOKUP(TAB_CS[[#This Row],[Reference]],TAB_Offres[[Reference]:[CS start date]],COLUMNS(TAB_Offres[[Reference]:[CS start date]]),FALSE)),"")</f>
        <v>44879</v>
      </c>
      <c r="L24" s="155">
        <f>_xlfn.IFNA(IF(ISBLANK(TAB_CS[[#This Row],[Ressource]]),,VLOOKUP(TAB_CS[[#This Row],[Reference]],TAB_Offres[[Reference]:[CS end date]],COLUMNS(TAB_Offres[[Reference]:[CS end date]]),FALSE)),"")</f>
        <v>45199</v>
      </c>
      <c r="M24" s="1" t="str">
        <f>_xlfn.IFNA(IF(ISBLANK(TAB_CS[[#This Row],[Ressource]]),,VLOOKUP(TAB_CS[[#This Row],[Reference]],TAB_Offres[[Reference]:[CS State]],COLUMNS(TAB_Offres[[Reference]:[CS State]]),FALSE)),"")</f>
        <v>CLOSE</v>
      </c>
      <c r="N24" s="26" t="str">
        <f>VLOOKUP(TAB_CS[[#This Row],[Reference]],TAB_Offres[[Reference]:[Ressource 1]],25,FALSE)</f>
        <v>DOUHAIZENET, Gael</v>
      </c>
      <c r="O24" s="1" t="str">
        <f>_xlfn.IFNA(IF(ISBLANK(TAB_CS[[#This Row],[Ressource]]),,VLOOKUP(TAB_CS[[#This Row],[Reference]],TAB_Offres[[Reference]:[Company]],COLUMNS(TAB_Offres[[Reference]:[Company]]),FALSE)),"")</f>
        <v>EDDA</v>
      </c>
      <c r="P24" s="1" t="str">
        <f>_xlfn.CONCAT(TAB_CS[[#This Row],[Ressource]],TAB_CS[[#This Row],[Profile in €]])</f>
        <v>DOUHAIZENET, Gael536,96</v>
      </c>
      <c r="Q24" s="1" t="str">
        <f>_xlfn.CONCAT(TAB_CS[[#This Row],[Company]],TAB_CS[[#This Row],[Business perimeter]])</f>
        <v>EDDABL</v>
      </c>
      <c r="R24" s="150" t="str">
        <f>_xlfn.IFNA(IF(ISBLANK(TAB_CS[[#This Row],[Ressource]]),"",VLOOKUP(TAB_CS[[#This Row],[Reference]],TAB_Offres[[Reference]:[Profile]],COLUMNS(TAB_Offres[[Reference]:[Profile]]),FALSE)),"")</f>
        <v>Data Scientist</v>
      </c>
      <c r="S24" s="1">
        <f>_xlfn.IFNA(IF(ISBLANK(TAB_CS[[#This Row],[Ressource]]),"",VLOOKUP(TAB_CS[[#This Row],[Reference]],TAB_Offres[[Reference]:[Level]],COLUMNS(TAB_Offres[[Reference]:[Level]]),FALSE)),"")</f>
        <v>7</v>
      </c>
      <c r="T24" s="357">
        <v>536.96</v>
      </c>
      <c r="U24" s="13">
        <v>100</v>
      </c>
      <c r="V24" s="189">
        <f>IF(OR(ISBLANK(TAB_CS[[#This Row],[Commited days]]),TAB_CS[[#This Row],[Commited days]]=0),,TAB_CS[[#This Row],[Commited days]]*TAB_CS[[#This Row],[Profile in €]])</f>
        <v>53696</v>
      </c>
      <c r="W24" s="127">
        <f>SUM(TAB_CS[[#This Row],[F]:[P+1]])-TAB_CS[[#This Row],[P+1]]</f>
        <v>100</v>
      </c>
      <c r="X24" s="189">
        <f>IF(OR(ISBLANK(TAB_CS[[#This Row],[Producted days]]),TAB_CS[[#This Row],[Producted days]]=0),,TAB_CS[[#This Row],[Producted days]]*TAB_CS[[#This Row],[Profile in €]])</f>
        <v>53696</v>
      </c>
      <c r="Y24" s="188">
        <f>TAB_CS[[#This Row],[Commited days]]-TAB_CS[[#This Row],[Producted days]]</f>
        <v>0</v>
      </c>
      <c r="Z24" s="189">
        <f>IF(OR(ISBLANK(TAB_CS[[#This Row],[Remaining days]]),TAB_CS[[#This Row],[Remaining days]]=0),,TAB_CS[[#This Row],[Remaining days]]*TAB_CS[[#This Row],[Profile in €]])</f>
        <v>0</v>
      </c>
      <c r="AA24" s="187">
        <f>SUM(TAB_CS[[#This Row],[P+1]:[FP]])</f>
        <v>0</v>
      </c>
      <c r="AB24" s="10">
        <f>IF(OR(ISBLANK(TAB_CS[[#This Row],[Expected days]]),TAB_CS[[#This Row],[Expected days]]=0),,TAB_CS[[#This Row],[Expected days]]*TAB_CS[[#This Row],[Profile in €]])</f>
        <v>0</v>
      </c>
      <c r="AC24" s="10" t="str">
        <f>CONCATENATE(TAB_CS[[#This Row],[DG]],TAB_CS[[#This Row],[Company]])</f>
        <v>DIGIT.D.1EDDA</v>
      </c>
      <c r="AD24" s="144"/>
      <c r="AE24" s="150"/>
      <c r="AF24" s="151"/>
      <c r="AG24" s="151"/>
      <c r="AH24" s="151"/>
      <c r="AI24" s="150"/>
      <c r="AJ24" s="151"/>
      <c r="AK24" s="156"/>
      <c r="AL24" s="351">
        <v>2.5</v>
      </c>
      <c r="AM24" s="351">
        <v>12</v>
      </c>
      <c r="AN24" s="351">
        <v>19.5</v>
      </c>
      <c r="AO24" s="351">
        <v>18.5</v>
      </c>
      <c r="AP24" s="351">
        <v>23</v>
      </c>
      <c r="AQ24" s="351">
        <v>15</v>
      </c>
      <c r="AR24" s="351">
        <v>9.5</v>
      </c>
      <c r="AS24" s="643"/>
      <c r="AT24" s="643"/>
      <c r="AU24" s="643"/>
      <c r="AV24" s="643"/>
      <c r="AW24" s="643"/>
      <c r="AX24" s="643"/>
      <c r="AY24" s="643"/>
      <c r="AZ24" s="643"/>
      <c r="BA24" s="643"/>
      <c r="BB24" s="643"/>
      <c r="BC24" s="643"/>
      <c r="BD24" s="643"/>
      <c r="BE24" s="643"/>
      <c r="BF24" s="643"/>
      <c r="BG24" s="643"/>
      <c r="BH24" s="643"/>
      <c r="BI24" s="173"/>
      <c r="BJ24" s="643"/>
      <c r="BK24" s="643"/>
      <c r="BL24" s="643"/>
      <c r="BM24" s="173"/>
      <c r="BN24" s="643"/>
      <c r="BO24" s="643"/>
      <c r="BP24" s="643"/>
      <c r="BQ24" s="643"/>
      <c r="BR24" s="643"/>
      <c r="BS24" s="643"/>
      <c r="BT24" s="643"/>
      <c r="BU24" s="643"/>
      <c r="BV24" s="643"/>
      <c r="BW24" s="643"/>
      <c r="BX24" s="643"/>
      <c r="BY24" s="643"/>
      <c r="BZ24" s="223"/>
    </row>
    <row r="25" spans="1:78" ht="12.75" customHeight="1" x14ac:dyDescent="0.3">
      <c r="A25" s="1">
        <f>IF(ISBLANK(TAB_CS[[#This Row],[Reference]]),"",INDEX(TAB_Offres[ID],MATCH(TAB_CS[[#This Row],[Reference]],TAB_Offres[Reference],0)))</f>
        <v>22</v>
      </c>
      <c r="B25" s="26" t="s">
        <v>293</v>
      </c>
      <c r="C25" s="150" t="s">
        <v>5620</v>
      </c>
      <c r="D25" s="1" t="str">
        <f>IF(ISBLANK(TAB_CS[[#This Row],[Reference]]),"",VLOOKUP(TAB_CS[[#This Row],[ID]],TAB_Offres[],2,FALSE))</f>
        <v>Lot 3</v>
      </c>
      <c r="E25" s="1" t="s">
        <v>5918</v>
      </c>
      <c r="F25" s="26">
        <f>_xlfn.IFNA(IF(ISBLANK(TAB_CS[[#This Row],[Reference]]),"",VLOOKUP(TAB_CS[[#This Row],[Reference]],TAB_Offres[[Reference]:[Modification Request]],COLUMNS(TAB_Offres[[Reference]:[Modification Request]]),FALSE)),)</f>
        <v>0</v>
      </c>
      <c r="G25" s="150" t="str">
        <f>IF(ISBLANK(TAB_CS[[#This Row],[Reference]]),"",INDEX(TAB_Offres[Institution/agency],MATCH(TAB_CS[[#This Row],[Reference]],TAB_Offres[Reference],0)))</f>
        <v>EC</v>
      </c>
      <c r="H25" s="150" t="str">
        <f>IF(ISBLANK(TAB_CS[[#This Row],[Reference]]),"",INDEX(TAB_Offres[DG],MATCH(TAB_CS[[#This Row],[Reference]],TAB_Offres[Reference],0)))</f>
        <v>TRAD A.2.</v>
      </c>
      <c r="I25" t="str">
        <f>IF(ISBLANK(TAB_CS[[#This Row],[Reference]]),"",INDEX(TAB_Offres[Offer description],MATCH(TAB_CS[[#This Row],[Reference]],TAB_Offres[Reference],0)))</f>
        <v>Trade Policy Information Systems</v>
      </c>
      <c r="J25" s="155">
        <f>_xlfn.IFNA(IF(ISBLANK(TAB_CS[[#This Row],[Ressource]]),,VLOOKUP(TAB_CS[[#This Row],[Reference]],TAB_Offres[[Reference]:[CS signature date]],COLUMNS(TAB_Offres[[Reference]:[CS signature date]]),FALSE)),"")</f>
        <v>44889</v>
      </c>
      <c r="K25" s="155">
        <f>_xlfn.IFNA(IF(ISBLANK(TAB_CS[[#This Row],[Ressource]]),,VLOOKUP(TAB_CS[[#This Row],[Reference]],TAB_Offres[[Reference]:[CS start date]],COLUMNS(TAB_Offres[[Reference]:[CS start date]]),FALSE)),"")</f>
        <v>44896</v>
      </c>
      <c r="L25" s="155">
        <f>_xlfn.IFNA(IF(ISBLANK(TAB_CS[[#This Row],[Ressource]]),,VLOOKUP(TAB_CS[[#This Row],[Reference]],TAB_Offres[[Reference]:[CS end date]],COLUMNS(TAB_Offres[[Reference]:[CS end date]]),FALSE)),"")</f>
        <v>45291</v>
      </c>
      <c r="M25" s="1" t="str">
        <f>_xlfn.IFNA(IF(ISBLANK(TAB_CS[[#This Row],[Ressource]]),,VLOOKUP(TAB_CS[[#This Row],[Reference]],TAB_Offres[[Reference]:[CS State]],COLUMNS(TAB_Offres[[Reference]:[CS State]]),FALSE)),"")</f>
        <v>START</v>
      </c>
      <c r="N25" s="26" t="str">
        <f>VLOOKUP(TAB_CS[[#This Row],[Reference]],TAB_Offres[[Reference]:[Ressource 1]],25,FALSE)</f>
        <v>STROOBANTS, Luc</v>
      </c>
      <c r="O25" s="1" t="str">
        <f>_xlfn.IFNA(IF(ISBLANK(TAB_CS[[#This Row],[Ressource]]),,VLOOKUP(TAB_CS[[#This Row],[Reference]],TAB_Offres[[Reference]:[Company]],COLUMNS(TAB_Offres[[Reference]:[Company]]),FALSE)),"")</f>
        <v>EDDA</v>
      </c>
      <c r="P25" s="1" t="str">
        <f>_xlfn.CONCAT(TAB_CS[[#This Row],[Ressource]],TAB_CS[[#This Row],[Profile in €]])</f>
        <v>STROOBANTS, Luc735,38</v>
      </c>
      <c r="Q25" s="1" t="str">
        <f>_xlfn.CONCAT(TAB_CS[[#This Row],[Company]],TAB_CS[[#This Row],[Business perimeter]])</f>
        <v>EDDABL</v>
      </c>
      <c r="R25" s="150" t="str">
        <f>_xlfn.IFNA(IF(ISBLANK(TAB_CS[[#This Row],[Ressource]]),"",VLOOKUP(TAB_CS[[#This Row],[Reference]],TAB_Offres[[Reference]:[Profile]],COLUMNS(TAB_Offres[[Reference]:[Profile]]),FALSE)),"")</f>
        <v>Business Intelligence expert</v>
      </c>
      <c r="S25" s="1">
        <f>_xlfn.IFNA(IF(ISBLANK(TAB_CS[[#This Row],[Ressource]]),"",VLOOKUP(TAB_CS[[#This Row],[Reference]],TAB_Offres[[Reference]:[Level]],COLUMNS(TAB_Offres[[Reference]:[Level]]),FALSE)),"")</f>
        <v>9</v>
      </c>
      <c r="T25" s="127">
        <f>_xlfn.IFNA(IF(OR(ISBLANK(TAB_CS[[#This Row],[Level]]),TAB_CS[[#This Row],[Level]]=""),,VLOOKUP(TAB_CS[[#This Row],[Profile]],TAB_prix[],2+TAB_CS[[#This Row],[Level]],FALSE)),)</f>
        <v>735.38</v>
      </c>
      <c r="U25" s="13">
        <v>100</v>
      </c>
      <c r="V25" s="189">
        <f>IF(OR(ISBLANK(TAB_CS[[#This Row],[Commited days]]),TAB_CS[[#This Row],[Commited days]]=0),,TAB_CS[[#This Row],[Commited days]]*TAB_CS[[#This Row],[Profile in €]])</f>
        <v>73538</v>
      </c>
      <c r="W25" s="127">
        <f>SUM(TAB_CS[[#This Row],[F]:[P+1]])-TAB_CS[[#This Row],[P+1]]</f>
        <v>100</v>
      </c>
      <c r="X25" s="189">
        <f>IF(OR(ISBLANK(TAB_CS[[#This Row],[Producted days]]),TAB_CS[[#This Row],[Producted days]]=0),,TAB_CS[[#This Row],[Producted days]]*TAB_CS[[#This Row],[Profile in €]])</f>
        <v>73538</v>
      </c>
      <c r="Y25" s="188">
        <f>TAB_CS[[#This Row],[Commited days]]-TAB_CS[[#This Row],[Producted days]]</f>
        <v>0</v>
      </c>
      <c r="Z25" s="189">
        <f>IF(OR(ISBLANK(TAB_CS[[#This Row],[Remaining days]]),TAB_CS[[#This Row],[Remaining days]]=0),,TAB_CS[[#This Row],[Remaining days]]*TAB_CS[[#This Row],[Profile in €]])</f>
        <v>0</v>
      </c>
      <c r="AA25" s="187">
        <f>SUM(TAB_CS[[#This Row],[P+1]:[FP]])</f>
        <v>0</v>
      </c>
      <c r="AB25" s="10">
        <f>IF(OR(ISBLANK(TAB_CS[[#This Row],[Expected days]]),TAB_CS[[#This Row],[Expected days]]=0),,TAB_CS[[#This Row],[Expected days]]*TAB_CS[[#This Row],[Profile in €]])</f>
        <v>0</v>
      </c>
      <c r="AC25" s="10" t="str">
        <f>CONCATENATE(TAB_CS[[#This Row],[DG]],TAB_CS[[#This Row],[Company]])</f>
        <v>TRAD A.2.EDDA</v>
      </c>
      <c r="AD25" s="144"/>
      <c r="AE25" s="150"/>
      <c r="AF25" s="151"/>
      <c r="AG25" s="151"/>
      <c r="AH25" s="151"/>
      <c r="AI25" s="150"/>
      <c r="AJ25" s="151"/>
      <c r="AK25" s="156"/>
      <c r="AL25" s="156"/>
      <c r="AM25" s="351">
        <v>16</v>
      </c>
      <c r="AN25" s="351">
        <v>20.5</v>
      </c>
      <c r="AO25" s="351">
        <v>20</v>
      </c>
      <c r="AP25" s="351">
        <v>23</v>
      </c>
      <c r="AQ25" s="351">
        <v>19</v>
      </c>
      <c r="AR25" s="351">
        <v>1.5</v>
      </c>
      <c r="AS25" s="643"/>
      <c r="AT25" s="643"/>
      <c r="AU25" s="643"/>
      <c r="AV25" s="643"/>
      <c r="AW25" s="643"/>
      <c r="AX25" s="643"/>
      <c r="AY25" s="643"/>
      <c r="AZ25" s="643"/>
      <c r="BA25" s="643"/>
      <c r="BB25" s="643"/>
      <c r="BC25" s="643"/>
      <c r="BD25" s="643"/>
      <c r="BE25" s="643"/>
      <c r="BF25" s="643"/>
      <c r="BG25" s="643"/>
      <c r="BH25" s="643"/>
      <c r="BI25" s="173"/>
      <c r="BJ25" s="643"/>
      <c r="BK25" s="643"/>
      <c r="BL25" s="643"/>
      <c r="BM25" s="173"/>
      <c r="BN25" s="643"/>
      <c r="BO25" s="643"/>
      <c r="BP25" s="643"/>
      <c r="BQ25" s="643"/>
      <c r="BR25" s="643"/>
      <c r="BS25" s="643"/>
      <c r="BT25" s="643"/>
      <c r="BU25" s="643"/>
      <c r="BV25" s="643"/>
      <c r="BW25" s="643"/>
      <c r="BX25" s="643"/>
      <c r="BY25" s="643"/>
      <c r="BZ25" s="223"/>
    </row>
    <row r="26" spans="1:78" ht="12.75" customHeight="1" x14ac:dyDescent="0.3">
      <c r="A26" s="1">
        <f>IF(ISBLANK(TAB_CS[[#This Row],[Reference]]),"",INDEX(TAB_Offres[ID],MATCH(TAB_CS[[#This Row],[Reference]],TAB_Offres[Reference],0)))</f>
        <v>23</v>
      </c>
      <c r="B26" s="154" t="s">
        <v>295</v>
      </c>
      <c r="C26" s="150" t="s">
        <v>5621</v>
      </c>
      <c r="D26" s="1" t="str">
        <f>IF(ISBLANK(TAB_CS[[#This Row],[Reference]]),"",VLOOKUP(TAB_CS[[#This Row],[ID]],TAB_Offres[],2,FALSE))</f>
        <v>Lot 3</v>
      </c>
      <c r="E26" s="1" t="s">
        <v>5918</v>
      </c>
      <c r="F26" s="26">
        <f>_xlfn.IFNA(IF(ISBLANK(TAB_CS[[#This Row],[Reference]]),"",VLOOKUP(TAB_CS[[#This Row],[Reference]],TAB_Offres[[Reference]:[Modification Request]],COLUMNS(TAB_Offres[[Reference]:[Modification Request]]),FALSE)),)</f>
        <v>0</v>
      </c>
      <c r="G26" s="150" t="str">
        <f>IF(ISBLANK(TAB_CS[[#This Row],[Reference]]),"",INDEX(TAB_Offres[Institution/agency],MATCH(TAB_CS[[#This Row],[Reference]],TAB_Offres[Reference],0)))</f>
        <v>EC</v>
      </c>
      <c r="H26" s="150" t="str">
        <f>IF(ISBLANK(TAB_CS[[#This Row],[Reference]]),"",INDEX(TAB_Offres[DG],MATCH(TAB_CS[[#This Row],[Reference]],TAB_Offres[Reference],0)))</f>
        <v>RTD.I.3</v>
      </c>
      <c r="I26" t="str">
        <f>IF(ISBLANK(TAB_CS[[#This Row],[Reference]]),"",INDEX(TAB_Offres[Offer description],MATCH(TAB_CS[[#This Row],[Reference]],TAB_Offres[Reference],0)))</f>
        <v>IT Services for Security System</v>
      </c>
      <c r="J26" s="155">
        <f>_xlfn.IFNA(IF(ISBLANK(TAB_CS[[#This Row],[Ressource]]),,VLOOKUP(TAB_CS[[#This Row],[Reference]],TAB_Offres[[Reference]:[CS signature date]],COLUMNS(TAB_Offres[[Reference]:[CS signature date]]),FALSE)),"")</f>
        <v>44886</v>
      </c>
      <c r="K26" s="155">
        <f>_xlfn.IFNA(IF(ISBLANK(TAB_CS[[#This Row],[Ressource]]),,VLOOKUP(TAB_CS[[#This Row],[Reference]],TAB_Offres[[Reference]:[CS start date]],COLUMNS(TAB_Offres[[Reference]:[CS start date]]),FALSE)),"")</f>
        <v>44886</v>
      </c>
      <c r="L26" s="155">
        <f>_xlfn.IFNA(IF(ISBLANK(TAB_CS[[#This Row],[Ressource]]),,VLOOKUP(TAB_CS[[#This Row],[Reference]],TAB_Offres[[Reference]:[CS end date]],COLUMNS(TAB_Offres[[Reference]:[CS end date]]),FALSE)),"")</f>
        <v>45230</v>
      </c>
      <c r="M26" s="1" t="str">
        <f>_xlfn.IFNA(IF(ISBLANK(TAB_CS[[#This Row],[Ressource]]),,VLOOKUP(TAB_CS[[#This Row],[Reference]],TAB_Offres[[Reference]:[CS State]],COLUMNS(TAB_Offres[[Reference]:[CS State]]),FALSE)),"")</f>
        <v>CLOSE</v>
      </c>
      <c r="N26" s="26" t="str">
        <f>VLOOKUP(TAB_CS[[#This Row],[Reference]],TAB_Offres[[Reference]:[Ressource 1]],25,FALSE)</f>
        <v>KIRIMLIDOU, Dimoula</v>
      </c>
      <c r="O26" s="1" t="str">
        <f>_xlfn.IFNA(IF(ISBLANK(TAB_CS[[#This Row],[Ressource]]),,VLOOKUP(TAB_CS[[#This Row],[Reference]],TAB_Offres[[Reference]:[Company]],COLUMNS(TAB_Offres[[Reference]:[Company]]),FALSE)),"")</f>
        <v>EDDA</v>
      </c>
      <c r="P26" s="1" t="str">
        <f>_xlfn.CONCAT(TAB_CS[[#This Row],[Ressource]],TAB_CS[[#This Row],[Profile in €]])</f>
        <v>KIRIMLIDOU, Dimoula469,07</v>
      </c>
      <c r="Q26" s="1" t="str">
        <f>_xlfn.CONCAT(TAB_CS[[#This Row],[Company]],TAB_CS[[#This Row],[Business perimeter]])</f>
        <v>EDDABL</v>
      </c>
      <c r="R26" s="150" t="str">
        <f>_xlfn.IFNA(IF(ISBLANK(TAB_CS[[#This Row],[Ressource]]),"",VLOOKUP(TAB_CS[[#This Row],[Reference]],TAB_Offres[[Reference]:[Profile]],COLUMNS(TAB_Offres[[Reference]:[Profile]]),FALSE)),"")</f>
        <v>Enterprise architect-FAR</v>
      </c>
      <c r="S26" s="1">
        <f>_xlfn.IFNA(IF(ISBLANK(TAB_CS[[#This Row],[Ressource]]),"",VLOOKUP(TAB_CS[[#This Row],[Reference]],TAB_Offres[[Reference]:[Level]],COLUMNS(TAB_Offres[[Reference]:[Level]]),FALSE)),"")</f>
        <v>8</v>
      </c>
      <c r="T26" s="127">
        <f>_xlfn.IFNA(IF(OR(ISBLANK(TAB_CS[[#This Row],[Level]]),TAB_CS[[#This Row],[Level]]=""),,VLOOKUP(TAB_CS[[#This Row],[Profile]],TAB_prix[],2+TAB_CS[[#This Row],[Level]],FALSE)),)</f>
        <v>469.07</v>
      </c>
      <c r="U26" s="13">
        <v>160</v>
      </c>
      <c r="V26" s="189">
        <f>IF(OR(ISBLANK(TAB_CS[[#This Row],[Commited days]]),TAB_CS[[#This Row],[Commited days]]=0),,TAB_CS[[#This Row],[Commited days]]*TAB_CS[[#This Row],[Profile in €]])</f>
        <v>75051.199999999997</v>
      </c>
      <c r="W26" s="127">
        <f>SUM(TAB_CS[[#This Row],[F]:[P+1]])-TAB_CS[[#This Row],[P+1]]</f>
        <v>160</v>
      </c>
      <c r="X26" s="189">
        <f>IF(OR(ISBLANK(TAB_CS[[#This Row],[Producted days]]),TAB_CS[[#This Row],[Producted days]]=0),,TAB_CS[[#This Row],[Producted days]]*TAB_CS[[#This Row],[Profile in €]])</f>
        <v>75051.199999999997</v>
      </c>
      <c r="Y26" s="188">
        <f>TAB_CS[[#This Row],[Commited days]]-TAB_CS[[#This Row],[Producted days]]</f>
        <v>0</v>
      </c>
      <c r="Z26" s="189">
        <f>IF(OR(ISBLANK(TAB_CS[[#This Row],[Remaining days]]),TAB_CS[[#This Row],[Remaining days]]=0),,TAB_CS[[#This Row],[Remaining days]]*TAB_CS[[#This Row],[Profile in €]])</f>
        <v>0</v>
      </c>
      <c r="AA26" s="187">
        <f>SUM(TAB_CS[[#This Row],[P+1]:[FP]])</f>
        <v>0</v>
      </c>
      <c r="AB26" s="10">
        <f>IF(OR(ISBLANK(TAB_CS[[#This Row],[Expected days]]),TAB_CS[[#This Row],[Expected days]]=0),,TAB_CS[[#This Row],[Expected days]]*TAB_CS[[#This Row],[Profile in €]])</f>
        <v>0</v>
      </c>
      <c r="AC26" s="10" t="str">
        <f>CONCATENATE(TAB_CS[[#This Row],[DG]],TAB_CS[[#This Row],[Company]])</f>
        <v>RTD.I.3EDDA</v>
      </c>
      <c r="AD26" s="144"/>
      <c r="AE26" s="150"/>
      <c r="AF26" s="151"/>
      <c r="AG26" s="151"/>
      <c r="AH26" s="151"/>
      <c r="AI26" s="150"/>
      <c r="AJ26" s="151"/>
      <c r="AK26" s="156"/>
      <c r="AL26" s="156"/>
      <c r="AM26" s="226">
        <v>0.5</v>
      </c>
      <c r="AN26" s="351">
        <v>18.5</v>
      </c>
      <c r="AO26" s="351">
        <v>19</v>
      </c>
      <c r="AP26" s="351">
        <v>21.5</v>
      </c>
      <c r="AQ26" s="351">
        <v>16</v>
      </c>
      <c r="AR26" s="351">
        <v>18.5</v>
      </c>
      <c r="AS26" s="351">
        <v>22</v>
      </c>
      <c r="AT26" s="351">
        <v>15</v>
      </c>
      <c r="AU26" s="351">
        <v>13</v>
      </c>
      <c r="AV26" s="351">
        <v>16</v>
      </c>
      <c r="AW26" s="643"/>
      <c r="AX26" s="643"/>
      <c r="AY26" s="643"/>
      <c r="AZ26" s="643"/>
      <c r="BA26" s="643"/>
      <c r="BB26" s="643"/>
      <c r="BC26" s="643"/>
      <c r="BD26" s="643"/>
      <c r="BE26" s="643"/>
      <c r="BF26" s="643"/>
      <c r="BG26" s="643"/>
      <c r="BH26" s="643"/>
      <c r="BI26" s="173"/>
      <c r="BJ26" s="643"/>
      <c r="BK26" s="643"/>
      <c r="BL26" s="643"/>
      <c r="BM26" s="173"/>
      <c r="BN26" s="643"/>
      <c r="BO26" s="643"/>
      <c r="BP26" s="643"/>
      <c r="BQ26" s="643"/>
      <c r="BR26" s="643"/>
      <c r="BS26" s="643"/>
      <c r="BT26" s="643"/>
      <c r="BU26" s="643"/>
      <c r="BV26" s="643"/>
      <c r="BW26" s="643"/>
      <c r="BX26" s="643"/>
      <c r="BY26" s="643"/>
      <c r="BZ26" s="223"/>
    </row>
    <row r="27" spans="1:78" ht="12.75" customHeight="1" x14ac:dyDescent="0.3">
      <c r="A27" s="1">
        <f>IF(ISBLANK(TAB_CS[[#This Row],[Reference]]),"",INDEX(TAB_Offres[ID],MATCH(TAB_CS[[#This Row],[Reference]],TAB_Offres[Reference],0)))</f>
        <v>24</v>
      </c>
      <c r="B27" s="26" t="s">
        <v>326</v>
      </c>
      <c r="C27" s="150" t="s">
        <v>5634</v>
      </c>
      <c r="D27" s="1" t="str">
        <f>IF(ISBLANK(TAB_CS[[#This Row],[Reference]]),"",VLOOKUP(TAB_CS[[#This Row],[ID]],TAB_Offres[],2,FALSE))</f>
        <v>Lot 2</v>
      </c>
      <c r="E27" s="1" t="s">
        <v>5918</v>
      </c>
      <c r="F27" s="26">
        <f>_xlfn.IFNA(IF(ISBLANK(TAB_CS[[#This Row],[Reference]]),"",VLOOKUP(TAB_CS[[#This Row],[Reference]],TAB_Offres[[Reference]:[Modification Request]],COLUMNS(TAB_Offres[[Reference]:[Modification Request]]),FALSE)),)</f>
        <v>0</v>
      </c>
      <c r="G27" s="150" t="str">
        <f>IF(ISBLANK(TAB_CS[[#This Row],[Reference]]),"",INDEX(TAB_Offres[Institution/agency],MATCH(TAB_CS[[#This Row],[Reference]],TAB_Offres[Reference],0)))</f>
        <v>EC</v>
      </c>
      <c r="H27" s="150" t="str">
        <f>IF(ISBLANK(TAB_CS[[#This Row],[Reference]]),"",INDEX(TAB_Offres[DG],MATCH(TAB_CS[[#This Row],[Reference]],TAB_Offres[Reference],0)))</f>
        <v>JUST</v>
      </c>
      <c r="I27" t="str">
        <f>IF(ISBLANK(TAB_CS[[#This Row],[Reference]]),"",INDEX(TAB_Offres[Offer description],MATCH(TAB_CS[[#This Row],[Reference]],TAB_Offres[Reference],0)))</f>
        <v>Project manager (PM)</v>
      </c>
      <c r="J27" s="155">
        <f>_xlfn.IFNA(IF(ISBLANK(TAB_CS[[#This Row],[Ressource]]),,VLOOKUP(TAB_CS[[#This Row],[Reference]],TAB_Offres[[Reference]:[CS signature date]],COLUMNS(TAB_Offres[[Reference]:[CS signature date]]),FALSE)),"")</f>
        <v>44916</v>
      </c>
      <c r="K27" s="155">
        <f>_xlfn.IFNA(IF(ISBLANK(TAB_CS[[#This Row],[Ressource]]),,VLOOKUP(TAB_CS[[#This Row],[Reference]],TAB_Offres[[Reference]:[CS start date]],COLUMNS(TAB_Offres[[Reference]:[CS start date]]),FALSE)),"")</f>
        <v>0</v>
      </c>
      <c r="L27" s="155">
        <f>_xlfn.IFNA(IF(ISBLANK(TAB_CS[[#This Row],[Ressource]]),,VLOOKUP(TAB_CS[[#This Row],[Reference]],TAB_Offres[[Reference]:[CS end date]],COLUMNS(TAB_Offres[[Reference]:[CS end date]]),FALSE)),"")</f>
        <v>0</v>
      </c>
      <c r="M27" s="1" t="str">
        <f>_xlfn.IFNA(IF(ISBLANK(TAB_CS[[#This Row],[Ressource]]),,VLOOKUP(TAB_CS[[#This Row],[Reference]],TAB_Offres[[Reference]:[CS State]],COLUMNS(TAB_Offres[[Reference]:[CS State]]),FALSE)),"")</f>
        <v>PENDING</v>
      </c>
      <c r="N27" s="26" t="str">
        <f>VLOOKUP(TAB_CS[[#This Row],[Reference]],TAB_Offres[[Reference]:[Ressource 1]],25,FALSE)</f>
        <v>PAPASPYROU, Vasileios</v>
      </c>
      <c r="O27" s="1" t="str">
        <f>_xlfn.IFNA(IF(ISBLANK(TAB_CS[[#This Row],[Ressource]]),,VLOOKUP(TAB_CS[[#This Row],[Reference]],TAB_Offres[[Reference]:[Company]],COLUMNS(TAB_Offres[[Reference]:[Company]]),FALSE)),"")</f>
        <v>TREMEND</v>
      </c>
      <c r="P27" s="1" t="str">
        <f>_xlfn.CONCAT(TAB_CS[[#This Row],[Ressource]],TAB_CS[[#This Row],[Profile in €]])</f>
        <v>PAPASPYROU, Vasileios704,46</v>
      </c>
      <c r="Q27" s="1" t="str">
        <f>_xlfn.CONCAT(TAB_CS[[#This Row],[Company]],TAB_CS[[#This Row],[Business perimeter]])</f>
        <v>TREMENDBL</v>
      </c>
      <c r="R27" s="150" t="str">
        <f>_xlfn.IFNA(IF(ISBLANK(TAB_CS[[#This Row],[Ressource]]),"",VLOOKUP(TAB_CS[[#This Row],[Reference]],TAB_Offres[[Reference]:[Profile]],COLUMNS(TAB_Offres[[Reference]:[Profile]]),FALSE)),"")</f>
        <v>Project Manager</v>
      </c>
      <c r="S27" s="1">
        <f>_xlfn.IFNA(IF(ISBLANK(TAB_CS[[#This Row],[Ressource]]),"",VLOOKUP(TAB_CS[[#This Row],[Reference]],TAB_Offres[[Reference]:[Level]],COLUMNS(TAB_Offres[[Reference]:[Level]]),FALSE)),"")</f>
        <v>8</v>
      </c>
      <c r="T27" s="127">
        <f>_xlfn.IFNA(IF(OR(ISBLANK(TAB_CS[[#This Row],[Level]]),TAB_CS[[#This Row],[Level]]=""),,VLOOKUP(TAB_CS[[#This Row],[Profile]],TAB_prix[],2+TAB_CS[[#This Row],[Level]],FALSE)),)</f>
        <v>704.46</v>
      </c>
      <c r="U27" s="13">
        <v>220</v>
      </c>
      <c r="V27" s="189">
        <f>IF(OR(ISBLANK(TAB_CS[[#This Row],[Commited days]]),TAB_CS[[#This Row],[Commited days]]=0),,TAB_CS[[#This Row],[Commited days]]*TAB_CS[[#This Row],[Profile in €]])</f>
        <v>154981.20000000001</v>
      </c>
      <c r="W27" s="127">
        <f>SUM(TAB_CS[[#This Row],[F]:[P+1]])-TAB_CS[[#This Row],[P+1]]</f>
        <v>220</v>
      </c>
      <c r="X27" s="189">
        <f>IF(OR(ISBLANK(TAB_CS[[#This Row],[Producted days]]),TAB_CS[[#This Row],[Producted days]]=0),,TAB_CS[[#This Row],[Producted days]]*TAB_CS[[#This Row],[Profile in €]])</f>
        <v>154981.20000000001</v>
      </c>
      <c r="Y27" s="188">
        <f>TAB_CS[[#This Row],[Commited days]]-TAB_CS[[#This Row],[Producted days]]</f>
        <v>0</v>
      </c>
      <c r="Z27" s="189">
        <f>IF(OR(ISBLANK(TAB_CS[[#This Row],[Remaining days]]),TAB_CS[[#This Row],[Remaining days]]=0),,TAB_CS[[#This Row],[Remaining days]]*TAB_CS[[#This Row],[Profile in €]])</f>
        <v>0</v>
      </c>
      <c r="AA27" s="187">
        <f>SUM(TAB_CS[[#This Row],[P+1]:[FP]])</f>
        <v>0</v>
      </c>
      <c r="AB27" s="10">
        <f>IF(OR(ISBLANK(TAB_CS[[#This Row],[Expected days]]),TAB_CS[[#This Row],[Expected days]]=0),,TAB_CS[[#This Row],[Expected days]]*TAB_CS[[#This Row],[Profile in €]])</f>
        <v>0</v>
      </c>
      <c r="AC27" s="10" t="str">
        <f>CONCATENATE(TAB_CS[[#This Row],[DG]],TAB_CS[[#This Row],[Company]])</f>
        <v>JUSTTREMEND</v>
      </c>
      <c r="AD27" s="144"/>
      <c r="AE27" s="150"/>
      <c r="AF27" s="151"/>
      <c r="AG27" s="151"/>
      <c r="AH27" s="151"/>
      <c r="AI27" s="150"/>
      <c r="AJ27" s="151"/>
      <c r="AK27" s="156"/>
      <c r="AL27" s="156"/>
      <c r="AM27" s="156"/>
      <c r="AN27" s="351">
        <v>17</v>
      </c>
      <c r="AO27" s="351">
        <v>16</v>
      </c>
      <c r="AP27" s="351">
        <v>20</v>
      </c>
      <c r="AQ27" s="351">
        <v>14</v>
      </c>
      <c r="AR27" s="351">
        <v>20</v>
      </c>
      <c r="AS27" s="351">
        <v>21</v>
      </c>
      <c r="AT27" s="351">
        <v>10</v>
      </c>
      <c r="AU27" s="351">
        <v>18</v>
      </c>
      <c r="AV27" s="351">
        <v>19</v>
      </c>
      <c r="AW27" s="351">
        <v>21</v>
      </c>
      <c r="AX27" s="351">
        <v>20</v>
      </c>
      <c r="AY27" s="351">
        <v>19</v>
      </c>
      <c r="AZ27" s="351">
        <v>5</v>
      </c>
      <c r="BA27" s="643"/>
      <c r="BB27" s="643"/>
      <c r="BC27" s="643"/>
      <c r="BD27" s="643"/>
      <c r="BE27" s="643"/>
      <c r="BF27" s="643"/>
      <c r="BG27" s="643"/>
      <c r="BH27" s="643"/>
      <c r="BI27" s="173"/>
      <c r="BJ27" s="643"/>
      <c r="BK27" s="643"/>
      <c r="BL27" s="643"/>
      <c r="BM27" s="173"/>
      <c r="BN27" s="643"/>
      <c r="BO27" s="643"/>
      <c r="BP27" s="643"/>
      <c r="BQ27" s="643"/>
      <c r="BR27" s="643"/>
      <c r="BS27" s="643"/>
      <c r="BT27" s="643"/>
      <c r="BU27" s="643"/>
      <c r="BV27" s="643"/>
      <c r="BW27" s="643"/>
      <c r="BX27" s="643"/>
      <c r="BY27" s="643"/>
      <c r="BZ27" s="223"/>
    </row>
    <row r="28" spans="1:78" ht="12.75" customHeight="1" x14ac:dyDescent="0.3">
      <c r="A28" s="1">
        <f>IF(ISBLANK(TAB_CS[[#This Row],[Reference]]),"",INDEX(TAB_Offres[ID],MATCH(TAB_CS[[#This Row],[Reference]],TAB_Offres[Reference],0)))</f>
        <v>25</v>
      </c>
      <c r="B28" s="26" t="s">
        <v>297</v>
      </c>
      <c r="C28" s="150" t="s">
        <v>5622</v>
      </c>
      <c r="D28" s="1" t="str">
        <f>IF(ISBLANK(TAB_CS[[#This Row],[Reference]]),"",VLOOKUP(TAB_CS[[#This Row],[ID]],TAB_Offres[],2,FALSE))</f>
        <v>Lot 1</v>
      </c>
      <c r="E28" s="1" t="s">
        <v>5918</v>
      </c>
      <c r="F28" s="26">
        <f>_xlfn.IFNA(IF(ISBLANK(TAB_CS[[#This Row],[Reference]]),"",VLOOKUP(TAB_CS[[#This Row],[Reference]],TAB_Offres[[Reference]:[Modification Request]],COLUMNS(TAB_Offres[[Reference]:[Modification Request]]),FALSE)),)</f>
        <v>0</v>
      </c>
      <c r="G28" s="150" t="str">
        <f>IF(ISBLANK(TAB_CS[[#This Row],[Reference]]),"",INDEX(TAB_Offres[Institution/agency],MATCH(TAB_CS[[#This Row],[Reference]],TAB_Offres[Reference],0)))</f>
        <v>EC</v>
      </c>
      <c r="H28" s="150" t="str">
        <f>IF(ISBLANK(TAB_CS[[#This Row],[Reference]]),"",INDEX(TAB_Offres[DG],MATCH(TAB_CS[[#This Row],[Reference]],TAB_Offres[Reference],0)))</f>
        <v>DIGIT.D.3</v>
      </c>
      <c r="I28" t="str">
        <f>IF(ISBLANK(TAB_CS[[#This Row],[Reference]]),"",INDEX(TAB_Offres[Offer description],MATCH(TAB_CS[[#This Row],[Reference]],TAB_Offres[Reference],0)))</f>
        <v>D3.003 - EULOGIN -Request Full stack developer Level min0-max10 (5)</v>
      </c>
      <c r="J28" s="155">
        <f>_xlfn.IFNA(IF(ISBLANK(TAB_CS[[#This Row],[Ressource]]),,VLOOKUP(TAB_CS[[#This Row],[Reference]],TAB_Offres[[Reference]:[CS signature date]],COLUMNS(TAB_Offres[[Reference]:[CS signature date]]),FALSE)),"")</f>
        <v>44886</v>
      </c>
      <c r="K28" s="155">
        <f>_xlfn.IFNA(IF(ISBLANK(TAB_CS[[#This Row],[Ressource]]),,VLOOKUP(TAB_CS[[#This Row],[Reference]],TAB_Offres[[Reference]:[CS start date]],COLUMNS(TAB_Offres[[Reference]:[CS start date]]),FALSE)),"")</f>
        <v>44886</v>
      </c>
      <c r="L28" s="155">
        <f>_xlfn.IFNA(IF(ISBLANK(TAB_CS[[#This Row],[Ressource]]),,VLOOKUP(TAB_CS[[#This Row],[Reference]],TAB_Offres[[Reference]:[CS end date]],COLUMNS(TAB_Offres[[Reference]:[CS end date]]),FALSE)),"")</f>
        <v>45199</v>
      </c>
      <c r="M28" s="1" t="str">
        <f>_xlfn.IFNA(IF(ISBLANK(TAB_CS[[#This Row],[Ressource]]),,VLOOKUP(TAB_CS[[#This Row],[Reference]],TAB_Offres[[Reference]:[CS State]],COLUMNS(TAB_Offres[[Reference]:[CS State]]),FALSE)),"")</f>
        <v>CLOSE</v>
      </c>
      <c r="N28" s="26" t="str">
        <f>VLOOKUP(TAB_CS[[#This Row],[Reference]],TAB_Offres[[Reference]:[Ressource 1]],25,FALSE)</f>
        <v xml:space="preserve">ESCRIBANO, Ruben </v>
      </c>
      <c r="O28" s="1" t="str">
        <f>_xlfn.IFNA(IF(ISBLANK(TAB_CS[[#This Row],[Ressource]]),,VLOOKUP(TAB_CS[[#This Row],[Reference]],TAB_Offres[[Reference]:[Company]],COLUMNS(TAB_Offres[[Reference]:[Company]]),FALSE)),"")</f>
        <v>EDDA</v>
      </c>
      <c r="P28" s="1" t="str">
        <f>_xlfn.CONCAT(TAB_CS[[#This Row],[Ressource]],TAB_CS[[#This Row],[Profile in €]])</f>
        <v>ESCRIBANO, Ruben 443,05</v>
      </c>
      <c r="Q28" s="1" t="str">
        <f>_xlfn.CONCAT(TAB_CS[[#This Row],[Company]],TAB_CS[[#This Row],[Business perimeter]])</f>
        <v>EDDABL</v>
      </c>
      <c r="R28" s="150" t="str">
        <f>_xlfn.IFNA(IF(ISBLANK(TAB_CS[[#This Row],[Ressource]]),"",VLOOKUP(TAB_CS[[#This Row],[Reference]],TAB_Offres[[Reference]:[Profile]],COLUMNS(TAB_Offres[[Reference]:[Profile]]),FALSE)),"")</f>
        <v>Full-stack developer</v>
      </c>
      <c r="S28" s="1">
        <f>_xlfn.IFNA(IF(ISBLANK(TAB_CS[[#This Row],[Ressource]]),"",VLOOKUP(TAB_CS[[#This Row],[Reference]],TAB_Offres[[Reference]:[Level]],COLUMNS(TAB_Offres[[Reference]:[Level]]),FALSE)),"")</f>
        <v>4</v>
      </c>
      <c r="T28" s="127">
        <f>_xlfn.IFNA(IF(OR(ISBLANK(TAB_CS[[#This Row],[Level]]),TAB_CS[[#This Row],[Level]]=""),,VLOOKUP(TAB_CS[[#This Row],[Profile]],TAB_prix[],2+TAB_CS[[#This Row],[Level]],FALSE)),)</f>
        <v>443.05</v>
      </c>
      <c r="U28" s="13">
        <v>180</v>
      </c>
      <c r="V28" s="189">
        <f>IF(OR(ISBLANK(TAB_CS[[#This Row],[Commited days]]),TAB_CS[[#This Row],[Commited days]]=0),,TAB_CS[[#This Row],[Commited days]]*TAB_CS[[#This Row],[Profile in €]])</f>
        <v>79749</v>
      </c>
      <c r="W28" s="127">
        <f>SUM(TAB_CS[[#This Row],[F]:[P+1]])-TAB_CS[[#This Row],[P+1]]</f>
        <v>180</v>
      </c>
      <c r="X28" s="189">
        <f>IF(OR(ISBLANK(TAB_CS[[#This Row],[Producted days]]),TAB_CS[[#This Row],[Producted days]]=0),,TAB_CS[[#This Row],[Producted days]]*TAB_CS[[#This Row],[Profile in €]])</f>
        <v>79749</v>
      </c>
      <c r="Y28" s="188">
        <f>TAB_CS[[#This Row],[Commited days]]-TAB_CS[[#This Row],[Producted days]]</f>
        <v>0</v>
      </c>
      <c r="Z28" s="189">
        <f>IF(OR(ISBLANK(TAB_CS[[#This Row],[Remaining days]]),TAB_CS[[#This Row],[Remaining days]]=0),,TAB_CS[[#This Row],[Remaining days]]*TAB_CS[[#This Row],[Profile in €]])</f>
        <v>0</v>
      </c>
      <c r="AA28" s="187">
        <f>SUM(TAB_CS[[#This Row],[P+1]:[FP]])</f>
        <v>0</v>
      </c>
      <c r="AB28" s="10">
        <f>IF(OR(ISBLANK(TAB_CS[[#This Row],[Expected days]]),TAB_CS[[#This Row],[Expected days]]=0),,TAB_CS[[#This Row],[Expected days]]*TAB_CS[[#This Row],[Profile in €]])</f>
        <v>0</v>
      </c>
      <c r="AC28" s="10" t="str">
        <f>CONCATENATE(TAB_CS[[#This Row],[DG]],TAB_CS[[#This Row],[Company]])</f>
        <v>DIGIT.D.3EDDA</v>
      </c>
      <c r="AD28" s="144"/>
      <c r="AE28" s="150"/>
      <c r="AF28" s="151"/>
      <c r="AG28" s="151"/>
      <c r="AH28" s="151"/>
      <c r="AI28" s="150"/>
      <c r="AJ28" s="151"/>
      <c r="AK28" s="156"/>
      <c r="AL28" s="351">
        <v>7</v>
      </c>
      <c r="AM28" s="351">
        <v>16</v>
      </c>
      <c r="AN28" s="351">
        <v>22</v>
      </c>
      <c r="AO28" s="351">
        <v>18</v>
      </c>
      <c r="AP28" s="351">
        <v>22</v>
      </c>
      <c r="AQ28" s="351">
        <v>16</v>
      </c>
      <c r="AR28" s="351">
        <v>17.5</v>
      </c>
      <c r="AS28" s="351">
        <v>15</v>
      </c>
      <c r="AT28" s="351">
        <v>14</v>
      </c>
      <c r="AU28" s="351">
        <v>12</v>
      </c>
      <c r="AV28" s="351">
        <v>20.5</v>
      </c>
      <c r="AW28" s="643"/>
      <c r="AX28" s="643"/>
      <c r="AY28" s="643"/>
      <c r="AZ28" s="643"/>
      <c r="BA28" s="643"/>
      <c r="BB28" s="643"/>
      <c r="BC28" s="643"/>
      <c r="BD28" s="643"/>
      <c r="BE28" s="643"/>
      <c r="BF28" s="643"/>
      <c r="BG28" s="643"/>
      <c r="BH28" s="643"/>
      <c r="BI28" s="173"/>
      <c r="BJ28" s="643"/>
      <c r="BK28" s="643"/>
      <c r="BL28" s="643"/>
      <c r="BM28" s="173"/>
      <c r="BN28" s="643"/>
      <c r="BO28" s="643"/>
      <c r="BP28" s="643"/>
      <c r="BQ28" s="643"/>
      <c r="BR28" s="643"/>
      <c r="BS28" s="643"/>
      <c r="BT28" s="643"/>
      <c r="BU28" s="643"/>
      <c r="BV28" s="643"/>
      <c r="BW28" s="643"/>
      <c r="BX28" s="643"/>
      <c r="BY28" s="643"/>
      <c r="BZ28" s="223"/>
    </row>
    <row r="29" spans="1:78" ht="12.75" customHeight="1" x14ac:dyDescent="0.3">
      <c r="A29" s="1">
        <f>IF(ISBLANK(TAB_CS[[#This Row],[Reference]]),"",INDEX(TAB_Offres[ID],MATCH(TAB_CS[[#This Row],[Reference]],TAB_Offres[Reference],0)))</f>
        <v>26</v>
      </c>
      <c r="B29" s="26" t="s">
        <v>301</v>
      </c>
      <c r="C29" s="150" t="s">
        <v>5623</v>
      </c>
      <c r="D29" s="1" t="str">
        <f>IF(ISBLANK(TAB_CS[[#This Row],[Reference]]),"",VLOOKUP(TAB_CS[[#This Row],[ID]],TAB_Offres[],2,FALSE))</f>
        <v>Lot 1</v>
      </c>
      <c r="E29" s="1" t="s">
        <v>5920</v>
      </c>
      <c r="F29" s="26">
        <f>_xlfn.IFNA(IF(ISBLANK(TAB_CS[[#This Row],[Reference]]),"",VLOOKUP(TAB_CS[[#This Row],[Reference]],TAB_Offres[[Reference]:[Modification Request]],COLUMNS(TAB_Offres[[Reference]:[Modification Request]]),FALSE)),)</f>
        <v>0</v>
      </c>
      <c r="G29" s="150" t="str">
        <f>IF(ISBLANK(TAB_CS[[#This Row],[Reference]]),"",INDEX(TAB_Offres[Institution/agency],MATCH(TAB_CS[[#This Row],[Reference]],TAB_Offres[Reference],0)))</f>
        <v>EC</v>
      </c>
      <c r="H29" s="150" t="str">
        <f>IF(ISBLANK(TAB_CS[[#This Row],[Reference]]),"",INDEX(TAB_Offres[DG],MATCH(TAB_CS[[#This Row],[Reference]],TAB_Offres[Reference],0)))</f>
        <v>DIGIT.B.3</v>
      </c>
      <c r="I29" t="str">
        <f>IF(ISBLANK(TAB_CS[[#This Row],[Reference]]),"",INDEX(TAB_Offres[Offer description],MATCH(TAB_CS[[#This Row],[Reference]],TAB_Offres[Reference],0)))</f>
        <v>Full stack Developer Level 8 Far-Site Comref</v>
      </c>
      <c r="J29" s="155">
        <f>_xlfn.IFNA(IF(ISBLANK(TAB_CS[[#This Row],[Ressource]]),,VLOOKUP(TAB_CS[[#This Row],[Reference]],TAB_Offres[[Reference]:[CS signature date]],COLUMNS(TAB_Offres[[Reference]:[CS signature date]]),FALSE)),"")</f>
        <v>44880</v>
      </c>
      <c r="K29" s="155">
        <f>_xlfn.IFNA(IF(ISBLANK(TAB_CS[[#This Row],[Ressource]]),,VLOOKUP(TAB_CS[[#This Row],[Reference]],TAB_Offres[[Reference]:[CS start date]],COLUMNS(TAB_Offres[[Reference]:[CS start date]]),FALSE)),"")</f>
        <v>44880</v>
      </c>
      <c r="L29" s="155">
        <f>_xlfn.IFNA(IF(ISBLANK(TAB_CS[[#This Row],[Ressource]]),,VLOOKUP(TAB_CS[[#This Row],[Reference]],TAB_Offres[[Reference]:[CS end date]],COLUMNS(TAB_Offres[[Reference]:[CS end date]]),FALSE)),"")</f>
        <v>45199</v>
      </c>
      <c r="M29" s="1" t="str">
        <f>_xlfn.IFNA(IF(ISBLANK(TAB_CS[[#This Row],[Ressource]]),,VLOOKUP(TAB_CS[[#This Row],[Reference]],TAB_Offres[[Reference]:[CS State]],COLUMNS(TAB_Offres[[Reference]:[CS State]]),FALSE)),"")</f>
        <v>CLOSE</v>
      </c>
      <c r="N29" s="26" t="str">
        <f>VLOOKUP(TAB_CS[[#This Row],[Reference]],TAB_Offres[[Reference]:[Ressource 1]],25,FALSE)</f>
        <v>MEDAN, Andrei</v>
      </c>
      <c r="O29" s="1" t="str">
        <f>_xlfn.IFNA(IF(ISBLANK(TAB_CS[[#This Row],[Ressource]]),,VLOOKUP(TAB_CS[[#This Row],[Reference]],TAB_Offres[[Reference]:[Company]],COLUMNS(TAB_Offres[[Reference]:[Company]]),FALSE)),"")</f>
        <v>EDDA</v>
      </c>
      <c r="P29" s="1" t="str">
        <f>_xlfn.CONCAT(TAB_CS[[#This Row],[Ressource]],TAB_CS[[#This Row],[Profile in €]])</f>
        <v>MEDAN, Andrei463,9</v>
      </c>
      <c r="Q29" s="1" t="str">
        <f>_xlfn.CONCAT(TAB_CS[[#This Row],[Company]],TAB_CS[[#This Row],[Business perimeter]])</f>
        <v>EDDANB</v>
      </c>
      <c r="R29" s="150" t="str">
        <f>_xlfn.IFNA(IF(ISBLANK(TAB_CS[[#This Row],[Ressource]]),"",VLOOKUP(TAB_CS[[#This Row],[Reference]],TAB_Offres[[Reference]:[Profile]],COLUMNS(TAB_Offres[[Reference]:[Profile]]),FALSE)),"")</f>
        <v>Full-stack developer-FAR</v>
      </c>
      <c r="S29" s="1">
        <f>_xlfn.IFNA(IF(ISBLANK(TAB_CS[[#This Row],[Ressource]]),"",VLOOKUP(TAB_CS[[#This Row],[Reference]],TAB_Offres[[Reference]:[Level]],COLUMNS(TAB_Offres[[Reference]:[Level]]),FALSE)),"")</f>
        <v>8</v>
      </c>
      <c r="T29" s="127">
        <f>_xlfn.IFNA(IF(OR(ISBLANK(TAB_CS[[#This Row],[Level]]),TAB_CS[[#This Row],[Level]]=""),,VLOOKUP(TAB_CS[[#This Row],[Profile]],TAB_prix[],2+TAB_CS[[#This Row],[Level]],FALSE)),)</f>
        <v>463.9</v>
      </c>
      <c r="U29" s="13">
        <v>90</v>
      </c>
      <c r="V29" s="189">
        <f>IF(OR(ISBLANK(TAB_CS[[#This Row],[Commited days]]),TAB_CS[[#This Row],[Commited days]]=0),,TAB_CS[[#This Row],[Commited days]]*TAB_CS[[#This Row],[Profile in €]])</f>
        <v>41751</v>
      </c>
      <c r="W29" s="127">
        <f>SUM(TAB_CS[[#This Row],[F]:[P+1]])-TAB_CS[[#This Row],[P+1]]</f>
        <v>90</v>
      </c>
      <c r="X29" s="189">
        <f>IF(OR(ISBLANK(TAB_CS[[#This Row],[Producted days]]),TAB_CS[[#This Row],[Producted days]]=0),,TAB_CS[[#This Row],[Producted days]]*TAB_CS[[#This Row],[Profile in €]])</f>
        <v>41751</v>
      </c>
      <c r="Y29" s="188">
        <f>TAB_CS[[#This Row],[Commited days]]-TAB_CS[[#This Row],[Producted days]]</f>
        <v>0</v>
      </c>
      <c r="Z29" s="189">
        <f>IF(OR(ISBLANK(TAB_CS[[#This Row],[Remaining days]]),TAB_CS[[#This Row],[Remaining days]]=0),,TAB_CS[[#This Row],[Remaining days]]*TAB_CS[[#This Row],[Profile in €]])</f>
        <v>0</v>
      </c>
      <c r="AA29" s="187">
        <f>SUM(TAB_CS[[#This Row],[P+1]:[FP]])</f>
        <v>0</v>
      </c>
      <c r="AB29" s="10">
        <f>IF(OR(ISBLANK(TAB_CS[[#This Row],[Expected days]]),TAB_CS[[#This Row],[Expected days]]=0),,TAB_CS[[#This Row],[Expected days]]*TAB_CS[[#This Row],[Profile in €]])</f>
        <v>0</v>
      </c>
      <c r="AC29" s="10" t="str">
        <f>CONCATENATE(TAB_CS[[#This Row],[DG]],TAB_CS[[#This Row],[Company]])</f>
        <v>DIGIT.B.3EDDA</v>
      </c>
      <c r="AD29" s="144"/>
      <c r="AE29" s="150"/>
      <c r="AF29" s="151"/>
      <c r="AG29" s="151"/>
      <c r="AH29" s="151"/>
      <c r="AI29" s="150"/>
      <c r="AJ29" s="151"/>
      <c r="AK29" s="156"/>
      <c r="AL29" s="351">
        <v>16</v>
      </c>
      <c r="AM29" s="351">
        <v>15.5</v>
      </c>
      <c r="AN29" s="351">
        <v>21</v>
      </c>
      <c r="AO29" s="351">
        <v>19</v>
      </c>
      <c r="AP29" s="351">
        <v>18.5</v>
      </c>
      <c r="AQ29" s="643"/>
      <c r="AR29" s="643"/>
      <c r="AS29" s="643"/>
      <c r="AT29" s="643"/>
      <c r="AU29" s="643"/>
      <c r="AV29" s="643"/>
      <c r="AW29" s="643"/>
      <c r="AX29" s="643"/>
      <c r="AY29" s="643"/>
      <c r="AZ29" s="643"/>
      <c r="BA29" s="643"/>
      <c r="BB29" s="643"/>
      <c r="BC29" s="643"/>
      <c r="BD29" s="643"/>
      <c r="BE29" s="643"/>
      <c r="BF29" s="643"/>
      <c r="BG29" s="643"/>
      <c r="BH29" s="643"/>
      <c r="BI29" s="173"/>
      <c r="BJ29" s="643"/>
      <c r="BK29" s="643"/>
      <c r="BL29" s="643"/>
      <c r="BM29" s="173"/>
      <c r="BN29" s="643"/>
      <c r="BO29" s="643"/>
      <c r="BP29" s="643"/>
      <c r="BQ29" s="643"/>
      <c r="BR29" s="643"/>
      <c r="BS29" s="643"/>
      <c r="BT29" s="643"/>
      <c r="BU29" s="643"/>
      <c r="BV29" s="643"/>
      <c r="BW29" s="643"/>
      <c r="BX29" s="643"/>
      <c r="BY29" s="643"/>
      <c r="BZ29" s="223"/>
    </row>
    <row r="30" spans="1:78" ht="12.75" customHeight="1" x14ac:dyDescent="0.3">
      <c r="A30" s="1">
        <f>IF(ISBLANK(TAB_CS[[#This Row],[Reference]]),"",INDEX(TAB_Offres[ID],MATCH(TAB_CS[[#This Row],[Reference]],TAB_Offres[Reference],0)))</f>
        <v>27</v>
      </c>
      <c r="B30" s="26" t="s">
        <v>303</v>
      </c>
      <c r="C30" s="150" t="s">
        <v>5624</v>
      </c>
      <c r="D30" s="1" t="str">
        <f>IF(ISBLANK(TAB_CS[[#This Row],[Reference]]),"",VLOOKUP(TAB_CS[[#This Row],[ID]],TAB_Offres[],2,FALSE))</f>
        <v>Lot 3</v>
      </c>
      <c r="E30" s="1" t="s">
        <v>5918</v>
      </c>
      <c r="F30" s="26">
        <f>_xlfn.IFNA(IF(ISBLANK(TAB_CS[[#This Row],[Reference]]),"",VLOOKUP(TAB_CS[[#This Row],[Reference]],TAB_Offres[[Reference]:[Modification Request]],COLUMNS(TAB_Offres[[Reference]:[Modification Request]]),FALSE)),)</f>
        <v>0</v>
      </c>
      <c r="G30" s="150" t="str">
        <f>IF(ISBLANK(TAB_CS[[#This Row],[Reference]]),"",INDEX(TAB_Offres[Institution/agency],MATCH(TAB_CS[[#This Row],[Reference]],TAB_Offres[Reference],0)))</f>
        <v>EC</v>
      </c>
      <c r="H30" s="150" t="str">
        <f>IF(ISBLANK(TAB_CS[[#This Row],[Reference]]),"",INDEX(TAB_Offres[DG],MATCH(TAB_CS[[#This Row],[Reference]],TAB_Offres[Reference],0)))</f>
        <v>RTD.I.3</v>
      </c>
      <c r="I30" t="str">
        <f>IF(ISBLANK(TAB_CS[[#This Row],[Reference]]),"",INDEX(TAB_Offres[Offer description],MATCH(TAB_CS[[#This Row],[Reference]],TAB_Offres[Reference],0)))</f>
        <v>IT Services for e-Grants Management System</v>
      </c>
      <c r="J30" s="155">
        <f>_xlfn.IFNA(IF(ISBLANK(TAB_CS[[#This Row],[Ressource]]),,VLOOKUP(TAB_CS[[#This Row],[Reference]],TAB_Offres[[Reference]:[CS signature date]],COLUMNS(TAB_Offres[[Reference]:[CS signature date]]),FALSE)),"")</f>
        <v>44875</v>
      </c>
      <c r="K30" s="155">
        <f>_xlfn.IFNA(IF(ISBLANK(TAB_CS[[#This Row],[Ressource]]),,VLOOKUP(TAB_CS[[#This Row],[Reference]],TAB_Offres[[Reference]:[CS start date]],COLUMNS(TAB_Offres[[Reference]:[CS start date]]),FALSE)),"")</f>
        <v>44875</v>
      </c>
      <c r="L30" s="155">
        <f>_xlfn.IFNA(IF(ISBLANK(TAB_CS[[#This Row],[Ressource]]),,VLOOKUP(TAB_CS[[#This Row],[Reference]],TAB_Offres[[Reference]:[CS end date]],COLUMNS(TAB_Offres[[Reference]:[CS end date]]),FALSE)),"")</f>
        <v>45230</v>
      </c>
      <c r="M30" s="1" t="str">
        <f>_xlfn.IFNA(IF(ISBLANK(TAB_CS[[#This Row],[Ressource]]),,VLOOKUP(TAB_CS[[#This Row],[Reference]],TAB_Offres[[Reference]:[CS State]],COLUMNS(TAB_Offres[[Reference]:[CS State]]),FALSE)),"")</f>
        <v>CLOSE</v>
      </c>
      <c r="N30" s="26" t="str">
        <f>VLOOKUP(TAB_CS[[#This Row],[Reference]],TAB_Offres[[Reference]:[Ressource 1]],25,FALSE)</f>
        <v>CHATTERJEE, Pallavi</v>
      </c>
      <c r="O30" s="1" t="str">
        <f>_xlfn.IFNA(IF(ISBLANK(TAB_CS[[#This Row],[Ressource]]),,VLOOKUP(TAB_CS[[#This Row],[Reference]],TAB_Offres[[Reference]:[Company]],COLUMNS(TAB_Offres[[Reference]:[Company]]),FALSE)),"")</f>
        <v>EDDA</v>
      </c>
      <c r="P30" s="1" t="str">
        <f>_xlfn.CONCAT(TAB_CS[[#This Row],[Ressource]],TAB_CS[[#This Row],[Profile in €]])</f>
        <v>CHATTERJEE, Pallavi524,32</v>
      </c>
      <c r="Q30" s="1" t="str">
        <f>_xlfn.CONCAT(TAB_CS[[#This Row],[Company]],TAB_CS[[#This Row],[Business perimeter]])</f>
        <v>EDDABL</v>
      </c>
      <c r="R30" s="150" t="str">
        <f>_xlfn.IFNA(IF(ISBLANK(TAB_CS[[#This Row],[Ressource]]),"",VLOOKUP(TAB_CS[[#This Row],[Reference]],TAB_Offres[[Reference]:[Profile]],COLUMNS(TAB_Offres[[Reference]:[Profile]]),FALSE)),"")</f>
        <v>Business Intelligence expert</v>
      </c>
      <c r="S30" s="1">
        <f>_xlfn.IFNA(IF(ISBLANK(TAB_CS[[#This Row],[Ressource]]),"",VLOOKUP(TAB_CS[[#This Row],[Reference]],TAB_Offres[[Reference]:[Level]],COLUMNS(TAB_Offres[[Reference]:[Level]]),FALSE)),"")</f>
        <v>4</v>
      </c>
      <c r="T30" s="127">
        <f>_xlfn.IFNA(IF(OR(ISBLANK(TAB_CS[[#This Row],[Level]]),TAB_CS[[#This Row],[Level]]=""),,VLOOKUP(TAB_CS[[#This Row],[Profile]],TAB_prix[],2+TAB_CS[[#This Row],[Level]],FALSE)),)</f>
        <v>524.32000000000005</v>
      </c>
      <c r="U30" s="13">
        <v>160</v>
      </c>
      <c r="V30" s="189">
        <f>IF(OR(ISBLANK(TAB_CS[[#This Row],[Commited days]]),TAB_CS[[#This Row],[Commited days]]=0),,TAB_CS[[#This Row],[Commited days]]*TAB_CS[[#This Row],[Profile in €]])</f>
        <v>83891.200000000012</v>
      </c>
      <c r="W30" s="127">
        <f>SUM(TAB_CS[[#This Row],[F]:[P+1]])-TAB_CS[[#This Row],[P+1]]</f>
        <v>160</v>
      </c>
      <c r="X30" s="189">
        <f>IF(OR(ISBLANK(TAB_CS[[#This Row],[Producted days]]),TAB_CS[[#This Row],[Producted days]]=0),,TAB_CS[[#This Row],[Producted days]]*TAB_CS[[#This Row],[Profile in €]])</f>
        <v>83891.200000000012</v>
      </c>
      <c r="Y30" s="188">
        <f>TAB_CS[[#This Row],[Commited days]]-TAB_CS[[#This Row],[Producted days]]</f>
        <v>0</v>
      </c>
      <c r="Z30" s="189">
        <f>IF(OR(ISBLANK(TAB_CS[[#This Row],[Remaining days]]),TAB_CS[[#This Row],[Remaining days]]=0),,TAB_CS[[#This Row],[Remaining days]]*TAB_CS[[#This Row],[Profile in €]])</f>
        <v>0</v>
      </c>
      <c r="AA30" s="187">
        <f>SUM(TAB_CS[[#This Row],[P+1]:[FP]])</f>
        <v>0</v>
      </c>
      <c r="AB30" s="10">
        <f>IF(OR(ISBLANK(TAB_CS[[#This Row],[Expected days]]),TAB_CS[[#This Row],[Expected days]]=0),,TAB_CS[[#This Row],[Expected days]]*TAB_CS[[#This Row],[Profile in €]])</f>
        <v>0</v>
      </c>
      <c r="AC30" s="10" t="str">
        <f>CONCATENATE(TAB_CS[[#This Row],[DG]],TAB_CS[[#This Row],[Company]])</f>
        <v>RTD.I.3EDDA</v>
      </c>
      <c r="AD30" s="144"/>
      <c r="AE30" s="150"/>
      <c r="AF30" s="151"/>
      <c r="AG30" s="151"/>
      <c r="AH30" s="151"/>
      <c r="AI30" s="150"/>
      <c r="AJ30" s="151"/>
      <c r="AK30" s="156"/>
      <c r="AL30" s="351">
        <v>13</v>
      </c>
      <c r="AM30" s="351">
        <v>15</v>
      </c>
      <c r="AN30" s="351">
        <v>21</v>
      </c>
      <c r="AO30" s="351">
        <v>16</v>
      </c>
      <c r="AP30" s="351">
        <v>23</v>
      </c>
      <c r="AQ30" s="351">
        <v>17</v>
      </c>
      <c r="AR30" s="351">
        <v>16.5</v>
      </c>
      <c r="AS30" s="351">
        <v>19.5</v>
      </c>
      <c r="AT30" s="351">
        <v>19</v>
      </c>
      <c r="AU30" s="643"/>
      <c r="AV30" s="643"/>
      <c r="AW30" s="643"/>
      <c r="AX30" s="643"/>
      <c r="AY30" s="643"/>
      <c r="AZ30" s="643"/>
      <c r="BA30" s="643"/>
      <c r="BB30" s="643"/>
      <c r="BC30" s="643"/>
      <c r="BD30" s="643"/>
      <c r="BE30" s="643"/>
      <c r="BF30" s="643"/>
      <c r="BG30" s="643"/>
      <c r="BH30" s="643"/>
      <c r="BI30" s="173"/>
      <c r="BJ30" s="643"/>
      <c r="BK30" s="643"/>
      <c r="BL30" s="643"/>
      <c r="BM30" s="173"/>
      <c r="BN30" s="643"/>
      <c r="BO30" s="643"/>
      <c r="BP30" s="643"/>
      <c r="BQ30" s="643"/>
      <c r="BR30" s="643"/>
      <c r="BS30" s="643"/>
      <c r="BT30" s="643"/>
      <c r="BU30" s="643"/>
      <c r="BV30" s="643"/>
      <c r="BW30" s="643"/>
      <c r="BX30" s="643"/>
      <c r="BY30" s="643"/>
      <c r="BZ30" s="223"/>
    </row>
    <row r="31" spans="1:78" ht="12.75" customHeight="1" x14ac:dyDescent="0.3">
      <c r="A31" s="1">
        <f>IF(ISBLANK(TAB_CS[[#This Row],[Reference]]),"",INDEX(TAB_Offres[ID],MATCH(TAB_CS[[#This Row],[Reference]],TAB_Offres[Reference],0)))</f>
        <v>28</v>
      </c>
      <c r="B31" s="26" t="s">
        <v>305</v>
      </c>
      <c r="C31" s="150" t="s">
        <v>5625</v>
      </c>
      <c r="D31" s="1" t="str">
        <f>IF(ISBLANK(TAB_CS[[#This Row],[Reference]]),"",VLOOKUP(TAB_CS[[#This Row],[ID]],TAB_Offres[],2,FALSE))</f>
        <v>Lot 1</v>
      </c>
      <c r="E31" s="1" t="s">
        <v>5920</v>
      </c>
      <c r="F31" s="26">
        <f>_xlfn.IFNA(IF(ISBLANK(TAB_CS[[#This Row],[Reference]]),"",VLOOKUP(TAB_CS[[#This Row],[Reference]],TAB_Offres[[Reference]:[Modification Request]],COLUMNS(TAB_Offres[[Reference]:[Modification Request]]),FALSE)),)</f>
        <v>0</v>
      </c>
      <c r="G31" s="150" t="str">
        <f>IF(ISBLANK(TAB_CS[[#This Row],[Reference]]),"",INDEX(TAB_Offres[Institution/agency],MATCH(TAB_CS[[#This Row],[Reference]],TAB_Offres[Reference],0)))</f>
        <v>EC</v>
      </c>
      <c r="H31" s="150" t="str">
        <f>IF(ISBLANK(TAB_CS[[#This Row],[Reference]]),"",INDEX(TAB_Offres[DG],MATCH(TAB_CS[[#This Row],[Reference]],TAB_Offres[Reference],0)))</f>
        <v>RTD.I.3</v>
      </c>
      <c r="I31" t="str">
        <f>IF(ISBLANK(TAB_CS[[#This Row],[Reference]]),"",INDEX(TAB_Offres[Offer description],MATCH(TAB_CS[[#This Row],[Reference]],TAB_Offres[Reference],0)))</f>
        <v>IT Architecture, Operations and Common Components</v>
      </c>
      <c r="J31" s="155">
        <f>_xlfn.IFNA(IF(ISBLANK(TAB_CS[[#This Row],[Ressource]]),,VLOOKUP(TAB_CS[[#This Row],[Reference]],TAB_Offres[[Reference]:[CS signature date]],COLUMNS(TAB_Offres[[Reference]:[CS signature date]]),FALSE)),"")</f>
        <v>44879</v>
      </c>
      <c r="K31" s="155">
        <f>_xlfn.IFNA(IF(ISBLANK(TAB_CS[[#This Row],[Ressource]]),,VLOOKUP(TAB_CS[[#This Row],[Reference]],TAB_Offres[[Reference]:[CS start date]],COLUMNS(TAB_Offres[[Reference]:[CS start date]]),FALSE)),"")</f>
        <v>44879</v>
      </c>
      <c r="L31" s="155">
        <f>_xlfn.IFNA(IF(ISBLANK(TAB_CS[[#This Row],[Ressource]]),,VLOOKUP(TAB_CS[[#This Row],[Reference]],TAB_Offres[[Reference]:[CS end date]],COLUMNS(TAB_Offres[[Reference]:[CS end date]]),FALSE)),"")</f>
        <v>45230</v>
      </c>
      <c r="M31" s="1" t="str">
        <f>_xlfn.IFNA(IF(ISBLANK(TAB_CS[[#This Row],[Ressource]]),,VLOOKUP(TAB_CS[[#This Row],[Reference]],TAB_Offres[[Reference]:[CS State]],COLUMNS(TAB_Offres[[Reference]:[CS State]]),FALSE)),"")</f>
        <v>CLOSE</v>
      </c>
      <c r="N31" s="320" t="s">
        <v>515</v>
      </c>
      <c r="O31" s="1" t="str">
        <f>_xlfn.IFNA(IF(ISBLANK(TAB_CS[[#This Row],[Ressource]]),,VLOOKUP(TAB_CS[[#This Row],[Reference]],TAB_Offres[[Reference]:[Company]],COLUMNS(TAB_Offres[[Reference]:[Company]]),FALSE)),"")</f>
        <v>EDDA</v>
      </c>
      <c r="P31" s="1" t="str">
        <f>_xlfn.CONCAT(TAB_CS[[#This Row],[Ressource]],TAB_CS[[#This Row],[Profile in €]])</f>
        <v>MEJRI, Mohamed621,39</v>
      </c>
      <c r="Q31" s="1" t="str">
        <f>_xlfn.CONCAT(TAB_CS[[#This Row],[Company]],TAB_CS[[#This Row],[Business perimeter]])</f>
        <v>EDDANB</v>
      </c>
      <c r="R31" s="150" t="str">
        <f>_xlfn.IFNA(IF(ISBLANK(TAB_CS[[#This Row],[Ressource]]),"",VLOOKUP(TAB_CS[[#This Row],[Reference]],TAB_Offres[[Reference]:[Profile]],COLUMNS(TAB_Offres[[Reference]:[Profile]]),FALSE)),"")</f>
        <v>Full-stack developer</v>
      </c>
      <c r="S31" s="150">
        <f>_xlfn.IFNA(IF(ISBLANK(TAB_CS[[#This Row],[Ressource]]),"",VLOOKUP(TAB_CS[[#This Row],[Reference]],TAB_Offres[[Reference]:[Level]],COLUMNS(TAB_Offres[[Reference]:[Level]]),FALSE)),"")</f>
        <v>9</v>
      </c>
      <c r="T31" s="127">
        <f>_xlfn.IFNA(IF(OR(ISBLANK(TAB_CS[[#This Row],[Level]]),TAB_CS[[#This Row],[Level]]=""),,VLOOKUP(TAB_CS[[#This Row],[Profile]],TAB_prix[],2+TAB_CS[[#This Row],[Level]],FALSE)),)</f>
        <v>621.39</v>
      </c>
      <c r="U31" s="13">
        <v>93</v>
      </c>
      <c r="V31" s="189">
        <f>IF(OR(ISBLANK(TAB_CS[[#This Row],[Commited days]]),TAB_CS[[#This Row],[Commited days]]=0),,TAB_CS[[#This Row],[Commited days]]*TAB_CS[[#This Row],[Profile in €]])</f>
        <v>57789.27</v>
      </c>
      <c r="W31" s="127">
        <f>SUM(TAB_CS[[#This Row],[F]:[P+1]])-TAB_CS[[#This Row],[P+1]]</f>
        <v>93</v>
      </c>
      <c r="X31" s="189">
        <f>IF(OR(ISBLANK(TAB_CS[[#This Row],[Producted days]]),TAB_CS[[#This Row],[Producted days]]=0),,TAB_CS[[#This Row],[Producted days]]*TAB_CS[[#This Row],[Profile in €]])</f>
        <v>57789.27</v>
      </c>
      <c r="Y31" s="188">
        <f>TAB_CS[[#This Row],[Commited days]]-TAB_CS[[#This Row],[Producted days]]</f>
        <v>0</v>
      </c>
      <c r="Z31" s="189">
        <f>IF(OR(ISBLANK(TAB_CS[[#This Row],[Remaining days]]),TAB_CS[[#This Row],[Remaining days]]=0),,TAB_CS[[#This Row],[Remaining days]]*TAB_CS[[#This Row],[Profile in €]])</f>
        <v>0</v>
      </c>
      <c r="AA31" s="187">
        <f>SUM(TAB_CS[[#This Row],[P+1]:[FP]])</f>
        <v>0</v>
      </c>
      <c r="AB31" s="10">
        <f>IF(OR(ISBLANK(TAB_CS[[#This Row],[Expected days]]),TAB_CS[[#This Row],[Expected days]]=0),,TAB_CS[[#This Row],[Expected days]]*TAB_CS[[#This Row],[Profile in €]])</f>
        <v>0</v>
      </c>
      <c r="AC31" s="10" t="str">
        <f>CONCATENATE(TAB_CS[[#This Row],[DG]],TAB_CS[[#This Row],[Company]])</f>
        <v>RTD.I.3EDDA</v>
      </c>
      <c r="AD31" s="144"/>
      <c r="AE31" s="150"/>
      <c r="AF31" s="151"/>
      <c r="AG31" s="151"/>
      <c r="AH31" s="151"/>
      <c r="AI31" s="150"/>
      <c r="AJ31" s="151"/>
      <c r="AK31" s="156"/>
      <c r="AL31" s="156"/>
      <c r="AM31" s="150"/>
      <c r="AN31" s="150"/>
      <c r="AO31" s="150"/>
      <c r="AP31" s="150"/>
      <c r="AQ31" s="150"/>
      <c r="AR31" s="351">
        <v>2</v>
      </c>
      <c r="AS31" s="351">
        <v>22</v>
      </c>
      <c r="AT31" s="351">
        <v>20</v>
      </c>
      <c r="AU31" s="351">
        <v>22</v>
      </c>
      <c r="AV31" s="351">
        <v>18</v>
      </c>
      <c r="AW31" s="351">
        <v>9</v>
      </c>
      <c r="AX31" s="643"/>
      <c r="AY31" s="643"/>
      <c r="AZ31" s="643"/>
      <c r="BA31" s="643"/>
      <c r="BB31" s="643"/>
      <c r="BC31" s="643"/>
      <c r="BD31" s="643"/>
      <c r="BE31" s="643"/>
      <c r="BF31" s="643"/>
      <c r="BG31" s="643"/>
      <c r="BH31" s="643"/>
      <c r="BI31" s="173"/>
      <c r="BJ31" s="643"/>
      <c r="BK31" s="643"/>
      <c r="BL31" s="643"/>
      <c r="BM31" s="173"/>
      <c r="BN31" s="643"/>
      <c r="BO31" s="643"/>
      <c r="BP31" s="643"/>
      <c r="BQ31" s="643"/>
      <c r="BR31" s="643"/>
      <c r="BS31" s="643"/>
      <c r="BT31" s="643"/>
      <c r="BU31" s="643"/>
      <c r="BV31" s="643"/>
      <c r="BW31" s="643"/>
      <c r="BX31" s="643"/>
      <c r="BY31" s="643"/>
      <c r="BZ31" s="223"/>
    </row>
    <row r="32" spans="1:78" ht="12.75" customHeight="1" x14ac:dyDescent="0.3">
      <c r="A32" s="1">
        <f>IF(ISBLANK(TAB_CS[[#This Row],[Reference]]),"",INDEX(TAB_Offres[ID],MATCH(TAB_CS[[#This Row],[Reference]],TAB_Offres[Reference],0)))</f>
        <v>28</v>
      </c>
      <c r="B32" s="26" t="s">
        <v>305</v>
      </c>
      <c r="C32" s="150" t="s">
        <v>5625</v>
      </c>
      <c r="D32" s="1" t="str">
        <f>IF(ISBLANK(TAB_CS[[#This Row],[Reference]]),"",VLOOKUP(TAB_CS[[#This Row],[ID]],TAB_Offres[],2,FALSE))</f>
        <v>Lot 1</v>
      </c>
      <c r="E32" s="1" t="s">
        <v>5918</v>
      </c>
      <c r="F32" s="26">
        <f>_xlfn.IFNA(IF(ISBLANK(TAB_CS[[#This Row],[Reference]]),"",VLOOKUP(TAB_CS[[#This Row],[Reference]],TAB_Offres[[Reference]:[Modification Request]],COLUMNS(TAB_Offres[[Reference]:[Modification Request]]),FALSE)),)</f>
        <v>0</v>
      </c>
      <c r="G32" s="150" t="str">
        <f>IF(ISBLANK(TAB_CS[[#This Row],[Reference]]),"",INDEX(TAB_Offres[Institution/agency],MATCH(TAB_CS[[#This Row],[Reference]],TAB_Offres[Reference],0)))</f>
        <v>EC</v>
      </c>
      <c r="H32" s="150" t="str">
        <f>IF(ISBLANK(TAB_CS[[#This Row],[Reference]]),"",INDEX(TAB_Offres[DG],MATCH(TAB_CS[[#This Row],[Reference]],TAB_Offres[Reference],0)))</f>
        <v>RTD.I.3</v>
      </c>
      <c r="I32" t="str">
        <f>IF(ISBLANK(TAB_CS[[#This Row],[Reference]]),"",INDEX(TAB_Offres[Offer description],MATCH(TAB_CS[[#This Row],[Reference]],TAB_Offres[Reference],0)))</f>
        <v>IT Architecture, Operations and Common Components</v>
      </c>
      <c r="J32" s="155">
        <f>_xlfn.IFNA(IF(ISBLANK(TAB_CS[[#This Row],[Ressource]]),,VLOOKUP(TAB_CS[[#This Row],[Reference]],TAB_Offres[[Reference]:[CS signature date]],COLUMNS(TAB_Offres[[Reference]:[CS signature date]]),FALSE)),"")</f>
        <v>44879</v>
      </c>
      <c r="K32" s="155">
        <f>_xlfn.IFNA(IF(ISBLANK(TAB_CS[[#This Row],[Ressource]]),,VLOOKUP(TAB_CS[[#This Row],[Reference]],TAB_Offres[[Reference]:[CS start date]],COLUMNS(TAB_Offres[[Reference]:[CS start date]]),FALSE)),"")</f>
        <v>44879</v>
      </c>
      <c r="L32" s="155">
        <f>_xlfn.IFNA(IF(ISBLANK(TAB_CS[[#This Row],[Ressource]]),,VLOOKUP(TAB_CS[[#This Row],[Reference]],TAB_Offres[[Reference]:[CS end date]],COLUMNS(TAB_Offres[[Reference]:[CS end date]]),FALSE)),"")</f>
        <v>45230</v>
      </c>
      <c r="M32" s="1" t="str">
        <f>_xlfn.IFNA(IF(ISBLANK(TAB_CS[[#This Row],[Ressource]]),,VLOOKUP(TAB_CS[[#This Row],[Reference]],TAB_Offres[[Reference]:[CS State]],COLUMNS(TAB_Offres[[Reference]:[CS State]]),FALSE)),"")</f>
        <v>CLOSE</v>
      </c>
      <c r="N32" s="26" t="str">
        <f>VLOOKUP(TAB_CS[[#This Row],[Reference]],TAB_Offres[[Reference]:[Ressource 1]],25,FALSE)</f>
        <v>SANTILLI, Antonio</v>
      </c>
      <c r="O32" s="1" t="str">
        <f>_xlfn.IFNA(IF(ISBLANK(TAB_CS[[#This Row],[Ressource]]),,VLOOKUP(TAB_CS[[#This Row],[Reference]],TAB_Offres[[Reference]:[Company]],COLUMNS(TAB_Offres[[Reference]:[Company]]),FALSE)),"")</f>
        <v>EDDA</v>
      </c>
      <c r="P32" s="1" t="str">
        <f>_xlfn.CONCAT(TAB_CS[[#This Row],[Ressource]],TAB_CS[[#This Row],[Profile in €]])</f>
        <v>SANTILLI, Antonio621,39</v>
      </c>
      <c r="Q32" s="1" t="str">
        <f>_xlfn.CONCAT(TAB_CS[[#This Row],[Company]],TAB_CS[[#This Row],[Business perimeter]])</f>
        <v>EDDABL</v>
      </c>
      <c r="R32" s="150" t="str">
        <f>_xlfn.IFNA(IF(ISBLANK(TAB_CS[[#This Row],[Ressource]]),"",VLOOKUP(TAB_CS[[#This Row],[Reference]],TAB_Offres[[Reference]:[Profile]],COLUMNS(TAB_Offres[[Reference]:[Profile]]),FALSE)),"")</f>
        <v>Full-stack developer</v>
      </c>
      <c r="S32" s="1">
        <f>_xlfn.IFNA(IF(ISBLANK(TAB_CS[[#This Row],[Ressource]]),"",VLOOKUP(TAB_CS[[#This Row],[Reference]],TAB_Offres[[Reference]:[Level]],COLUMNS(TAB_Offres[[Reference]:[Level]]),FALSE)),"")</f>
        <v>9</v>
      </c>
      <c r="T32" s="127">
        <f>_xlfn.IFNA(IF(OR(ISBLANK(TAB_CS[[#This Row],[Level]]),TAB_CS[[#This Row],[Level]]=""),,VLOOKUP(TAB_CS[[#This Row],[Profile]],TAB_prix[],2+TAB_CS[[#This Row],[Level]],FALSE)),)</f>
        <v>621.39</v>
      </c>
      <c r="U32" s="13">
        <v>67</v>
      </c>
      <c r="V32" s="189">
        <f>IF(OR(ISBLANK(TAB_CS[[#This Row],[Commited days]]),TAB_CS[[#This Row],[Commited days]]=0),,TAB_CS[[#This Row],[Commited days]]*TAB_CS[[#This Row],[Profile in €]])</f>
        <v>41633.129999999997</v>
      </c>
      <c r="W32" s="127">
        <f>SUM(TAB_CS[[#This Row],[F]:[P+1]])-TAB_CS[[#This Row],[P+1]]</f>
        <v>67</v>
      </c>
      <c r="X32" s="189">
        <f>IF(OR(ISBLANK(TAB_CS[[#This Row],[Producted days]]),TAB_CS[[#This Row],[Producted days]]=0),,TAB_CS[[#This Row],[Producted days]]*TAB_CS[[#This Row],[Profile in €]])</f>
        <v>41633.129999999997</v>
      </c>
      <c r="Y32" s="188">
        <f>TAB_CS[[#This Row],[Commited days]]-TAB_CS[[#This Row],[Producted days]]</f>
        <v>0</v>
      </c>
      <c r="Z32" s="189">
        <f>IF(OR(ISBLANK(TAB_CS[[#This Row],[Remaining days]]),TAB_CS[[#This Row],[Remaining days]]=0),,TAB_CS[[#This Row],[Remaining days]]*TAB_CS[[#This Row],[Profile in €]])</f>
        <v>0</v>
      </c>
      <c r="AA32" s="187">
        <f>SUM(TAB_CS[[#This Row],[P+1]:[FP]])</f>
        <v>0</v>
      </c>
      <c r="AB32" s="10">
        <f>IF(OR(ISBLANK(TAB_CS[[#This Row],[Expected days]]),TAB_CS[[#This Row],[Expected days]]=0),,TAB_CS[[#This Row],[Expected days]]*TAB_CS[[#This Row],[Profile in €]])</f>
        <v>0</v>
      </c>
      <c r="AC32" s="10" t="str">
        <f>CONCATENATE(TAB_CS[[#This Row],[DG]],TAB_CS[[#This Row],[Company]])</f>
        <v>RTD.I.3EDDA</v>
      </c>
      <c r="AD32" s="144"/>
      <c r="AE32" s="150"/>
      <c r="AF32" s="151"/>
      <c r="AG32" s="151"/>
      <c r="AH32" s="151"/>
      <c r="AI32" s="150"/>
      <c r="AJ32" s="151"/>
      <c r="AK32" s="156"/>
      <c r="AL32" s="351">
        <v>12</v>
      </c>
      <c r="AM32" s="351">
        <v>16</v>
      </c>
      <c r="AN32" s="351">
        <v>21</v>
      </c>
      <c r="AO32" s="351">
        <v>18</v>
      </c>
      <c r="AP32" s="643"/>
      <c r="AQ32" s="643"/>
      <c r="AR32" s="643"/>
      <c r="AS32" s="643"/>
      <c r="AT32" s="643"/>
      <c r="AU32" s="643"/>
      <c r="AV32" s="643"/>
      <c r="AW32" s="643"/>
      <c r="AX32" s="643"/>
      <c r="AY32" s="643"/>
      <c r="AZ32" s="643"/>
      <c r="BA32" s="643"/>
      <c r="BB32" s="643"/>
      <c r="BC32" s="643"/>
      <c r="BD32" s="643"/>
      <c r="BE32" s="643"/>
      <c r="BF32" s="643"/>
      <c r="BG32" s="643"/>
      <c r="BH32" s="643"/>
      <c r="BI32" s="173"/>
      <c r="BJ32" s="643"/>
      <c r="BK32" s="643"/>
      <c r="BL32" s="643"/>
      <c r="BM32" s="173"/>
      <c r="BN32" s="643"/>
      <c r="BO32" s="643"/>
      <c r="BP32" s="643"/>
      <c r="BQ32" s="643"/>
      <c r="BR32" s="643"/>
      <c r="BS32" s="643"/>
      <c r="BT32" s="643"/>
      <c r="BU32" s="643"/>
      <c r="BV32" s="643"/>
      <c r="BW32" s="643"/>
      <c r="BX32" s="643"/>
      <c r="BY32" s="643"/>
      <c r="BZ32" s="223"/>
    </row>
    <row r="33" spans="1:78" ht="12.75" customHeight="1" x14ac:dyDescent="0.3">
      <c r="A33" s="1">
        <f>IF(ISBLANK(TAB_CS[[#This Row],[Reference]]),"",INDEX(TAB_Offres[ID],MATCH(TAB_CS[[#This Row],[Reference]],TAB_Offres[Reference],0)))</f>
        <v>29</v>
      </c>
      <c r="B33" s="26" t="s">
        <v>260</v>
      </c>
      <c r="C33" s="150" t="s">
        <v>5626</v>
      </c>
      <c r="D33" s="1" t="str">
        <f>IF(ISBLANK(TAB_CS[[#This Row],[Reference]]),"",VLOOKUP(TAB_CS[[#This Row],[ID]],TAB_Offres[],2,FALSE))</f>
        <v>Lot 2</v>
      </c>
      <c r="E33" s="1" t="s">
        <v>5918</v>
      </c>
      <c r="F33" s="26">
        <f>_xlfn.IFNA(IF(ISBLANK(TAB_CS[[#This Row],[Reference]]),"",VLOOKUP(TAB_CS[[#This Row],[Reference]],TAB_Offres[[Reference]:[Modification Request]],COLUMNS(TAB_Offres[[Reference]:[Modification Request]]),FALSE)),)</f>
        <v>0</v>
      </c>
      <c r="G33" s="150" t="str">
        <f>IF(ISBLANK(TAB_CS[[#This Row],[Reference]]),"",INDEX(TAB_Offres[Institution/agency],MATCH(TAB_CS[[#This Row],[Reference]],TAB_Offres[Reference],0)))</f>
        <v>EC</v>
      </c>
      <c r="H33" s="150" t="str">
        <f>IF(ISBLANK(TAB_CS[[#This Row],[Reference]]),"",INDEX(TAB_Offres[DG],MATCH(TAB_CS[[#This Row],[Reference]],TAB_Offres[Reference],0)))</f>
        <v>REGIO</v>
      </c>
      <c r="I33" t="str">
        <f>IF(ISBLANK(TAB_CS[[#This Row],[Reference]]),"",INDEX(TAB_Offres[Offer description],MATCH(TAB_CS[[#This Row],[Reference]],TAB_Offres[Reference],0)))</f>
        <v>Data-warehouse &amp; report. devel</v>
      </c>
      <c r="J33" s="155">
        <f>_xlfn.IFNA(IF(ISBLANK(TAB_CS[[#This Row],[Ressource]]),,VLOOKUP(TAB_CS[[#This Row],[Reference]],TAB_Offres[[Reference]:[CS signature date]],COLUMNS(TAB_Offres[[Reference]:[CS signature date]]),FALSE)),"")</f>
        <v>44888</v>
      </c>
      <c r="K33" s="155">
        <f>_xlfn.IFNA(IF(ISBLANK(TAB_CS[[#This Row],[Ressource]]),,VLOOKUP(TAB_CS[[#This Row],[Reference]],TAB_Offres[[Reference]:[CS start date]],COLUMNS(TAB_Offres[[Reference]:[CS start date]]),FALSE)),"")</f>
        <v>44888</v>
      </c>
      <c r="L33" s="155">
        <f>_xlfn.IFNA(IF(ISBLANK(TAB_CS[[#This Row],[Ressource]]),,VLOOKUP(TAB_CS[[#This Row],[Reference]],TAB_Offres[[Reference]:[CS end date]],COLUMNS(TAB_Offres[[Reference]:[CS end date]]),FALSE)),"")</f>
        <v>45107</v>
      </c>
      <c r="M33" s="1" t="str">
        <f>_xlfn.IFNA(IF(ISBLANK(TAB_CS[[#This Row],[Ressource]]),,VLOOKUP(TAB_CS[[#This Row],[Reference]],TAB_Offres[[Reference]:[CS State]],COLUMNS(TAB_Offres[[Reference]:[CS State]]),FALSE)),"")</f>
        <v>CLOSE</v>
      </c>
      <c r="N33" s="26" t="str">
        <f>VLOOKUP(TAB_CS[[#This Row],[Reference]],TAB_Offres[[Reference]:[Ressource 1]],25,FALSE)</f>
        <v>MASTRANDREA, Barbara Maria</v>
      </c>
      <c r="O33" s="1" t="str">
        <f>_xlfn.IFNA(IF(ISBLANK(TAB_CS[[#This Row],[Ressource]]),,VLOOKUP(TAB_CS[[#This Row],[Reference]],TAB_Offres[[Reference]:[Company]],COLUMNS(TAB_Offres[[Reference]:[Company]]),FALSE)),"")</f>
        <v>TALAN</v>
      </c>
      <c r="P33" s="1" t="str">
        <f>_xlfn.CONCAT(TAB_CS[[#This Row],[Ressource]],TAB_CS[[#This Row],[Profile in €]])</f>
        <v>MASTRANDREA, Barbara Maria469,07</v>
      </c>
      <c r="Q33" s="1" t="str">
        <f>_xlfn.CONCAT(TAB_CS[[#This Row],[Company]],TAB_CS[[#This Row],[Business perimeter]])</f>
        <v>TALANBL</v>
      </c>
      <c r="R33" s="150" t="str">
        <f>_xlfn.IFNA(IF(ISBLANK(TAB_CS[[#This Row],[Ressource]]),"",VLOOKUP(TAB_CS[[#This Row],[Reference]],TAB_Offres[[Reference]:[Profile]],COLUMNS(TAB_Offres[[Reference]:[Profile]]),FALSE)),"")</f>
        <v>Data warehouse and reporting developer-FAR</v>
      </c>
      <c r="S33" s="1">
        <f>_xlfn.IFNA(IF(ISBLANK(TAB_CS[[#This Row],[Ressource]]),"",VLOOKUP(TAB_CS[[#This Row],[Reference]],TAB_Offres[[Reference]:[Level]],COLUMNS(TAB_Offres[[Reference]:[Level]]),FALSE)),"")</f>
        <v>8</v>
      </c>
      <c r="T33" s="127">
        <f>_xlfn.IFNA(IF(OR(ISBLANK(TAB_CS[[#This Row],[Level]]),TAB_CS[[#This Row],[Level]]=""),,VLOOKUP(TAB_CS[[#This Row],[Profile]],TAB_prix[],2+TAB_CS[[#This Row],[Level]],FALSE)),)</f>
        <v>469.07</v>
      </c>
      <c r="U33" s="13">
        <v>107</v>
      </c>
      <c r="V33" s="189">
        <f>IF(OR(ISBLANK(TAB_CS[[#This Row],[Commited days]]),TAB_CS[[#This Row],[Commited days]]=0),,TAB_CS[[#This Row],[Commited days]]*TAB_CS[[#This Row],[Profile in €]])</f>
        <v>50190.49</v>
      </c>
      <c r="W33" s="127">
        <f>SUM(TAB_CS[[#This Row],[F]:[P+1]])-TAB_CS[[#This Row],[P+1]]</f>
        <v>107</v>
      </c>
      <c r="X33" s="189">
        <f>IF(OR(ISBLANK(TAB_CS[[#This Row],[Producted days]]),TAB_CS[[#This Row],[Producted days]]=0),,TAB_CS[[#This Row],[Producted days]]*TAB_CS[[#This Row],[Profile in €]])</f>
        <v>50190.49</v>
      </c>
      <c r="Y33" s="188">
        <f>TAB_CS[[#This Row],[Commited days]]-TAB_CS[[#This Row],[Producted days]]</f>
        <v>0</v>
      </c>
      <c r="Z33" s="189">
        <f>IF(OR(ISBLANK(TAB_CS[[#This Row],[Remaining days]]),TAB_CS[[#This Row],[Remaining days]]=0),,TAB_CS[[#This Row],[Remaining days]]*TAB_CS[[#This Row],[Profile in €]])</f>
        <v>0</v>
      </c>
      <c r="AA33" s="187">
        <f>SUM(TAB_CS[[#This Row],[P+1]:[FP]])</f>
        <v>0</v>
      </c>
      <c r="AB33" s="10">
        <f>IF(OR(ISBLANK(TAB_CS[[#This Row],[Expected days]]),TAB_CS[[#This Row],[Expected days]]=0),,TAB_CS[[#This Row],[Expected days]]*TAB_CS[[#This Row],[Profile in €]])</f>
        <v>0</v>
      </c>
      <c r="AC33" s="10" t="str">
        <f>CONCATENATE(TAB_CS[[#This Row],[DG]],TAB_CS[[#This Row],[Company]])</f>
        <v>REGIOTALAN</v>
      </c>
      <c r="AD33" s="144"/>
      <c r="AE33" s="150"/>
      <c r="AF33" s="151"/>
      <c r="AG33" s="151"/>
      <c r="AH33" s="151"/>
      <c r="AI33" s="150"/>
      <c r="AJ33" s="151"/>
      <c r="AK33" s="156"/>
      <c r="AL33" s="156"/>
      <c r="AM33" s="351">
        <v>17</v>
      </c>
      <c r="AN33" s="351">
        <v>18.5</v>
      </c>
      <c r="AO33" s="351">
        <v>18.5</v>
      </c>
      <c r="AP33" s="351">
        <v>20</v>
      </c>
      <c r="AQ33" s="351">
        <v>19</v>
      </c>
      <c r="AR33" s="351">
        <v>14</v>
      </c>
      <c r="AS33" s="643"/>
      <c r="AT33" s="643"/>
      <c r="AU33" s="643"/>
      <c r="AV33" s="643"/>
      <c r="AW33" s="643"/>
      <c r="AX33" s="643"/>
      <c r="AY33" s="643"/>
      <c r="AZ33" s="643"/>
      <c r="BA33" s="643"/>
      <c r="BB33" s="643"/>
      <c r="BC33" s="643"/>
      <c r="BD33" s="643"/>
      <c r="BE33" s="643"/>
      <c r="BF33" s="643"/>
      <c r="BG33" s="643"/>
      <c r="BH33" s="643"/>
      <c r="BI33" s="173"/>
      <c r="BJ33" s="643"/>
      <c r="BK33" s="643"/>
      <c r="BL33" s="643"/>
      <c r="BM33" s="173"/>
      <c r="BN33" s="643"/>
      <c r="BO33" s="643"/>
      <c r="BP33" s="643"/>
      <c r="BQ33" s="643"/>
      <c r="BR33" s="643"/>
      <c r="BS33" s="643"/>
      <c r="BT33" s="643"/>
      <c r="BU33" s="643"/>
      <c r="BV33" s="643"/>
      <c r="BW33" s="643"/>
      <c r="BX33" s="643"/>
      <c r="BY33" s="643"/>
      <c r="BZ33" s="223"/>
    </row>
    <row r="34" spans="1:78" s="161" customFormat="1" ht="12.75" customHeight="1" x14ac:dyDescent="0.3">
      <c r="A34" s="1">
        <f>IF(ISBLANK(TAB_CS[[#This Row],[Reference]]),"",INDEX(TAB_Offres[ID],MATCH(TAB_CS[[#This Row],[Reference]],TAB_Offres[Reference],0)))</f>
        <v>30</v>
      </c>
      <c r="B34" s="26" t="s">
        <v>307</v>
      </c>
      <c r="C34" s="150" t="s">
        <v>5627</v>
      </c>
      <c r="D34" s="1" t="str">
        <f>IF(ISBLANK(TAB_CS[[#This Row],[Reference]]),"",VLOOKUP(TAB_CS[[#This Row],[ID]],TAB_Offres[],2,FALSE))</f>
        <v>Lot 2</v>
      </c>
      <c r="E34" s="1" t="s">
        <v>5918</v>
      </c>
      <c r="F34" s="26">
        <f>_xlfn.IFNA(IF(ISBLANK(TAB_CS[[#This Row],[Reference]]),"",VLOOKUP(TAB_CS[[#This Row],[Reference]],TAB_Offres[[Reference]:[Modification Request]],COLUMNS(TAB_Offres[[Reference]:[Modification Request]]),FALSE)),)</f>
        <v>0</v>
      </c>
      <c r="G34" s="150" t="str">
        <f>IF(ISBLANK(TAB_CS[[#This Row],[Reference]]),"",INDEX(TAB_Offres[Institution/agency],MATCH(TAB_CS[[#This Row],[Reference]],TAB_Offres[Reference],0)))</f>
        <v>EC</v>
      </c>
      <c r="H34" s="150" t="str">
        <f>IF(ISBLANK(TAB_CS[[#This Row],[Reference]]),"",INDEX(TAB_Offres[DG],MATCH(TAB_CS[[#This Row],[Reference]],TAB_Offres[Reference],0)))</f>
        <v>DIGIT.B.4</v>
      </c>
      <c r="I34" t="str">
        <f>IF(ISBLANK(TAB_CS[[#This Row],[Reference]]),"",INDEX(TAB_Offres[Offer description],MATCH(TAB_CS[[#This Row],[Reference]],TAB_Offres[Reference],0)))</f>
        <v>Project manager (PM) level 9</v>
      </c>
      <c r="J34" s="155">
        <f>_xlfn.IFNA(IF(ISBLANK(TAB_CS[[#This Row],[Ressource]]),,VLOOKUP(TAB_CS[[#This Row],[Reference]],TAB_Offres[[Reference]:[CS signature date]],COLUMNS(TAB_Offres[[Reference]:[CS signature date]]),FALSE)),"")</f>
        <v>44883</v>
      </c>
      <c r="K34" s="155">
        <f>_xlfn.IFNA(IF(ISBLANK(TAB_CS[[#This Row],[Ressource]]),,VLOOKUP(TAB_CS[[#This Row],[Reference]],TAB_Offres[[Reference]:[CS start date]],COLUMNS(TAB_Offres[[Reference]:[CS start date]]),FALSE)),"")</f>
        <v>44883</v>
      </c>
      <c r="L34" s="155">
        <f>_xlfn.IFNA(IF(ISBLANK(TAB_CS[[#This Row],[Ressource]]),,VLOOKUP(TAB_CS[[#This Row],[Reference]],TAB_Offres[[Reference]:[CS end date]],COLUMNS(TAB_Offres[[Reference]:[CS end date]]),FALSE)),"")</f>
        <v>45199</v>
      </c>
      <c r="M34" s="1" t="str">
        <f>_xlfn.IFNA(IF(ISBLANK(TAB_CS[[#This Row],[Ressource]]),,VLOOKUP(TAB_CS[[#This Row],[Reference]],TAB_Offres[[Reference]:[CS State]],COLUMNS(TAB_Offres[[Reference]:[CS State]]),FALSE)),"")</f>
        <v>CLOSE</v>
      </c>
      <c r="N34" s="26" t="str">
        <f>VLOOKUP(TAB_CS[[#This Row],[Reference]],TAB_Offres[[Reference]:[Ressource 1]],25,FALSE)</f>
        <v>OLLINGER, Yannick</v>
      </c>
      <c r="O34" s="1" t="str">
        <f>_xlfn.IFNA(IF(ISBLANK(TAB_CS[[#This Row],[Ressource]]),,VLOOKUP(TAB_CS[[#This Row],[Reference]],TAB_Offres[[Reference]:[Company]],COLUMNS(TAB_Offres[[Reference]:[Company]]),FALSE)),"")</f>
        <v>CGI LUX</v>
      </c>
      <c r="P34" s="1" t="str">
        <f>_xlfn.CONCAT(TAB_CS[[#This Row],[Ressource]],TAB_CS[[#This Row],[Profile in €]])</f>
        <v>OLLINGER, Yannick753,77</v>
      </c>
      <c r="Q34" s="1" t="str">
        <f>_xlfn.CONCAT(TAB_CS[[#This Row],[Company]],TAB_CS[[#This Row],[Business perimeter]])</f>
        <v>CGI LUXBL</v>
      </c>
      <c r="R34" s="150" t="str">
        <f>_xlfn.IFNA(IF(ISBLANK(TAB_CS[[#This Row],[Ressource]]),"",VLOOKUP(TAB_CS[[#This Row],[Reference]],TAB_Offres[[Reference]:[Profile]],COLUMNS(TAB_Offres[[Reference]:[Profile]]),FALSE)),"")</f>
        <v>Project Manager</v>
      </c>
      <c r="S34" s="1">
        <f>_xlfn.IFNA(IF(ISBLANK(TAB_CS[[#This Row],[Ressource]]),"",VLOOKUP(TAB_CS[[#This Row],[Reference]],TAB_Offres[[Reference]:[Level]],COLUMNS(TAB_Offres[[Reference]:[Level]]),FALSE)),"")</f>
        <v>9</v>
      </c>
      <c r="T34" s="127">
        <f>_xlfn.IFNA(IF(OR(ISBLANK(TAB_CS[[#This Row],[Level]]),TAB_CS[[#This Row],[Level]]=""),,VLOOKUP(TAB_CS[[#This Row],[Profile]],TAB_prix[],2+TAB_CS[[#This Row],[Level]],FALSE)),)</f>
        <v>753.77</v>
      </c>
      <c r="U34" s="13">
        <v>97</v>
      </c>
      <c r="V34" s="189">
        <f>IF(OR(ISBLANK(TAB_CS[[#This Row],[Commited days]]),TAB_CS[[#This Row],[Commited days]]=0),,TAB_CS[[#This Row],[Commited days]]*TAB_CS[[#This Row],[Profile in €]])</f>
        <v>73115.69</v>
      </c>
      <c r="W34" s="127">
        <f>SUM(TAB_CS[[#This Row],[F]:[P+1]])-TAB_CS[[#This Row],[P+1]]</f>
        <v>97</v>
      </c>
      <c r="X34" s="189">
        <f>IF(OR(ISBLANK(TAB_CS[[#This Row],[Producted days]]),TAB_CS[[#This Row],[Producted days]]=0),,TAB_CS[[#This Row],[Producted days]]*TAB_CS[[#This Row],[Profile in €]])</f>
        <v>73115.69</v>
      </c>
      <c r="Y34" s="188">
        <f>TAB_CS[[#This Row],[Commited days]]-TAB_CS[[#This Row],[Producted days]]</f>
        <v>0</v>
      </c>
      <c r="Z34" s="189">
        <f>IF(OR(ISBLANK(TAB_CS[[#This Row],[Remaining days]]),TAB_CS[[#This Row],[Remaining days]]=0),,TAB_CS[[#This Row],[Remaining days]]*TAB_CS[[#This Row],[Profile in €]])</f>
        <v>0</v>
      </c>
      <c r="AA34" s="187">
        <f>SUM(TAB_CS[[#This Row],[P+1]:[FP]])</f>
        <v>0</v>
      </c>
      <c r="AB34" s="10">
        <f>IF(OR(ISBLANK(TAB_CS[[#This Row],[Expected days]]),TAB_CS[[#This Row],[Expected days]]=0),,TAB_CS[[#This Row],[Expected days]]*TAB_CS[[#This Row],[Profile in €]])</f>
        <v>0</v>
      </c>
      <c r="AC34" s="10" t="str">
        <f>CONCATENATE(TAB_CS[[#This Row],[DG]],TAB_CS[[#This Row],[Company]])</f>
        <v>DIGIT.B.4CGI LUX</v>
      </c>
      <c r="AD34" s="144"/>
      <c r="AE34" s="150"/>
      <c r="AF34" s="151"/>
      <c r="AG34" s="151"/>
      <c r="AH34" s="151"/>
      <c r="AI34" s="150"/>
      <c r="AJ34" s="151"/>
      <c r="AK34" s="156"/>
      <c r="AL34" s="351">
        <v>3</v>
      </c>
      <c r="AM34" s="351">
        <v>21</v>
      </c>
      <c r="AN34" s="351">
        <v>20.5</v>
      </c>
      <c r="AO34" s="351">
        <v>20</v>
      </c>
      <c r="AP34" s="351">
        <v>23</v>
      </c>
      <c r="AQ34" s="351">
        <v>9.5</v>
      </c>
      <c r="AR34" s="643"/>
      <c r="AS34" s="643"/>
      <c r="AT34" s="643"/>
      <c r="AU34" s="643"/>
      <c r="AV34" s="643"/>
      <c r="AW34" s="643"/>
      <c r="AX34" s="643"/>
      <c r="AY34" s="643"/>
      <c r="AZ34" s="643"/>
      <c r="BA34" s="643"/>
      <c r="BB34" s="643"/>
      <c r="BC34" s="643"/>
      <c r="BD34" s="643"/>
      <c r="BE34" s="643"/>
      <c r="BF34" s="643"/>
      <c r="BG34" s="643"/>
      <c r="BH34" s="643"/>
      <c r="BI34" s="173"/>
      <c r="BJ34" s="643"/>
      <c r="BK34" s="643"/>
      <c r="BL34" s="643"/>
      <c r="BM34" s="173"/>
      <c r="BN34" s="643"/>
      <c r="BO34" s="643"/>
      <c r="BP34" s="643"/>
      <c r="BQ34" s="643"/>
      <c r="BR34" s="643"/>
      <c r="BS34" s="643"/>
      <c r="BT34" s="643"/>
      <c r="BU34" s="643"/>
      <c r="BV34" s="643"/>
      <c r="BW34" s="643"/>
      <c r="BX34" s="643"/>
      <c r="BY34" s="643"/>
      <c r="BZ34" s="223"/>
    </row>
    <row r="35" spans="1:78" ht="12.75" customHeight="1" x14ac:dyDescent="0.3">
      <c r="A35" s="1">
        <f>IF(ISBLANK(TAB_CS[[#This Row],[Reference]]),"",INDEX(TAB_Offres[ID],MATCH(TAB_CS[[#This Row],[Reference]],TAB_Offres[Reference],0)))</f>
        <v>31</v>
      </c>
      <c r="B35" s="26" t="s">
        <v>262</v>
      </c>
      <c r="C35" s="150" t="s">
        <v>5628</v>
      </c>
      <c r="D35" s="1" t="str">
        <f>IF(ISBLANK(TAB_CS[[#This Row],[Reference]]),"",VLOOKUP(TAB_CS[[#This Row],[ID]],TAB_Offres[],2,FALSE))</f>
        <v>Lot 2</v>
      </c>
      <c r="E35" s="1" t="s">
        <v>5918</v>
      </c>
      <c r="F35" s="26">
        <f>_xlfn.IFNA(IF(ISBLANK(TAB_CS[[#This Row],[Reference]]),"",VLOOKUP(TAB_CS[[#This Row],[Reference]],TAB_Offres[[Reference]:[Modification Request]],COLUMNS(TAB_Offres[[Reference]:[Modification Request]]),FALSE)),)</f>
        <v>0</v>
      </c>
      <c r="G35" s="150" t="str">
        <f>IF(ISBLANK(TAB_CS[[#This Row],[Reference]]),"",INDEX(TAB_Offres[Institution/agency],MATCH(TAB_CS[[#This Row],[Reference]],TAB_Offres[Reference],0)))</f>
        <v>EC</v>
      </c>
      <c r="H35" s="150" t="str">
        <f>IF(ISBLANK(TAB_CS[[#This Row],[Reference]]),"",INDEX(TAB_Offres[DG],MATCH(TAB_CS[[#This Row],[Reference]],TAB_Offres[Reference],0)))</f>
        <v>DIGIT.B.4</v>
      </c>
      <c r="I35" t="str">
        <f>IF(ISBLANK(TAB_CS[[#This Row],[Reference]]),"",INDEX(TAB_Offres[Offer description],MATCH(TAB_CS[[#This Row],[Reference]],TAB_Offres[Reference],0)))</f>
        <v>Project manager (PM) level 9</v>
      </c>
      <c r="J35" s="155">
        <f>_xlfn.IFNA(IF(ISBLANK(TAB_CS[[#This Row],[Ressource]]),,VLOOKUP(TAB_CS[[#This Row],[Reference]],TAB_Offres[[Reference]:[CS signature date]],COLUMNS(TAB_Offres[[Reference]:[CS signature date]]),FALSE)),"")</f>
        <v>44881</v>
      </c>
      <c r="K35" s="155">
        <f>_xlfn.IFNA(IF(ISBLANK(TAB_CS[[#This Row],[Ressource]]),,VLOOKUP(TAB_CS[[#This Row],[Reference]],TAB_Offres[[Reference]:[CS start date]],COLUMNS(TAB_Offres[[Reference]:[CS start date]]),FALSE)),"")</f>
        <v>44881</v>
      </c>
      <c r="L35" s="155">
        <f>_xlfn.IFNA(IF(ISBLANK(TAB_CS[[#This Row],[Ressource]]),,VLOOKUP(TAB_CS[[#This Row],[Reference]],TAB_Offres[[Reference]:[CS end date]],COLUMNS(TAB_Offres[[Reference]:[CS end date]]),FALSE)),"")</f>
        <v>45199</v>
      </c>
      <c r="M35" s="1" t="str">
        <f>_xlfn.IFNA(IF(ISBLANK(TAB_CS[[#This Row],[Ressource]]),,VLOOKUP(TAB_CS[[#This Row],[Reference]],TAB_Offres[[Reference]:[CS State]],COLUMNS(TAB_Offres[[Reference]:[CS State]]),FALSE)),"")</f>
        <v>CLOSE</v>
      </c>
      <c r="N35" s="26" t="str">
        <f>VLOOKUP(TAB_CS[[#This Row],[Reference]],TAB_Offres[[Reference]:[Ressource 1]],25,FALSE)</f>
        <v>WHYE, Gregory</v>
      </c>
      <c r="O35" s="1" t="str">
        <f>_xlfn.IFNA(IF(ISBLANK(TAB_CS[[#This Row],[Ressource]]),,VLOOKUP(TAB_CS[[#This Row],[Reference]],TAB_Offres[[Reference]:[Company]],COLUMNS(TAB_Offres[[Reference]:[Company]]),FALSE)),"")</f>
        <v>CGI LUX</v>
      </c>
      <c r="P35" s="1" t="str">
        <f>_xlfn.CONCAT(TAB_CS[[#This Row],[Ressource]],TAB_CS[[#This Row],[Profile in €]])</f>
        <v>WHYE, Gregory753,77</v>
      </c>
      <c r="Q35" s="1" t="str">
        <f>_xlfn.CONCAT(TAB_CS[[#This Row],[Company]],TAB_CS[[#This Row],[Business perimeter]])</f>
        <v>CGI LUXBL</v>
      </c>
      <c r="R35" s="150" t="str">
        <f>_xlfn.IFNA(IF(ISBLANK(TAB_CS[[#This Row],[Ressource]]),"",VLOOKUP(TAB_CS[[#This Row],[Reference]],TAB_Offres[[Reference]:[Profile]],COLUMNS(TAB_Offres[[Reference]:[Profile]]),FALSE)),"")</f>
        <v>Project Manager</v>
      </c>
      <c r="S35" s="1">
        <f>_xlfn.IFNA(IF(ISBLANK(TAB_CS[[#This Row],[Ressource]]),"",VLOOKUP(TAB_CS[[#This Row],[Reference]],TAB_Offres[[Reference]:[Level]],COLUMNS(TAB_Offres[[Reference]:[Level]]),FALSE)),"")</f>
        <v>9</v>
      </c>
      <c r="T35" s="127">
        <f>_xlfn.IFNA(IF(OR(ISBLANK(TAB_CS[[#This Row],[Level]]),TAB_CS[[#This Row],[Level]]=""),,VLOOKUP(TAB_CS[[#This Row],[Profile]],TAB_prix[],2+TAB_CS[[#This Row],[Level]],FALSE)),)</f>
        <v>753.77</v>
      </c>
      <c r="U35" s="13">
        <v>107</v>
      </c>
      <c r="V35" s="189">
        <f>IF(OR(ISBLANK(TAB_CS[[#This Row],[Commited days]]),TAB_CS[[#This Row],[Commited days]]=0),,TAB_CS[[#This Row],[Commited days]]*TAB_CS[[#This Row],[Profile in €]])</f>
        <v>80653.39</v>
      </c>
      <c r="W35" s="127">
        <f>SUM(TAB_CS[[#This Row],[F]:[P+1]])-TAB_CS[[#This Row],[P+1]]</f>
        <v>107</v>
      </c>
      <c r="X35" s="189">
        <f>IF(OR(ISBLANK(TAB_CS[[#This Row],[Producted days]]),TAB_CS[[#This Row],[Producted days]]=0),,TAB_CS[[#This Row],[Producted days]]*TAB_CS[[#This Row],[Profile in €]])</f>
        <v>80653.39</v>
      </c>
      <c r="Y35" s="188">
        <f>TAB_CS[[#This Row],[Commited days]]-TAB_CS[[#This Row],[Producted days]]</f>
        <v>0</v>
      </c>
      <c r="Z35" s="189">
        <f>IF(OR(ISBLANK(TAB_CS[[#This Row],[Remaining days]]),TAB_CS[[#This Row],[Remaining days]]=0),,TAB_CS[[#This Row],[Remaining days]]*TAB_CS[[#This Row],[Profile in €]])</f>
        <v>0</v>
      </c>
      <c r="AA35" s="187">
        <f>SUM(TAB_CS[[#This Row],[P+1]:[FP]])</f>
        <v>0</v>
      </c>
      <c r="AB35" s="10">
        <f>IF(OR(ISBLANK(TAB_CS[[#This Row],[Expected days]]),TAB_CS[[#This Row],[Expected days]]=0),,TAB_CS[[#This Row],[Expected days]]*TAB_CS[[#This Row],[Profile in €]])</f>
        <v>0</v>
      </c>
      <c r="AC35" s="10" t="str">
        <f>CONCATENATE(TAB_CS[[#This Row],[DG]],TAB_CS[[#This Row],[Company]])</f>
        <v>DIGIT.B.4CGI LUX</v>
      </c>
      <c r="AD35" s="144"/>
      <c r="AE35" s="150"/>
      <c r="AF35" s="151"/>
      <c r="AG35" s="151"/>
      <c r="AH35" s="151"/>
      <c r="AI35" s="150"/>
      <c r="AJ35" s="151"/>
      <c r="AK35" s="156"/>
      <c r="AL35" s="351">
        <v>6</v>
      </c>
      <c r="AM35" s="351">
        <v>16</v>
      </c>
      <c r="AN35" s="351">
        <v>21</v>
      </c>
      <c r="AO35" s="351">
        <v>19.5</v>
      </c>
      <c r="AP35" s="351">
        <v>23</v>
      </c>
      <c r="AQ35" s="351">
        <v>17</v>
      </c>
      <c r="AR35" s="351">
        <v>4.5</v>
      </c>
      <c r="AS35" s="643"/>
      <c r="AT35" s="643"/>
      <c r="AU35" s="643"/>
      <c r="AV35" s="643"/>
      <c r="AW35" s="643"/>
      <c r="AX35" s="643"/>
      <c r="AY35" s="643"/>
      <c r="AZ35" s="643"/>
      <c r="BA35" s="644"/>
      <c r="BB35" s="643"/>
      <c r="BC35" s="643"/>
      <c r="BD35" s="643"/>
      <c r="BE35" s="643"/>
      <c r="BF35" s="643"/>
      <c r="BG35" s="643"/>
      <c r="BH35" s="643"/>
      <c r="BI35" s="173"/>
      <c r="BJ35" s="643"/>
      <c r="BK35" s="643"/>
      <c r="BL35" s="643"/>
      <c r="BM35" s="173"/>
      <c r="BN35" s="643"/>
      <c r="BO35" s="643"/>
      <c r="BP35" s="643"/>
      <c r="BQ35" s="643"/>
      <c r="BR35" s="643"/>
      <c r="BS35" s="643"/>
      <c r="BT35" s="643"/>
      <c r="BU35" s="643"/>
      <c r="BV35" s="643"/>
      <c r="BW35" s="643"/>
      <c r="BX35" s="643"/>
      <c r="BY35" s="643"/>
      <c r="BZ35" s="223"/>
    </row>
    <row r="36" spans="1:78" ht="12.75" customHeight="1" x14ac:dyDescent="0.3">
      <c r="A36" s="1">
        <f>IF(ISBLANK(TAB_CS[[#This Row],[Reference]]),"",INDEX(TAB_Offres[ID],MATCH(TAB_CS[[#This Row],[Reference]],TAB_Offres[Reference],0)))</f>
        <v>32</v>
      </c>
      <c r="B36" s="26" t="s">
        <v>595</v>
      </c>
      <c r="C36" s="1" t="s">
        <v>5635</v>
      </c>
      <c r="D36" s="1" t="str">
        <f>IF(ISBLANK(TAB_CS[[#This Row],[Reference]]),"",VLOOKUP(TAB_CS[[#This Row],[ID]],TAB_Offres[],2,FALSE))</f>
        <v>Lot 3</v>
      </c>
      <c r="E36" s="1" t="s">
        <v>5920</v>
      </c>
      <c r="F36" s="26">
        <f>_xlfn.IFNA(IF(ISBLANK(TAB_CS[[#This Row],[Reference]]),"",VLOOKUP(TAB_CS[[#This Row],[Reference]],TAB_Offres[[Reference]:[Modification Request]],COLUMNS(TAB_Offres[[Reference]:[Modification Request]]),FALSE)),)</f>
        <v>0</v>
      </c>
      <c r="G36" s="150" t="str">
        <f>IF(ISBLANK(TAB_CS[[#This Row],[Reference]]),"",INDEX(TAB_Offres[Institution/agency],MATCH(TAB_CS[[#This Row],[Reference]],TAB_Offres[Reference],0)))</f>
        <v>EC</v>
      </c>
      <c r="H36" s="150" t="str">
        <f>IF(ISBLANK(TAB_CS[[#This Row],[Reference]]),"",INDEX(TAB_Offres[DG],MATCH(TAB_CS[[#This Row],[Reference]],TAB_Offres[Reference],0)))</f>
        <v>DIGIT.B.3</v>
      </c>
      <c r="I36" t="str">
        <f>IF(ISBLANK(TAB_CS[[#This Row],[Reference]]),"",INDEX(TAB_Offres[Offer description],MATCH(TAB_CS[[#This Row],[Reference]],TAB_Offres[Reference],0)))</f>
        <v>D3.003 - EU Provisioning - Onboarding manager level 0-10</v>
      </c>
      <c r="J36" s="155">
        <f>_xlfn.IFNA(IF(ISBLANK(TAB_CS[[#This Row],[Ressource]]),,VLOOKUP(TAB_CS[[#This Row],[Reference]],TAB_Offres[[Reference]:[CS signature date]],COLUMNS(TAB_Offres[[Reference]:[CS signature date]]),FALSE)),"")</f>
        <v>45093</v>
      </c>
      <c r="K36" s="155">
        <f>_xlfn.IFNA(IF(ISBLANK(TAB_CS[[#This Row],[Ressource]]),,VLOOKUP(TAB_CS[[#This Row],[Reference]],TAB_Offres[[Reference]:[CS start date]],COLUMNS(TAB_Offres[[Reference]:[CS start date]]),FALSE)),"")</f>
        <v>45108</v>
      </c>
      <c r="L36" s="155">
        <f>_xlfn.IFNA(IF(ISBLANK(TAB_CS[[#This Row],[Ressource]]),,VLOOKUP(TAB_CS[[#This Row],[Reference]],TAB_Offres[[Reference]:[CS end date]],COLUMNS(TAB_Offres[[Reference]:[CS end date]]),FALSE)),"")</f>
        <v>45565</v>
      </c>
      <c r="M36" s="1" t="str">
        <f>_xlfn.IFNA(IF(ISBLANK(TAB_CS[[#This Row],[Ressource]]),,VLOOKUP(TAB_CS[[#This Row],[Reference]],TAB_Offres[[Reference]:[CS State]],COLUMNS(TAB_Offres[[Reference]:[CS State]]),FALSE)),"")</f>
        <v>START</v>
      </c>
      <c r="N36" s="26" t="str">
        <f>VLOOKUP(TAB_CS[[#This Row],[Reference]],TAB_Offres[[Reference]:[Ressource 1]],25,FALSE)</f>
        <v>IERVOLINO, Andrea</v>
      </c>
      <c r="O36" s="1" t="str">
        <f>_xlfn.IFNA(IF(ISBLANK(TAB_CS[[#This Row],[Ressource]]),,VLOOKUP(TAB_CS[[#This Row],[Reference]],TAB_Offres[[Reference]:[Company]],COLUMNS(TAB_Offres[[Reference]:[Company]]),FALSE)),"")</f>
        <v>TALAN</v>
      </c>
      <c r="P36" s="1" t="str">
        <f>_xlfn.CONCAT(TAB_CS[[#This Row],[Ressource]],TAB_CS[[#This Row],[Profile in €]])</f>
        <v>IERVOLINO, Andrea706,54</v>
      </c>
      <c r="Q36" s="1" t="str">
        <f>_xlfn.CONCAT(TAB_CS[[#This Row],[Company]],TAB_CS[[#This Row],[Business perimeter]])</f>
        <v>TALANNB</v>
      </c>
      <c r="R36" s="1" t="str">
        <f>_xlfn.IFNA(IF(ISBLANK(TAB_CS[[#This Row],[Ressource]]),"",VLOOKUP(TAB_CS[[#This Row],[Reference]],TAB_Offres[[Reference]:[Profile]],COLUMNS(TAB_Offres[[Reference]:[Profile]]),FALSE)),"")</f>
        <v>Onboarding manager</v>
      </c>
      <c r="S36" s="150">
        <f>_xlfn.IFNA(IF(ISBLANK(TAB_CS[[#This Row],[Ressource]]),"",VLOOKUP(TAB_CS[[#This Row],[Reference]],TAB_Offres[[Reference]:[Level]],COLUMNS(TAB_Offres[[Reference]:[Level]]),FALSE)),"")</f>
        <v>7</v>
      </c>
      <c r="T36" s="127">
        <f>_xlfn.IFNA(IF(OR(ISBLANK(TAB_CS[[#This Row],[Level]]),TAB_CS[[#This Row],[Level]]=""),,VLOOKUP(TAB_CS[[#This Row],[Profile]],TAB_prix[],2+TAB_CS[[#This Row],[Level]],FALSE)),)</f>
        <v>706.54</v>
      </c>
      <c r="U36" s="13">
        <v>100</v>
      </c>
      <c r="V36" s="189">
        <f>IF(OR(ISBLANK(TAB_CS[[#This Row],[Commited days]]),TAB_CS[[#This Row],[Commited days]]=0),,TAB_CS[[#This Row],[Commited days]]*TAB_CS[[#This Row],[Profile in €]])</f>
        <v>70654</v>
      </c>
      <c r="W36" s="127">
        <f>SUM(TAB_CS[[#This Row],[F]:[P+1]])-TAB_CS[[#This Row],[P+1]]</f>
        <v>100</v>
      </c>
      <c r="X36" s="189">
        <f>IF(OR(ISBLANK(TAB_CS[[#This Row],[Producted days]]),TAB_CS[[#This Row],[Producted days]]=0),,TAB_CS[[#This Row],[Producted days]]*TAB_CS[[#This Row],[Profile in €]])</f>
        <v>70654</v>
      </c>
      <c r="Y36" s="188">
        <f>TAB_CS[[#This Row],[Commited days]]-TAB_CS[[#This Row],[Producted days]]</f>
        <v>0</v>
      </c>
      <c r="Z36" s="189">
        <f>IF(OR(ISBLANK(TAB_CS[[#This Row],[Remaining days]]),TAB_CS[[#This Row],[Remaining days]]=0),,TAB_CS[[#This Row],[Remaining days]]*TAB_CS[[#This Row],[Profile in €]])</f>
        <v>0</v>
      </c>
      <c r="AA36" s="187">
        <f>SUM(TAB_CS[[#This Row],[P+1]:[FP]])</f>
        <v>0</v>
      </c>
      <c r="AB36" s="10">
        <f>IF(OR(ISBLANK(TAB_CS[[#This Row],[Expected days]]),TAB_CS[[#This Row],[Expected days]]=0),,TAB_CS[[#This Row],[Expected days]]*TAB_CS[[#This Row],[Profile in €]])</f>
        <v>0</v>
      </c>
      <c r="AC36" s="14" t="str">
        <f>CONCATENATE(TAB_CS[[#This Row],[DG]],TAB_CS[[#This Row],[Company]])</f>
        <v>DIGIT.B.3TALAN</v>
      </c>
      <c r="AD36" s="144"/>
      <c r="AE36" s="150"/>
      <c r="AF36" s="151"/>
      <c r="AG36" s="151"/>
      <c r="AH36" s="151"/>
      <c r="AI36" s="150"/>
      <c r="AJ36" s="151"/>
      <c r="AK36" s="156"/>
      <c r="AL36" s="156"/>
      <c r="AM36" s="150"/>
      <c r="AN36" s="150"/>
      <c r="AO36" s="150"/>
      <c r="AP36" s="150"/>
      <c r="AQ36" s="150"/>
      <c r="AR36" s="150"/>
      <c r="AS36" s="150"/>
      <c r="AT36" s="156"/>
      <c r="AU36" s="156"/>
      <c r="AV36" s="352">
        <v>21</v>
      </c>
      <c r="AW36" s="351">
        <v>22</v>
      </c>
      <c r="AX36" s="351">
        <v>21</v>
      </c>
      <c r="AY36" s="351">
        <v>17</v>
      </c>
      <c r="AZ36" s="351">
        <v>19</v>
      </c>
      <c r="BA36" s="643"/>
      <c r="BB36" s="643"/>
      <c r="BC36" s="643"/>
      <c r="BD36" s="643"/>
      <c r="BE36" s="643"/>
      <c r="BF36" s="643"/>
      <c r="BG36" s="643"/>
      <c r="BH36" s="643"/>
      <c r="BI36" s="173"/>
      <c r="BJ36" s="643"/>
      <c r="BK36" s="643"/>
      <c r="BL36" s="643"/>
      <c r="BM36" s="173"/>
      <c r="BN36" s="643"/>
      <c r="BO36" s="643"/>
      <c r="BP36" s="643"/>
      <c r="BQ36" s="643"/>
      <c r="BR36" s="643"/>
      <c r="BS36" s="643"/>
      <c r="BT36" s="643"/>
      <c r="BU36" s="643"/>
      <c r="BV36" s="643"/>
      <c r="BW36" s="643"/>
      <c r="BX36" s="643"/>
      <c r="BY36" s="643"/>
      <c r="BZ36" s="223"/>
    </row>
    <row r="37" spans="1:78" ht="12.75" customHeight="1" x14ac:dyDescent="0.3">
      <c r="A37" s="1">
        <f>IF(ISBLANK(TAB_CS[[#This Row],[Reference]]),"",INDEX(TAB_Offres[ID],MATCH(TAB_CS[[#This Row],[Reference]],TAB_Offres[Reference],0)))</f>
        <v>33</v>
      </c>
      <c r="B37" s="26" t="s">
        <v>525</v>
      </c>
      <c r="C37" s="1" t="s">
        <v>5632</v>
      </c>
      <c r="D37" s="1" t="str">
        <f>IF(ISBLANK(TAB_CS[[#This Row],[Reference]]),"",VLOOKUP(TAB_CS[[#This Row],[ID]],TAB_Offres[],2,FALSE))</f>
        <v>Lot 1</v>
      </c>
      <c r="E37" s="1" t="s">
        <v>5920</v>
      </c>
      <c r="F37" s="26">
        <f>_xlfn.IFNA(IF(ISBLANK(TAB_CS[[#This Row],[Reference]]),"",VLOOKUP(TAB_CS[[#This Row],[Reference]],TAB_Offres[[Reference]:[Modification Request]],COLUMNS(TAB_Offres[[Reference]:[Modification Request]]),FALSE)),)</f>
        <v>0</v>
      </c>
      <c r="G37" s="150" t="str">
        <f>IF(ISBLANK(TAB_CS[[#This Row],[Reference]]),"",INDEX(TAB_Offres[Institution/agency],MATCH(TAB_CS[[#This Row],[Reference]],TAB_Offres[Reference],0)))</f>
        <v>EC</v>
      </c>
      <c r="H37" s="150" t="str">
        <f>IF(ISBLANK(TAB_CS[[#This Row],[Reference]]),"",INDEX(TAB_Offres[DG],MATCH(TAB_CS[[#This Row],[Reference]],TAB_Offres[Reference],0)))</f>
        <v>RTD</v>
      </c>
      <c r="I37" t="str">
        <f>IF(ISBLANK(TAB_CS[[#This Row],[Reference]]),"",INDEX(TAB_Offres[Offer description],MATCH(TAB_CS[[#This Row],[Reference]],TAB_Offres[Reference],0)))</f>
        <v>Request for a FSD</v>
      </c>
      <c r="J37" s="155">
        <f>_xlfn.IFNA(IF(ISBLANK(TAB_CS[[#This Row],[Ressource]]),,VLOOKUP(TAB_CS[[#This Row],[Reference]],TAB_Offres[[Reference]:[CS signature date]],COLUMNS(TAB_Offres[[Reference]:[CS signature date]]),FALSE)),"")</f>
        <v>44992</v>
      </c>
      <c r="K37" s="155">
        <f>_xlfn.IFNA(IF(ISBLANK(TAB_CS[[#This Row],[Ressource]]),,VLOOKUP(TAB_CS[[#This Row],[Reference]],TAB_Offres[[Reference]:[CS start date]],COLUMNS(TAB_Offres[[Reference]:[CS start date]]),FALSE)),"")</f>
        <v>44992</v>
      </c>
      <c r="L37" s="155">
        <f>_xlfn.IFNA(IF(ISBLANK(TAB_CS[[#This Row],[Ressource]]),,VLOOKUP(TAB_CS[[#This Row],[Reference]],TAB_Offres[[Reference]:[CS end date]],COLUMNS(TAB_Offres[[Reference]:[CS end date]]),FALSE)),"")</f>
        <v>45443</v>
      </c>
      <c r="M37" s="1" t="str">
        <f>_xlfn.IFNA(IF(ISBLANK(TAB_CS[[#This Row],[Ressource]]),,VLOOKUP(TAB_CS[[#This Row],[Reference]],TAB_Offres[[Reference]:[CS State]],COLUMNS(TAB_Offres[[Reference]:[CS State]]),FALSE)),"")</f>
        <v>START</v>
      </c>
      <c r="N37" s="26" t="str">
        <f>VLOOKUP(TAB_CS[[#This Row],[Reference]],TAB_Offres[[Reference]:[Ressource 1]],25,FALSE)</f>
        <v>DUMITRU, Florin-Gabriel</v>
      </c>
      <c r="O37" s="1" t="str">
        <f>_xlfn.IFNA(IF(ISBLANK(TAB_CS[[#This Row],[Ressource]]),,VLOOKUP(TAB_CS[[#This Row],[Reference]],TAB_Offres[[Reference]:[Company]],COLUMNS(TAB_Offres[[Reference]:[Company]]),FALSE)),"")</f>
        <v>TREMEND</v>
      </c>
      <c r="P37" s="1" t="str">
        <f>_xlfn.CONCAT(TAB_CS[[#This Row],[Ressource]],TAB_CS[[#This Row],[Profile in €]])</f>
        <v>DUMITRU, Florin-Gabriel473,9</v>
      </c>
      <c r="Q37" s="1" t="str">
        <f>_xlfn.CONCAT(TAB_CS[[#This Row],[Company]],TAB_CS[[#This Row],[Business perimeter]])</f>
        <v>TREMENDNB</v>
      </c>
      <c r="R37" s="150" t="str">
        <f>_xlfn.IFNA(IF(ISBLANK(TAB_CS[[#This Row],[Ressource]]),"",VLOOKUP(TAB_CS[[#This Row],[Reference]],TAB_Offres[[Reference]:[Profile]],COLUMNS(TAB_Offres[[Reference]:[Profile]]),FALSE)),"")</f>
        <v>Full-stack developer-FAR</v>
      </c>
      <c r="S37" s="1">
        <f>_xlfn.IFNA(IF(ISBLANK(TAB_CS[[#This Row],[Ressource]]),"",VLOOKUP(TAB_CS[[#This Row],[Reference]],TAB_Offres[[Reference]:[Level]],COLUMNS(TAB_Offres[[Reference]:[Level]]),FALSE)),"")</f>
        <v>8</v>
      </c>
      <c r="T37" s="127">
        <v>473.9</v>
      </c>
      <c r="U37" s="13">
        <v>220</v>
      </c>
      <c r="V37" s="189">
        <f>IF(OR(ISBLANK(TAB_CS[[#This Row],[Commited days]]),TAB_CS[[#This Row],[Commited days]]=0),,TAB_CS[[#This Row],[Commited days]]*TAB_CS[[#This Row],[Profile in €]])</f>
        <v>104258</v>
      </c>
      <c r="W37" s="127">
        <f>SUM(TAB_CS[[#This Row],[F]:[P+1]])-TAB_CS[[#This Row],[P+1]]</f>
        <v>220</v>
      </c>
      <c r="X37" s="189">
        <f>IF(OR(ISBLANK(TAB_CS[[#This Row],[Producted days]]),TAB_CS[[#This Row],[Producted days]]=0),,TAB_CS[[#This Row],[Producted days]]*TAB_CS[[#This Row],[Profile in €]])</f>
        <v>104258</v>
      </c>
      <c r="Y37" s="188">
        <f>TAB_CS[[#This Row],[Commited days]]-TAB_CS[[#This Row],[Producted days]]</f>
        <v>0</v>
      </c>
      <c r="Z37" s="189">
        <f>IF(OR(ISBLANK(TAB_CS[[#This Row],[Remaining days]]),TAB_CS[[#This Row],[Remaining days]]=0),,TAB_CS[[#This Row],[Remaining days]]*TAB_CS[[#This Row],[Profile in €]])</f>
        <v>0</v>
      </c>
      <c r="AA37" s="187">
        <f>SUM(TAB_CS[[#This Row],[P+1]:[FP]])</f>
        <v>0</v>
      </c>
      <c r="AB37" s="10">
        <f>IF(OR(ISBLANK(TAB_CS[[#This Row],[Expected days]]),TAB_CS[[#This Row],[Expected days]]=0),,TAB_CS[[#This Row],[Expected days]]*TAB_CS[[#This Row],[Profile in €]])</f>
        <v>0</v>
      </c>
      <c r="AC37" s="10" t="str">
        <f>CONCATENATE(TAB_CS[[#This Row],[DG]],TAB_CS[[#This Row],[Company]])</f>
        <v>RTDTREMEND</v>
      </c>
      <c r="AD37" s="144"/>
      <c r="AE37" s="150"/>
      <c r="AF37" s="151"/>
      <c r="AG37" s="151"/>
      <c r="AH37" s="151"/>
      <c r="AI37" s="150"/>
      <c r="AJ37" s="151"/>
      <c r="AK37" s="156"/>
      <c r="AL37" s="156"/>
      <c r="AM37" s="156"/>
      <c r="AN37" s="156"/>
      <c r="AO37" s="156"/>
      <c r="AP37" s="351">
        <v>13</v>
      </c>
      <c r="AQ37" s="351">
        <v>18</v>
      </c>
      <c r="AR37" s="351">
        <v>22</v>
      </c>
      <c r="AS37" s="351">
        <v>20</v>
      </c>
      <c r="AT37" s="351">
        <v>21</v>
      </c>
      <c r="AU37" s="351">
        <v>22</v>
      </c>
      <c r="AV37" s="351">
        <v>11</v>
      </c>
      <c r="AW37" s="351">
        <v>19</v>
      </c>
      <c r="AX37" s="226">
        <v>20</v>
      </c>
      <c r="AY37" s="351">
        <v>10</v>
      </c>
      <c r="AZ37" s="351">
        <v>17</v>
      </c>
      <c r="BA37" s="351">
        <v>21</v>
      </c>
      <c r="BB37" s="351">
        <v>6</v>
      </c>
      <c r="BC37" s="643"/>
      <c r="BD37" s="643"/>
      <c r="BE37" s="643"/>
      <c r="BF37" s="643"/>
      <c r="BG37" s="643"/>
      <c r="BH37" s="643"/>
      <c r="BI37" s="173"/>
      <c r="BJ37" s="643"/>
      <c r="BK37" s="643"/>
      <c r="BL37" s="643"/>
      <c r="BM37" s="173"/>
      <c r="BN37" s="643"/>
      <c r="BO37" s="643"/>
      <c r="BP37" s="643"/>
      <c r="BQ37" s="643"/>
      <c r="BR37" s="643"/>
      <c r="BS37" s="643"/>
      <c r="BT37" s="643"/>
      <c r="BU37" s="643"/>
      <c r="BV37" s="643"/>
      <c r="BW37" s="643"/>
      <c r="BX37" s="643"/>
      <c r="BY37" s="643"/>
      <c r="BZ37" s="223"/>
    </row>
    <row r="38" spans="1:78" ht="12.75" customHeight="1" x14ac:dyDescent="0.3">
      <c r="A38" s="1">
        <f>IF(ISBLANK(TAB_CS[[#This Row],[Reference]]),"",INDEX(TAB_Offres[ID],MATCH(TAB_CS[[#This Row],[Reference]],TAB_Offres[Reference],0)))</f>
        <v>34</v>
      </c>
      <c r="B38" s="26" t="s">
        <v>309</v>
      </c>
      <c r="C38" s="150" t="s">
        <v>5629</v>
      </c>
      <c r="D38" s="1" t="str">
        <f>IF(ISBLANK(TAB_CS[[#This Row],[Reference]]),"",VLOOKUP(TAB_CS[[#This Row],[ID]],TAB_Offres[],2,FALSE))</f>
        <v>Lot 2</v>
      </c>
      <c r="E38" s="1" t="s">
        <v>5918</v>
      </c>
      <c r="F38" s="26">
        <f>_xlfn.IFNA(IF(ISBLANK(TAB_CS[[#This Row],[Reference]]),"",VLOOKUP(TAB_CS[[#This Row],[Reference]],TAB_Offres[[Reference]:[Modification Request]],COLUMNS(TAB_Offres[[Reference]:[Modification Request]]),FALSE)),)</f>
        <v>0</v>
      </c>
      <c r="G38" s="150" t="str">
        <f>IF(ISBLANK(TAB_CS[[#This Row],[Reference]]),"",INDEX(TAB_Offres[Institution/agency],MATCH(TAB_CS[[#This Row],[Reference]],TAB_Offres[Reference],0)))</f>
        <v>EC</v>
      </c>
      <c r="H38" s="150" t="str">
        <f>IF(ISBLANK(TAB_CS[[#This Row],[Reference]]),"",INDEX(TAB_Offres[DG],MATCH(TAB_CS[[#This Row],[Reference]],TAB_Offres[Reference],0)))</f>
        <v>DIGIT.D.3</v>
      </c>
      <c r="I38" t="str">
        <f>IF(ISBLANK(TAB_CS[[#This Row],[Reference]]),"",INDEX(TAB_Offres[Offer description],MATCH(TAB_CS[[#This Row],[Reference]],TAB_Offres[Reference],0)))</f>
        <v>D3.001 - TESTA - Project Manager level min9-max10 (10)</v>
      </c>
      <c r="J38" s="155">
        <f>_xlfn.IFNA(IF(ISBLANK(TAB_CS[[#This Row],[Ressource]]),,VLOOKUP(TAB_CS[[#This Row],[Reference]],TAB_Offres[[Reference]:[CS signature date]],COLUMNS(TAB_Offres[[Reference]:[CS signature date]]),FALSE)),"")</f>
        <v>44893</v>
      </c>
      <c r="K38" s="155">
        <f>_xlfn.IFNA(IF(ISBLANK(TAB_CS[[#This Row],[Ressource]]),,VLOOKUP(TAB_CS[[#This Row],[Reference]],TAB_Offres[[Reference]:[CS start date]],COLUMNS(TAB_Offres[[Reference]:[CS start date]]),FALSE)),"")</f>
        <v>44893</v>
      </c>
      <c r="L38" s="155">
        <f>_xlfn.IFNA(IF(ISBLANK(TAB_CS[[#This Row],[Ressource]]),,VLOOKUP(TAB_CS[[#This Row],[Reference]],TAB_Offres[[Reference]:[CS end date]],COLUMNS(TAB_Offres[[Reference]:[CS end date]]),FALSE)),"")</f>
        <v>45199</v>
      </c>
      <c r="M38" s="1" t="str">
        <f>_xlfn.IFNA(IF(ISBLANK(TAB_CS[[#This Row],[Ressource]]),,VLOOKUP(TAB_CS[[#This Row],[Reference]],TAB_Offres[[Reference]:[CS State]],COLUMNS(TAB_Offres[[Reference]:[CS State]]),FALSE)),"")</f>
        <v>CLOSE</v>
      </c>
      <c r="N38" s="26" t="str">
        <f>VLOOKUP(TAB_CS[[#This Row],[Reference]],TAB_Offres[[Reference]:[Ressource 1]],25,FALSE)</f>
        <v>GAGO CABEZAS, Irma</v>
      </c>
      <c r="O38" s="1" t="str">
        <f>_xlfn.IFNA(IF(ISBLANK(TAB_CS[[#This Row],[Ressource]]),,VLOOKUP(TAB_CS[[#This Row],[Reference]],TAB_Offres[[Reference]:[Company]],COLUMNS(TAB_Offres[[Reference]:[Company]]),FALSE)),"")</f>
        <v>CGI LUX</v>
      </c>
      <c r="P38" s="1" t="str">
        <f>_xlfn.CONCAT(TAB_CS[[#This Row],[Ressource]],TAB_CS[[#This Row],[Profile in €]])</f>
        <v>GAGO CABEZAS, Irma806,53</v>
      </c>
      <c r="Q38" s="1" t="str">
        <f>_xlfn.CONCAT(TAB_CS[[#This Row],[Company]],TAB_CS[[#This Row],[Business perimeter]])</f>
        <v>CGI LUXBL</v>
      </c>
      <c r="R38" s="150" t="str">
        <f>_xlfn.IFNA(IF(ISBLANK(TAB_CS[[#This Row],[Ressource]]),"",VLOOKUP(TAB_CS[[#This Row],[Reference]],TAB_Offres[[Reference]:[Profile]],COLUMNS(TAB_Offres[[Reference]:[Profile]]),FALSE)),"")</f>
        <v>Project Manager</v>
      </c>
      <c r="S38" s="1">
        <f>_xlfn.IFNA(IF(ISBLANK(TAB_CS[[#This Row],[Ressource]]),"",VLOOKUP(TAB_CS[[#This Row],[Reference]],TAB_Offres[[Reference]:[Level]],COLUMNS(TAB_Offres[[Reference]:[Level]]),FALSE)),"")</f>
        <v>10</v>
      </c>
      <c r="T38" s="127">
        <f>_xlfn.IFNA(IF(OR(ISBLANK(TAB_CS[[#This Row],[Level]]),TAB_CS[[#This Row],[Level]]=""),,VLOOKUP(TAB_CS[[#This Row],[Profile]],TAB_prix[],2+TAB_CS[[#This Row],[Level]],FALSE)),)</f>
        <v>806.53</v>
      </c>
      <c r="U38" s="13">
        <v>185</v>
      </c>
      <c r="V38" s="189">
        <f>IF(OR(ISBLANK(TAB_CS[[#This Row],[Commited days]]),TAB_CS[[#This Row],[Commited days]]=0),,TAB_CS[[#This Row],[Commited days]]*TAB_CS[[#This Row],[Profile in €]])</f>
        <v>149208.04999999999</v>
      </c>
      <c r="W38" s="127">
        <f>SUM(TAB_CS[[#This Row],[F]:[P+1]])-TAB_CS[[#This Row],[P+1]]</f>
        <v>185</v>
      </c>
      <c r="X38" s="189">
        <f>IF(OR(ISBLANK(TAB_CS[[#This Row],[Producted days]]),TAB_CS[[#This Row],[Producted days]]=0),,TAB_CS[[#This Row],[Producted days]]*TAB_CS[[#This Row],[Profile in €]])</f>
        <v>149208.04999999999</v>
      </c>
      <c r="Y38" s="188">
        <f>TAB_CS[[#This Row],[Commited days]]-TAB_CS[[#This Row],[Producted days]]</f>
        <v>0</v>
      </c>
      <c r="Z38" s="189">
        <f>IF(OR(ISBLANK(TAB_CS[[#This Row],[Remaining days]]),TAB_CS[[#This Row],[Remaining days]]=0),,TAB_CS[[#This Row],[Remaining days]]*TAB_CS[[#This Row],[Profile in €]])</f>
        <v>0</v>
      </c>
      <c r="AA38" s="187">
        <f>SUM(TAB_CS[[#This Row],[P+1]:[FP]])</f>
        <v>0</v>
      </c>
      <c r="AB38" s="10">
        <f>IF(OR(ISBLANK(TAB_CS[[#This Row],[Expected days]]),TAB_CS[[#This Row],[Expected days]]=0),,TAB_CS[[#This Row],[Expected days]]*TAB_CS[[#This Row],[Profile in €]])</f>
        <v>0</v>
      </c>
      <c r="AC38" s="10" t="str">
        <f>CONCATENATE(TAB_CS[[#This Row],[DG]],TAB_CS[[#This Row],[Company]])</f>
        <v>DIGIT.D.3CGI LUX</v>
      </c>
      <c r="AD38" s="144"/>
      <c r="AE38" s="150"/>
      <c r="AF38" s="151"/>
      <c r="AG38" s="151"/>
      <c r="AH38" s="151"/>
      <c r="AI38" s="150"/>
      <c r="AJ38" s="151"/>
      <c r="AK38" s="156"/>
      <c r="AL38" s="156"/>
      <c r="AM38" s="351">
        <v>10.5</v>
      </c>
      <c r="AN38" s="351">
        <v>16.5</v>
      </c>
      <c r="AO38" s="351">
        <v>16</v>
      </c>
      <c r="AP38" s="351">
        <v>20</v>
      </c>
      <c r="AQ38" s="351">
        <v>17</v>
      </c>
      <c r="AR38" s="351">
        <v>12</v>
      </c>
      <c r="AS38" s="351">
        <v>21.5</v>
      </c>
      <c r="AT38" s="351">
        <v>15</v>
      </c>
      <c r="AU38" s="351">
        <v>11.5</v>
      </c>
      <c r="AV38" s="351">
        <v>20.5</v>
      </c>
      <c r="AW38" s="351">
        <v>13</v>
      </c>
      <c r="AX38" s="351">
        <v>11.5</v>
      </c>
      <c r="AY38" s="643"/>
      <c r="AZ38" s="643"/>
      <c r="BA38" s="643"/>
      <c r="BB38" s="643"/>
      <c r="BC38" s="643"/>
      <c r="BD38" s="643"/>
      <c r="BE38" s="643"/>
      <c r="BF38" s="643"/>
      <c r="BG38" s="643"/>
      <c r="BH38" s="643"/>
      <c r="BI38" s="173"/>
      <c r="BJ38" s="643"/>
      <c r="BK38" s="643"/>
      <c r="BL38" s="643"/>
      <c r="BM38" s="173"/>
      <c r="BN38" s="643"/>
      <c r="BO38" s="643"/>
      <c r="BP38" s="643"/>
      <c r="BQ38" s="643"/>
      <c r="BR38" s="643"/>
      <c r="BS38" s="643"/>
      <c r="BT38" s="643"/>
      <c r="BU38" s="643"/>
      <c r="BV38" s="643"/>
      <c r="BW38" s="643"/>
      <c r="BX38" s="643"/>
      <c r="BY38" s="643"/>
      <c r="BZ38" s="223"/>
    </row>
    <row r="39" spans="1:78" ht="12.75" customHeight="1" x14ac:dyDescent="0.3">
      <c r="A39" s="1">
        <f>IF(ISBLANK(TAB_CS[[#This Row],[Reference]]),"",INDEX(TAB_Offres[ID],MATCH(TAB_CS[[#This Row],[Reference]],TAB_Offres[Reference],0)))</f>
        <v>35</v>
      </c>
      <c r="B39" s="154" t="s">
        <v>312</v>
      </c>
      <c r="C39" s="150" t="s">
        <v>5630</v>
      </c>
      <c r="D39" s="1" t="str">
        <f>IF(ISBLANK(TAB_CS[[#This Row],[Reference]]),"",VLOOKUP(TAB_CS[[#This Row],[ID]],TAB_Offres[],2,FALSE))</f>
        <v>Lot 3</v>
      </c>
      <c r="E39" s="1" t="s">
        <v>5918</v>
      </c>
      <c r="F39" s="26">
        <f>_xlfn.IFNA(IF(ISBLANK(TAB_CS[[#This Row],[Reference]]),"",VLOOKUP(TAB_CS[[#This Row],[Reference]],TAB_Offres[[Reference]:[Modification Request]],COLUMNS(TAB_Offres[[Reference]:[Modification Request]]),FALSE)),)</f>
        <v>0</v>
      </c>
      <c r="G39" s="150" t="str">
        <f>IF(ISBLANK(TAB_CS[[#This Row],[Reference]]),"",INDEX(TAB_Offres[Institution/agency],MATCH(TAB_CS[[#This Row],[Reference]],TAB_Offres[Reference],0)))</f>
        <v>EC</v>
      </c>
      <c r="H39" s="150" t="str">
        <f>IF(ISBLANK(TAB_CS[[#This Row],[Reference]]),"",INDEX(TAB_Offres[DG],MATCH(TAB_CS[[#This Row],[Reference]],TAB_Offres[Reference],0)))</f>
        <v>DIGIT.D.3</v>
      </c>
      <c r="I39" t="str">
        <f>IF(ISBLANK(TAB_CS[[#This Row],[Reference]]),"",INDEX(TAB_Offres[Offer description],MATCH(TAB_CS[[#This Row],[Reference]],TAB_Offres[Reference],0)))</f>
        <v>D3.001 - TESTA - On-boarding Manager level min8-max9 (9)</v>
      </c>
      <c r="J39" s="155">
        <f>_xlfn.IFNA(IF(ISBLANK(TAB_CS[[#This Row],[Ressource]]),,VLOOKUP(TAB_CS[[#This Row],[Reference]],TAB_Offres[[Reference]:[CS signature date]],COLUMNS(TAB_Offres[[Reference]:[CS signature date]]),FALSE)),"")</f>
        <v>44889</v>
      </c>
      <c r="K39" s="155">
        <f>_xlfn.IFNA(IF(ISBLANK(TAB_CS[[#This Row],[Ressource]]),,VLOOKUP(TAB_CS[[#This Row],[Reference]],TAB_Offres[[Reference]:[CS start date]],COLUMNS(TAB_Offres[[Reference]:[CS start date]]),FALSE)),"")</f>
        <v>44889</v>
      </c>
      <c r="L39" s="155">
        <f>_xlfn.IFNA(IF(ISBLANK(TAB_CS[[#This Row],[Ressource]]),,VLOOKUP(TAB_CS[[#This Row],[Reference]],TAB_Offres[[Reference]:[CS end date]],COLUMNS(TAB_Offres[[Reference]:[CS end date]]),FALSE)),"")</f>
        <v>45199</v>
      </c>
      <c r="M39" s="1" t="str">
        <f>_xlfn.IFNA(IF(ISBLANK(TAB_CS[[#This Row],[Ressource]]),,VLOOKUP(TAB_CS[[#This Row],[Reference]],TAB_Offres[[Reference]:[CS State]],COLUMNS(TAB_Offres[[Reference]:[CS State]]),FALSE)),"")</f>
        <v>CLOSE</v>
      </c>
      <c r="N39" s="26" t="str">
        <f>VLOOKUP(TAB_CS[[#This Row],[Reference]],TAB_Offres[[Reference]:[Ressource 1]],25,FALSE)</f>
        <v>DEVLEESCHOUWER, Sophie</v>
      </c>
      <c r="O39" s="1" t="str">
        <f>_xlfn.IFNA(IF(ISBLANK(TAB_CS[[#This Row],[Ressource]]),,VLOOKUP(TAB_CS[[#This Row],[Reference]],TAB_Offres[[Reference]:[Company]],COLUMNS(TAB_Offres[[Reference]:[Company]]),FALSE)),"")</f>
        <v>CGI LUX</v>
      </c>
      <c r="P39" s="1" t="str">
        <f>_xlfn.CONCAT(TAB_CS[[#This Row],[Ressource]],TAB_CS[[#This Row],[Profile in €]])</f>
        <v>DEVLEESCHOUWER, Sophie808,92</v>
      </c>
      <c r="Q39" s="1" t="str">
        <f>_xlfn.CONCAT(TAB_CS[[#This Row],[Company]],TAB_CS[[#This Row],[Business perimeter]])</f>
        <v>CGI LUXBL</v>
      </c>
      <c r="R39" s="150" t="str">
        <f>_xlfn.IFNA(IF(ISBLANK(TAB_CS[[#This Row],[Ressource]]),"",VLOOKUP(TAB_CS[[#This Row],[Reference]],TAB_Offres[[Reference]:[Profile]],COLUMNS(TAB_Offres[[Reference]:[Profile]]),FALSE)),"")</f>
        <v>Onboarding manager</v>
      </c>
      <c r="S39" s="1">
        <f>_xlfn.IFNA(IF(ISBLANK(TAB_CS[[#This Row],[Ressource]]),"",VLOOKUP(TAB_CS[[#This Row],[Reference]],TAB_Offres[[Reference]:[Level]],COLUMNS(TAB_Offres[[Reference]:[Level]]),FALSE)),"")</f>
        <v>9</v>
      </c>
      <c r="T39" s="127">
        <f>_xlfn.IFNA(IF(OR(ISBLANK(TAB_CS[[#This Row],[Level]]),TAB_CS[[#This Row],[Level]]=""),,VLOOKUP(TAB_CS[[#This Row],[Profile]],TAB_prix[],2+TAB_CS[[#This Row],[Level]],FALSE)),)</f>
        <v>808.92</v>
      </c>
      <c r="U39" s="13">
        <v>185</v>
      </c>
      <c r="V39" s="189">
        <f>IF(OR(ISBLANK(TAB_CS[[#This Row],[Commited days]]),TAB_CS[[#This Row],[Commited days]]=0),,TAB_CS[[#This Row],[Commited days]]*TAB_CS[[#This Row],[Profile in €]])</f>
        <v>149650.19999999998</v>
      </c>
      <c r="W39" s="127">
        <f>SUM(TAB_CS[[#This Row],[F]:[P+1]])-TAB_CS[[#This Row],[P+1]]</f>
        <v>185</v>
      </c>
      <c r="X39" s="189">
        <f>IF(OR(ISBLANK(TAB_CS[[#This Row],[Producted days]]),TAB_CS[[#This Row],[Producted days]]=0),,TAB_CS[[#This Row],[Producted days]]*TAB_CS[[#This Row],[Profile in €]])</f>
        <v>149650.19999999998</v>
      </c>
      <c r="Y39" s="188">
        <f>TAB_CS[[#This Row],[Commited days]]-TAB_CS[[#This Row],[Producted days]]</f>
        <v>0</v>
      </c>
      <c r="Z39" s="189">
        <f>IF(OR(ISBLANK(TAB_CS[[#This Row],[Remaining days]]),TAB_CS[[#This Row],[Remaining days]]=0),,TAB_CS[[#This Row],[Remaining days]]*TAB_CS[[#This Row],[Profile in €]])</f>
        <v>0</v>
      </c>
      <c r="AA39" s="187">
        <f>SUM(TAB_CS[[#This Row],[P+1]:[FP]])</f>
        <v>0</v>
      </c>
      <c r="AB39" s="10">
        <f>IF(OR(ISBLANK(TAB_CS[[#This Row],[Expected days]]),TAB_CS[[#This Row],[Expected days]]=0),,TAB_CS[[#This Row],[Expected days]]*TAB_CS[[#This Row],[Profile in €]])</f>
        <v>0</v>
      </c>
      <c r="AC39" s="10" t="str">
        <f>CONCATENATE(TAB_CS[[#This Row],[DG]],TAB_CS[[#This Row],[Company]])</f>
        <v>DIGIT.D.3CGI LUX</v>
      </c>
      <c r="AD39" s="144"/>
      <c r="AE39" s="150"/>
      <c r="AF39" s="151"/>
      <c r="AG39" s="151"/>
      <c r="AH39" s="151"/>
      <c r="AI39" s="150"/>
      <c r="AJ39" s="151"/>
      <c r="AK39" s="156"/>
      <c r="AL39" s="156"/>
      <c r="AM39" s="351">
        <v>9.5</v>
      </c>
      <c r="AN39" s="351">
        <v>15.5</v>
      </c>
      <c r="AO39" s="351">
        <v>17</v>
      </c>
      <c r="AP39" s="351">
        <v>22</v>
      </c>
      <c r="AQ39" s="351">
        <v>16.5</v>
      </c>
      <c r="AR39" s="351">
        <v>14</v>
      </c>
      <c r="AS39" s="351">
        <v>18.5</v>
      </c>
      <c r="AT39" s="351">
        <v>14</v>
      </c>
      <c r="AU39" s="351">
        <v>14</v>
      </c>
      <c r="AV39" s="351">
        <v>19.5</v>
      </c>
      <c r="AW39" s="351">
        <v>14.5</v>
      </c>
      <c r="AX39" s="351">
        <v>10</v>
      </c>
      <c r="AY39" s="643"/>
      <c r="AZ39" s="643"/>
      <c r="BA39" s="643"/>
      <c r="BB39" s="643"/>
      <c r="BC39" s="643"/>
      <c r="BD39" s="643"/>
      <c r="BE39" s="643"/>
      <c r="BF39" s="643"/>
      <c r="BG39" s="643"/>
      <c r="BH39" s="643"/>
      <c r="BI39" s="173"/>
      <c r="BJ39" s="643"/>
      <c r="BK39" s="643"/>
      <c r="BL39" s="643"/>
      <c r="BM39" s="173"/>
      <c r="BN39" s="643"/>
      <c r="BO39" s="643"/>
      <c r="BP39" s="643"/>
      <c r="BQ39" s="643"/>
      <c r="BR39" s="643"/>
      <c r="BS39" s="643"/>
      <c r="BT39" s="643"/>
      <c r="BU39" s="643"/>
      <c r="BV39" s="643"/>
      <c r="BW39" s="643"/>
      <c r="BX39" s="643"/>
      <c r="BY39" s="643"/>
      <c r="BZ39" s="223"/>
    </row>
    <row r="40" spans="1:78" ht="12.75" customHeight="1" x14ac:dyDescent="0.3">
      <c r="A40" s="1">
        <f>IF(ISBLANK(TAB_CS[[#This Row],[Reference]]),"",INDEX(TAB_Offres[ID],MATCH(TAB_CS[[#This Row],[Reference]],TAB_Offres[Reference],0)))</f>
        <v>36</v>
      </c>
      <c r="B40" s="154" t="s">
        <v>329</v>
      </c>
      <c r="C40" s="150" t="s">
        <v>5636</v>
      </c>
      <c r="D40" s="1" t="str">
        <f>IF(ISBLANK(TAB_CS[[#This Row],[Reference]]),"",VLOOKUP(TAB_CS[[#This Row],[ID]],TAB_Offres[],2,FALSE))</f>
        <v>Lot 2</v>
      </c>
      <c r="E40" s="1" t="s">
        <v>5918</v>
      </c>
      <c r="F40" s="26">
        <f>_xlfn.IFNA(IF(ISBLANK(TAB_CS[[#This Row],[Reference]]),"",VLOOKUP(TAB_CS[[#This Row],[Reference]],TAB_Offres[[Reference]:[Modification Request]],COLUMNS(TAB_Offres[[Reference]:[Modification Request]]),FALSE)),)</f>
        <v>0</v>
      </c>
      <c r="G40" s="150" t="str">
        <f>IF(ISBLANK(TAB_CS[[#This Row],[Reference]]),"",INDEX(TAB_Offres[Institution/agency],MATCH(TAB_CS[[#This Row],[Reference]],TAB_Offres[Reference],0)))</f>
        <v>EC</v>
      </c>
      <c r="H40" s="150" t="str">
        <f>IF(ISBLANK(TAB_CS[[#This Row],[Reference]]),"",INDEX(TAB_Offres[DG],MATCH(TAB_CS[[#This Row],[Reference]],TAB_Offres[Reference],0)))</f>
        <v>JUST B.1</v>
      </c>
      <c r="I40" t="str">
        <f>IF(ISBLANK(TAB_CS[[#This Row],[Reference]]),"",INDEX(TAB_Offres[Offer description],MATCH(TAB_CS[[#This Row],[Reference]],TAB_Offres[Reference],0)))</f>
        <v>Project Manager (PM)</v>
      </c>
      <c r="J40" s="155">
        <f>_xlfn.IFNA(IF(ISBLANK(TAB_CS[[#This Row],[Ressource]]),,VLOOKUP(TAB_CS[[#This Row],[Reference]],TAB_Offres[[Reference]:[CS signature date]],COLUMNS(TAB_Offres[[Reference]:[CS signature date]]),FALSE)),"")</f>
        <v>44911</v>
      </c>
      <c r="K40" s="155">
        <f>_xlfn.IFNA(IF(ISBLANK(TAB_CS[[#This Row],[Ressource]]),,VLOOKUP(TAB_CS[[#This Row],[Reference]],TAB_Offres[[Reference]:[CS start date]],COLUMNS(TAB_Offres[[Reference]:[CS start date]]),FALSE)),"")</f>
        <v>44929</v>
      </c>
      <c r="L40" s="155">
        <f>_xlfn.IFNA(IF(ISBLANK(TAB_CS[[#This Row],[Ressource]]),,VLOOKUP(TAB_CS[[#This Row],[Reference]],TAB_Offres[[Reference]:[CS end date]],COLUMNS(TAB_Offres[[Reference]:[CS end date]]),FALSE)),"")</f>
        <v>45351</v>
      </c>
      <c r="M40" s="1" t="str">
        <f>_xlfn.IFNA(IF(ISBLANK(TAB_CS[[#This Row],[Ressource]]),,VLOOKUP(TAB_CS[[#This Row],[Reference]],TAB_Offres[[Reference]:[CS State]],COLUMNS(TAB_Offres[[Reference]:[CS State]]),FALSE)),"")</f>
        <v>START</v>
      </c>
      <c r="N40" s="26" t="str">
        <f>VLOOKUP(TAB_CS[[#This Row],[Reference]],TAB_Offres[[Reference]:[Ressource 1]],25,FALSE)</f>
        <v>DEBSKI, Tomasz</v>
      </c>
      <c r="O40" s="1" t="str">
        <f>_xlfn.IFNA(IF(ISBLANK(TAB_CS[[#This Row],[Ressource]]),,VLOOKUP(TAB_CS[[#This Row],[Reference]],TAB_Offres[[Reference]:[Company]],COLUMNS(TAB_Offres[[Reference]:[Company]]),FALSE)),"")</f>
        <v>TREMEND</v>
      </c>
      <c r="P40" s="1" t="str">
        <f>_xlfn.CONCAT(TAB_CS[[#This Row],[Ressource]],TAB_CS[[#This Row],[Profile in €]])</f>
        <v>DEBSKI, Tomasz753,77</v>
      </c>
      <c r="Q40" s="1" t="str">
        <f>_xlfn.CONCAT(TAB_CS[[#This Row],[Company]],TAB_CS[[#This Row],[Business perimeter]])</f>
        <v>TREMENDBL</v>
      </c>
      <c r="R40" s="150" t="str">
        <f>_xlfn.IFNA(IF(ISBLANK(TAB_CS[[#This Row],[Ressource]]),"",VLOOKUP(TAB_CS[[#This Row],[Reference]],TAB_Offres[[Reference]:[Profile]],COLUMNS(TAB_Offres[[Reference]:[Profile]]),FALSE)),"")</f>
        <v>Project Manager</v>
      </c>
      <c r="S40" s="1">
        <f>_xlfn.IFNA(IF(ISBLANK(TAB_CS[[#This Row],[Ressource]]),"",VLOOKUP(TAB_CS[[#This Row],[Reference]],TAB_Offres[[Reference]:[Level]],COLUMNS(TAB_Offres[[Reference]:[Level]]),FALSE)),"")</f>
        <v>9</v>
      </c>
      <c r="T40" s="127">
        <f>_xlfn.IFNA(IF(OR(ISBLANK(TAB_CS[[#This Row],[Level]]),TAB_CS[[#This Row],[Level]]=""),,VLOOKUP(TAB_CS[[#This Row],[Profile]],TAB_prix[],2+TAB_CS[[#This Row],[Level]],FALSE)),)</f>
        <v>753.77</v>
      </c>
      <c r="U40" s="13">
        <v>220</v>
      </c>
      <c r="V40" s="189">
        <f>IF(OR(ISBLANK(TAB_CS[[#This Row],[Commited days]]),TAB_CS[[#This Row],[Commited days]]=0),,TAB_CS[[#This Row],[Commited days]]*TAB_CS[[#This Row],[Profile in €]])</f>
        <v>165829.4</v>
      </c>
      <c r="W40" s="127">
        <f>SUM(TAB_CS[[#This Row],[F]:[P+1]])-TAB_CS[[#This Row],[P+1]]</f>
        <v>220</v>
      </c>
      <c r="X40" s="189">
        <f>IF(OR(ISBLANK(TAB_CS[[#This Row],[Producted days]]),TAB_CS[[#This Row],[Producted days]]=0),,TAB_CS[[#This Row],[Producted days]]*TAB_CS[[#This Row],[Profile in €]])</f>
        <v>165829.4</v>
      </c>
      <c r="Y40" s="188">
        <f>TAB_CS[[#This Row],[Commited days]]-TAB_CS[[#This Row],[Producted days]]</f>
        <v>0</v>
      </c>
      <c r="Z40" s="189">
        <f>IF(OR(ISBLANK(TAB_CS[[#This Row],[Remaining days]]),TAB_CS[[#This Row],[Remaining days]]=0),,TAB_CS[[#This Row],[Remaining days]]*TAB_CS[[#This Row],[Profile in €]])</f>
        <v>0</v>
      </c>
      <c r="AA40" s="187">
        <f>SUM(TAB_CS[[#This Row],[P+1]:[FP]])</f>
        <v>0</v>
      </c>
      <c r="AB40" s="10">
        <f>IF(OR(ISBLANK(TAB_CS[[#This Row],[Expected days]]),TAB_CS[[#This Row],[Expected days]]=0),,TAB_CS[[#This Row],[Expected days]]*TAB_CS[[#This Row],[Profile in €]])</f>
        <v>0</v>
      </c>
      <c r="AC40" s="10" t="str">
        <f>CONCATENATE(TAB_CS[[#This Row],[DG]],TAB_CS[[#This Row],[Company]])</f>
        <v>JUST B.1TREMEND</v>
      </c>
      <c r="AD40" s="144"/>
      <c r="AE40" s="150"/>
      <c r="AF40" s="151"/>
      <c r="AG40" s="151"/>
      <c r="AH40" s="151"/>
      <c r="AI40" s="150"/>
      <c r="AJ40" s="151"/>
      <c r="AK40" s="156"/>
      <c r="AL40" s="156"/>
      <c r="AM40" s="156"/>
      <c r="AN40" s="351">
        <v>17</v>
      </c>
      <c r="AO40" s="351">
        <v>15</v>
      </c>
      <c r="AP40" s="351">
        <v>23</v>
      </c>
      <c r="AQ40" s="351">
        <v>10.5</v>
      </c>
      <c r="AR40" s="351">
        <v>16</v>
      </c>
      <c r="AS40" s="351">
        <v>20</v>
      </c>
      <c r="AT40" s="351">
        <v>18</v>
      </c>
      <c r="AU40" s="351">
        <v>6</v>
      </c>
      <c r="AV40" s="351">
        <v>20</v>
      </c>
      <c r="AW40" s="351">
        <v>20</v>
      </c>
      <c r="AX40" s="351">
        <v>17.5</v>
      </c>
      <c r="AY40" s="351">
        <v>14</v>
      </c>
      <c r="AZ40" s="226">
        <v>18</v>
      </c>
      <c r="BA40" s="226">
        <v>5</v>
      </c>
      <c r="BB40" s="643"/>
      <c r="BC40" s="643"/>
      <c r="BD40" s="643"/>
      <c r="BE40" s="643"/>
      <c r="BF40" s="643"/>
      <c r="BG40" s="643"/>
      <c r="BH40" s="643"/>
      <c r="BI40" s="173"/>
      <c r="BJ40" s="643"/>
      <c r="BK40" s="643"/>
      <c r="BL40" s="643"/>
      <c r="BM40" s="173"/>
      <c r="BN40" s="643"/>
      <c r="BO40" s="643"/>
      <c r="BP40" s="643"/>
      <c r="BQ40" s="643"/>
      <c r="BR40" s="643"/>
      <c r="BS40" s="643"/>
      <c r="BT40" s="643"/>
      <c r="BU40" s="643"/>
      <c r="BV40" s="643"/>
      <c r="BW40" s="643"/>
      <c r="BX40" s="643"/>
      <c r="BY40" s="643"/>
      <c r="BZ40" s="223"/>
    </row>
    <row r="41" spans="1:78" ht="12.75" customHeight="1" x14ac:dyDescent="0.3">
      <c r="A41" s="1">
        <f>IF(ISBLANK(TAB_CS[[#This Row],[Reference]]),"",INDEX(TAB_Offres[ID],MATCH(TAB_CS[[#This Row],[Reference]],TAB_Offres[Reference],0)))</f>
        <v>37</v>
      </c>
      <c r="B41" s="154" t="s">
        <v>321</v>
      </c>
      <c r="C41" s="150" t="s">
        <v>5631</v>
      </c>
      <c r="D41" s="1" t="str">
        <f>IF(ISBLANK(TAB_CS[[#This Row],[Reference]]),"",VLOOKUP(TAB_CS[[#This Row],[ID]],TAB_Offres[],2,FALSE))</f>
        <v>Lot 2</v>
      </c>
      <c r="E41" s="1" t="s">
        <v>5918</v>
      </c>
      <c r="F41" s="26">
        <f>_xlfn.IFNA(IF(ISBLANK(TAB_CS[[#This Row],[Reference]]),"",VLOOKUP(TAB_CS[[#This Row],[Reference]],TAB_Offres[[Reference]:[Modification Request]],COLUMNS(TAB_Offres[[Reference]:[Modification Request]]),FALSE)),)</f>
        <v>0</v>
      </c>
      <c r="G41" s="150" t="str">
        <f>IF(ISBLANK(TAB_CS[[#This Row],[Reference]]),"",INDEX(TAB_Offres[Institution/agency],MATCH(TAB_CS[[#This Row],[Reference]],TAB_Offres[Reference],0)))</f>
        <v>EC</v>
      </c>
      <c r="H41" s="150" t="str">
        <f>IF(ISBLANK(TAB_CS[[#This Row],[Reference]]),"",INDEX(TAB_Offres[DG],MATCH(TAB_CS[[#This Row],[Reference]],TAB_Offres[Reference],0)))</f>
        <v>DIGIT.B.4</v>
      </c>
      <c r="I41" t="str">
        <f>IF(ISBLANK(TAB_CS[[#This Row],[Reference]]),"",INDEX(TAB_Offres[Offer description],MATCH(TAB_CS[[#This Row],[Reference]],TAB_Offres[Reference],0)))</f>
        <v>Project manager (PM) level 8</v>
      </c>
      <c r="J41" s="155">
        <f>_xlfn.IFNA(IF(ISBLANK(TAB_CS[[#This Row],[Ressource]]),,VLOOKUP(TAB_CS[[#This Row],[Reference]],TAB_Offres[[Reference]:[CS signature date]],COLUMNS(TAB_Offres[[Reference]:[CS signature date]]),FALSE)),"")</f>
        <v>44896</v>
      </c>
      <c r="K41" s="155">
        <f>_xlfn.IFNA(IF(ISBLANK(TAB_CS[[#This Row],[Ressource]]),,VLOOKUP(TAB_CS[[#This Row],[Reference]],TAB_Offres[[Reference]:[CS start date]],COLUMNS(TAB_Offres[[Reference]:[CS start date]]),FALSE)),"")</f>
        <v>44896</v>
      </c>
      <c r="L41" s="155">
        <f>_xlfn.IFNA(IF(ISBLANK(TAB_CS[[#This Row],[Ressource]]),,VLOOKUP(TAB_CS[[#This Row],[Reference]],TAB_Offres[[Reference]:[CS end date]],COLUMNS(TAB_Offres[[Reference]:[CS end date]]),FALSE)),"")</f>
        <v>45199</v>
      </c>
      <c r="M41" s="1" t="str">
        <f>_xlfn.IFNA(IF(ISBLANK(TAB_CS[[#This Row],[Ressource]]),,VLOOKUP(TAB_CS[[#This Row],[Reference]],TAB_Offres[[Reference]:[CS State]],COLUMNS(TAB_Offres[[Reference]:[CS State]]),FALSE)),"")</f>
        <v>CLOSE</v>
      </c>
      <c r="N41" s="26" t="str">
        <f>VLOOKUP(TAB_CS[[#This Row],[Reference]],TAB_Offres[[Reference]:[Ressource 1]],25,FALSE)</f>
        <v>ADESANYA, Kehinde</v>
      </c>
      <c r="O41" s="1" t="str">
        <f>_xlfn.IFNA(IF(ISBLANK(TAB_CS[[#This Row],[Ressource]]),,VLOOKUP(TAB_CS[[#This Row],[Reference]],TAB_Offres[[Reference]:[Company]],COLUMNS(TAB_Offres[[Reference]:[Company]]),FALSE)),"")</f>
        <v>CGI LUX</v>
      </c>
      <c r="P41" s="1" t="str">
        <f>_xlfn.CONCAT(TAB_CS[[#This Row],[Ressource]],TAB_CS[[#This Row],[Profile in €]])</f>
        <v>ADESANYA, Kehinde704,46</v>
      </c>
      <c r="Q41" s="1" t="str">
        <f>_xlfn.CONCAT(TAB_CS[[#This Row],[Company]],TAB_CS[[#This Row],[Business perimeter]])</f>
        <v>CGI LUXBL</v>
      </c>
      <c r="R41" s="150" t="str">
        <f>_xlfn.IFNA(IF(ISBLANK(TAB_CS[[#This Row],[Ressource]]),"",VLOOKUP(TAB_CS[[#This Row],[Reference]],TAB_Offres[[Reference]:[Profile]],COLUMNS(TAB_Offres[[Reference]:[Profile]]),FALSE)),"")</f>
        <v>Project Manager</v>
      </c>
      <c r="S41" s="1">
        <f>_xlfn.IFNA(IF(ISBLANK(TAB_CS[[#This Row],[Ressource]]),"",VLOOKUP(TAB_CS[[#This Row],[Reference]],TAB_Offres[[Reference]:[Level]],COLUMNS(TAB_Offres[[Reference]:[Level]]),FALSE)),"")</f>
        <v>8</v>
      </c>
      <c r="T41" s="127">
        <f>_xlfn.IFNA(IF(OR(ISBLANK(TAB_CS[[#This Row],[Level]]),TAB_CS[[#This Row],[Level]]=""),,VLOOKUP(TAB_CS[[#This Row],[Profile]],TAB_prix[],2+TAB_CS[[#This Row],[Level]],FALSE)),)</f>
        <v>704.46</v>
      </c>
      <c r="U41" s="13">
        <v>55</v>
      </c>
      <c r="V41" s="189">
        <f>IF(OR(ISBLANK(TAB_CS[[#This Row],[Commited days]]),TAB_CS[[#This Row],[Commited days]]=0),,TAB_CS[[#This Row],[Commited days]]*TAB_CS[[#This Row],[Profile in €]])</f>
        <v>38745.300000000003</v>
      </c>
      <c r="W41" s="127">
        <f>SUM(TAB_CS[[#This Row],[F]:[P+1]])-TAB_CS[[#This Row],[P+1]]</f>
        <v>55</v>
      </c>
      <c r="X41" s="189">
        <f>IF(OR(ISBLANK(TAB_CS[[#This Row],[Producted days]]),TAB_CS[[#This Row],[Producted days]]=0),,TAB_CS[[#This Row],[Producted days]]*TAB_CS[[#This Row],[Profile in €]])</f>
        <v>38745.300000000003</v>
      </c>
      <c r="Y41" s="188">
        <f>TAB_CS[[#This Row],[Commited days]]-TAB_CS[[#This Row],[Producted days]]</f>
        <v>0</v>
      </c>
      <c r="Z41" s="189">
        <f>IF(OR(ISBLANK(TAB_CS[[#This Row],[Remaining days]]),TAB_CS[[#This Row],[Remaining days]]=0),,TAB_CS[[#This Row],[Remaining days]]*TAB_CS[[#This Row],[Profile in €]])</f>
        <v>0</v>
      </c>
      <c r="AA41" s="187">
        <f>SUM(TAB_CS[[#This Row],[P+1]:[FP]])</f>
        <v>0</v>
      </c>
      <c r="AB41" s="10">
        <f>IF(OR(ISBLANK(TAB_CS[[#This Row],[Expected days]]),TAB_CS[[#This Row],[Expected days]]=0),,TAB_CS[[#This Row],[Expected days]]*TAB_CS[[#This Row],[Profile in €]])</f>
        <v>0</v>
      </c>
      <c r="AC41" s="10" t="str">
        <f>CONCATENATE(TAB_CS[[#This Row],[DG]],TAB_CS[[#This Row],[Company]])</f>
        <v>DIGIT.B.4CGI LUX</v>
      </c>
      <c r="AD41" s="144"/>
      <c r="AE41" s="150"/>
      <c r="AF41" s="151"/>
      <c r="AG41" s="151"/>
      <c r="AH41" s="151"/>
      <c r="AI41" s="150"/>
      <c r="AJ41" s="151"/>
      <c r="AK41" s="156"/>
      <c r="AL41" s="156"/>
      <c r="AM41" s="351">
        <v>15</v>
      </c>
      <c r="AN41" s="351">
        <v>21</v>
      </c>
      <c r="AO41" s="351">
        <v>19</v>
      </c>
      <c r="AP41" s="643"/>
      <c r="AQ41" s="643"/>
      <c r="AR41" s="643"/>
      <c r="AS41" s="643"/>
      <c r="AT41" s="643"/>
      <c r="AU41" s="643"/>
      <c r="AV41" s="643"/>
      <c r="AW41" s="643"/>
      <c r="AX41" s="643"/>
      <c r="AY41" s="643"/>
      <c r="AZ41" s="643"/>
      <c r="BA41" s="643"/>
      <c r="BB41" s="643"/>
      <c r="BC41" s="643"/>
      <c r="BD41" s="643"/>
      <c r="BE41" s="643"/>
      <c r="BF41" s="643"/>
      <c r="BG41" s="643"/>
      <c r="BH41" s="643"/>
      <c r="BI41" s="173"/>
      <c r="BJ41" s="643"/>
      <c r="BK41" s="643"/>
      <c r="BL41" s="643"/>
      <c r="BM41" s="173"/>
      <c r="BN41" s="643"/>
      <c r="BO41" s="643"/>
      <c r="BP41" s="643"/>
      <c r="BQ41" s="643"/>
      <c r="BR41" s="643"/>
      <c r="BS41" s="643"/>
      <c r="BT41" s="643"/>
      <c r="BU41" s="643"/>
      <c r="BV41" s="643"/>
      <c r="BW41" s="643"/>
      <c r="BX41" s="643"/>
      <c r="BY41" s="643"/>
      <c r="BZ41" s="223"/>
    </row>
    <row r="42" spans="1:78" ht="12.75" customHeight="1" x14ac:dyDescent="0.3">
      <c r="A42" s="1">
        <f>IF(ISBLANK(TAB_CS[[#This Row],[Reference]]),"",INDEX(TAB_Offres[ID],MATCH(TAB_CS[[#This Row],[Reference]],TAB_Offres[Reference],0)))</f>
        <v>39</v>
      </c>
      <c r="B42" s="26" t="s">
        <v>516</v>
      </c>
      <c r="C42" s="150" t="s">
        <v>5637</v>
      </c>
      <c r="D42" s="1" t="str">
        <f>IF(ISBLANK(TAB_CS[[#This Row],[Reference]]),"",VLOOKUP(TAB_CS[[#This Row],[ID]],TAB_Offres[],2,FALSE))</f>
        <v>Lot 3</v>
      </c>
      <c r="E42" s="1" t="s">
        <v>5920</v>
      </c>
      <c r="F42" s="26">
        <f>_xlfn.IFNA(IF(ISBLANK(TAB_CS[[#This Row],[Reference]]),"",VLOOKUP(TAB_CS[[#This Row],[Reference]],TAB_Offres[[Reference]:[Modification Request]],COLUMNS(TAB_Offres[[Reference]:[Modification Request]]),FALSE)),)</f>
        <v>0</v>
      </c>
      <c r="G42" s="150" t="str">
        <f>IF(ISBLANK(TAB_CS[[#This Row],[Reference]]),"",INDEX(TAB_Offres[Institution/agency],MATCH(TAB_CS[[#This Row],[Reference]],TAB_Offres[Reference],0)))</f>
        <v>EC</v>
      </c>
      <c r="H42" s="150" t="str">
        <f>IF(ISBLANK(TAB_CS[[#This Row],[Reference]]),"",INDEX(TAB_Offres[DG],MATCH(TAB_CS[[#This Row],[Reference]],TAB_Offres[Reference],0)))</f>
        <v>DIGIT.D.2</v>
      </c>
      <c r="I42" t="str">
        <f>IF(ISBLANK(TAB_CS[[#This Row],[Reference]]),"",INDEX(TAB_Offres[Offer description],MATCH(TAB_CS[[#This Row],[Reference]],TAB_Offres[Reference],0)))</f>
        <v>LIOP - IT Expert</v>
      </c>
      <c r="J42" s="155">
        <f>_xlfn.IFNA(IF(ISBLANK(TAB_CS[[#This Row],[Ressource]]),,VLOOKUP(TAB_CS[[#This Row],[Reference]],TAB_Offres[[Reference]:[CS signature date]],COLUMNS(TAB_Offres[[Reference]:[CS signature date]]),FALSE)),"")</f>
        <v>44988</v>
      </c>
      <c r="K42" s="155">
        <f>_xlfn.IFNA(IF(ISBLANK(TAB_CS[[#This Row],[Ressource]]),,VLOOKUP(TAB_CS[[#This Row],[Reference]],TAB_Offres[[Reference]:[CS start date]],COLUMNS(TAB_Offres[[Reference]:[CS start date]]),FALSE)),"")</f>
        <v>44988</v>
      </c>
      <c r="L42" s="155">
        <f>_xlfn.IFNA(IF(ISBLANK(TAB_CS[[#This Row],[Ressource]]),,VLOOKUP(TAB_CS[[#This Row],[Reference]],TAB_Offres[[Reference]:[CS end date]],COLUMNS(TAB_Offres[[Reference]:[CS end date]]),FALSE)),"")</f>
        <v>0</v>
      </c>
      <c r="M42" s="1" t="str">
        <f>_xlfn.IFNA(IF(ISBLANK(TAB_CS[[#This Row],[Ressource]]),,VLOOKUP(TAB_CS[[#This Row],[Reference]],TAB_Offres[[Reference]:[CS State]],COLUMNS(TAB_Offres[[Reference]:[CS State]]),FALSE)),"")</f>
        <v>START</v>
      </c>
      <c r="N42" s="26" t="str">
        <f>VLOOKUP(TAB_CS[[#This Row],[Reference]],TAB_Offres[[Reference]:[Ressource 1]],25,FALSE)</f>
        <v>DI GIACOMO, Debora</v>
      </c>
      <c r="O42" s="1" t="str">
        <f>_xlfn.IFNA(IF(ISBLANK(TAB_CS[[#This Row],[Ressource]]),,VLOOKUP(TAB_CS[[#This Row],[Reference]],TAB_Offres[[Reference]:[Company]],COLUMNS(TAB_Offres[[Reference]:[Company]]),FALSE)),"")</f>
        <v>Wavestone</v>
      </c>
      <c r="P42" s="1" t="str">
        <f>_xlfn.CONCAT(TAB_CS[[#This Row],[Ressource]],TAB_CS[[#This Row],[Profile in €]])</f>
        <v>DI GIACOMO, Debora1000</v>
      </c>
      <c r="Q42" s="1" t="str">
        <f>_xlfn.CONCAT(TAB_CS[[#This Row],[Company]],TAB_CS[[#This Row],[Business perimeter]])</f>
        <v>WavestoneNB</v>
      </c>
      <c r="R42" s="150" t="str">
        <f>_xlfn.IFNA(IF(ISBLANK(TAB_CS[[#This Row],[Ressource]]),"",VLOOKUP(TAB_CS[[#This Row],[Reference]],TAB_Offres[[Reference]:[Profile]],COLUMNS(TAB_Offres[[Reference]:[Profile]]),FALSE)),"")</f>
        <v>IT specialist / expert profile-FAR</v>
      </c>
      <c r="S42" s="1">
        <f>_xlfn.IFNA(IF(ISBLANK(TAB_CS[[#This Row],[Ressource]]),"",VLOOKUP(TAB_CS[[#This Row],[Reference]],TAB_Offres[[Reference]:[Level]],COLUMNS(TAB_Offres[[Reference]:[Level]]),FALSE)),"")</f>
        <v>0</v>
      </c>
      <c r="T42" s="127">
        <f>_xlfn.IFNA(IF(OR(ISBLANK(TAB_CS[[#This Row],[Level]]),TAB_CS[[#This Row],[Level]]=""),,VLOOKUP(TAB_CS[[#This Row],[Profile]],TAB_prix[],2+TAB_CS[[#This Row],[Level]],FALSE)),)</f>
        <v>1000</v>
      </c>
      <c r="U42" s="13">
        <v>90</v>
      </c>
      <c r="V42" s="189">
        <f>IF(OR(ISBLANK(TAB_CS[[#This Row],[Commited days]]),TAB_CS[[#This Row],[Commited days]]=0),,TAB_CS[[#This Row],[Commited days]]*TAB_CS[[#This Row],[Profile in €]])</f>
        <v>90000</v>
      </c>
      <c r="W42" s="127">
        <f>SUM(TAB_CS[[#This Row],[F]:[P+1]])-TAB_CS[[#This Row],[P+1]]</f>
        <v>22.5</v>
      </c>
      <c r="X42" s="189">
        <f>IF(OR(ISBLANK(TAB_CS[[#This Row],[Producted days]]),TAB_CS[[#This Row],[Producted days]]=0),,TAB_CS[[#This Row],[Producted days]]*TAB_CS[[#This Row],[Profile in €]])</f>
        <v>22500</v>
      </c>
      <c r="Y42" s="188">
        <f>TAB_CS[[#This Row],[Commited days]]-TAB_CS[[#This Row],[Producted days]]</f>
        <v>67.5</v>
      </c>
      <c r="Z42" s="189">
        <f>IF(OR(ISBLANK(TAB_CS[[#This Row],[Remaining days]]),TAB_CS[[#This Row],[Remaining days]]=0),,TAB_CS[[#This Row],[Remaining days]]*TAB_CS[[#This Row],[Profile in €]])</f>
        <v>67500</v>
      </c>
      <c r="AA42" s="187">
        <f>SUM(TAB_CS[[#This Row],[P+1]:[FP]])</f>
        <v>0</v>
      </c>
      <c r="AB42" s="10">
        <f>IF(OR(ISBLANK(TAB_CS[[#This Row],[Expected days]]),TAB_CS[[#This Row],[Expected days]]=0),,TAB_CS[[#This Row],[Expected days]]*TAB_CS[[#This Row],[Profile in €]])</f>
        <v>0</v>
      </c>
      <c r="AC42" s="10" t="str">
        <f>CONCATENATE(TAB_CS[[#This Row],[DG]],TAB_CS[[#This Row],[Company]])</f>
        <v>DIGIT.D.2Wavestone</v>
      </c>
      <c r="AD42" s="144"/>
      <c r="AE42" s="150"/>
      <c r="AF42" s="151"/>
      <c r="AG42" s="151"/>
      <c r="AH42" s="151"/>
      <c r="AI42" s="150"/>
      <c r="AJ42" s="151"/>
      <c r="AK42" s="156"/>
      <c r="AL42" s="156"/>
      <c r="AM42" s="156"/>
      <c r="AN42" s="156"/>
      <c r="AO42" s="156"/>
      <c r="AP42" s="156"/>
      <c r="AQ42" s="168">
        <v>6</v>
      </c>
      <c r="AR42" s="156"/>
      <c r="AS42" s="356">
        <v>8</v>
      </c>
      <c r="AT42" s="156"/>
      <c r="AU42" s="351">
        <v>7</v>
      </c>
      <c r="AV42" s="351">
        <v>1.5</v>
      </c>
      <c r="AW42" s="643"/>
      <c r="AX42" s="643"/>
      <c r="AY42" s="643"/>
      <c r="AZ42" s="643"/>
      <c r="BA42" s="643"/>
      <c r="BB42" s="643"/>
      <c r="BC42" s="643"/>
      <c r="BD42" s="643"/>
      <c r="BE42" s="643"/>
      <c r="BF42" s="643"/>
      <c r="BG42" s="643"/>
      <c r="BH42" s="643"/>
      <c r="BI42" s="173"/>
      <c r="BJ42" s="643"/>
      <c r="BK42" s="643"/>
      <c r="BL42" s="643"/>
      <c r="BM42" s="173"/>
      <c r="BN42" s="643"/>
      <c r="BO42" s="643"/>
      <c r="BP42" s="643"/>
      <c r="BQ42" s="643"/>
      <c r="BR42" s="643"/>
      <c r="BS42" s="643"/>
      <c r="BT42" s="643"/>
      <c r="BU42" s="643"/>
      <c r="BV42" s="643"/>
      <c r="BW42" s="643"/>
      <c r="BX42" s="643"/>
      <c r="BY42" s="643"/>
      <c r="BZ42" s="223"/>
    </row>
    <row r="43" spans="1:78" ht="12.75" customHeight="1" x14ac:dyDescent="0.3">
      <c r="A43" s="1">
        <f>IF(ISBLANK(TAB_CS[[#This Row],[Reference]]),"",INDEX(TAB_Offres[ID],MATCH(TAB_CS[[#This Row],[Reference]],TAB_Offres[Reference],0)))</f>
        <v>41</v>
      </c>
      <c r="B43" s="26" t="s">
        <v>533</v>
      </c>
      <c r="C43" s="150" t="s">
        <v>5633</v>
      </c>
      <c r="D43" s="1" t="str">
        <f>IF(ISBLANK(TAB_CS[[#This Row],[Reference]]),"",VLOOKUP(TAB_CS[[#This Row],[ID]],TAB_Offres[],2,FALSE))</f>
        <v>Lot 2</v>
      </c>
      <c r="E43" s="1" t="s">
        <v>5920</v>
      </c>
      <c r="F43" s="26">
        <f>_xlfn.IFNA(IF(ISBLANK(TAB_CS[[#This Row],[Reference]]),"",VLOOKUP(TAB_CS[[#This Row],[Reference]],TAB_Offres[[Reference]:[Modification Request]],COLUMNS(TAB_Offres[[Reference]:[Modification Request]]),FALSE)),)</f>
        <v>0</v>
      </c>
      <c r="G43" s="150" t="str">
        <f>IF(ISBLANK(TAB_CS[[#This Row],[Reference]]),"",INDEX(TAB_Offres[Institution/agency],MATCH(TAB_CS[[#This Row],[Reference]],TAB_Offres[Reference],0)))</f>
        <v>EC</v>
      </c>
      <c r="H43" s="150" t="str">
        <f>IF(ISBLANK(TAB_CS[[#This Row],[Reference]]),"",INDEX(TAB_Offres[DG],MATCH(TAB_CS[[#This Row],[Reference]],TAB_Offres[Reference],0)))</f>
        <v>HR</v>
      </c>
      <c r="I43" t="str">
        <f>IF(ISBLANK(TAB_CS[[#This Row],[Reference]]),"",INDEX(TAB_Offres[Offer description],MATCH(TAB_CS[[#This Row],[Reference]],TAB_Offres[Reference],0)))</f>
        <v>Workplace security specialist</v>
      </c>
      <c r="J43" s="155">
        <f>_xlfn.IFNA(IF(ISBLANK(TAB_CS[[#This Row],[Ressource]]),,VLOOKUP(TAB_CS[[#This Row],[Reference]],TAB_Offres[[Reference]:[CS signature date]],COLUMNS(TAB_Offres[[Reference]:[CS signature date]]),FALSE)),"")</f>
        <v>44993</v>
      </c>
      <c r="K43" s="155">
        <f>_xlfn.IFNA(IF(ISBLANK(TAB_CS[[#This Row],[Ressource]]),,VLOOKUP(TAB_CS[[#This Row],[Reference]],TAB_Offres[[Reference]:[CS start date]],COLUMNS(TAB_Offres[[Reference]:[CS start date]]),FALSE)),"")</f>
        <v>44993</v>
      </c>
      <c r="L43" s="155">
        <f>_xlfn.IFNA(IF(ISBLANK(TAB_CS[[#This Row],[Ressource]]),,VLOOKUP(TAB_CS[[#This Row],[Reference]],TAB_Offres[[Reference]:[CS end date]],COLUMNS(TAB_Offres[[Reference]:[CS end date]]),FALSE)),"")</f>
        <v>45595</v>
      </c>
      <c r="M43" s="1" t="str">
        <f>_xlfn.IFNA(IF(ISBLANK(TAB_CS[[#This Row],[Ressource]]),,VLOOKUP(TAB_CS[[#This Row],[Reference]],TAB_Offres[[Reference]:[CS State]],COLUMNS(TAB_Offres[[Reference]:[CS State]]),FALSE)),"")</f>
        <v>START</v>
      </c>
      <c r="N43" s="26" t="str">
        <f>VLOOKUP(TAB_CS[[#This Row],[Reference]],TAB_Offres[[Reference]:[Ressource 1]],25,FALSE)</f>
        <v>BINTZ, Adrien</v>
      </c>
      <c r="O43" s="1" t="str">
        <f>_xlfn.IFNA(IF(ISBLANK(TAB_CS[[#This Row],[Ressource]]),,VLOOKUP(TAB_CS[[#This Row],[Reference]],TAB_Offres[[Reference]:[Company]],COLUMNS(TAB_Offres[[Reference]:[Company]]),FALSE)),"")</f>
        <v>EDDA</v>
      </c>
      <c r="P43" s="1" t="str">
        <f>_xlfn.CONCAT(TAB_CS[[#This Row],[Ressource]],TAB_CS[[#This Row],[Profile in €]])</f>
        <v>BINTZ, Adrien442,79</v>
      </c>
      <c r="Q43" s="1" t="str">
        <f>_xlfn.CONCAT(TAB_CS[[#This Row],[Company]],TAB_CS[[#This Row],[Business perimeter]])</f>
        <v>EDDANB</v>
      </c>
      <c r="R43" s="150" t="str">
        <f>_xlfn.IFNA(IF(ISBLANK(TAB_CS[[#This Row],[Ressource]]),"",VLOOKUP(TAB_CS[[#This Row],[Reference]],TAB_Offres[[Reference]:[Profile]],COLUMNS(TAB_Offres[[Reference]:[Profile]]),FALSE)),"")</f>
        <v>Workplace security specialist</v>
      </c>
      <c r="S43" s="1">
        <f>_xlfn.IFNA(IF(ISBLANK(TAB_CS[[#This Row],[Ressource]]),"",VLOOKUP(TAB_CS[[#This Row],[Reference]],TAB_Offres[[Reference]:[Level]],COLUMNS(TAB_Offres[[Reference]:[Level]]),FALSE)),"")</f>
        <v>5</v>
      </c>
      <c r="T43" s="127">
        <f>_xlfn.IFNA(IF(OR(ISBLANK(TAB_CS[[#This Row],[Level]]),TAB_CS[[#This Row],[Level]]=""),,VLOOKUP(TAB_CS[[#This Row],[Profile]],TAB_prix[],2+TAB_CS[[#This Row],[Level]],FALSE)),)</f>
        <v>442.79</v>
      </c>
      <c r="U43" s="13">
        <v>220</v>
      </c>
      <c r="V43" s="189">
        <f>IF(OR(ISBLANK(TAB_CS[[#This Row],[Commited days]]),TAB_CS[[#This Row],[Commited days]]=0),,TAB_CS[[#This Row],[Commited days]]*TAB_CS[[#This Row],[Profile in €]])</f>
        <v>97413.8</v>
      </c>
      <c r="W43" s="127">
        <f>SUM(TAB_CS[[#This Row],[F]:[P+1]])-TAB_CS[[#This Row],[P+1]]</f>
        <v>220</v>
      </c>
      <c r="X43" s="189">
        <f>IF(OR(ISBLANK(TAB_CS[[#This Row],[Producted days]]),TAB_CS[[#This Row],[Producted days]]=0),,TAB_CS[[#This Row],[Producted days]]*TAB_CS[[#This Row],[Profile in €]])</f>
        <v>97413.8</v>
      </c>
      <c r="Y43" s="188">
        <f>TAB_CS[[#This Row],[Commited days]]-TAB_CS[[#This Row],[Producted days]]</f>
        <v>0</v>
      </c>
      <c r="Z43" s="189">
        <f>IF(OR(ISBLANK(TAB_CS[[#This Row],[Remaining days]]),TAB_CS[[#This Row],[Remaining days]]=0),,TAB_CS[[#This Row],[Remaining days]]*TAB_CS[[#This Row],[Profile in €]])</f>
        <v>0</v>
      </c>
      <c r="AA43" s="187">
        <f>SUM(TAB_CS[[#This Row],[P+1]:[FP]])</f>
        <v>0</v>
      </c>
      <c r="AB43" s="10">
        <f>IF(OR(ISBLANK(TAB_CS[[#This Row],[Expected days]]),TAB_CS[[#This Row],[Expected days]]=0),,TAB_CS[[#This Row],[Expected days]]*TAB_CS[[#This Row],[Profile in €]])</f>
        <v>0</v>
      </c>
      <c r="AC43" s="10" t="str">
        <f>CONCATENATE(TAB_CS[[#This Row],[DG]],TAB_CS[[#This Row],[Company]])</f>
        <v>HREDDA</v>
      </c>
      <c r="AD43" s="144"/>
      <c r="AE43" s="150"/>
      <c r="AF43" s="151"/>
      <c r="AG43" s="151"/>
      <c r="AH43" s="151"/>
      <c r="AI43" s="150"/>
      <c r="AJ43" s="151"/>
      <c r="AK43" s="156"/>
      <c r="AL43" s="156"/>
      <c r="AM43" s="156"/>
      <c r="AN43" s="156"/>
      <c r="AO43" s="156"/>
      <c r="AP43" s="351">
        <v>17</v>
      </c>
      <c r="AQ43" s="351">
        <v>18</v>
      </c>
      <c r="AR43" s="351">
        <v>17</v>
      </c>
      <c r="AS43" s="351">
        <v>21</v>
      </c>
      <c r="AT43" s="351">
        <v>21</v>
      </c>
      <c r="AU43" s="351">
        <v>12</v>
      </c>
      <c r="AV43" s="351">
        <v>21</v>
      </c>
      <c r="AW43" s="351">
        <v>21</v>
      </c>
      <c r="AX43" s="351">
        <v>19</v>
      </c>
      <c r="AY43" s="351">
        <v>15</v>
      </c>
      <c r="AZ43" s="351">
        <v>18</v>
      </c>
      <c r="BA43" s="351">
        <v>15</v>
      </c>
      <c r="BB43" s="351">
        <v>5</v>
      </c>
      <c r="BC43" s="643"/>
      <c r="BD43" s="643"/>
      <c r="BE43" s="643"/>
      <c r="BF43" s="643"/>
      <c r="BG43" s="643"/>
      <c r="BH43" s="643"/>
      <c r="BI43" s="173"/>
      <c r="BJ43" s="643"/>
      <c r="BK43" s="643"/>
      <c r="BL43" s="643"/>
      <c r="BM43" s="173"/>
      <c r="BN43" s="643"/>
      <c r="BO43" s="643"/>
      <c r="BP43" s="643"/>
      <c r="BQ43" s="643"/>
      <c r="BR43" s="643"/>
      <c r="BS43" s="643"/>
      <c r="BT43" s="643"/>
      <c r="BU43" s="643"/>
      <c r="BV43" s="643"/>
      <c r="BW43" s="643"/>
      <c r="BX43" s="643"/>
      <c r="BY43" s="643"/>
      <c r="BZ43" s="223"/>
    </row>
    <row r="44" spans="1:78" ht="12.75" customHeight="1" x14ac:dyDescent="0.3">
      <c r="A44" s="1">
        <f>IF(ISBLANK(TAB_CS[[#This Row],[Reference]]),"",INDEX(TAB_Offres[ID],MATCH(TAB_CS[[#This Row],[Reference]],TAB_Offres[Reference],0)))</f>
        <v>42</v>
      </c>
      <c r="B44" s="26" t="s">
        <v>538</v>
      </c>
      <c r="C44" s="150" t="s">
        <v>5638</v>
      </c>
      <c r="D44" s="1" t="str">
        <f>IF(ISBLANK(TAB_CS[[#This Row],[Reference]]),"",VLOOKUP(TAB_CS[[#This Row],[ID]],TAB_Offres[],2,FALSE))</f>
        <v>Lot 3</v>
      </c>
      <c r="E44" s="150" t="s">
        <v>5920</v>
      </c>
      <c r="F44" s="26">
        <f>_xlfn.IFNA(IF(ISBLANK(TAB_CS[[#This Row],[Reference]]),"",VLOOKUP(TAB_CS[[#This Row],[Reference]],TAB_Offres[[Reference]:[Modification Request]],COLUMNS(TAB_Offres[[Reference]:[Modification Request]]),FALSE)),)</f>
        <v>0</v>
      </c>
      <c r="G44" s="1" t="str">
        <f>IF(ISBLANK(TAB_CS[[#This Row],[Reference]]),"",INDEX(TAB_Offres[Institution/agency],MATCH(TAB_CS[[#This Row],[Reference]],TAB_Offres[Reference],0)))</f>
        <v>EC</v>
      </c>
      <c r="H44" s="1" t="str">
        <f>IF(ISBLANK(TAB_CS[[#This Row],[Reference]]),"",INDEX(TAB_Offres[DG],MATCH(TAB_CS[[#This Row],[Reference]],TAB_Offres[Reference],0)))</f>
        <v>EMPL</v>
      </c>
      <c r="I44" t="str">
        <f>IF(ISBLANK(TAB_CS[[#This Row],[Reference]]),"",INDEX(TAB_Offres[Offer description],MATCH(TAB_CS[[#This Row],[Reference]],TAB_Offres[Reference],0)))</f>
        <v>Onboarding manager for EUROPASS project</v>
      </c>
      <c r="J44" s="155">
        <f>_xlfn.IFNA(IF(ISBLANK(TAB_CS[[#This Row],[Ressource]]),,VLOOKUP(TAB_CS[[#This Row],[Reference]],TAB_Offres[[Reference]:[CS signature date]],COLUMNS(TAB_Offres[[Reference]:[CS signature date]]),FALSE)),"")</f>
        <v>44985</v>
      </c>
      <c r="K44" s="155">
        <f>_xlfn.IFNA(IF(ISBLANK(TAB_CS[[#This Row],[Ressource]]),,VLOOKUP(TAB_CS[[#This Row],[Reference]],TAB_Offres[[Reference]:[CS start date]],COLUMNS(TAB_Offres[[Reference]:[CS start date]]),FALSE)),"")</f>
        <v>44985</v>
      </c>
      <c r="L44" s="155">
        <f>_xlfn.IFNA(IF(ISBLANK(TAB_CS[[#This Row],[Ressource]]),,VLOOKUP(TAB_CS[[#This Row],[Reference]],TAB_Offres[[Reference]:[CS end date]],COLUMNS(TAB_Offres[[Reference]:[CS end date]]),FALSE)),"")</f>
        <v>45473</v>
      </c>
      <c r="M44" s="1" t="str">
        <f>_xlfn.IFNA(IF(ISBLANK(TAB_CS[[#This Row],[Ressource]]),,VLOOKUP(TAB_CS[[#This Row],[Reference]],TAB_Offres[[Reference]:[CS State]],COLUMNS(TAB_Offres[[Reference]:[CS State]]),FALSE)),"")</f>
        <v>PENDING</v>
      </c>
      <c r="N44" s="26" t="str">
        <f>VLOOKUP(TAB_CS[[#This Row],[Reference]],TAB_Offres[[Reference]:[Ressource 1]],25,FALSE)</f>
        <v>COOKE, Justin</v>
      </c>
      <c r="O44" s="1" t="str">
        <f>_xlfn.IFNA(IF(ISBLANK(TAB_CS[[#This Row],[Ressource]]),,VLOOKUP(TAB_CS[[#This Row],[Reference]],TAB_Offres[[Reference]:[Company]],COLUMNS(TAB_Offres[[Reference]:[Company]]),FALSE)),"")</f>
        <v>CGI LUX</v>
      </c>
      <c r="P44" s="1" t="str">
        <f>_xlfn.CONCAT(TAB_CS[[#This Row],[Ressource]],TAB_CS[[#This Row],[Profile in €]])</f>
        <v>COOKE, Justin865,54</v>
      </c>
      <c r="Q44" s="1" t="str">
        <f>_xlfn.CONCAT(TAB_CS[[#This Row],[Company]],TAB_CS[[#This Row],[Business perimeter]])</f>
        <v>CGI LUXNB</v>
      </c>
      <c r="R44" s="150" t="str">
        <f>_xlfn.IFNA(IF(ISBLANK(TAB_CS[[#This Row],[Ressource]]),"",VLOOKUP(TAB_CS[[#This Row],[Reference]],TAB_Offres[[Reference]:[Profile]],COLUMNS(TAB_Offres[[Reference]:[Profile]]),FALSE)),"")</f>
        <v>Onboarding manager</v>
      </c>
      <c r="S44" s="1">
        <f>_xlfn.IFNA(IF(ISBLANK(TAB_CS[[#This Row],[Ressource]]),"",VLOOKUP(TAB_CS[[#This Row],[Reference]],TAB_Offres[[Reference]:[Level]],COLUMNS(TAB_Offres[[Reference]:[Level]]),FALSE)),"")</f>
        <v>10</v>
      </c>
      <c r="T44" s="127">
        <f>_xlfn.IFNA(IF(OR(ISBLANK(TAB_CS[[#This Row],[Level]]),TAB_CS[[#This Row],[Level]]=""),,VLOOKUP(TAB_CS[[#This Row],[Profile]],TAB_prix[],2+TAB_CS[[#This Row],[Level]],FALSE)),)</f>
        <v>865.54</v>
      </c>
      <c r="U44" s="13">
        <v>220</v>
      </c>
      <c r="V44" s="189">
        <f>IF(OR(ISBLANK(TAB_CS[[#This Row],[Commited days]]),TAB_CS[[#This Row],[Commited days]]=0),,TAB_CS[[#This Row],[Commited days]]*TAB_CS[[#This Row],[Profile in €]])</f>
        <v>190418.8</v>
      </c>
      <c r="W44" s="127">
        <f>SUM(TAB_CS[[#This Row],[F]:[P+1]])-TAB_CS[[#This Row],[P+1]]</f>
        <v>220</v>
      </c>
      <c r="X44" s="189">
        <f>IF(OR(ISBLANK(TAB_CS[[#This Row],[Producted days]]),TAB_CS[[#This Row],[Producted days]]=0),,TAB_CS[[#This Row],[Producted days]]*TAB_CS[[#This Row],[Profile in €]])</f>
        <v>190418.8</v>
      </c>
      <c r="Y44" s="188">
        <f>TAB_CS[[#This Row],[Commited days]]-TAB_CS[[#This Row],[Producted days]]</f>
        <v>0</v>
      </c>
      <c r="Z44" s="189">
        <f>IF(OR(ISBLANK(TAB_CS[[#This Row],[Remaining days]]),TAB_CS[[#This Row],[Remaining days]]=0),,TAB_CS[[#This Row],[Remaining days]]*TAB_CS[[#This Row],[Profile in €]])</f>
        <v>0</v>
      </c>
      <c r="AA44" s="187">
        <f>SUM(TAB_CS[[#This Row],[P+1]:[FP]])</f>
        <v>0</v>
      </c>
      <c r="AB44" s="10">
        <f>IF(OR(ISBLANK(TAB_CS[[#This Row],[Expected days]]),TAB_CS[[#This Row],[Expected days]]=0),,TAB_CS[[#This Row],[Expected days]]*TAB_CS[[#This Row],[Profile in €]])</f>
        <v>0</v>
      </c>
      <c r="AC44" s="10" t="str">
        <f>CONCATENATE(TAB_CS[[#This Row],[DG]],TAB_CS[[#This Row],[Company]])</f>
        <v>EMPLCGI LUX</v>
      </c>
      <c r="AD44" s="144"/>
      <c r="AE44" s="1"/>
      <c r="AF44" s="13"/>
      <c r="AG44" s="13"/>
      <c r="AH44" s="13"/>
      <c r="AI44" s="1"/>
      <c r="AJ44" s="13"/>
      <c r="AK44" s="127"/>
      <c r="AL44" s="127"/>
      <c r="AM44" s="156"/>
      <c r="AN44" s="127"/>
      <c r="AO44" s="127"/>
      <c r="AP44" s="127"/>
      <c r="AQ44" s="354">
        <v>16</v>
      </c>
      <c r="AR44" s="354">
        <v>15.5</v>
      </c>
      <c r="AS44" s="354">
        <v>21.5</v>
      </c>
      <c r="AT44" s="351">
        <v>15.5</v>
      </c>
      <c r="AU44" s="351">
        <v>9</v>
      </c>
      <c r="AV44" s="351">
        <v>20</v>
      </c>
      <c r="AW44" s="351">
        <v>22</v>
      </c>
      <c r="AX44" s="351">
        <v>20</v>
      </c>
      <c r="AY44" s="351">
        <v>16</v>
      </c>
      <c r="AZ44" s="226">
        <v>18</v>
      </c>
      <c r="BA44" s="351">
        <v>17</v>
      </c>
      <c r="BB44" s="351">
        <v>18</v>
      </c>
      <c r="BC44" s="351">
        <v>11.5</v>
      </c>
      <c r="BD44" s="643"/>
      <c r="BE44" s="643"/>
      <c r="BF44" s="643"/>
      <c r="BG44" s="643"/>
      <c r="BH44" s="643"/>
      <c r="BI44" s="173"/>
      <c r="BJ44" s="643"/>
      <c r="BK44" s="643"/>
      <c r="BL44" s="643"/>
      <c r="BM44" s="173"/>
      <c r="BN44" s="643"/>
      <c r="BO44" s="643"/>
      <c r="BP44" s="643"/>
      <c r="BQ44" s="643"/>
      <c r="BR44" s="643"/>
      <c r="BS44" s="643"/>
      <c r="BT44" s="643"/>
      <c r="BU44" s="643"/>
      <c r="BV44" s="643"/>
      <c r="BW44" s="643"/>
      <c r="BX44" s="643"/>
      <c r="BY44" s="643"/>
      <c r="BZ44" s="223"/>
    </row>
    <row r="45" spans="1:78" ht="12.75" customHeight="1" x14ac:dyDescent="0.3">
      <c r="A45" s="1">
        <f>IF(ISBLANK(TAB_CS[[#This Row],[Reference]]),"",INDEX(TAB_Offres[ID],MATCH(TAB_CS[[#This Row],[Reference]],TAB_Offres[Reference],0)))</f>
        <v>43</v>
      </c>
      <c r="B45" s="26" t="s">
        <v>540</v>
      </c>
      <c r="C45" s="150" t="s">
        <v>5639</v>
      </c>
      <c r="D45" s="1" t="str">
        <f>IF(ISBLANK(TAB_CS[[#This Row],[Reference]]),"",VLOOKUP(TAB_CS[[#This Row],[ID]],TAB_Offres[],2,FALSE))</f>
        <v>Lot 1</v>
      </c>
      <c r="E45" s="150" t="s">
        <v>5920</v>
      </c>
      <c r="F45" s="26">
        <f>_xlfn.IFNA(IF(ISBLANK(TAB_CS[[#This Row],[Reference]]),"",VLOOKUP(TAB_CS[[#This Row],[Reference]],TAB_Offres[[Reference]:[Modification Request]],COLUMNS(TAB_Offres[[Reference]:[Modification Request]]),FALSE)),)</f>
        <v>0</v>
      </c>
      <c r="G45" s="1" t="str">
        <f>IF(ISBLANK(TAB_CS[[#This Row],[Reference]]),"",INDEX(TAB_Offres[Institution/agency],MATCH(TAB_CS[[#This Row],[Reference]],TAB_Offres[Reference],0)))</f>
        <v>EC</v>
      </c>
      <c r="H45" s="1" t="str">
        <f>IF(ISBLANK(TAB_CS[[#This Row],[Reference]]),"",INDEX(TAB_Offres[DG],MATCH(TAB_CS[[#This Row],[Reference]],TAB_Offres[Reference],0)))</f>
        <v>DIGIT.B.3</v>
      </c>
      <c r="I45" t="str">
        <f>IF(ISBLANK(TAB_CS[[#This Row],[Reference]]),"",INDEX(TAB_Offres[Offer description],MATCH(TAB_CS[[#This Row],[Reference]],TAB_Offres[Reference],0)))</f>
        <v>Full stack Developer Level 8 Far-Site Comref</v>
      </c>
      <c r="J45" s="155">
        <f>_xlfn.IFNA(IF(ISBLANK(TAB_CS[[#This Row],[Ressource]]),,VLOOKUP(TAB_CS[[#This Row],[Reference]],TAB_Offres[[Reference]:[CS signature date]],COLUMNS(TAB_Offres[[Reference]:[CS signature date]]),FALSE)),"")</f>
        <v>44993</v>
      </c>
      <c r="K45" s="155">
        <f>_xlfn.IFNA(IF(ISBLANK(TAB_CS[[#This Row],[Ressource]]),,VLOOKUP(TAB_CS[[#This Row],[Reference]],TAB_Offres[[Reference]:[CS start date]],COLUMNS(TAB_Offres[[Reference]:[CS start date]]),FALSE)),"")</f>
        <v>0</v>
      </c>
      <c r="L45" s="155">
        <f>_xlfn.IFNA(IF(ISBLANK(TAB_CS[[#This Row],[Ressource]]),,VLOOKUP(TAB_CS[[#This Row],[Reference]],TAB_Offres[[Reference]:[CS end date]],COLUMNS(TAB_Offres[[Reference]:[CS end date]]),FALSE)),"")</f>
        <v>45565</v>
      </c>
      <c r="M45" s="1" t="str">
        <f>_xlfn.IFNA(IF(ISBLANK(TAB_CS[[#This Row],[Ressource]]),,VLOOKUP(TAB_CS[[#This Row],[Reference]],TAB_Offres[[Reference]:[CS State]],COLUMNS(TAB_Offres[[Reference]:[CS State]]),FALSE)),"")</f>
        <v>CLOSE</v>
      </c>
      <c r="N45" s="26" t="str">
        <f>VLOOKUP(TAB_CS[[#This Row],[Reference]],TAB_Offres[[Reference]:[Ressource 1]],25,FALSE)</f>
        <v>MEDAN, Andrei</v>
      </c>
      <c r="O45" s="1" t="str">
        <f>_xlfn.IFNA(IF(ISBLANK(TAB_CS[[#This Row],[Ressource]]),,VLOOKUP(TAB_CS[[#This Row],[Reference]],TAB_Offres[[Reference]:[Company]],COLUMNS(TAB_Offres[[Reference]:[Company]]),FALSE)),"")</f>
        <v>EDDA</v>
      </c>
      <c r="P45" s="1" t="str">
        <f>_xlfn.CONCAT(TAB_CS[[#This Row],[Ressource]],TAB_CS[[#This Row],[Profile in €]])</f>
        <v>MEDAN, Andrei463,9</v>
      </c>
      <c r="Q45" s="1" t="str">
        <f>_xlfn.CONCAT(TAB_CS[[#This Row],[Company]],TAB_CS[[#This Row],[Business perimeter]])</f>
        <v>EDDANB</v>
      </c>
      <c r="R45" s="150" t="str">
        <f>_xlfn.IFNA(IF(ISBLANK(TAB_CS[[#This Row],[Ressource]]),"",VLOOKUP(TAB_CS[[#This Row],[Reference]],TAB_Offres[[Reference]:[Profile]],COLUMNS(TAB_Offres[[Reference]:[Profile]]),FALSE)),"")</f>
        <v>Full-stack developer-FAR</v>
      </c>
      <c r="S45" s="1">
        <f>_xlfn.IFNA(IF(ISBLANK(TAB_CS[[#This Row],[Ressource]]),"",VLOOKUP(TAB_CS[[#This Row],[Reference]],TAB_Offres[[Reference]:[Level]],COLUMNS(TAB_Offres[[Reference]:[Level]]),FALSE)),"")</f>
        <v>8</v>
      </c>
      <c r="T45" s="127">
        <f>_xlfn.IFNA(IF(OR(ISBLANK(TAB_CS[[#This Row],[Level]]),TAB_CS[[#This Row],[Level]]=""),,VLOOKUP(TAB_CS[[#This Row],[Profile]],TAB_prix[],2+TAB_CS[[#This Row],[Level]],FALSE)),)</f>
        <v>463.9</v>
      </c>
      <c r="U45" s="13">
        <v>120</v>
      </c>
      <c r="V45" s="189">
        <f>IF(OR(ISBLANK(TAB_CS[[#This Row],[Commited days]]),TAB_CS[[#This Row],[Commited days]]=0),,TAB_CS[[#This Row],[Commited days]]*TAB_CS[[#This Row],[Profile in €]])</f>
        <v>55668</v>
      </c>
      <c r="W45" s="127">
        <f>SUM(TAB_CS[[#This Row],[F]:[P+1]])-TAB_CS[[#This Row],[P+1]]</f>
        <v>120</v>
      </c>
      <c r="X45" s="189">
        <f>IF(OR(ISBLANK(TAB_CS[[#This Row],[Producted days]]),TAB_CS[[#This Row],[Producted days]]=0),,TAB_CS[[#This Row],[Producted days]]*TAB_CS[[#This Row],[Profile in €]])</f>
        <v>55668</v>
      </c>
      <c r="Y45" s="188">
        <f>TAB_CS[[#This Row],[Commited days]]-TAB_CS[[#This Row],[Producted days]]</f>
        <v>0</v>
      </c>
      <c r="Z45" s="189">
        <f>IF(OR(ISBLANK(TAB_CS[[#This Row],[Remaining days]]),TAB_CS[[#This Row],[Remaining days]]=0),,TAB_CS[[#This Row],[Remaining days]]*TAB_CS[[#This Row],[Profile in €]])</f>
        <v>0</v>
      </c>
      <c r="AA45" s="187">
        <f>SUM(TAB_CS[[#This Row],[P+1]:[FP]])</f>
        <v>0</v>
      </c>
      <c r="AB45" s="10">
        <f>IF(OR(ISBLANK(TAB_CS[[#This Row],[Expected days]]),TAB_CS[[#This Row],[Expected days]]=0),,TAB_CS[[#This Row],[Expected days]]*TAB_CS[[#This Row],[Profile in €]])</f>
        <v>0</v>
      </c>
      <c r="AC45" s="10" t="str">
        <f>CONCATENATE(TAB_CS[[#This Row],[DG]],TAB_CS[[#This Row],[Company]])</f>
        <v>DIGIT.B.3EDDA</v>
      </c>
      <c r="AD45" s="144"/>
      <c r="AE45" s="1"/>
      <c r="AF45" s="13"/>
      <c r="AG45" s="13"/>
      <c r="AH45" s="13"/>
      <c r="AI45" s="1"/>
      <c r="AJ45" s="13"/>
      <c r="AK45" s="1"/>
      <c r="AL45" s="1"/>
      <c r="AM45" s="150"/>
      <c r="AN45" s="1"/>
      <c r="AO45" s="1"/>
      <c r="AP45" s="358">
        <v>4</v>
      </c>
      <c r="AQ45" s="358">
        <v>16.5</v>
      </c>
      <c r="AR45" s="354">
        <v>19</v>
      </c>
      <c r="AS45" s="354">
        <v>20</v>
      </c>
      <c r="AT45" s="351">
        <v>17.5</v>
      </c>
      <c r="AU45" s="351">
        <v>17.5</v>
      </c>
      <c r="AV45" s="351">
        <v>14.5</v>
      </c>
      <c r="AW45" s="351">
        <v>11</v>
      </c>
      <c r="AX45" s="643"/>
      <c r="AY45" s="643"/>
      <c r="AZ45" s="643"/>
      <c r="BA45" s="643"/>
      <c r="BB45" s="643"/>
      <c r="BC45" s="643"/>
      <c r="BD45" s="643"/>
      <c r="BE45" s="643"/>
      <c r="BF45" s="643"/>
      <c r="BG45" s="643"/>
      <c r="BH45" s="643"/>
      <c r="BI45" s="173"/>
      <c r="BJ45" s="643"/>
      <c r="BK45" s="643"/>
      <c r="BL45" s="643"/>
      <c r="BM45" s="173"/>
      <c r="BN45" s="643"/>
      <c r="BO45" s="643"/>
      <c r="BP45" s="643"/>
      <c r="BQ45" s="643"/>
      <c r="BR45" s="643"/>
      <c r="BS45" s="643"/>
      <c r="BT45" s="643"/>
      <c r="BU45" s="643"/>
      <c r="BV45" s="643"/>
      <c r="BW45" s="643"/>
      <c r="BX45" s="643"/>
      <c r="BY45" s="643"/>
      <c r="BZ45" s="223"/>
    </row>
    <row r="46" spans="1:78" ht="12.75" customHeight="1" x14ac:dyDescent="0.3">
      <c r="A46" s="1">
        <f>IF(ISBLANK(TAB_CS[[#This Row],[Reference]]),"",INDEX(TAB_Offres[ID],MATCH(TAB_CS[[#This Row],[Reference]],TAB_Offres[Reference],0)))</f>
        <v>44</v>
      </c>
      <c r="B46" s="26" t="s">
        <v>544</v>
      </c>
      <c r="C46" s="150" t="s">
        <v>5640</v>
      </c>
      <c r="D46" s="1" t="str">
        <f>IF(ISBLANK(TAB_CS[[#This Row],[Reference]]),"",VLOOKUP(TAB_CS[[#This Row],[ID]],TAB_Offres[],2,FALSE))</f>
        <v>Lot 3</v>
      </c>
      <c r="E46" s="150" t="s">
        <v>5920</v>
      </c>
      <c r="F46" s="26">
        <f>_xlfn.IFNA(IF(ISBLANK(TAB_CS[[#This Row],[Reference]]),"",VLOOKUP(TAB_CS[[#This Row],[Reference]],TAB_Offres[[Reference]:[Modification Request]],COLUMNS(TAB_Offres[[Reference]:[Modification Request]]),FALSE)),)</f>
        <v>0</v>
      </c>
      <c r="G46" s="150" t="str">
        <f>IF(ISBLANK(TAB_CS[[#This Row],[Reference]]),"",INDEX(TAB_Offres[Institution/agency],MATCH(TAB_CS[[#This Row],[Reference]],TAB_Offres[Reference],0)))</f>
        <v>EC</v>
      </c>
      <c r="H46" s="150" t="str">
        <f>IF(ISBLANK(TAB_CS[[#This Row],[Reference]]),"",INDEX(TAB_Offres[DG],MATCH(TAB_CS[[#This Row],[Reference]],TAB_Offres[Reference],0)))</f>
        <v>EMPL</v>
      </c>
      <c r="I46" t="str">
        <f>IF(ISBLANK(TAB_CS[[#This Row],[Reference]]),"",INDEX(TAB_Offres[Offer description],MATCH(TAB_CS[[#This Row],[Reference]],TAB_Offres[Reference],0)))</f>
        <v>Onboarding manager for Europass project</v>
      </c>
      <c r="J46" s="155">
        <f>_xlfn.IFNA(IF(ISBLANK(TAB_CS[[#This Row],[Ressource]]),,VLOOKUP(TAB_CS[[#This Row],[Reference]],TAB_Offres[[Reference]:[CS signature date]],COLUMNS(TAB_Offres[[Reference]:[CS signature date]]),FALSE)),"")</f>
        <v>45007</v>
      </c>
      <c r="K46" s="155">
        <f>_xlfn.IFNA(IF(ISBLANK(TAB_CS[[#This Row],[Ressource]]),,VLOOKUP(TAB_CS[[#This Row],[Reference]],TAB_Offres[[Reference]:[CS start date]],COLUMNS(TAB_Offres[[Reference]:[CS start date]]),FALSE)),"")</f>
        <v>45007</v>
      </c>
      <c r="L46" s="155">
        <f>_xlfn.IFNA(IF(ISBLANK(TAB_CS[[#This Row],[Ressource]]),,VLOOKUP(TAB_CS[[#This Row],[Reference]],TAB_Offres[[Reference]:[CS end date]],COLUMNS(TAB_Offres[[Reference]:[CS end date]]),FALSE)),"")</f>
        <v>45473</v>
      </c>
      <c r="M46" s="1" t="str">
        <f>_xlfn.IFNA(IF(ISBLANK(TAB_CS[[#This Row],[Ressource]]),,VLOOKUP(TAB_CS[[#This Row],[Reference]],TAB_Offres[[Reference]:[CS State]],COLUMNS(TAB_Offres[[Reference]:[CS State]]),FALSE)),"")</f>
        <v>PENDING</v>
      </c>
      <c r="N46" s="26" t="str">
        <f>VLOOKUP(TAB_CS[[#This Row],[Reference]],TAB_Offres[[Reference]:[Ressource 1]],25,FALSE)</f>
        <v>NICULESCU, Calin</v>
      </c>
      <c r="O46" s="1" t="str">
        <f>_xlfn.IFNA(IF(ISBLANK(TAB_CS[[#This Row],[Ressource]]),,VLOOKUP(TAB_CS[[#This Row],[Reference]],TAB_Offres[[Reference]:[Company]],COLUMNS(TAB_Offres[[Reference]:[Company]]),FALSE)),"")</f>
        <v>CGI LUX</v>
      </c>
      <c r="P46" s="1" t="str">
        <f>_xlfn.CONCAT(TAB_CS[[#This Row],[Ressource]],TAB_CS[[#This Row],[Profile in €]])</f>
        <v>NICULESCU, Calin865,54</v>
      </c>
      <c r="Q46" s="1" t="str">
        <f>_xlfn.CONCAT(TAB_CS[[#This Row],[Company]],TAB_CS[[#This Row],[Business perimeter]])</f>
        <v>CGI LUXNB</v>
      </c>
      <c r="R46" s="1" t="str">
        <f>_xlfn.IFNA(IF(ISBLANK(TAB_CS[[#This Row],[Ressource]]),"",VLOOKUP(TAB_CS[[#This Row],[Reference]],TAB_Offres[[Reference]:[Profile]],COLUMNS(TAB_Offres[[Reference]:[Profile]]),FALSE)),"")</f>
        <v>Onboarding manager</v>
      </c>
      <c r="S46" s="150">
        <f>_xlfn.IFNA(IF(ISBLANK(TAB_CS[[#This Row],[Ressource]]),"",VLOOKUP(TAB_CS[[#This Row],[Reference]],TAB_Offres[[Reference]:[Level]],COLUMNS(TAB_Offres[[Reference]:[Level]]),FALSE)),"")</f>
        <v>10</v>
      </c>
      <c r="T46" s="127">
        <f>_xlfn.IFNA(IF(OR(ISBLANK(TAB_CS[[#This Row],[Level]]),TAB_CS[[#This Row],[Level]]=""),,VLOOKUP(TAB_CS[[#This Row],[Profile]],TAB_prix[],2+TAB_CS[[#This Row],[Level]],FALSE)),)</f>
        <v>865.54</v>
      </c>
      <c r="U46" s="13">
        <v>220</v>
      </c>
      <c r="V46" s="189">
        <f>IF(OR(ISBLANK(TAB_CS[[#This Row],[Commited days]]),TAB_CS[[#This Row],[Commited days]]=0),,TAB_CS[[#This Row],[Commited days]]*TAB_CS[[#This Row],[Profile in €]])</f>
        <v>190418.8</v>
      </c>
      <c r="W46" s="127">
        <f>SUM(TAB_CS[[#This Row],[F]:[P+1]])-TAB_CS[[#This Row],[P+1]]</f>
        <v>220</v>
      </c>
      <c r="X46" s="189">
        <f>IF(OR(ISBLANK(TAB_CS[[#This Row],[Producted days]]),TAB_CS[[#This Row],[Producted days]]=0),,TAB_CS[[#This Row],[Producted days]]*TAB_CS[[#This Row],[Profile in €]])</f>
        <v>190418.8</v>
      </c>
      <c r="Y46" s="188">
        <f>TAB_CS[[#This Row],[Commited days]]-TAB_CS[[#This Row],[Producted days]]</f>
        <v>0</v>
      </c>
      <c r="Z46" s="189">
        <f>IF(OR(ISBLANK(TAB_CS[[#This Row],[Remaining days]]),TAB_CS[[#This Row],[Remaining days]]=0),,TAB_CS[[#This Row],[Remaining days]]*TAB_CS[[#This Row],[Profile in €]])</f>
        <v>0</v>
      </c>
      <c r="AA46" s="187">
        <f>SUM(TAB_CS[[#This Row],[P+1]:[FP]])</f>
        <v>0</v>
      </c>
      <c r="AB46" s="10">
        <f>IF(OR(ISBLANK(TAB_CS[[#This Row],[Expected days]]),TAB_CS[[#This Row],[Expected days]]=0),,TAB_CS[[#This Row],[Expected days]]*TAB_CS[[#This Row],[Profile in €]])</f>
        <v>0</v>
      </c>
      <c r="AC46" s="14" t="str">
        <f>CONCATENATE(TAB_CS[[#This Row],[DG]],TAB_CS[[#This Row],[Company]])</f>
        <v>EMPLCGI LUX</v>
      </c>
      <c r="AD46" s="144"/>
      <c r="AE46" s="150"/>
      <c r="AF46" s="151"/>
      <c r="AG46" s="151"/>
      <c r="AH46" s="151"/>
      <c r="AI46" s="150"/>
      <c r="AJ46" s="151"/>
      <c r="AK46" s="156"/>
      <c r="AL46" s="156"/>
      <c r="AM46" s="150"/>
      <c r="AN46" s="179"/>
      <c r="AO46" s="150"/>
      <c r="AP46" s="150"/>
      <c r="AQ46" s="359">
        <v>13</v>
      </c>
      <c r="AR46" s="354">
        <v>17</v>
      </c>
      <c r="AS46" s="354">
        <v>22</v>
      </c>
      <c r="AT46" s="351">
        <v>14</v>
      </c>
      <c r="AU46" s="351">
        <v>18</v>
      </c>
      <c r="AV46" s="351">
        <v>18</v>
      </c>
      <c r="AW46" s="351">
        <v>21</v>
      </c>
      <c r="AX46" s="351">
        <v>16.5</v>
      </c>
      <c r="AY46" s="351">
        <v>15</v>
      </c>
      <c r="AZ46" s="351">
        <v>19.5</v>
      </c>
      <c r="BA46" s="351">
        <v>18</v>
      </c>
      <c r="BB46" s="351">
        <v>18.5</v>
      </c>
      <c r="BC46" s="351">
        <v>9.5</v>
      </c>
      <c r="BD46" s="643"/>
      <c r="BE46" s="643"/>
      <c r="BF46" s="643"/>
      <c r="BG46" s="643"/>
      <c r="BH46" s="643"/>
      <c r="BI46" s="173"/>
      <c r="BJ46" s="643"/>
      <c r="BK46" s="643"/>
      <c r="BL46" s="643"/>
      <c r="BM46" s="173"/>
      <c r="BN46" s="643"/>
      <c r="BO46" s="643"/>
      <c r="BP46" s="643"/>
      <c r="BQ46" s="643"/>
      <c r="BR46" s="643"/>
      <c r="BS46" s="643"/>
      <c r="BT46" s="643"/>
      <c r="BU46" s="643"/>
      <c r="BV46" s="643"/>
      <c r="BW46" s="643"/>
      <c r="BX46" s="643"/>
      <c r="BY46" s="643"/>
      <c r="BZ46" s="223"/>
    </row>
    <row r="47" spans="1:78" ht="12.75" customHeight="1" x14ac:dyDescent="0.3">
      <c r="A47" s="1">
        <f>IF(ISBLANK(TAB_CS[[#This Row],[Reference]]),"",INDEX(TAB_Offres[ID],MATCH(TAB_CS[[#This Row],[Reference]],TAB_Offres[Reference],0)))</f>
        <v>45</v>
      </c>
      <c r="B47" s="26" t="s">
        <v>546</v>
      </c>
      <c r="C47" s="150" t="s">
        <v>5641</v>
      </c>
      <c r="D47" s="1" t="str">
        <f>IF(ISBLANK(TAB_CS[[#This Row],[Reference]]),"",VLOOKUP(TAB_CS[[#This Row],[ID]],TAB_Offres[],2,FALSE))</f>
        <v>Lot 1</v>
      </c>
      <c r="E47" s="150" t="s">
        <v>5920</v>
      </c>
      <c r="F47" s="26">
        <f>_xlfn.IFNA(IF(ISBLANK(TAB_CS[[#This Row],[Reference]]),"",VLOOKUP(TAB_CS[[#This Row],[Reference]],TAB_Offres[[Reference]:[Modification Request]],COLUMNS(TAB_Offres[[Reference]:[Modification Request]]),FALSE)),)</f>
        <v>0</v>
      </c>
      <c r="G47" s="150" t="str">
        <f>IF(ISBLANK(TAB_CS[[#This Row],[Reference]]),"",INDEX(TAB_Offres[Institution/agency],MATCH(TAB_CS[[#This Row],[Reference]],TAB_Offres[Reference],0)))</f>
        <v>REA</v>
      </c>
      <c r="H47" s="150" t="str">
        <f>IF(ISBLANK(TAB_CS[[#This Row],[Reference]]),"",INDEX(TAB_Offres[DG],MATCH(TAB_CS[[#This Row],[Reference]],TAB_Offres[Reference],0)))</f>
        <v>REA</v>
      </c>
      <c r="I47" t="str">
        <f>IF(ISBLANK(TAB_CS[[#This Row],[Reference]]),"",INDEX(TAB_Offres[Offer description],MATCH(TAB_CS[[#This Row],[Reference]],TAB_Offres[Reference],0)))</f>
        <v>Expert Sharepoint</v>
      </c>
      <c r="J47" s="155">
        <f>_xlfn.IFNA(IF(ISBLANK(TAB_CS[[#This Row],[Ressource]]),,VLOOKUP(TAB_CS[[#This Row],[Reference]],TAB_Offres[[Reference]:[CS signature date]],COLUMNS(TAB_Offres[[Reference]:[CS signature date]]),FALSE)),"")</f>
        <v>45019</v>
      </c>
      <c r="K47" s="155">
        <f>_xlfn.IFNA(IF(ISBLANK(TAB_CS[[#This Row],[Ressource]]),,VLOOKUP(TAB_CS[[#This Row],[Reference]],TAB_Offres[[Reference]:[CS start date]],COLUMNS(TAB_Offres[[Reference]:[CS start date]]),FALSE)),"")</f>
        <v>0</v>
      </c>
      <c r="L47" s="155">
        <f>_xlfn.IFNA(IF(ISBLANK(TAB_CS[[#This Row],[Ressource]]),,VLOOKUP(TAB_CS[[#This Row],[Reference]],TAB_Offres[[Reference]:[CS end date]],COLUMNS(TAB_Offres[[Reference]:[CS end date]]),FALSE)),"")</f>
        <v>45427</v>
      </c>
      <c r="M47" s="1" t="str">
        <f>_xlfn.IFNA(IF(ISBLANK(TAB_CS[[#This Row],[Ressource]]),,VLOOKUP(TAB_CS[[#This Row],[Reference]],TAB_Offres[[Reference]:[CS State]],COLUMNS(TAB_Offres[[Reference]:[CS State]]),FALSE)),"")</f>
        <v>PENDING</v>
      </c>
      <c r="N47" s="26" t="str">
        <f>VLOOKUP(TAB_CS[[#This Row],[Reference]],TAB_Offres[[Reference]:[Ressource 1]],25,FALSE)</f>
        <v>SAYTEE, Meatau Larry</v>
      </c>
      <c r="O47" s="1" t="str">
        <f>_xlfn.IFNA(IF(ISBLANK(TAB_CS[[#This Row],[Ressource]]),,VLOOKUP(TAB_CS[[#This Row],[Reference]],TAB_Offres[[Reference]:[Company]],COLUMNS(TAB_Offres[[Reference]:[Company]]),FALSE)),"")</f>
        <v>EDDA</v>
      </c>
      <c r="P47" s="1" t="str">
        <f>_xlfn.CONCAT(TAB_CS[[#This Row],[Ressource]],TAB_CS[[#This Row],[Profile in €]])</f>
        <v>SAYTEE, Meatau Larry575,6</v>
      </c>
      <c r="Q47" s="1" t="str">
        <f>_xlfn.CONCAT(TAB_CS[[#This Row],[Company]],TAB_CS[[#This Row],[Business perimeter]])</f>
        <v>EDDANB</v>
      </c>
      <c r="R47" s="1" t="str">
        <f>_xlfn.IFNA(IF(ISBLANK(TAB_CS[[#This Row],[Ressource]]),"",VLOOKUP(TAB_CS[[#This Row],[Reference]],TAB_Offres[[Reference]:[Profile]],COLUMNS(TAB_Offres[[Reference]:[Profile]]),FALSE)),"")</f>
        <v>Back-end developer</v>
      </c>
      <c r="S47" s="150">
        <f>_xlfn.IFNA(IF(ISBLANK(TAB_CS[[#This Row],[Ressource]]),"",VLOOKUP(TAB_CS[[#This Row],[Reference]],TAB_Offres[[Reference]:[Level]],COLUMNS(TAB_Offres[[Reference]:[Level]]),FALSE)),"")</f>
        <v>8</v>
      </c>
      <c r="T47" s="127">
        <f>_xlfn.IFNA(IF(OR(ISBLANK(TAB_CS[[#This Row],[Level]]),TAB_CS[[#This Row],[Level]]=""),,VLOOKUP(TAB_CS[[#This Row],[Profile]],TAB_prix[],2+TAB_CS[[#This Row],[Level]],FALSE)),)</f>
        <v>575.6</v>
      </c>
      <c r="U47" s="13">
        <v>220</v>
      </c>
      <c r="V47" s="189">
        <f>IF(OR(ISBLANK(TAB_CS[[#This Row],[Commited days]]),TAB_CS[[#This Row],[Commited days]]=0),,TAB_CS[[#This Row],[Commited days]]*TAB_CS[[#This Row],[Profile in €]])</f>
        <v>126632</v>
      </c>
      <c r="W47" s="127">
        <f>SUM(TAB_CS[[#This Row],[F]:[P+1]])-TAB_CS[[#This Row],[P+1]]</f>
        <v>220</v>
      </c>
      <c r="X47" s="189">
        <f>IF(OR(ISBLANK(TAB_CS[[#This Row],[Producted days]]),TAB_CS[[#This Row],[Producted days]]=0),,TAB_CS[[#This Row],[Producted days]]*TAB_CS[[#This Row],[Profile in €]])</f>
        <v>126632</v>
      </c>
      <c r="Y47" s="188">
        <f>TAB_CS[[#This Row],[Commited days]]-TAB_CS[[#This Row],[Producted days]]</f>
        <v>0</v>
      </c>
      <c r="Z47" s="189">
        <f>IF(OR(ISBLANK(TAB_CS[[#This Row],[Remaining days]]),TAB_CS[[#This Row],[Remaining days]]=0),,TAB_CS[[#This Row],[Remaining days]]*TAB_CS[[#This Row],[Profile in €]])</f>
        <v>0</v>
      </c>
      <c r="AA47" s="187">
        <f>SUM(TAB_CS[[#This Row],[P+1]:[FP]])</f>
        <v>0</v>
      </c>
      <c r="AB47" s="10">
        <f>IF(OR(ISBLANK(TAB_CS[[#This Row],[Expected days]]),TAB_CS[[#This Row],[Expected days]]=0),,TAB_CS[[#This Row],[Expected days]]*TAB_CS[[#This Row],[Profile in €]])</f>
        <v>0</v>
      </c>
      <c r="AC47" s="14" t="str">
        <f>CONCATENATE(TAB_CS[[#This Row],[DG]],TAB_CS[[#This Row],[Company]])</f>
        <v>REAEDDA</v>
      </c>
      <c r="AD47" s="144"/>
      <c r="AE47" s="150"/>
      <c r="AF47" s="151"/>
      <c r="AG47" s="151"/>
      <c r="AH47" s="151"/>
      <c r="AI47" s="150"/>
      <c r="AJ47" s="151"/>
      <c r="AK47" s="156"/>
      <c r="AL47" s="156"/>
      <c r="AM47" s="150"/>
      <c r="AN47" s="179"/>
      <c r="AO47" s="150"/>
      <c r="AP47" s="150"/>
      <c r="AQ47" s="359">
        <v>7.5</v>
      </c>
      <c r="AR47" s="354">
        <v>18</v>
      </c>
      <c r="AS47" s="354">
        <v>22</v>
      </c>
      <c r="AT47" s="351">
        <v>20</v>
      </c>
      <c r="AU47" s="351">
        <v>22</v>
      </c>
      <c r="AV47" s="351">
        <v>21</v>
      </c>
      <c r="AW47" s="351">
        <v>22</v>
      </c>
      <c r="AX47" s="351">
        <v>19</v>
      </c>
      <c r="AY47" s="351">
        <v>15</v>
      </c>
      <c r="AZ47" s="351">
        <v>21</v>
      </c>
      <c r="BA47" s="351">
        <v>21</v>
      </c>
      <c r="BB47" s="351">
        <v>11.5</v>
      </c>
      <c r="BC47" s="643"/>
      <c r="BD47" s="643"/>
      <c r="BE47" s="643"/>
      <c r="BF47" s="643"/>
      <c r="BG47" s="643"/>
      <c r="BH47" s="643"/>
      <c r="BI47" s="173"/>
      <c r="BJ47" s="643"/>
      <c r="BK47" s="643"/>
      <c r="BL47" s="643"/>
      <c r="BM47" s="173"/>
      <c r="BN47" s="643"/>
      <c r="BO47" s="643"/>
      <c r="BP47" s="643"/>
      <c r="BQ47" s="643"/>
      <c r="BR47" s="643"/>
      <c r="BS47" s="643"/>
      <c r="BT47" s="643"/>
      <c r="BU47" s="643"/>
      <c r="BV47" s="643"/>
      <c r="BW47" s="643"/>
      <c r="BX47" s="643"/>
      <c r="BY47" s="643"/>
      <c r="BZ47" s="223"/>
    </row>
    <row r="48" spans="1:78" ht="12.75" customHeight="1" x14ac:dyDescent="0.3">
      <c r="A48" s="1">
        <f>IF(ISBLANK(TAB_CS[[#This Row],[Reference]]),"",INDEX(TAB_Offres[ID],MATCH(TAB_CS[[#This Row],[Reference]],TAB_Offres[Reference],0)))</f>
        <v>46</v>
      </c>
      <c r="B48" s="26" t="s">
        <v>551</v>
      </c>
      <c r="C48" s="150" t="s">
        <v>5642</v>
      </c>
      <c r="D48" s="1" t="str">
        <f>IF(ISBLANK(TAB_CS[[#This Row],[Reference]]),"",VLOOKUP(TAB_CS[[#This Row],[ID]],TAB_Offres[],2,FALSE))</f>
        <v>Lot 1</v>
      </c>
      <c r="E48" s="150" t="s">
        <v>5920</v>
      </c>
      <c r="F48" s="26">
        <f>_xlfn.IFNA(IF(ISBLANK(TAB_CS[[#This Row],[Reference]]),"",VLOOKUP(TAB_CS[[#This Row],[Reference]],TAB_Offres[[Reference]:[Modification Request]],COLUMNS(TAB_Offres[[Reference]:[Modification Request]]),FALSE)),)</f>
        <v>0</v>
      </c>
      <c r="G48" s="150" t="str">
        <f>IF(ISBLANK(TAB_CS[[#This Row],[Reference]]),"",INDEX(TAB_Offres[Institution/agency],MATCH(TAB_CS[[#This Row],[Reference]],TAB_Offres[Reference],0)))</f>
        <v>REA</v>
      </c>
      <c r="H48" s="150" t="str">
        <f>IF(ISBLANK(TAB_CS[[#This Row],[Reference]]),"",INDEX(TAB_Offres[DG],MATCH(TAB_CS[[#This Row],[Reference]],TAB_Offres[Reference],0)))</f>
        <v>REA</v>
      </c>
      <c r="I48" t="str">
        <f>IF(ISBLANK(TAB_CS[[#This Row],[Reference]]),"",INDEX(TAB_Offres[Offer description],MATCH(TAB_CS[[#This Row],[Reference]],TAB_Offres[Reference],0)))</f>
        <v>Full-Stack Developer (FSD) level 7-8 Near-site in Java, Spring, Hibernate, Angular</v>
      </c>
      <c r="J48" s="155">
        <f>_xlfn.IFNA(IF(ISBLANK(TAB_CS[[#This Row],[Ressource]]),,VLOOKUP(TAB_CS[[#This Row],[Reference]],TAB_Offres[[Reference]:[CS signature date]],COLUMNS(TAB_Offres[[Reference]:[CS signature date]]),FALSE)),"")</f>
        <v>45021</v>
      </c>
      <c r="K48" s="155">
        <f>_xlfn.IFNA(IF(ISBLANK(TAB_CS[[#This Row],[Ressource]]),,VLOOKUP(TAB_CS[[#This Row],[Reference]],TAB_Offres[[Reference]:[CS start date]],COLUMNS(TAB_Offres[[Reference]:[CS start date]]),FALSE)),"")</f>
        <v>0</v>
      </c>
      <c r="L48" s="155">
        <f>_xlfn.IFNA(IF(ISBLANK(TAB_CS[[#This Row],[Ressource]]),,VLOOKUP(TAB_CS[[#This Row],[Reference]],TAB_Offres[[Reference]:[CS end date]],COLUMNS(TAB_Offres[[Reference]:[CS end date]]),FALSE)),"")</f>
        <v>45473</v>
      </c>
      <c r="M48" s="1" t="str">
        <f>_xlfn.IFNA(IF(ISBLANK(TAB_CS[[#This Row],[Ressource]]),,VLOOKUP(TAB_CS[[#This Row],[Reference]],TAB_Offres[[Reference]:[CS State]],COLUMNS(TAB_Offres[[Reference]:[CS State]]),FALSE)),"")</f>
        <v>PENDING</v>
      </c>
      <c r="N48" s="26" t="str">
        <f>VLOOKUP(TAB_CS[[#This Row],[Reference]],TAB_Offres[[Reference]:[Ressource 1]],25,FALSE)</f>
        <v>SARBU, Cornelia</v>
      </c>
      <c r="O48" s="1" t="str">
        <f>_xlfn.IFNA(IF(ISBLANK(TAB_CS[[#This Row],[Ressource]]),,VLOOKUP(TAB_CS[[#This Row],[Reference]],TAB_Offres[[Reference]:[Company]],COLUMNS(TAB_Offres[[Reference]:[Company]]),FALSE)),"")</f>
        <v>EDDA</v>
      </c>
      <c r="P48" s="1" t="str">
        <f>_xlfn.CONCAT(TAB_CS[[#This Row],[Ressource]],TAB_CS[[#This Row],[Profile in €]])</f>
        <v>SARBU, Cornelia580,74</v>
      </c>
      <c r="Q48" s="1" t="str">
        <f>_xlfn.CONCAT(TAB_CS[[#This Row],[Company]],TAB_CS[[#This Row],[Business perimeter]])</f>
        <v>EDDANB</v>
      </c>
      <c r="R48" s="1" t="str">
        <f>_xlfn.IFNA(IF(ISBLANK(TAB_CS[[#This Row],[Ressource]]),"",VLOOKUP(TAB_CS[[#This Row],[Reference]],TAB_Offres[[Reference]:[Profile]],COLUMNS(TAB_Offres[[Reference]:[Profile]]),FALSE)),"")</f>
        <v>Full-stack developer</v>
      </c>
      <c r="S48" s="150">
        <f>_xlfn.IFNA(IF(ISBLANK(TAB_CS[[#This Row],[Ressource]]),"",VLOOKUP(TAB_CS[[#This Row],[Reference]],TAB_Offres[[Reference]:[Level]],COLUMNS(TAB_Offres[[Reference]:[Level]]),FALSE)),"")</f>
        <v>8</v>
      </c>
      <c r="T48" s="127">
        <f>_xlfn.IFNA(IF(OR(ISBLANK(TAB_CS[[#This Row],[Level]]),TAB_CS[[#This Row],[Level]]=""),,VLOOKUP(TAB_CS[[#This Row],[Profile]],TAB_prix[],2+TAB_CS[[#This Row],[Level]],FALSE)),)</f>
        <v>580.74</v>
      </c>
      <c r="U48" s="13">
        <v>220</v>
      </c>
      <c r="V48" s="189">
        <f>IF(OR(ISBLANK(TAB_CS[[#This Row],[Commited days]]),TAB_CS[[#This Row],[Commited days]]=0),,TAB_CS[[#This Row],[Commited days]]*TAB_CS[[#This Row],[Profile in €]])</f>
        <v>127762.8</v>
      </c>
      <c r="W48" s="127">
        <f>SUM(TAB_CS[[#This Row],[F]:[P+1]])-TAB_CS[[#This Row],[P+1]]</f>
        <v>220</v>
      </c>
      <c r="X48" s="189">
        <f>IF(OR(ISBLANK(TAB_CS[[#This Row],[Producted days]]),TAB_CS[[#This Row],[Producted days]]=0),,TAB_CS[[#This Row],[Producted days]]*TAB_CS[[#This Row],[Profile in €]])</f>
        <v>127762.8</v>
      </c>
      <c r="Y48" s="188">
        <f>TAB_CS[[#This Row],[Commited days]]-TAB_CS[[#This Row],[Producted days]]</f>
        <v>0</v>
      </c>
      <c r="Z48" s="189">
        <f>IF(OR(ISBLANK(TAB_CS[[#This Row],[Remaining days]]),TAB_CS[[#This Row],[Remaining days]]=0),,TAB_CS[[#This Row],[Remaining days]]*TAB_CS[[#This Row],[Profile in €]])</f>
        <v>0</v>
      </c>
      <c r="AA48" s="187">
        <f>SUM(TAB_CS[[#This Row],[P+1]:[FP]])</f>
        <v>0</v>
      </c>
      <c r="AB48" s="10">
        <f>IF(OR(ISBLANK(TAB_CS[[#This Row],[Expected days]]),TAB_CS[[#This Row],[Expected days]]=0),,TAB_CS[[#This Row],[Expected days]]*TAB_CS[[#This Row],[Profile in €]])</f>
        <v>0</v>
      </c>
      <c r="AC48" s="14" t="str">
        <f>CONCATENATE(TAB_CS[[#This Row],[DG]],TAB_CS[[#This Row],[Company]])</f>
        <v>REAEDDA</v>
      </c>
      <c r="AD48" s="144"/>
      <c r="AE48" s="150"/>
      <c r="AF48" s="151"/>
      <c r="AG48" s="151"/>
      <c r="AH48" s="151"/>
      <c r="AI48" s="150"/>
      <c r="AJ48" s="151"/>
      <c r="AK48" s="156"/>
      <c r="AL48" s="156"/>
      <c r="AM48" s="150"/>
      <c r="AN48" s="179"/>
      <c r="AO48" s="150"/>
      <c r="AP48" s="150"/>
      <c r="AQ48" s="359">
        <v>6</v>
      </c>
      <c r="AR48" s="354">
        <v>19</v>
      </c>
      <c r="AS48" s="354">
        <v>22</v>
      </c>
      <c r="AT48" s="351">
        <v>20</v>
      </c>
      <c r="AU48" s="351">
        <v>20</v>
      </c>
      <c r="AV48" s="351">
        <v>21</v>
      </c>
      <c r="AW48" s="351">
        <v>20</v>
      </c>
      <c r="AX48" s="351">
        <v>19.5</v>
      </c>
      <c r="AY48" s="351">
        <v>15.5</v>
      </c>
      <c r="AZ48" s="351">
        <v>20</v>
      </c>
      <c r="BA48" s="351">
        <v>20</v>
      </c>
      <c r="BB48" s="351">
        <v>17</v>
      </c>
      <c r="BC48" s="643"/>
      <c r="BD48" s="643"/>
      <c r="BE48" s="643"/>
      <c r="BF48" s="643"/>
      <c r="BG48" s="643"/>
      <c r="BH48" s="643"/>
      <c r="BI48" s="173"/>
      <c r="BJ48" s="643"/>
      <c r="BK48" s="643"/>
      <c r="BL48" s="643"/>
      <c r="BM48" s="173"/>
      <c r="BN48" s="643"/>
      <c r="BO48" s="643"/>
      <c r="BP48" s="643"/>
      <c r="BQ48" s="643"/>
      <c r="BR48" s="643"/>
      <c r="BS48" s="643"/>
      <c r="BT48" s="643"/>
      <c r="BU48" s="643"/>
      <c r="BV48" s="643"/>
      <c r="BW48" s="643"/>
      <c r="BX48" s="643"/>
      <c r="BY48" s="643"/>
      <c r="BZ48" s="223"/>
    </row>
    <row r="49" spans="1:78" ht="12.75" customHeight="1" x14ac:dyDescent="0.3">
      <c r="A49" s="1">
        <f>IF(ISBLANK(TAB_CS[[#This Row],[Reference]]),"",INDEX(TAB_Offres[ID],MATCH(TAB_CS[[#This Row],[Reference]],TAB_Offres[Reference],0)))</f>
        <v>47</v>
      </c>
      <c r="B49" s="26" t="s">
        <v>549</v>
      </c>
      <c r="C49" s="150" t="s">
        <v>5643</v>
      </c>
      <c r="D49" s="1" t="str">
        <f>IF(ISBLANK(TAB_CS[[#This Row],[Reference]]),"",VLOOKUP(TAB_CS[[#This Row],[ID]],TAB_Offres[],2,FALSE))</f>
        <v>Lot 3</v>
      </c>
      <c r="E49" s="150" t="s">
        <v>5920</v>
      </c>
      <c r="F49" s="26">
        <f>_xlfn.IFNA(IF(ISBLANK(TAB_CS[[#This Row],[Reference]]),"",VLOOKUP(TAB_CS[[#This Row],[Reference]],TAB_Offres[[Reference]:[Modification Request]],COLUMNS(TAB_Offres[[Reference]:[Modification Request]]),FALSE)),)</f>
        <v>0</v>
      </c>
      <c r="G49" s="150" t="str">
        <f>IF(ISBLANK(TAB_CS[[#This Row],[Reference]]),"",INDEX(TAB_Offres[Institution/agency],MATCH(TAB_CS[[#This Row],[Reference]],TAB_Offres[Reference],0)))</f>
        <v>EC</v>
      </c>
      <c r="H49" s="150" t="str">
        <f>IF(ISBLANK(TAB_CS[[#This Row],[Reference]]),"",INDEX(TAB_Offres[DG],MATCH(TAB_CS[[#This Row],[Reference]],TAB_Offres[Reference],0)))</f>
        <v>RTD</v>
      </c>
      <c r="I49" t="str">
        <f>IF(ISBLANK(TAB_CS[[#This Row],[Reference]]),"",INDEX(TAB_Offres[Offer description],MATCH(TAB_CS[[#This Row],[Reference]],TAB_Offres[Reference],0)))</f>
        <v>IT Services for e-Grants Management System</v>
      </c>
      <c r="J49" s="155">
        <f>_xlfn.IFNA(IF(ISBLANK(TAB_CS[[#This Row],[Ressource]]),,VLOOKUP(TAB_CS[[#This Row],[Reference]],TAB_Offres[[Reference]:[CS signature date]],COLUMNS(TAB_Offres[[Reference]:[CS signature date]]),FALSE)),"")</f>
        <v>45016</v>
      </c>
      <c r="K49" s="155">
        <f>_xlfn.IFNA(IF(ISBLANK(TAB_CS[[#This Row],[Ressource]]),,VLOOKUP(TAB_CS[[#This Row],[Reference]],TAB_Offres[[Reference]:[CS start date]],COLUMNS(TAB_Offres[[Reference]:[CS start date]]),FALSE)),"")</f>
        <v>45231</v>
      </c>
      <c r="L49" s="155">
        <f>_xlfn.IFNA(IF(ISBLANK(TAB_CS[[#This Row],[Ressource]]),,VLOOKUP(TAB_CS[[#This Row],[Reference]],TAB_Offres[[Reference]:[CS end date]],COLUMNS(TAB_Offres[[Reference]:[CS end date]]),FALSE)),"")</f>
        <v>45596</v>
      </c>
      <c r="M49" s="1" t="str">
        <f>_xlfn.IFNA(IF(ISBLANK(TAB_CS[[#This Row],[Ressource]]),,VLOOKUP(TAB_CS[[#This Row],[Reference]],TAB_Offres[[Reference]:[CS State]],COLUMNS(TAB_Offres[[Reference]:[CS State]]),FALSE)),"")</f>
        <v>CLOSE</v>
      </c>
      <c r="N49" s="26" t="str">
        <f>VLOOKUP(TAB_CS[[#This Row],[Reference]],TAB_Offres[[Reference]:[Ressource 1]],25,FALSE)</f>
        <v>CHATTERJEE, Pallavi</v>
      </c>
      <c r="O49" s="1" t="str">
        <f>_xlfn.IFNA(IF(ISBLANK(TAB_CS[[#This Row],[Ressource]]),,VLOOKUP(TAB_CS[[#This Row],[Reference]],TAB_Offres[[Reference]:[Company]],COLUMNS(TAB_Offres[[Reference]:[Company]]),FALSE)),"")</f>
        <v>EDDA</v>
      </c>
      <c r="P49" s="1" t="str">
        <f>_xlfn.CONCAT(TAB_CS[[#This Row],[Ressource]],TAB_CS[[#This Row],[Profile in €]])</f>
        <v>CHATTERJEE, Pallavi524,32</v>
      </c>
      <c r="Q49" s="1" t="str">
        <f>_xlfn.CONCAT(TAB_CS[[#This Row],[Company]],TAB_CS[[#This Row],[Business perimeter]])</f>
        <v>EDDANB</v>
      </c>
      <c r="R49" s="1" t="str">
        <f>_xlfn.IFNA(IF(ISBLANK(TAB_CS[[#This Row],[Ressource]]),"",VLOOKUP(TAB_CS[[#This Row],[Reference]],TAB_Offres[[Reference]:[Profile]],COLUMNS(TAB_Offres[[Reference]:[Profile]]),FALSE)),"")</f>
        <v>Business Intelligence expert</v>
      </c>
      <c r="S49" s="150">
        <f>_xlfn.IFNA(IF(ISBLANK(TAB_CS[[#This Row],[Ressource]]),"",VLOOKUP(TAB_CS[[#This Row],[Reference]],TAB_Offres[[Reference]:[Level]],COLUMNS(TAB_Offres[[Reference]:[Level]]),FALSE)),"")</f>
        <v>4</v>
      </c>
      <c r="T49" s="127">
        <f>_xlfn.IFNA(IF(OR(ISBLANK(TAB_CS[[#This Row],[Level]]),TAB_CS[[#This Row],[Level]]=""),,VLOOKUP(TAB_CS[[#This Row],[Profile]],TAB_prix[],2+TAB_CS[[#This Row],[Level]],FALSE)),)</f>
        <v>524.32000000000005</v>
      </c>
      <c r="U49" s="13">
        <v>60</v>
      </c>
      <c r="V49" s="189">
        <f>IF(OR(ISBLANK(TAB_CS[[#This Row],[Commited days]]),TAB_CS[[#This Row],[Commited days]]=0),,TAB_CS[[#This Row],[Commited days]]*TAB_CS[[#This Row],[Profile in €]])</f>
        <v>31459.200000000004</v>
      </c>
      <c r="W49" s="127">
        <f>SUM(TAB_CS[[#This Row],[F]:[P+1]])-TAB_CS[[#This Row],[P+1]]</f>
        <v>60</v>
      </c>
      <c r="X49" s="189">
        <f>IF(OR(ISBLANK(TAB_CS[[#This Row],[Producted days]]),TAB_CS[[#This Row],[Producted days]]=0),,TAB_CS[[#This Row],[Producted days]]*TAB_CS[[#This Row],[Profile in €]])</f>
        <v>31459.200000000004</v>
      </c>
      <c r="Y49" s="188">
        <f>TAB_CS[[#This Row],[Commited days]]-TAB_CS[[#This Row],[Producted days]]</f>
        <v>0</v>
      </c>
      <c r="Z49" s="189">
        <f>IF(OR(ISBLANK(TAB_CS[[#This Row],[Remaining days]]),TAB_CS[[#This Row],[Remaining days]]=0),,TAB_CS[[#This Row],[Remaining days]]*TAB_CS[[#This Row],[Profile in €]])</f>
        <v>0</v>
      </c>
      <c r="AA49" s="187">
        <f>SUM(TAB_CS[[#This Row],[P+1]:[FP]])</f>
        <v>0</v>
      </c>
      <c r="AB49" s="10">
        <f>IF(OR(ISBLANK(TAB_CS[[#This Row],[Expected days]]),TAB_CS[[#This Row],[Expected days]]=0),,TAB_CS[[#This Row],[Expected days]]*TAB_CS[[#This Row],[Profile in €]])</f>
        <v>0</v>
      </c>
      <c r="AC49" s="14" t="str">
        <f>CONCATENATE(TAB_CS[[#This Row],[DG]],TAB_CS[[#This Row],[Company]])</f>
        <v>RTDEDDA</v>
      </c>
      <c r="AD49" s="144"/>
      <c r="AE49" s="150"/>
      <c r="AF49" s="151"/>
      <c r="AG49" s="151"/>
      <c r="AH49" s="151"/>
      <c r="AI49" s="150"/>
      <c r="AJ49" s="151"/>
      <c r="AK49" s="156"/>
      <c r="AL49" s="156"/>
      <c r="AM49" s="150"/>
      <c r="AN49" s="150"/>
      <c r="AO49" s="150"/>
      <c r="AP49" s="150"/>
      <c r="AQ49" s="150"/>
      <c r="AR49" s="150"/>
      <c r="AS49" s="150"/>
      <c r="AT49" s="351">
        <v>1</v>
      </c>
      <c r="AU49" s="351">
        <v>19.5</v>
      </c>
      <c r="AV49" s="352">
        <v>20</v>
      </c>
      <c r="AW49" s="351">
        <v>8</v>
      </c>
      <c r="AX49" s="351">
        <v>11.5</v>
      </c>
      <c r="AY49" s="643"/>
      <c r="AZ49" s="643"/>
      <c r="BA49" s="643"/>
      <c r="BB49" s="643"/>
      <c r="BC49" s="643"/>
      <c r="BD49" s="643"/>
      <c r="BE49" s="643"/>
      <c r="BF49" s="643"/>
      <c r="BG49" s="643"/>
      <c r="BH49" s="643"/>
      <c r="BI49" s="173"/>
      <c r="BJ49" s="643"/>
      <c r="BK49" s="643"/>
      <c r="BL49" s="643"/>
      <c r="BM49" s="173"/>
      <c r="BN49" s="643"/>
      <c r="BO49" s="643"/>
      <c r="BP49" s="643"/>
      <c r="BQ49" s="643"/>
      <c r="BR49" s="643"/>
      <c r="BS49" s="643"/>
      <c r="BT49" s="643"/>
      <c r="BU49" s="643"/>
      <c r="BV49" s="643"/>
      <c r="BW49" s="643"/>
      <c r="BX49" s="643"/>
      <c r="BY49" s="643"/>
      <c r="BZ49" s="223"/>
    </row>
    <row r="50" spans="1:78" ht="12.75" customHeight="1" x14ac:dyDescent="0.3">
      <c r="A50" s="1">
        <f>IF(ISBLANK(TAB_CS[[#This Row],[Reference]]),"",INDEX(TAB_Offres[ID],MATCH(TAB_CS[[#This Row],[Reference]],TAB_Offres[Reference],0)))</f>
        <v>48</v>
      </c>
      <c r="B50" s="26" t="s">
        <v>602</v>
      </c>
      <c r="C50" s="150" t="s">
        <v>5644</v>
      </c>
      <c r="D50" s="1" t="str">
        <f>IF(ISBLANK(TAB_CS[[#This Row],[Reference]]),"",VLOOKUP(TAB_CS[[#This Row],[ID]],TAB_Offres[],2,FALSE))</f>
        <v>Lot 1</v>
      </c>
      <c r="E50" s="1" t="s">
        <v>5920</v>
      </c>
      <c r="F50" s="26">
        <f>_xlfn.IFNA(IF(ISBLANK(TAB_CS[[#This Row],[Reference]]),"",VLOOKUP(TAB_CS[[#This Row],[Reference]],TAB_Offres[[Reference]:[Modification Request]],COLUMNS(TAB_Offres[[Reference]:[Modification Request]]),FALSE)),)</f>
        <v>0</v>
      </c>
      <c r="G50" s="150" t="str">
        <f>IF(ISBLANK(TAB_CS[[#This Row],[Reference]]),"",INDEX(TAB_Offres[Institution/agency],MATCH(TAB_CS[[#This Row],[Reference]],TAB_Offres[Reference],0)))</f>
        <v>EC</v>
      </c>
      <c r="H50" s="150" t="str">
        <f>IF(ISBLANK(TAB_CS[[#This Row],[Reference]]),"",INDEX(TAB_Offres[DG],MATCH(TAB_CS[[#This Row],[Reference]],TAB_Offres[Reference],0)))</f>
        <v>ESTAT</v>
      </c>
      <c r="I50" t="str">
        <f>IF(ISBLANK(TAB_CS[[#This Row],[Reference]]),"",INDEX(TAB_Offres[Offer description],MATCH(TAB_CS[[#This Row],[Reference]],TAB_Offres[Reference],0)))</f>
        <v>WIHP JUNIOR PLATFORM DEVELOPER  FAR SITE-6</v>
      </c>
      <c r="J50" s="155">
        <f>_xlfn.IFNA(IF(ISBLANK(TAB_CS[[#This Row],[Ressource]]),,VLOOKUP(TAB_CS[[#This Row],[Reference]],TAB_Offres[[Reference]:[CS signature date]],COLUMNS(TAB_Offres[[Reference]:[CS signature date]]),FALSE)),"")</f>
        <v>45104</v>
      </c>
      <c r="K50" s="155">
        <f>_xlfn.IFNA(IF(ISBLANK(TAB_CS[[#This Row],[Ressource]]),,VLOOKUP(TAB_CS[[#This Row],[Reference]],TAB_Offres[[Reference]:[CS start date]],COLUMNS(TAB_Offres[[Reference]:[CS start date]]),FALSE)),"")</f>
        <v>45108</v>
      </c>
      <c r="L50" s="155">
        <f>_xlfn.IFNA(IF(ISBLANK(TAB_CS[[#This Row],[Ressource]]),,VLOOKUP(TAB_CS[[#This Row],[Reference]],TAB_Offres[[Reference]:[CS end date]],COLUMNS(TAB_Offres[[Reference]:[CS end date]]),FALSE)),"")</f>
        <v>45291</v>
      </c>
      <c r="M50" s="1" t="str">
        <f>_xlfn.IFNA(IF(ISBLANK(TAB_CS[[#This Row],[Ressource]]),,VLOOKUP(TAB_CS[[#This Row],[Reference]],TAB_Offres[[Reference]:[CS State]],COLUMNS(TAB_Offres[[Reference]:[CS State]]),FALSE)),"")</f>
        <v>CLOSE</v>
      </c>
      <c r="N50" s="26" t="str">
        <f>VLOOKUP(TAB_CS[[#This Row],[Reference]],TAB_Offres[[Reference]:[Ressource 1]],25,FALSE)</f>
        <v>VISICH, Valeryy</v>
      </c>
      <c r="O50" s="1" t="str">
        <f>_xlfn.IFNA(IF(ISBLANK(TAB_CS[[#This Row],[Ressource]]),,VLOOKUP(TAB_CS[[#This Row],[Reference]],TAB_Offres[[Reference]:[Company]],COLUMNS(TAB_Offres[[Reference]:[Company]]),FALSE)),"")</f>
        <v>TALAN</v>
      </c>
      <c r="P50" s="1" t="str">
        <f>_xlfn.CONCAT(TAB_CS[[#This Row],[Ressource]],TAB_CS[[#This Row],[Profile in €]])</f>
        <v>VISICH, Valeryy405,19</v>
      </c>
      <c r="Q50" s="1" t="str">
        <f>_xlfn.CONCAT(TAB_CS[[#This Row],[Company]],TAB_CS[[#This Row],[Business perimeter]])</f>
        <v>TALANNB</v>
      </c>
      <c r="R50" s="1" t="str">
        <f>_xlfn.IFNA(IF(ISBLANK(TAB_CS[[#This Row],[Ressource]]),"",VLOOKUP(TAB_CS[[#This Row],[Reference]],TAB_Offres[[Reference]:[Profile]],COLUMNS(TAB_Offres[[Reference]:[Profile]]),FALSE)),"")</f>
        <v>Full-stack developer-FAR</v>
      </c>
      <c r="S50" s="150">
        <f>_xlfn.IFNA(IF(ISBLANK(TAB_CS[[#This Row],[Ressource]]),"",VLOOKUP(TAB_CS[[#This Row],[Reference]],TAB_Offres[[Reference]:[Level]],COLUMNS(TAB_Offres[[Reference]:[Level]]),FALSE)),"")</f>
        <v>6</v>
      </c>
      <c r="T50" s="127">
        <f>_xlfn.IFNA(IF(OR(ISBLANK(TAB_CS[[#This Row],[Level]]),TAB_CS[[#This Row],[Level]]=""),,VLOOKUP(TAB_CS[[#This Row],[Profile]],TAB_prix[],2+TAB_CS[[#This Row],[Level]],FALSE)),)</f>
        <v>405.19</v>
      </c>
      <c r="U50" s="13">
        <v>80</v>
      </c>
      <c r="V50" s="189">
        <f>IF(OR(ISBLANK(TAB_CS[[#This Row],[Commited days]]),TAB_CS[[#This Row],[Commited days]]=0),,TAB_CS[[#This Row],[Commited days]]*TAB_CS[[#This Row],[Profile in €]])</f>
        <v>32415.200000000001</v>
      </c>
      <c r="W50" s="127">
        <f>SUM(TAB_CS[[#This Row],[F]:[P+1]])-TAB_CS[[#This Row],[P+1]]</f>
        <v>80</v>
      </c>
      <c r="X50" s="189">
        <f>IF(OR(ISBLANK(TAB_CS[[#This Row],[Producted days]]),TAB_CS[[#This Row],[Producted days]]=0),,TAB_CS[[#This Row],[Producted days]]*TAB_CS[[#This Row],[Profile in €]])</f>
        <v>32415.200000000001</v>
      </c>
      <c r="Y50" s="188">
        <f>TAB_CS[[#This Row],[Commited days]]-TAB_CS[[#This Row],[Producted days]]</f>
        <v>0</v>
      </c>
      <c r="Z50" s="189">
        <f>IF(OR(ISBLANK(TAB_CS[[#This Row],[Remaining days]]),TAB_CS[[#This Row],[Remaining days]]=0),,TAB_CS[[#This Row],[Remaining days]]*TAB_CS[[#This Row],[Profile in €]])</f>
        <v>0</v>
      </c>
      <c r="AA50" s="187">
        <f>SUM(TAB_CS[[#This Row],[P+1]:[FP]])</f>
        <v>0</v>
      </c>
      <c r="AB50" s="10">
        <f>IF(OR(ISBLANK(TAB_CS[[#This Row],[Expected days]]),TAB_CS[[#This Row],[Expected days]]=0),,TAB_CS[[#This Row],[Expected days]]*TAB_CS[[#This Row],[Profile in €]])</f>
        <v>0</v>
      </c>
      <c r="AC50" s="14" t="str">
        <f>CONCATENATE(TAB_CS[[#This Row],[DG]],TAB_CS[[#This Row],[Company]])</f>
        <v>ESTATTALAN</v>
      </c>
      <c r="AD50" s="144"/>
      <c r="AE50" s="150"/>
      <c r="AF50" s="151"/>
      <c r="AG50" s="151"/>
      <c r="AH50" s="151"/>
      <c r="AI50" s="150"/>
      <c r="AJ50" s="151"/>
      <c r="AK50" s="156"/>
      <c r="AL50" s="156"/>
      <c r="AM50" s="150"/>
      <c r="AN50" s="150"/>
      <c r="AO50" s="150"/>
      <c r="AP50" s="150"/>
      <c r="AQ50" s="150"/>
      <c r="AR50" s="150"/>
      <c r="AS50" s="150"/>
      <c r="AT50" s="351">
        <v>11</v>
      </c>
      <c r="AU50" s="351">
        <v>22</v>
      </c>
      <c r="AV50" s="363">
        <v>21</v>
      </c>
      <c r="AW50" s="351">
        <v>22</v>
      </c>
      <c r="AX50" s="351">
        <v>4</v>
      </c>
      <c r="AY50" s="643"/>
      <c r="AZ50" s="643"/>
      <c r="BA50" s="643"/>
      <c r="BB50" s="643"/>
      <c r="BC50" s="643"/>
      <c r="BD50" s="643"/>
      <c r="BE50" s="643"/>
      <c r="BF50" s="643"/>
      <c r="BG50" s="643"/>
      <c r="BH50" s="643"/>
      <c r="BI50" s="173"/>
      <c r="BJ50" s="643"/>
      <c r="BK50" s="643"/>
      <c r="BL50" s="643"/>
      <c r="BM50" s="173"/>
      <c r="BN50" s="643"/>
      <c r="BO50" s="643"/>
      <c r="BP50" s="643"/>
      <c r="BQ50" s="643"/>
      <c r="BR50" s="643"/>
      <c r="BS50" s="643"/>
      <c r="BT50" s="643"/>
      <c r="BU50" s="643"/>
      <c r="BV50" s="643"/>
      <c r="BW50" s="643"/>
      <c r="BX50" s="643"/>
      <c r="BY50" s="643"/>
      <c r="BZ50" s="224"/>
    </row>
    <row r="51" spans="1:78" ht="12.75" customHeight="1" x14ac:dyDescent="0.3">
      <c r="A51" s="1">
        <f>IF(ISBLANK(TAB_CS[[#This Row],[Reference]]),"",INDEX(TAB_Offres[ID],MATCH(TAB_CS[[#This Row],[Reference]],TAB_Offres[Reference],0)))</f>
        <v>49</v>
      </c>
      <c r="B51" s="26" t="s">
        <v>553</v>
      </c>
      <c r="C51" s="150" t="s">
        <v>5645</v>
      </c>
      <c r="D51" s="1" t="str">
        <f>IF(ISBLANK(TAB_CS[[#This Row],[Reference]]),"",VLOOKUP(TAB_CS[[#This Row],[ID]],TAB_Offres[],2,FALSE))</f>
        <v>Lot 2</v>
      </c>
      <c r="E51" s="150" t="s">
        <v>5920</v>
      </c>
      <c r="F51" s="26">
        <f>_xlfn.IFNA(IF(ISBLANK(TAB_CS[[#This Row],[Reference]]),"",VLOOKUP(TAB_CS[[#This Row],[Reference]],TAB_Offres[[Reference]:[Modification Request]],COLUMNS(TAB_Offres[[Reference]:[Modification Request]]),FALSE)),)</f>
        <v>0</v>
      </c>
      <c r="G51" s="150" t="str">
        <f>IF(ISBLANK(TAB_CS[[#This Row],[Reference]]),"",INDEX(TAB_Offres[Institution/agency],MATCH(TAB_CS[[#This Row],[Reference]],TAB_Offres[Reference],0)))</f>
        <v>EC</v>
      </c>
      <c r="H51" s="150" t="str">
        <f>IF(ISBLANK(TAB_CS[[#This Row],[Reference]]),"",INDEX(TAB_Offres[DG],MATCH(TAB_CS[[#This Row],[Reference]],TAB_Offres[Reference],0)))</f>
        <v>DIGIT.A.5</v>
      </c>
      <c r="I51" t="str">
        <f>IF(ISBLANK(TAB_CS[[#This Row],[Reference]]),"",INDEX(TAB_Offres[Offer description],MATCH(TAB_CS[[#This Row],[Reference]],TAB_Offres[Reference],0)))</f>
        <v>Extension PM lev. 9 OLLINGER following CS 3533</v>
      </c>
      <c r="J51" s="155">
        <f>_xlfn.IFNA(IF(ISBLANK(TAB_CS[[#This Row],[Ressource]]),,VLOOKUP(TAB_CS[[#This Row],[Reference]],TAB_Offres[[Reference]:[CS signature date]],COLUMNS(TAB_Offres[[Reference]:[CS signature date]]),FALSE)),"")</f>
        <v>45009</v>
      </c>
      <c r="K51" s="155">
        <f>_xlfn.IFNA(IF(ISBLANK(TAB_CS[[#This Row],[Ressource]]),,VLOOKUP(TAB_CS[[#This Row],[Reference]],TAB_Offres[[Reference]:[CS start date]],COLUMNS(TAB_Offres[[Reference]:[CS start date]]),FALSE)),"")</f>
        <v>0</v>
      </c>
      <c r="L51" s="155">
        <f>_xlfn.IFNA(IF(ISBLANK(TAB_CS[[#This Row],[Ressource]]),,VLOOKUP(TAB_CS[[#This Row],[Reference]],TAB_Offres[[Reference]:[CS end date]],COLUMNS(TAB_Offres[[Reference]:[CS end date]]),FALSE)),"")</f>
        <v>45565</v>
      </c>
      <c r="M51" s="1" t="str">
        <f>_xlfn.IFNA(IF(ISBLANK(TAB_CS[[#This Row],[Ressource]]),,VLOOKUP(TAB_CS[[#This Row],[Reference]],TAB_Offres[[Reference]:[CS State]],COLUMNS(TAB_Offres[[Reference]:[CS State]]),FALSE)),"")</f>
        <v>START</v>
      </c>
      <c r="N51" s="26" t="str">
        <f>VLOOKUP(TAB_CS[[#This Row],[Reference]],TAB_Offres[[Reference]:[Ressource 1]],25,FALSE)</f>
        <v>OLLINGER, Yannick</v>
      </c>
      <c r="O51" s="1" t="str">
        <f>_xlfn.IFNA(IF(ISBLANK(TAB_CS[[#This Row],[Ressource]]),,VLOOKUP(TAB_CS[[#This Row],[Reference]],TAB_Offres[[Reference]:[Company]],COLUMNS(TAB_Offres[[Reference]:[Company]]),FALSE)),"")</f>
        <v>CGI LUX</v>
      </c>
      <c r="P51" s="1" t="str">
        <f>_xlfn.CONCAT(TAB_CS[[#This Row],[Ressource]],TAB_CS[[#This Row],[Profile in €]])</f>
        <v>OLLINGER, Yannick753,77</v>
      </c>
      <c r="Q51" s="1" t="str">
        <f>_xlfn.CONCAT(TAB_CS[[#This Row],[Company]],TAB_CS[[#This Row],[Business perimeter]])</f>
        <v>CGI LUXNB</v>
      </c>
      <c r="R51" s="1" t="str">
        <f>_xlfn.IFNA(IF(ISBLANK(TAB_CS[[#This Row],[Ressource]]),"",VLOOKUP(TAB_CS[[#This Row],[Reference]],TAB_Offres[[Reference]:[Profile]],COLUMNS(TAB_Offres[[Reference]:[Profile]]),FALSE)),"")</f>
        <v>Project Manager</v>
      </c>
      <c r="S51" s="150">
        <f>_xlfn.IFNA(IF(ISBLANK(TAB_CS[[#This Row],[Ressource]]),"",VLOOKUP(TAB_CS[[#This Row],[Reference]],TAB_Offres[[Reference]:[Level]],COLUMNS(TAB_Offres[[Reference]:[Level]]),FALSE)),"")</f>
        <v>9</v>
      </c>
      <c r="T51" s="127">
        <f>_xlfn.IFNA(IF(OR(ISBLANK(TAB_CS[[#This Row],[Level]]),TAB_CS[[#This Row],[Level]]=""),,VLOOKUP(TAB_CS[[#This Row],[Profile]],TAB_prix[],2+TAB_CS[[#This Row],[Level]],FALSE)),)</f>
        <v>753.77</v>
      </c>
      <c r="U51" s="13">
        <v>110</v>
      </c>
      <c r="V51" s="189">
        <f>IF(OR(ISBLANK(TAB_CS[[#This Row],[Commited days]]),TAB_CS[[#This Row],[Commited days]]=0),,TAB_CS[[#This Row],[Commited days]]*TAB_CS[[#This Row],[Profile in €]])</f>
        <v>82914.7</v>
      </c>
      <c r="W51" s="127">
        <f>SUM(TAB_CS[[#This Row],[F]:[P+1]])-TAB_CS[[#This Row],[P+1]]</f>
        <v>110</v>
      </c>
      <c r="X51" s="189">
        <f>IF(OR(ISBLANK(TAB_CS[[#This Row],[Producted days]]),TAB_CS[[#This Row],[Producted days]]=0),,TAB_CS[[#This Row],[Producted days]]*TAB_CS[[#This Row],[Profile in €]])</f>
        <v>82914.7</v>
      </c>
      <c r="Y51" s="188">
        <f>TAB_CS[[#This Row],[Commited days]]-TAB_CS[[#This Row],[Producted days]]</f>
        <v>0</v>
      </c>
      <c r="Z51" s="189">
        <f>IF(OR(ISBLANK(TAB_CS[[#This Row],[Remaining days]]),TAB_CS[[#This Row],[Remaining days]]=0),,TAB_CS[[#This Row],[Remaining days]]*TAB_CS[[#This Row],[Profile in €]])</f>
        <v>0</v>
      </c>
      <c r="AA51" s="187">
        <f>SUM(TAB_CS[[#This Row],[P+1]:[FP]])</f>
        <v>0</v>
      </c>
      <c r="AB51" s="10">
        <f>IF(OR(ISBLANK(TAB_CS[[#This Row],[Expected days]]),TAB_CS[[#This Row],[Expected days]]=0),,TAB_CS[[#This Row],[Expected days]]*TAB_CS[[#This Row],[Profile in €]])</f>
        <v>0</v>
      </c>
      <c r="AC51" s="14" t="str">
        <f>CONCATENATE(TAB_CS[[#This Row],[DG]],TAB_CS[[#This Row],[Company]])</f>
        <v>DIGIT.A.5CGI LUX</v>
      </c>
      <c r="AD51" s="144"/>
      <c r="AE51" s="150"/>
      <c r="AF51" s="151"/>
      <c r="AG51" s="151"/>
      <c r="AH51" s="151"/>
      <c r="AI51" s="150"/>
      <c r="AJ51" s="151"/>
      <c r="AK51" s="156"/>
      <c r="AL51" s="156"/>
      <c r="AM51" s="150"/>
      <c r="AN51" s="179"/>
      <c r="AO51" s="150"/>
      <c r="AP51" s="150"/>
      <c r="AQ51" s="359">
        <v>9.5</v>
      </c>
      <c r="AR51" s="351">
        <v>14</v>
      </c>
      <c r="AS51" s="351">
        <v>22</v>
      </c>
      <c r="AT51" s="351">
        <v>10.5</v>
      </c>
      <c r="AU51" s="351">
        <v>21</v>
      </c>
      <c r="AV51" s="351">
        <v>21</v>
      </c>
      <c r="AW51" s="351">
        <v>12</v>
      </c>
      <c r="AX51" s="643"/>
      <c r="AY51" s="643"/>
      <c r="AZ51" s="644"/>
      <c r="BA51" s="643"/>
      <c r="BB51" s="643"/>
      <c r="BC51" s="643"/>
      <c r="BD51" s="643"/>
      <c r="BE51" s="643"/>
      <c r="BF51" s="643"/>
      <c r="BG51" s="643"/>
      <c r="BH51" s="643"/>
      <c r="BI51" s="173"/>
      <c r="BJ51" s="643"/>
      <c r="BK51" s="643"/>
      <c r="BL51" s="643"/>
      <c r="BM51" s="173"/>
      <c r="BN51" s="643"/>
      <c r="BO51" s="643"/>
      <c r="BP51" s="643"/>
      <c r="BQ51" s="643"/>
      <c r="BR51" s="643"/>
      <c r="BS51" s="643"/>
      <c r="BT51" s="643"/>
      <c r="BU51" s="643"/>
      <c r="BV51" s="643"/>
      <c r="BW51" s="643"/>
      <c r="BX51" s="643"/>
      <c r="BY51" s="643"/>
      <c r="BZ51" s="223"/>
    </row>
    <row r="52" spans="1:78" s="31" customFormat="1" ht="12.75" customHeight="1" x14ac:dyDescent="0.3">
      <c r="A52" s="1">
        <f>IF(ISBLANK(TAB_CS[[#This Row],[Reference]]),"",INDEX(TAB_Offres[ID],MATCH(TAB_CS[[#This Row],[Reference]],TAB_Offres[Reference],0)))</f>
        <v>50</v>
      </c>
      <c r="B52" s="26" t="s">
        <v>5433</v>
      </c>
      <c r="C52" s="150" t="s">
        <v>5667</v>
      </c>
      <c r="D52" s="1" t="str">
        <f>IF(ISBLANK(TAB_CS[[#This Row],[Reference]]),"",VLOOKUP(TAB_CS[[#This Row],[ID]],TAB_Offres[],2,FALSE))</f>
        <v>Lot 1</v>
      </c>
      <c r="E52" s="1" t="s">
        <v>5920</v>
      </c>
      <c r="F52" s="26">
        <f>_xlfn.IFNA(IF(ISBLANK(TAB_CS[[#This Row],[Reference]]),"",VLOOKUP(TAB_CS[[#This Row],[Reference]],TAB_Offres[[Reference]:[Modification Request]],COLUMNS(TAB_Offres[[Reference]:[Modification Request]]),FALSE)),)</f>
        <v>0</v>
      </c>
      <c r="G52" s="150" t="str">
        <f>IF(ISBLANK(TAB_CS[[#This Row],[Reference]]),"",INDEX(TAB_Offres[Institution/agency],MATCH(TAB_CS[[#This Row],[Reference]],TAB_Offres[Reference],0)))</f>
        <v>EC</v>
      </c>
      <c r="H52" s="150" t="str">
        <f>IF(ISBLANK(TAB_CS[[#This Row],[Reference]]),"",INDEX(TAB_Offres[DG],MATCH(TAB_CS[[#This Row],[Reference]],TAB_Offres[Reference],0)))</f>
        <v>EMPL</v>
      </c>
      <c r="I52" t="str">
        <f>IF(ISBLANK(TAB_CS[[#This Row],[Reference]]),"",INDEX(TAB_Offres[Offer description],MATCH(TAB_CS[[#This Row],[Reference]],TAB_Offres[Reference],0)))</f>
        <v>Full-stack developer - HORIZONTAL/IRM</v>
      </c>
      <c r="J52" s="155">
        <f>_xlfn.IFNA(IF(ISBLANK(TAB_CS[[#This Row],[Ressource]]),,VLOOKUP(TAB_CS[[#This Row],[Reference]],TAB_Offres[[Reference]:[CS signature date]],COLUMNS(TAB_Offres[[Reference]:[CS signature date]]),FALSE)),"")</f>
        <v>45140</v>
      </c>
      <c r="K52" s="155">
        <f>_xlfn.IFNA(IF(ISBLANK(TAB_CS[[#This Row],[Ressource]]),,VLOOKUP(TAB_CS[[#This Row],[Reference]],TAB_Offres[[Reference]:[CS start date]],COLUMNS(TAB_Offres[[Reference]:[CS start date]]),FALSE)),"")</f>
        <v>45140</v>
      </c>
      <c r="L52" s="155">
        <f>_xlfn.IFNA(IF(ISBLANK(TAB_CS[[#This Row],[Ressource]]),,VLOOKUP(TAB_CS[[#This Row],[Reference]],TAB_Offres[[Reference]:[CS end date]],COLUMNS(TAB_Offres[[Reference]:[CS end date]]),FALSE)),"")</f>
        <v>45443</v>
      </c>
      <c r="M52" s="1" t="str">
        <f>_xlfn.IFNA(IF(ISBLANK(TAB_CS[[#This Row],[Ressource]]),,VLOOKUP(TAB_CS[[#This Row],[Reference]],TAB_Offres[[Reference]:[CS State]],COLUMNS(TAB_Offres[[Reference]:[CS State]]),FALSE)),"")</f>
        <v>START</v>
      </c>
      <c r="N52" s="26" t="str">
        <f>VLOOKUP(TAB_CS[[#This Row],[Reference]],TAB_Offres[[Reference]:[Ressource 1]],25,FALSE)</f>
        <v>FERNANDEZ GUERRERO, Ivan</v>
      </c>
      <c r="O52" s="1" t="str">
        <f>_xlfn.IFNA(IF(ISBLANK(TAB_CS[[#This Row],[Ressource]]),,VLOOKUP(TAB_CS[[#This Row],[Reference]],TAB_Offres[[Reference]:[Company]],COLUMNS(TAB_Offres[[Reference]:[Company]]),FALSE)),"")</f>
        <v>EDDA</v>
      </c>
      <c r="P52" s="1" t="str">
        <f>_xlfn.CONCAT(TAB_CS[[#This Row],[Ressource]],TAB_CS[[#This Row],[Profile in €]])</f>
        <v>FERNANDEZ GUERRERO, Ivan580,74</v>
      </c>
      <c r="Q52" s="1" t="str">
        <f>_xlfn.CONCAT(TAB_CS[[#This Row],[Company]],TAB_CS[[#This Row],[Business perimeter]])</f>
        <v>EDDANB</v>
      </c>
      <c r="R52" s="1" t="str">
        <f>_xlfn.IFNA(IF(ISBLANK(TAB_CS[[#This Row],[Ressource]]),"",VLOOKUP(TAB_CS[[#This Row],[Reference]],TAB_Offres[[Reference]:[Profile]],COLUMNS(TAB_Offres[[Reference]:[Profile]]),FALSE)),"")</f>
        <v>Full-stack developer</v>
      </c>
      <c r="S52" s="150">
        <f>_xlfn.IFNA(IF(ISBLANK(TAB_CS[[#This Row],[Ressource]]),"",VLOOKUP(TAB_CS[[#This Row],[Reference]],TAB_Offres[[Reference]:[Level]],COLUMNS(TAB_Offres[[Reference]:[Level]]),FALSE)),"")</f>
        <v>8</v>
      </c>
      <c r="T52" s="127">
        <f>_xlfn.IFNA(IF(OR(ISBLANK(TAB_CS[[#This Row],[Level]]),TAB_CS[[#This Row],[Level]]=""),,VLOOKUP(TAB_CS[[#This Row],[Profile]],TAB_prix[],2+TAB_CS[[#This Row],[Level]],FALSE)),)</f>
        <v>580.74</v>
      </c>
      <c r="U52" s="13">
        <v>80</v>
      </c>
      <c r="V52" s="189">
        <f>IF(OR(ISBLANK(TAB_CS[[#This Row],[Commited days]]),TAB_CS[[#This Row],[Commited days]]=0),,TAB_CS[[#This Row],[Commited days]]*TAB_CS[[#This Row],[Profile in €]])</f>
        <v>46459.199999999997</v>
      </c>
      <c r="W52" s="127">
        <f>SUM(TAB_CS[[#This Row],[F]:[P+1]])-TAB_CS[[#This Row],[P+1]]</f>
        <v>80</v>
      </c>
      <c r="X52" s="189">
        <f>IF(OR(ISBLANK(TAB_CS[[#This Row],[Producted days]]),TAB_CS[[#This Row],[Producted days]]=0),,TAB_CS[[#This Row],[Producted days]]*TAB_CS[[#This Row],[Profile in €]])</f>
        <v>46459.199999999997</v>
      </c>
      <c r="Y52" s="188">
        <f>TAB_CS[[#This Row],[Commited days]]-TAB_CS[[#This Row],[Producted days]]</f>
        <v>0</v>
      </c>
      <c r="Z52" s="189">
        <f>IF(OR(ISBLANK(TAB_CS[[#This Row],[Remaining days]]),TAB_CS[[#This Row],[Remaining days]]=0),,TAB_CS[[#This Row],[Remaining days]]*TAB_CS[[#This Row],[Profile in €]])</f>
        <v>0</v>
      </c>
      <c r="AA52" s="187">
        <f>SUM(TAB_CS[[#This Row],[P+1]:[FP]])</f>
        <v>0</v>
      </c>
      <c r="AB52" s="10">
        <f>IF(OR(ISBLANK(TAB_CS[[#This Row],[Expected days]]),TAB_CS[[#This Row],[Expected days]]=0),,TAB_CS[[#This Row],[Expected days]]*TAB_CS[[#This Row],[Profile in €]])</f>
        <v>0</v>
      </c>
      <c r="AC52" s="14" t="str">
        <f>CONCATENATE(TAB_CS[[#This Row],[DG]],TAB_CS[[#This Row],[Company]])</f>
        <v>EMPLEDDA</v>
      </c>
      <c r="AD52" s="144"/>
      <c r="AE52" s="150"/>
      <c r="AF52" s="151"/>
      <c r="AG52" s="151"/>
      <c r="AH52" s="151"/>
      <c r="AI52" s="150"/>
      <c r="AJ52" s="151"/>
      <c r="AK52" s="156"/>
      <c r="AL52" s="156"/>
      <c r="AM52" s="150"/>
      <c r="AN52" s="150"/>
      <c r="AO52" s="150"/>
      <c r="AP52" s="150"/>
      <c r="AQ52" s="150"/>
      <c r="AR52" s="150"/>
      <c r="AS52" s="150"/>
      <c r="AT52" s="156"/>
      <c r="AU52" s="156"/>
      <c r="AV52" s="352">
        <v>9.5</v>
      </c>
      <c r="AW52" s="352">
        <v>22</v>
      </c>
      <c r="AX52" s="352">
        <v>20</v>
      </c>
      <c r="AY52" s="352">
        <v>14</v>
      </c>
      <c r="AZ52" s="352">
        <v>14.5</v>
      </c>
      <c r="BA52" s="644"/>
      <c r="BB52" s="644"/>
      <c r="BC52" s="644"/>
      <c r="BD52" s="644"/>
      <c r="BE52" s="644"/>
      <c r="BF52" s="644"/>
      <c r="BG52" s="644"/>
      <c r="BH52" s="644"/>
      <c r="BI52" s="173"/>
      <c r="BJ52" s="644"/>
      <c r="BK52" s="644"/>
      <c r="BL52" s="644"/>
      <c r="BM52" s="173"/>
      <c r="BN52" s="644"/>
      <c r="BO52" s="644"/>
      <c r="BP52" s="644"/>
      <c r="BQ52" s="644"/>
      <c r="BR52" s="644"/>
      <c r="BS52" s="644"/>
      <c r="BT52" s="644"/>
      <c r="BU52" s="644"/>
      <c r="BV52" s="644"/>
      <c r="BW52" s="644"/>
      <c r="BX52" s="644"/>
      <c r="BY52" s="644"/>
      <c r="BZ52" s="223"/>
    </row>
    <row r="53" spans="1:78" s="4" customFormat="1" ht="12.75" customHeight="1" x14ac:dyDescent="0.3">
      <c r="A53" s="150">
        <f>IF(ISBLANK(TAB_CS[[#This Row],[Reference]]),"",INDEX(TAB_Offres[ID],MATCH(TAB_CS[[#This Row],[Reference]],TAB_Offres[Reference],0)))</f>
        <v>51</v>
      </c>
      <c r="B53" s="154" t="s">
        <v>5448</v>
      </c>
      <c r="C53" s="150" t="s">
        <v>5646</v>
      </c>
      <c r="D53" s="150" t="str">
        <f>IF(ISBLANK(TAB_CS[[#This Row],[Reference]]),"",VLOOKUP(TAB_CS[[#This Row],[ID]],TAB_Offres[],2,FALSE))</f>
        <v>Lot 2</v>
      </c>
      <c r="E53" s="150" t="s">
        <v>5920</v>
      </c>
      <c r="F53" s="154">
        <f>_xlfn.IFNA(IF(ISBLANK(TAB_CS[[#This Row],[Reference]]),"",VLOOKUP(TAB_CS[[#This Row],[Reference]],TAB_Offres[[Reference]:[Modification Request]],COLUMNS(TAB_Offres[[Reference]:[Modification Request]]),FALSE)),)</f>
        <v>0</v>
      </c>
      <c r="G53" s="150" t="str">
        <f>IF(ISBLANK(TAB_CS[[#This Row],[Reference]]),"",INDEX(TAB_Offres[Institution/agency],MATCH(TAB_CS[[#This Row],[Reference]],TAB_Offres[Reference],0)))</f>
        <v>EC</v>
      </c>
      <c r="H53" s="150" t="str">
        <f>IF(ISBLANK(TAB_CS[[#This Row],[Reference]]),"",INDEX(TAB_Offres[DG],MATCH(TAB_CS[[#This Row],[Reference]],TAB_Offres[Reference],0)))</f>
        <v>GROW</v>
      </c>
      <c r="I53" t="str">
        <f>IF(ISBLANK(TAB_CS[[#This Row],[Reference]]),"",INDEX(TAB_Offres[Offer description],MATCH(TAB_CS[[#This Row],[Reference]],TAB_Offres[Reference],0)))</f>
        <v>GROW G4 New Data Scientist (DS) Level 0-5</v>
      </c>
      <c r="J53" s="155">
        <f>_xlfn.IFNA(IF(ISBLANK(TAB_CS[[#This Row],[Ressource]]),,VLOOKUP(TAB_CS[[#This Row],[Reference]],TAB_Offres[[Reference]:[CS signature date]],COLUMNS(TAB_Offres[[Reference]:[CS signature date]]),FALSE)),"")</f>
        <v>45166</v>
      </c>
      <c r="K53" s="155">
        <f>_xlfn.IFNA(IF(ISBLANK(TAB_CS[[#This Row],[Ressource]]),,VLOOKUP(TAB_CS[[#This Row],[Reference]],TAB_Offres[[Reference]:[CS start date]],COLUMNS(TAB_Offres[[Reference]:[CS start date]]),FALSE)),"")</f>
        <v>45166</v>
      </c>
      <c r="L53" s="155">
        <f>_xlfn.IFNA(IF(ISBLANK(TAB_CS[[#This Row],[Ressource]]),,VLOOKUP(TAB_CS[[#This Row],[Reference]],TAB_Offres[[Reference]:[CS end date]],COLUMNS(TAB_Offres[[Reference]:[CS end date]]),FALSE)),"")</f>
        <v>45596</v>
      </c>
      <c r="M53" s="1" t="str">
        <f>_xlfn.IFNA(IF(ISBLANK(TAB_CS[[#This Row],[Ressource]]),,VLOOKUP(TAB_CS[[#This Row],[Reference]],TAB_Offres[[Reference]:[CS State]],COLUMNS(TAB_Offres[[Reference]:[CS State]]),FALSE)),"")</f>
        <v>START</v>
      </c>
      <c r="N53" s="154" t="str">
        <f>VLOOKUP(TAB_CS[[#This Row],[Reference]],TAB_Offres[[Reference]:[Ressource 1]],25,FALSE)</f>
        <v>MARCELLINO, Costanza</v>
      </c>
      <c r="O53" s="150" t="str">
        <f>_xlfn.IFNA(IF(ISBLANK(TAB_CS[[#This Row],[Ressource]]),,VLOOKUP(TAB_CS[[#This Row],[Reference]],TAB_Offres[[Reference]:[Company]],COLUMNS(TAB_Offres[[Reference]:[Company]]),FALSE)),"")</f>
        <v>CGI LUX</v>
      </c>
      <c r="P53" s="1" t="str">
        <f>_xlfn.CONCAT(TAB_CS[[#This Row],[Ressource]],TAB_CS[[#This Row],[Profile in €]])</f>
        <v>MARCELLINO, Costanza413,82</v>
      </c>
      <c r="Q53" s="1" t="str">
        <f>_xlfn.CONCAT(TAB_CS[[#This Row],[Company]],TAB_CS[[#This Row],[Business perimeter]])</f>
        <v>CGI LUXNB</v>
      </c>
      <c r="R53" s="150" t="str">
        <f>_xlfn.IFNA(IF(ISBLANK(TAB_CS[[#This Row],[Ressource]]),"",VLOOKUP(TAB_CS[[#This Row],[Reference]],TAB_Offres[[Reference]:[Profile]],COLUMNS(TAB_Offres[[Reference]:[Profile]]),FALSE)),"")</f>
        <v>Data Scientist</v>
      </c>
      <c r="S53" s="150">
        <f>_xlfn.IFNA(IF(ISBLANK(TAB_CS[[#This Row],[Ressource]]),"",VLOOKUP(TAB_CS[[#This Row],[Reference]],TAB_Offres[[Reference]:[Level]],COLUMNS(TAB_Offres[[Reference]:[Level]]),FALSE)),"")</f>
        <v>4</v>
      </c>
      <c r="T53" s="156">
        <f>_xlfn.IFNA(IF(OR(ISBLANK(TAB_CS[[#This Row],[Level]]),TAB_CS[[#This Row],[Level]]=""),,VLOOKUP(TAB_CS[[#This Row],[Profile]],TAB_prix[],2+TAB_CS[[#This Row],[Level]],FALSE)),)</f>
        <v>413.82</v>
      </c>
      <c r="U53" s="151">
        <v>220</v>
      </c>
      <c r="V53" s="205">
        <f>IF(OR(ISBLANK(TAB_CS[[#This Row],[Commited days]]),TAB_CS[[#This Row],[Commited days]]=0),,TAB_CS[[#This Row],[Commited days]]*TAB_CS[[#This Row],[Profile in €]])</f>
        <v>91040.4</v>
      </c>
      <c r="W53" s="156">
        <f>SUM(TAB_CS[[#This Row],[F]:[P+1]])-TAB_CS[[#This Row],[P+1]]</f>
        <v>220</v>
      </c>
      <c r="X53" s="205">
        <f>IF(OR(ISBLANK(TAB_CS[[#This Row],[Producted days]]),TAB_CS[[#This Row],[Producted days]]=0),,TAB_CS[[#This Row],[Producted days]]*TAB_CS[[#This Row],[Profile in €]])</f>
        <v>91040.4</v>
      </c>
      <c r="Y53" s="206">
        <f>TAB_CS[[#This Row],[Commited days]]-TAB_CS[[#This Row],[Producted days]]</f>
        <v>0</v>
      </c>
      <c r="Z53" s="205">
        <f>IF(OR(ISBLANK(TAB_CS[[#This Row],[Remaining days]]),TAB_CS[[#This Row],[Remaining days]]=0),,TAB_CS[[#This Row],[Remaining days]]*TAB_CS[[#This Row],[Profile in €]])</f>
        <v>0</v>
      </c>
      <c r="AA53" s="207">
        <f>SUM(TAB_CS[[#This Row],[P+1]:[FP]])</f>
        <v>0</v>
      </c>
      <c r="AB53" s="208">
        <f>IF(OR(ISBLANK(TAB_CS[[#This Row],[Expected days]]),TAB_CS[[#This Row],[Expected days]]=0),,TAB_CS[[#This Row],[Expected days]]*TAB_CS[[#This Row],[Profile in €]])</f>
        <v>0</v>
      </c>
      <c r="AC53" s="14" t="str">
        <f>CONCATENATE(TAB_CS[[#This Row],[DG]],TAB_CS[[#This Row],[Company]])</f>
        <v>GROWCGI LUX</v>
      </c>
      <c r="AD53" s="144"/>
      <c r="AE53" s="150"/>
      <c r="AF53" s="151"/>
      <c r="AG53" s="151"/>
      <c r="AH53" s="151"/>
      <c r="AI53" s="150"/>
      <c r="AJ53" s="151"/>
      <c r="AK53" s="156"/>
      <c r="AL53" s="156"/>
      <c r="AM53" s="150"/>
      <c r="AN53" s="150"/>
      <c r="AO53" s="150"/>
      <c r="AP53" s="150"/>
      <c r="AQ53" s="150"/>
      <c r="AR53" s="150"/>
      <c r="AS53" s="150"/>
      <c r="AT53" s="156"/>
      <c r="AU53" s="156"/>
      <c r="AV53" s="352">
        <v>21</v>
      </c>
      <c r="AW53" s="352">
        <v>16</v>
      </c>
      <c r="AX53" s="352">
        <v>18</v>
      </c>
      <c r="AY53" s="352">
        <v>15</v>
      </c>
      <c r="AZ53" s="352">
        <v>17</v>
      </c>
      <c r="BA53" s="352">
        <v>15</v>
      </c>
      <c r="BB53" s="352">
        <v>15</v>
      </c>
      <c r="BC53" s="352">
        <v>15</v>
      </c>
      <c r="BD53" s="352">
        <v>16</v>
      </c>
      <c r="BE53" s="352">
        <v>15</v>
      </c>
      <c r="BF53" s="352">
        <v>16</v>
      </c>
      <c r="BG53" s="352">
        <v>16</v>
      </c>
      <c r="BH53" s="352">
        <v>15</v>
      </c>
      <c r="BI53" s="350"/>
      <c r="BJ53" s="633">
        <v>10</v>
      </c>
      <c r="BK53" s="644"/>
      <c r="BL53" s="644"/>
      <c r="BM53" s="350"/>
      <c r="BN53" s="644"/>
      <c r="BO53" s="644"/>
      <c r="BP53" s="644"/>
      <c r="BQ53" s="644"/>
      <c r="BR53" s="644"/>
      <c r="BS53" s="644"/>
      <c r="BT53" s="644"/>
      <c r="BU53" s="644"/>
      <c r="BV53" s="644"/>
      <c r="BW53" s="644"/>
      <c r="BX53" s="644"/>
      <c r="BY53" s="644"/>
      <c r="BZ53" s="541"/>
    </row>
    <row r="54" spans="1:78" ht="12.75" customHeight="1" x14ac:dyDescent="0.3">
      <c r="A54" s="1">
        <f>IF(ISBLANK(TAB_CS[[#This Row],[Reference]]),"",INDEX(TAB_Offres[ID],MATCH(TAB_CS[[#This Row],[Reference]],TAB_Offres[Reference],0)))</f>
        <v>52</v>
      </c>
      <c r="B54" s="26" t="s">
        <v>5474</v>
      </c>
      <c r="C54" s="150" t="s">
        <v>5647</v>
      </c>
      <c r="D54" s="1" t="str">
        <f>IF(ISBLANK(TAB_CS[[#This Row],[Reference]]),"",VLOOKUP(TAB_CS[[#This Row],[ID]],TAB_Offres[],2,FALSE))</f>
        <v>Lot 1</v>
      </c>
      <c r="E54" s="1" t="s">
        <v>5920</v>
      </c>
      <c r="F54" s="26">
        <f>_xlfn.IFNA(IF(ISBLANK(TAB_CS[[#This Row],[Reference]]),"",VLOOKUP(TAB_CS[[#This Row],[Reference]],TAB_Offres[[Reference]:[Modification Request]],COLUMNS(TAB_Offres[[Reference]:[Modification Request]]),FALSE)),)</f>
        <v>0</v>
      </c>
      <c r="G54" s="150" t="str">
        <f>IF(ISBLANK(TAB_CS[[#This Row],[Reference]]),"",INDEX(TAB_Offres[Institution/agency],MATCH(TAB_CS[[#This Row],[Reference]],TAB_Offres[Reference],0)))</f>
        <v>EC</v>
      </c>
      <c r="H54" s="150" t="str">
        <f>IF(ISBLANK(TAB_CS[[#This Row],[Reference]]),"",INDEX(TAB_Offres[DG],MATCH(TAB_CS[[#This Row],[Reference]],TAB_Offres[Reference],0)))</f>
        <v>SG</v>
      </c>
      <c r="I54" t="str">
        <f>IF(ISBLANK(TAB_CS[[#This Row],[Reference]]),"",INDEX(TAB_Offres[Offer description],MATCH(TAB_CS[[#This Row],[Reference]],TAB_Offres[Reference],0)))</f>
        <v>Full-Stack Developer (FSD)</v>
      </c>
      <c r="J54" s="155">
        <f>_xlfn.IFNA(IF(ISBLANK(TAB_CS[[#This Row],[Ressource]]),,VLOOKUP(TAB_CS[[#This Row],[Reference]],TAB_Offres[[Reference]:[CS signature date]],COLUMNS(TAB_Offres[[Reference]:[CS signature date]]),FALSE)),"")</f>
        <v>45183</v>
      </c>
      <c r="K54" s="155">
        <f>_xlfn.IFNA(IF(ISBLANK(TAB_CS[[#This Row],[Ressource]]),,VLOOKUP(TAB_CS[[#This Row],[Reference]],TAB_Offres[[Reference]:[CS start date]],COLUMNS(TAB_Offres[[Reference]:[CS start date]]),FALSE)),"")</f>
        <v>45184</v>
      </c>
      <c r="L54" s="155">
        <f>_xlfn.IFNA(IF(ISBLANK(TAB_CS[[#This Row],[Ressource]]),,VLOOKUP(TAB_CS[[#This Row],[Reference]],TAB_Offres[[Reference]:[CS end date]],COLUMNS(TAB_Offres[[Reference]:[CS end date]]),FALSE)),"")</f>
        <v>45626</v>
      </c>
      <c r="M54" s="1" t="str">
        <f>_xlfn.IFNA(IF(ISBLANK(TAB_CS[[#This Row],[Ressource]]),,VLOOKUP(TAB_CS[[#This Row],[Reference]],TAB_Offres[[Reference]:[CS State]],COLUMNS(TAB_Offres[[Reference]:[CS State]]),FALSE)),"")</f>
        <v>CLOSE</v>
      </c>
      <c r="N54" s="26" t="str">
        <f>VLOOKUP(TAB_CS[[#This Row],[Reference]],TAB_Offres[[Reference]:[Ressource 1]],25,FALSE)</f>
        <v>AFONSO, Leonardo</v>
      </c>
      <c r="O54" s="1" t="str">
        <f>_xlfn.IFNA(IF(ISBLANK(TAB_CS[[#This Row],[Ressource]]),,VLOOKUP(TAB_CS[[#This Row],[Reference]],TAB_Offres[[Reference]:[Company]],COLUMNS(TAB_Offres[[Reference]:[Company]]),FALSE)),"")</f>
        <v>TALAN</v>
      </c>
      <c r="P54" s="1" t="str">
        <f>_xlfn.CONCAT(TAB_CS[[#This Row],[Ressource]],TAB_CS[[#This Row],[Profile in €]])</f>
        <v>AFONSO, Leonardo507,24</v>
      </c>
      <c r="Q54" s="1" t="str">
        <f>_xlfn.CONCAT(TAB_CS[[#This Row],[Company]],TAB_CS[[#This Row],[Business perimeter]])</f>
        <v>TALANNB</v>
      </c>
      <c r="R54" s="1" t="str">
        <f>_xlfn.IFNA(IF(ISBLANK(TAB_CS[[#This Row],[Ressource]]),"",VLOOKUP(TAB_CS[[#This Row],[Reference]],TAB_Offres[[Reference]:[Profile]],COLUMNS(TAB_Offres[[Reference]:[Profile]]),FALSE)),"")</f>
        <v>Full-stack developer</v>
      </c>
      <c r="S54" s="150">
        <v>6</v>
      </c>
      <c r="T54" s="156">
        <f>_xlfn.IFNA(IF(OR(ISBLANK(TAB_CS[[#This Row],[Level]]),TAB_CS[[#This Row],[Level]]=""),,VLOOKUP(TAB_CS[[#This Row],[Profile]],TAB_prix[],2+TAB_CS[[#This Row],[Level]],FALSE)),)</f>
        <v>507.24</v>
      </c>
      <c r="U54" s="13">
        <v>40</v>
      </c>
      <c r="V54" s="189">
        <f>IF(OR(ISBLANK(TAB_CS[[#This Row],[Commited days]]),TAB_CS[[#This Row],[Commited days]]=0),,TAB_CS[[#This Row],[Commited days]]*TAB_CS[[#This Row],[Profile in €]])</f>
        <v>20289.599999999999</v>
      </c>
      <c r="W54" s="127">
        <f>SUM(TAB_CS[[#This Row],[F]:[P+1]])-TAB_CS[[#This Row],[P+1]]</f>
        <v>40</v>
      </c>
      <c r="X54" s="189">
        <f>IF(OR(ISBLANK(TAB_CS[[#This Row],[Producted days]]),TAB_CS[[#This Row],[Producted days]]=0),,TAB_CS[[#This Row],[Producted days]]*TAB_CS[[#This Row],[Profile in €]])</f>
        <v>20289.599999999999</v>
      </c>
      <c r="Y54" s="188">
        <f>TAB_CS[[#This Row],[Commited days]]-TAB_CS[[#This Row],[Producted days]]</f>
        <v>0</v>
      </c>
      <c r="Z54" s="189">
        <f>IF(OR(ISBLANK(TAB_CS[[#This Row],[Remaining days]]),TAB_CS[[#This Row],[Remaining days]]=0),,TAB_CS[[#This Row],[Remaining days]]*TAB_CS[[#This Row],[Profile in €]])</f>
        <v>0</v>
      </c>
      <c r="AA54" s="187">
        <f>SUM(TAB_CS[[#This Row],[P+1]:[FP]])</f>
        <v>0</v>
      </c>
      <c r="AB54" s="10">
        <f>IF(OR(ISBLANK(TAB_CS[[#This Row],[Expected days]]),TAB_CS[[#This Row],[Expected days]]=0),,TAB_CS[[#This Row],[Expected days]]*TAB_CS[[#This Row],[Profile in €]])</f>
        <v>0</v>
      </c>
      <c r="AC54" s="14" t="str">
        <f>CONCATENATE(TAB_CS[[#This Row],[DG]],TAB_CS[[#This Row],[Company]])</f>
        <v>SGTALAN</v>
      </c>
      <c r="AD54" s="144"/>
      <c r="AE54" s="150"/>
      <c r="AF54" s="151"/>
      <c r="AG54" s="151"/>
      <c r="AH54" s="151"/>
      <c r="AI54" s="150"/>
      <c r="AJ54" s="151"/>
      <c r="AK54" s="156"/>
      <c r="AL54" s="156"/>
      <c r="AM54" s="150"/>
      <c r="AN54" s="150"/>
      <c r="AO54" s="150"/>
      <c r="AP54" s="150"/>
      <c r="AQ54" s="150"/>
      <c r="AR54" s="150"/>
      <c r="AS54" s="150"/>
      <c r="AT54" s="156"/>
      <c r="AU54" s="156"/>
      <c r="AV54" s="363">
        <v>1</v>
      </c>
      <c r="AW54" s="352">
        <v>21.5</v>
      </c>
      <c r="AX54" s="352">
        <v>17.5</v>
      </c>
      <c r="AY54" s="644"/>
      <c r="AZ54" s="643"/>
      <c r="BA54" s="644"/>
      <c r="BB54" s="644"/>
      <c r="BC54" s="644"/>
      <c r="BD54" s="644"/>
      <c r="BE54" s="644"/>
      <c r="BF54" s="644"/>
      <c r="BG54" s="644"/>
      <c r="BH54" s="644"/>
      <c r="BI54" s="173"/>
      <c r="BJ54" s="644"/>
      <c r="BK54" s="644"/>
      <c r="BL54" s="644"/>
      <c r="BM54" s="173"/>
      <c r="BN54" s="644"/>
      <c r="BO54" s="644"/>
      <c r="BP54" s="644"/>
      <c r="BQ54" s="644"/>
      <c r="BR54" s="644"/>
      <c r="BS54" s="644"/>
      <c r="BT54" s="644"/>
      <c r="BU54" s="644"/>
      <c r="BV54" s="644"/>
      <c r="BW54" s="644"/>
      <c r="BX54" s="644"/>
      <c r="BY54" s="644"/>
      <c r="BZ54" s="223"/>
    </row>
    <row r="55" spans="1:78" ht="12.75" customHeight="1" x14ac:dyDescent="0.3">
      <c r="A55" s="1">
        <f>IF(ISBLANK(TAB_CS[[#This Row],[Reference]]),"",INDEX(TAB_Offres[ID],MATCH(TAB_CS[[#This Row],[Reference]],TAB_Offres[Reference],0)))</f>
        <v>53</v>
      </c>
      <c r="B55" s="26" t="s">
        <v>556</v>
      </c>
      <c r="C55" s="150" t="s">
        <v>5648</v>
      </c>
      <c r="D55" s="1" t="str">
        <f>IF(ISBLANK(TAB_CS[[#This Row],[Reference]]),"",VLOOKUP(TAB_CS[[#This Row],[ID]],TAB_Offres[],2,FALSE))</f>
        <v>Lot 2</v>
      </c>
      <c r="E55" s="150" t="s">
        <v>5920</v>
      </c>
      <c r="F55" s="26">
        <f>_xlfn.IFNA(IF(ISBLANK(TAB_CS[[#This Row],[Reference]]),"",VLOOKUP(TAB_CS[[#This Row],[Reference]],TAB_Offres[[Reference]:[Modification Request]],COLUMNS(TAB_Offres[[Reference]:[Modification Request]]),FALSE)),)</f>
        <v>0</v>
      </c>
      <c r="G55" s="150" t="str">
        <f>IF(ISBLANK(TAB_CS[[#This Row],[Reference]]),"",INDEX(TAB_Offres[Institution/agency],MATCH(TAB_CS[[#This Row],[Reference]],TAB_Offres[Reference],0)))</f>
        <v>EC</v>
      </c>
      <c r="H55" s="150" t="str">
        <f>IF(ISBLANK(TAB_CS[[#This Row],[Reference]]),"",INDEX(TAB_Offres[DG],MATCH(TAB_CS[[#This Row],[Reference]],TAB_Offres[Reference],0)))</f>
        <v>REGIO</v>
      </c>
      <c r="I55" t="str">
        <f>IF(ISBLANK(TAB_CS[[#This Row],[Reference]]),"",INDEX(TAB_Offres[Offer description],MATCH(TAB_CS[[#This Row],[Reference]],TAB_Offres[Reference],0)))</f>
        <v>Data-warehouse &amp; report. devel</v>
      </c>
      <c r="J55" s="155">
        <f>_xlfn.IFNA(IF(ISBLANK(TAB_CS[[#This Row],[Ressource]]),,VLOOKUP(TAB_CS[[#This Row],[Reference]],TAB_Offres[[Reference]:[CS signature date]],COLUMNS(TAB_Offres[[Reference]:[CS signature date]]),FALSE)),"")</f>
        <v>45044</v>
      </c>
      <c r="K55" s="155">
        <f>_xlfn.IFNA(IF(ISBLANK(TAB_CS[[#This Row],[Ressource]]),,VLOOKUP(TAB_CS[[#This Row],[Reference]],TAB_Offres[[Reference]:[CS start date]],COLUMNS(TAB_Offres[[Reference]:[CS start date]]),FALSE)),"")</f>
        <v>0</v>
      </c>
      <c r="L55" s="155">
        <f>_xlfn.IFNA(IF(ISBLANK(TAB_CS[[#This Row],[Ressource]]),,VLOOKUP(TAB_CS[[#This Row],[Reference]],TAB_Offres[[Reference]:[CS end date]],COLUMNS(TAB_Offres[[Reference]:[CS end date]]),FALSE)),"")</f>
        <v>45596</v>
      </c>
      <c r="M55" s="1" t="str">
        <f>_xlfn.IFNA(IF(ISBLANK(TAB_CS[[#This Row],[Ressource]]),,VLOOKUP(TAB_CS[[#This Row],[Reference]],TAB_Offres[[Reference]:[CS State]],COLUMNS(TAB_Offres[[Reference]:[CS State]]),FALSE)),"")</f>
        <v>PENDING</v>
      </c>
      <c r="N55" s="26" t="str">
        <f>VLOOKUP(TAB_CS[[#This Row],[Reference]],TAB_Offres[[Reference]:[Ressource 1]],25,FALSE)</f>
        <v>MASTRANDREA, Barbara Maria</v>
      </c>
      <c r="O55" s="1" t="str">
        <f>_xlfn.IFNA(IF(ISBLANK(TAB_CS[[#This Row],[Ressource]]),,VLOOKUP(TAB_CS[[#This Row],[Reference]],TAB_Offres[[Reference]:[Company]],COLUMNS(TAB_Offres[[Reference]:[Company]]),FALSE)),"")</f>
        <v>TALAN</v>
      </c>
      <c r="P55" s="1" t="str">
        <f>_xlfn.CONCAT(TAB_CS[[#This Row],[Ressource]],TAB_CS[[#This Row],[Profile in €]])</f>
        <v>MASTRANDREA, Barbara Maria469,07</v>
      </c>
      <c r="Q55" s="1" t="str">
        <f>_xlfn.CONCAT(TAB_CS[[#This Row],[Company]],TAB_CS[[#This Row],[Business perimeter]])</f>
        <v>TALANNB</v>
      </c>
      <c r="R55" s="1" t="str">
        <f>_xlfn.IFNA(IF(ISBLANK(TAB_CS[[#This Row],[Ressource]]),"",VLOOKUP(TAB_CS[[#This Row],[Reference]],TAB_Offres[[Reference]:[Profile]],COLUMNS(TAB_Offres[[Reference]:[Profile]]),FALSE)),"")</f>
        <v>Data warehouse and reporting developer-FAR</v>
      </c>
      <c r="S55" s="150">
        <f>_xlfn.IFNA(IF(ISBLANK(TAB_CS[[#This Row],[Ressource]]),"",VLOOKUP(TAB_CS[[#This Row],[Reference]],TAB_Offres[[Reference]:[Level]],COLUMNS(TAB_Offres[[Reference]:[Level]]),FALSE)),"")</f>
        <v>8</v>
      </c>
      <c r="T55" s="127">
        <f>_xlfn.IFNA(IF(OR(ISBLANK(TAB_CS[[#This Row],[Level]]),TAB_CS[[#This Row],[Level]]=""),,VLOOKUP(TAB_CS[[#This Row],[Profile]],TAB_prix[],2+TAB_CS[[#This Row],[Level]],FALSE)),)</f>
        <v>469.07</v>
      </c>
      <c r="U55" s="13">
        <v>216</v>
      </c>
      <c r="V55" s="189">
        <f>IF(OR(ISBLANK(TAB_CS[[#This Row],[Commited days]]),TAB_CS[[#This Row],[Commited days]]=0),,TAB_CS[[#This Row],[Commited days]]*TAB_CS[[#This Row],[Profile in €]])</f>
        <v>101319.12</v>
      </c>
      <c r="W55" s="127">
        <f>SUM(TAB_CS[[#This Row],[F]:[P+1]])-TAB_CS[[#This Row],[P+1]]</f>
        <v>216</v>
      </c>
      <c r="X55" s="189">
        <f>IF(OR(ISBLANK(TAB_CS[[#This Row],[Producted days]]),TAB_CS[[#This Row],[Producted days]]=0),,TAB_CS[[#This Row],[Producted days]]*TAB_CS[[#This Row],[Profile in €]])</f>
        <v>101319.12</v>
      </c>
      <c r="Y55" s="188">
        <f>TAB_CS[[#This Row],[Commited days]]-TAB_CS[[#This Row],[Producted days]]</f>
        <v>0</v>
      </c>
      <c r="Z55" s="189">
        <f>IF(OR(ISBLANK(TAB_CS[[#This Row],[Remaining days]]),TAB_CS[[#This Row],[Remaining days]]=0),,TAB_CS[[#This Row],[Remaining days]]*TAB_CS[[#This Row],[Profile in €]])</f>
        <v>0</v>
      </c>
      <c r="AA55" s="187">
        <f>SUM(TAB_CS[[#This Row],[P+1]:[FP]])</f>
        <v>0</v>
      </c>
      <c r="AB55" s="10">
        <f>IF(OR(ISBLANK(TAB_CS[[#This Row],[Expected days]]),TAB_CS[[#This Row],[Expected days]]=0),,TAB_CS[[#This Row],[Expected days]]*TAB_CS[[#This Row],[Profile in €]])</f>
        <v>0</v>
      </c>
      <c r="AC55" s="14" t="str">
        <f>CONCATENATE(TAB_CS[[#This Row],[DG]],TAB_CS[[#This Row],[Company]])</f>
        <v>REGIOTALAN</v>
      </c>
      <c r="AD55" s="144"/>
      <c r="AE55" s="150"/>
      <c r="AF55" s="151"/>
      <c r="AG55" s="151"/>
      <c r="AH55" s="151"/>
      <c r="AI55" s="150"/>
      <c r="AJ55" s="151"/>
      <c r="AK55" s="156"/>
      <c r="AL55" s="156"/>
      <c r="AM55" s="150"/>
      <c r="AN55" s="179"/>
      <c r="AO55" s="150"/>
      <c r="AP55" s="150"/>
      <c r="AQ55" s="150"/>
      <c r="AR55" s="351">
        <v>5</v>
      </c>
      <c r="AS55" s="351">
        <v>12</v>
      </c>
      <c r="AT55" s="351">
        <v>19</v>
      </c>
      <c r="AU55" s="351">
        <v>18</v>
      </c>
      <c r="AV55" s="352">
        <v>20</v>
      </c>
      <c r="AW55" s="351">
        <v>22</v>
      </c>
      <c r="AX55" s="351">
        <v>19.5</v>
      </c>
      <c r="AY55" s="351">
        <v>6</v>
      </c>
      <c r="AZ55" s="351">
        <v>20</v>
      </c>
      <c r="BA55" s="351">
        <v>21</v>
      </c>
      <c r="BB55" s="351">
        <v>18</v>
      </c>
      <c r="BC55" s="351">
        <v>18</v>
      </c>
      <c r="BD55" s="351">
        <v>17.5</v>
      </c>
      <c r="BE55" s="643"/>
      <c r="BF55" s="643"/>
      <c r="BG55" s="643"/>
      <c r="BH55" s="643"/>
      <c r="BI55" s="173"/>
      <c r="BJ55" s="643"/>
      <c r="BK55" s="643"/>
      <c r="BL55" s="643"/>
      <c r="BM55" s="173"/>
      <c r="BN55" s="643"/>
      <c r="BO55" s="643"/>
      <c r="BP55" s="643"/>
      <c r="BQ55" s="643"/>
      <c r="BR55" s="643"/>
      <c r="BS55" s="643"/>
      <c r="BT55" s="643"/>
      <c r="BU55" s="643"/>
      <c r="BV55" s="643"/>
      <c r="BW55" s="643"/>
      <c r="BX55" s="643"/>
      <c r="BY55" s="643"/>
      <c r="BZ55" s="223"/>
    </row>
    <row r="56" spans="1:78" ht="12.6" customHeight="1" x14ac:dyDescent="0.25">
      <c r="A56" s="1">
        <f>IF(ISBLANK(TAB_CS[[#This Row],[Reference]]),"",INDEX(TAB_Offres[ID],MATCH(TAB_CS[[#This Row],[Reference]],TAB_Offres[Reference],0)))</f>
        <v>54</v>
      </c>
      <c r="B56" s="334" t="s">
        <v>560</v>
      </c>
      <c r="C56" s="8" t="s">
        <v>5649</v>
      </c>
      <c r="D56" s="30" t="str">
        <f>IF(ISBLANK(TAB_CS[[#This Row],[Reference]]),"",VLOOKUP(TAB_CS[[#This Row],[ID]],TAB_Offres[],2,FALSE))</f>
        <v>Lot 1</v>
      </c>
      <c r="E56" s="150" t="s">
        <v>5918</v>
      </c>
      <c r="F56" s="334">
        <f>_xlfn.IFNA(IF(ISBLANK(TAB_CS[[#This Row],[Reference]]),"",VLOOKUP(TAB_CS[[#This Row],[Reference]],TAB_Offres[[Reference]:[Modification Request]],COLUMNS(TAB_Offres[[Reference]:[Modification Request]]),FALSE)),)</f>
        <v>0</v>
      </c>
      <c r="G56" s="8" t="str">
        <f>IF(ISBLANK(TAB_CS[[#This Row],[Reference]]),"",INDEX(TAB_Offres[Institution/agency],MATCH(TAB_CS[[#This Row],[Reference]],TAB_Offres[Reference],0)))</f>
        <v>EC</v>
      </c>
      <c r="H56" s="8" t="str">
        <f>IF(ISBLANK(TAB_CS[[#This Row],[Reference]]),"",INDEX(TAB_Offres[DG],MATCH(TAB_CS[[#This Row],[Reference]],TAB_Offres[Reference],0)))</f>
        <v>DIGIT.B.1</v>
      </c>
      <c r="I56" s="31" t="str">
        <f>IF(ISBLANK(TAB_CS[[#This Row],[Reference]]),"",INDEX(TAB_Offres[Offer description],MATCH(TAB_CS[[#This Row],[Reference]],TAB_Offres[Reference],0)))</f>
        <v>2023-B1-002.058 - EXT - DIGIT TMII - ADAM - suite CS 2474</v>
      </c>
      <c r="J56" s="335">
        <f>_xlfn.IFNA(IF(ISBLANK(TAB_CS[[#This Row],[Ressource]]),,VLOOKUP(TAB_CS[[#This Row],[Reference]],TAB_Offres[[Reference]:[CS signature date]],COLUMNS(TAB_Offres[[Reference]:[CS signature date]]),FALSE)),"")</f>
        <v>45030</v>
      </c>
      <c r="K56" s="335">
        <f>_xlfn.IFNA(IF(ISBLANK(TAB_CS[[#This Row],[Ressource]]),,VLOOKUP(TAB_CS[[#This Row],[Reference]],TAB_Offres[[Reference]:[CS start date]],COLUMNS(TAB_Offres[[Reference]:[CS start date]]),FALSE)),"")</f>
        <v>0</v>
      </c>
      <c r="L56" s="335">
        <f>_xlfn.IFNA(IF(ISBLANK(TAB_CS[[#This Row],[Ressource]]),,VLOOKUP(TAB_CS[[#This Row],[Reference]],TAB_Offres[[Reference]:[CS end date]],COLUMNS(TAB_Offres[[Reference]:[CS end date]]),FALSE)),"")</f>
        <v>45565</v>
      </c>
      <c r="M56" s="30" t="str">
        <f>_xlfn.IFNA(IF(ISBLANK(TAB_CS[[#This Row],[Ressource]]),,VLOOKUP(TAB_CS[[#This Row],[Reference]],TAB_Offres[[Reference]:[CS State]],COLUMNS(TAB_Offres[[Reference]:[CS State]]),FALSE)),"")</f>
        <v>PENDING</v>
      </c>
      <c r="N56" s="26" t="str">
        <f>VLOOKUP(TAB_CS[[#This Row],[Reference]],TAB_Offres[[Reference]:[Ressource 1]],25,FALSE)</f>
        <v>ADAM, Nathalie</v>
      </c>
      <c r="O56" s="30" t="str">
        <f>_xlfn.IFNA(IF(ISBLANK(TAB_CS[[#This Row],[Ressource]]),,VLOOKUP(TAB_CS[[#This Row],[Reference]],TAB_Offres[[Reference]:[Company]],COLUMNS(TAB_Offres[[Reference]:[Company]]),FALSE)),"")</f>
        <v>EDDA</v>
      </c>
      <c r="P56" s="30" t="str">
        <f>_xlfn.CONCAT(TAB_CS[[#This Row],[Ressource]],TAB_CS[[#This Row],[Profile in €]])</f>
        <v>ADAM, Nathalie580,74</v>
      </c>
      <c r="Q56" s="30" t="str">
        <f>_xlfn.CONCAT(TAB_CS[[#This Row],[Company]],TAB_CS[[#This Row],[Business perimeter]])</f>
        <v>EDDABL</v>
      </c>
      <c r="R56" s="30" t="str">
        <f>_xlfn.IFNA(IF(ISBLANK(TAB_CS[[#This Row],[Ressource]]),"",VLOOKUP(TAB_CS[[#This Row],[Reference]],TAB_Offres[[Reference]:[Profile]],COLUMNS(TAB_Offres[[Reference]:[Profile]]),FALSE)),"")</f>
        <v>Full-stack developer</v>
      </c>
      <c r="S56" s="8">
        <f>_xlfn.IFNA(IF(ISBLANK(TAB_CS[[#This Row],[Ressource]]),"",VLOOKUP(TAB_CS[[#This Row],[Reference]],TAB_Offres[[Reference]:[Level]],COLUMNS(TAB_Offres[[Reference]:[Level]]),FALSE)),"")</f>
        <v>8</v>
      </c>
      <c r="T56" s="188">
        <f>_xlfn.IFNA(IF(OR(ISBLANK(TAB_CS[[#This Row],[Level]]),TAB_CS[[#This Row],[Level]]=""),,VLOOKUP(TAB_CS[[#This Row],[Profile]],TAB_prix[],2+TAB_CS[[#This Row],[Level]],FALSE)),)</f>
        <v>580.74</v>
      </c>
      <c r="U56" s="15">
        <v>145</v>
      </c>
      <c r="V56" s="336">
        <f>IF(OR(ISBLANK(TAB_CS[[#This Row],[Commited days]]),TAB_CS[[#This Row],[Commited days]]=0),,TAB_CS[[#This Row],[Commited days]]*TAB_CS[[#This Row],[Profile in €]])</f>
        <v>84207.3</v>
      </c>
      <c r="W56" s="188">
        <f>SUM(TAB_CS[[#This Row],[F]:[P+1]])-TAB_CS[[#This Row],[P+1]]</f>
        <v>145</v>
      </c>
      <c r="X56" s="336">
        <f>IF(OR(ISBLANK(TAB_CS[[#This Row],[Producted days]]),TAB_CS[[#This Row],[Producted days]]=0),,TAB_CS[[#This Row],[Producted days]]*TAB_CS[[#This Row],[Profile in €]])</f>
        <v>84207.3</v>
      </c>
      <c r="Y56" s="188">
        <f>TAB_CS[[#This Row],[Commited days]]-TAB_CS[[#This Row],[Producted days]]</f>
        <v>0</v>
      </c>
      <c r="Z56" s="336">
        <f>IF(OR(ISBLANK(TAB_CS[[#This Row],[Remaining days]]),TAB_CS[[#This Row],[Remaining days]]=0),,TAB_CS[[#This Row],[Remaining days]]*TAB_CS[[#This Row],[Profile in €]])</f>
        <v>0</v>
      </c>
      <c r="AA56" s="337">
        <f>SUM(TAB_CS[[#This Row],[P+1]:[FP]])</f>
        <v>0</v>
      </c>
      <c r="AB56" s="338">
        <f>IF(OR(ISBLANK(TAB_CS[[#This Row],[Expected days]]),TAB_CS[[#This Row],[Expected days]]=0),,TAB_CS[[#This Row],[Expected days]]*TAB_CS[[#This Row],[Profile in €]])</f>
        <v>0</v>
      </c>
      <c r="AC56" s="339" t="str">
        <f>CONCATENATE(TAB_CS[[#This Row],[DG]],TAB_CS[[#This Row],[Company]])</f>
        <v>DIGIT.B.1EDDA</v>
      </c>
      <c r="AD56" s="340"/>
      <c r="AE56" s="8"/>
      <c r="AF56" s="341"/>
      <c r="AG56" s="341"/>
      <c r="AH56" s="341"/>
      <c r="AI56" s="8"/>
      <c r="AJ56" s="341"/>
      <c r="AK56" s="206"/>
      <c r="AL56" s="206"/>
      <c r="AM56" s="8"/>
      <c r="AN56" s="8"/>
      <c r="AO56" s="8"/>
      <c r="AP56" s="8"/>
      <c r="AQ56" s="8"/>
      <c r="AR56" s="361">
        <v>2</v>
      </c>
      <c r="AS56" s="361">
        <v>17</v>
      </c>
      <c r="AT56" s="361">
        <v>13</v>
      </c>
      <c r="AU56" s="361">
        <v>13</v>
      </c>
      <c r="AV56" s="362">
        <v>13</v>
      </c>
      <c r="AW56" s="361">
        <v>18</v>
      </c>
      <c r="AX56" s="361">
        <v>15</v>
      </c>
      <c r="AY56" s="361">
        <v>2</v>
      </c>
      <c r="AZ56" s="361">
        <v>14</v>
      </c>
      <c r="BA56" s="361">
        <v>17</v>
      </c>
      <c r="BB56" s="361">
        <v>11</v>
      </c>
      <c r="BC56" s="361">
        <v>10</v>
      </c>
      <c r="BD56" s="648"/>
      <c r="BE56" s="648"/>
      <c r="BF56" s="648"/>
      <c r="BG56" s="648"/>
      <c r="BH56" s="648"/>
      <c r="BI56" s="342"/>
      <c r="BJ56" s="648"/>
      <c r="BK56" s="648"/>
      <c r="BL56" s="648"/>
      <c r="BM56" s="342"/>
      <c r="BN56" s="648"/>
      <c r="BO56" s="648"/>
      <c r="BP56" s="648"/>
      <c r="BQ56" s="648"/>
      <c r="BR56" s="648"/>
      <c r="BS56" s="648"/>
      <c r="BT56" s="648"/>
      <c r="BU56" s="648"/>
      <c r="BV56" s="648"/>
      <c r="BW56" s="648"/>
      <c r="BX56" s="648"/>
      <c r="BY56" s="648"/>
      <c r="BZ56" s="344"/>
    </row>
    <row r="57" spans="1:78" ht="12.75" customHeight="1" x14ac:dyDescent="0.3">
      <c r="A57" s="1">
        <f>IF(ISBLANK(TAB_CS[[#This Row],[Reference]]),"",INDEX(TAB_Offres[ID],MATCH(TAB_CS[[#This Row],[Reference]],TAB_Offres[Reference],0)))</f>
        <v>55</v>
      </c>
      <c r="B57" s="26" t="s">
        <v>563</v>
      </c>
      <c r="C57" s="150" t="s">
        <v>5650</v>
      </c>
      <c r="D57" s="1" t="str">
        <f>IF(ISBLANK(TAB_CS[[#This Row],[Reference]]),"",VLOOKUP(TAB_CS[[#This Row],[ID]],TAB_Offres[],2,FALSE))</f>
        <v>Lot 1</v>
      </c>
      <c r="E57" s="1" t="s">
        <v>5920</v>
      </c>
      <c r="F57" s="26" t="str">
        <f>_xlfn.IFNA(IF(ISBLANK(TAB_CS[[#This Row],[Reference]]),"",VLOOKUP(TAB_CS[[#This Row],[Reference]],TAB_Offres[[Reference]:[Modification Request]],COLUMNS(TAB_Offres[[Reference]:[Modification Request]]),FALSE)),)</f>
        <v>DIGITTMII-007314-DIGITTMII-006710-MOD-01-6000053863-REQ-01</v>
      </c>
      <c r="G57" s="150" t="str">
        <f>IF(ISBLANK(TAB_CS[[#This Row],[Reference]]),"",INDEX(TAB_Offres[Institution/agency],MATCH(TAB_CS[[#This Row],[Reference]],TAB_Offres[Reference],0)))</f>
        <v>EC</v>
      </c>
      <c r="H57" s="150" t="str">
        <f>IF(ISBLANK(TAB_CS[[#This Row],[Reference]]),"",INDEX(TAB_Offres[DG],MATCH(TAB_CS[[#This Row],[Reference]],TAB_Offres[Reference],0)))</f>
        <v>DIGIT.B.1</v>
      </c>
      <c r="I57" t="str">
        <f>IF(ISBLANK(TAB_CS[[#This Row],[Reference]]),"",INDEX(TAB_Offres[Offer description],MATCH(TAB_CS[[#This Row],[Reference]],TAB_Offres[Reference],0)))</f>
        <v>2022-D1.003.372 - NEW - DIGIT TMII - Full Stack Developer L6/7</v>
      </c>
      <c r="J57" s="155">
        <f>_xlfn.IFNA(IF(ISBLANK(TAB_CS[[#This Row],[Ressource]]),,VLOOKUP(TAB_CS[[#This Row],[Reference]],TAB_Offres[[Reference]:[CS signature date]],COLUMNS(TAB_Offres[[Reference]:[CS signature date]]),FALSE)),"")</f>
        <v>45037</v>
      </c>
      <c r="K57" s="155">
        <f>_xlfn.IFNA(IF(ISBLANK(TAB_CS[[#This Row],[Ressource]]),,VLOOKUP(TAB_CS[[#This Row],[Reference]],TAB_Offres[[Reference]:[CS start date]],COLUMNS(TAB_Offres[[Reference]:[CS start date]]),FALSE)),"")</f>
        <v>0</v>
      </c>
      <c r="L57" s="155">
        <f>_xlfn.IFNA(IF(ISBLANK(TAB_CS[[#This Row],[Ressource]]),,VLOOKUP(TAB_CS[[#This Row],[Reference]],TAB_Offres[[Reference]:[CS end date]],COLUMNS(TAB_Offres[[Reference]:[CS end date]]),FALSE)),"")</f>
        <v>45565</v>
      </c>
      <c r="M57" s="1" t="str">
        <f>_xlfn.IFNA(IF(ISBLANK(TAB_CS[[#This Row],[Ressource]]),,VLOOKUP(TAB_CS[[#This Row],[Reference]],TAB_Offres[[Reference]:[CS State]],COLUMNS(TAB_Offres[[Reference]:[CS State]]),FALSE)),"")</f>
        <v>CLOSE</v>
      </c>
      <c r="N57" s="320" t="s">
        <v>5556</v>
      </c>
      <c r="O57" s="1" t="str">
        <f>_xlfn.IFNA(IF(ISBLANK(TAB_CS[[#This Row],[Ressource]]),,VLOOKUP(TAB_CS[[#This Row],[Reference]],TAB_Offres[[Reference]:[Company]],COLUMNS(TAB_Offres[[Reference]:[Company]]),FALSE)),"")</f>
        <v>TALAN</v>
      </c>
      <c r="P57" s="1" t="str">
        <f>_xlfn.CONCAT(TAB_CS[[#This Row],[Ressource]],TAB_CS[[#This Row],[Profile in €]])</f>
        <v>APETRI, Ioana433,55</v>
      </c>
      <c r="Q57" s="1" t="str">
        <f>_xlfn.CONCAT(TAB_CS[[#This Row],[Company]],TAB_CS[[#This Row],[Business perimeter]])</f>
        <v>TALANNB</v>
      </c>
      <c r="R57" s="1" t="str">
        <f>_xlfn.IFNA(IF(ISBLANK(TAB_CS[[#This Row],[Ressource]]),"",VLOOKUP(TAB_CS[[#This Row],[Reference]],TAB_Offres[[Reference]:[Profile]],COLUMNS(TAB_Offres[[Reference]:[Profile]]),FALSE)),"")</f>
        <v>Full-stack developer-FAR</v>
      </c>
      <c r="S57" s="150">
        <f>_xlfn.IFNA(IF(ISBLANK(TAB_CS[[#This Row],[Ressource]]),"",VLOOKUP(TAB_CS[[#This Row],[Reference]],TAB_Offres[[Reference]:[Level]],COLUMNS(TAB_Offres[[Reference]:[Level]]),FALSE)),"")</f>
        <v>7</v>
      </c>
      <c r="T57" s="127">
        <f>_xlfn.IFNA(IF(OR(ISBLANK(TAB_CS[[#This Row],[Level]]),TAB_CS[[#This Row],[Level]]=""),,VLOOKUP(TAB_CS[[#This Row],[Profile]],TAB_prix[],2+TAB_CS[[#This Row],[Level]],FALSE)),)</f>
        <v>433.55</v>
      </c>
      <c r="U57" s="13">
        <v>20</v>
      </c>
      <c r="V57" s="189">
        <f>IF(OR(ISBLANK(TAB_CS[[#This Row],[Commited days]]),TAB_CS[[#This Row],[Commited days]]=0),,TAB_CS[[#This Row],[Commited days]]*TAB_CS[[#This Row],[Profile in €]])</f>
        <v>8671</v>
      </c>
      <c r="W57" s="127">
        <f>SUM(TAB_CS[[#This Row],[F]:[P+1]])-TAB_CS[[#This Row],[P+1]]</f>
        <v>20</v>
      </c>
      <c r="X57" s="189">
        <f>IF(OR(ISBLANK(TAB_CS[[#This Row],[Producted days]]),TAB_CS[[#This Row],[Producted days]]=0),,TAB_CS[[#This Row],[Producted days]]*TAB_CS[[#This Row],[Profile in €]])</f>
        <v>8671</v>
      </c>
      <c r="Y57" s="188">
        <f>TAB_CS[[#This Row],[Commited days]]-TAB_CS[[#This Row],[Producted days]]</f>
        <v>0</v>
      </c>
      <c r="Z57" s="189">
        <f>IF(OR(ISBLANK(TAB_CS[[#This Row],[Remaining days]]),TAB_CS[[#This Row],[Remaining days]]=0),,TAB_CS[[#This Row],[Remaining days]]*TAB_CS[[#This Row],[Profile in €]])</f>
        <v>0</v>
      </c>
      <c r="AA57" s="187">
        <f>SUM(TAB_CS[[#This Row],[P+1]:[FP]])</f>
        <v>0</v>
      </c>
      <c r="AB57" s="10">
        <f>IF(OR(ISBLANK(TAB_CS[[#This Row],[Expected days]]),TAB_CS[[#This Row],[Expected days]]=0),,TAB_CS[[#This Row],[Expected days]]*TAB_CS[[#This Row],[Profile in €]])</f>
        <v>0</v>
      </c>
      <c r="AC57" s="14" t="str">
        <f>CONCATENATE(TAB_CS[[#This Row],[DG]],TAB_CS[[#This Row],[Company]])</f>
        <v>DIGIT.B.1TALAN</v>
      </c>
      <c r="AD57" s="144"/>
      <c r="AE57" s="150"/>
      <c r="AF57" s="151"/>
      <c r="AG57" s="151"/>
      <c r="AH57" s="151"/>
      <c r="AI57" s="150"/>
      <c r="AJ57" s="151"/>
      <c r="AK57" s="156"/>
      <c r="AL57" s="156"/>
      <c r="AM57" s="150"/>
      <c r="AN57" s="150"/>
      <c r="AO57" s="150"/>
      <c r="AP57" s="150"/>
      <c r="AQ57" s="150"/>
      <c r="AR57" s="156"/>
      <c r="AS57" s="156"/>
      <c r="AT57" s="156"/>
      <c r="AU57" s="156"/>
      <c r="AV57" s="156"/>
      <c r="AW57" s="156"/>
      <c r="AX57" s="351">
        <v>19</v>
      </c>
      <c r="AY57" s="351">
        <v>1</v>
      </c>
      <c r="AZ57" s="643"/>
      <c r="BA57" s="643"/>
      <c r="BB57" s="643"/>
      <c r="BC57" s="643"/>
      <c r="BD57" s="643"/>
      <c r="BE57" s="643"/>
      <c r="BF57" s="643"/>
      <c r="BG57" s="643"/>
      <c r="BH57" s="643"/>
      <c r="BI57" s="173"/>
      <c r="BJ57" s="643"/>
      <c r="BK57" s="643"/>
      <c r="BL57" s="643"/>
      <c r="BM57" s="173"/>
      <c r="BN57" s="643"/>
      <c r="BO57" s="643"/>
      <c r="BP57" s="643"/>
      <c r="BQ57" s="643"/>
      <c r="BR57" s="643"/>
      <c r="BS57" s="643"/>
      <c r="BT57" s="643"/>
      <c r="BU57" s="643"/>
      <c r="BV57" s="643"/>
      <c r="BW57" s="643"/>
      <c r="BX57" s="643"/>
      <c r="BY57" s="643"/>
      <c r="BZ57" s="224"/>
    </row>
    <row r="58" spans="1:78" ht="12.75" customHeight="1" x14ac:dyDescent="0.3">
      <c r="A58" s="1">
        <f>IF(ISBLANK(TAB_CS[[#This Row],[Reference]]),"",INDEX(TAB_Offres[ID],MATCH(TAB_CS[[#This Row],[Reference]],TAB_Offres[Reference],0)))</f>
        <v>55</v>
      </c>
      <c r="B58" s="154" t="s">
        <v>563</v>
      </c>
      <c r="C58" s="150" t="s">
        <v>5650</v>
      </c>
      <c r="D58" s="1" t="str">
        <f>IF(ISBLANK(TAB_CS[[#This Row],[Reference]]),"",VLOOKUP(TAB_CS[[#This Row],[ID]],TAB_Offres[],2,FALSE))</f>
        <v>Lot 1</v>
      </c>
      <c r="E58" s="150" t="s">
        <v>5920</v>
      </c>
      <c r="F58" s="26" t="str">
        <f>_xlfn.IFNA(IF(ISBLANK(TAB_CS[[#This Row],[Reference]]),"",VLOOKUP(TAB_CS[[#This Row],[Reference]],TAB_Offres[[Reference]:[Modification Request]],COLUMNS(TAB_Offres[[Reference]:[Modification Request]]),FALSE)),)</f>
        <v>DIGITTMII-007314-DIGITTMII-006710-MOD-01-6000053863-REQ-01</v>
      </c>
      <c r="G58" s="150" t="str">
        <f>IF(ISBLANK(TAB_CS[[#This Row],[Reference]]),"",INDEX(TAB_Offres[Institution/agency],MATCH(TAB_CS[[#This Row],[Reference]],TAB_Offres[Reference],0)))</f>
        <v>EC</v>
      </c>
      <c r="H58" s="150" t="str">
        <f>IF(ISBLANK(TAB_CS[[#This Row],[Reference]]),"",INDEX(TAB_Offres[DG],MATCH(TAB_CS[[#This Row],[Reference]],TAB_Offres[Reference],0)))</f>
        <v>DIGIT.B.1</v>
      </c>
      <c r="I58" t="str">
        <f>IF(ISBLANK(TAB_CS[[#This Row],[Reference]]),"",INDEX(TAB_Offres[Offer description],MATCH(TAB_CS[[#This Row],[Reference]],TAB_Offres[Reference],0)))</f>
        <v>2022-D1.003.372 - NEW - DIGIT TMII - Full Stack Developer L6/7</v>
      </c>
      <c r="J58" s="155">
        <f>_xlfn.IFNA(IF(ISBLANK(TAB_CS[[#This Row],[Ressource]]),,VLOOKUP(TAB_CS[[#This Row],[Reference]],TAB_Offres[[Reference]:[CS signature date]],COLUMNS(TAB_Offres[[Reference]:[CS signature date]]),FALSE)),"")</f>
        <v>45037</v>
      </c>
      <c r="K58" s="155">
        <f>_xlfn.IFNA(IF(ISBLANK(TAB_CS[[#This Row],[Ressource]]),,VLOOKUP(TAB_CS[[#This Row],[Reference]],TAB_Offres[[Reference]:[CS start date]],COLUMNS(TAB_Offres[[Reference]:[CS start date]]),FALSE)),"")</f>
        <v>0</v>
      </c>
      <c r="L58" s="155">
        <f>_xlfn.IFNA(IF(ISBLANK(TAB_CS[[#This Row],[Ressource]]),,VLOOKUP(TAB_CS[[#This Row],[Reference]],TAB_Offres[[Reference]:[CS end date]],COLUMNS(TAB_Offres[[Reference]:[CS end date]]),FALSE)),"")</f>
        <v>45565</v>
      </c>
      <c r="M58" s="1" t="str">
        <f>_xlfn.IFNA(IF(ISBLANK(TAB_CS[[#This Row],[Ressource]]),,VLOOKUP(TAB_CS[[#This Row],[Reference]],TAB_Offres[[Reference]:[CS State]],COLUMNS(TAB_Offres[[Reference]:[CS State]]),FALSE)),"")</f>
        <v>CLOSE</v>
      </c>
      <c r="N58" s="320" t="s">
        <v>349</v>
      </c>
      <c r="O58" s="1" t="str">
        <f>_xlfn.IFNA(IF(ISBLANK(TAB_CS[[#This Row],[Ressource]]),,VLOOKUP(TAB_CS[[#This Row],[Reference]],TAB_Offres[[Reference]:[Company]],COLUMNS(TAB_Offres[[Reference]:[Company]]),FALSE)),"")</f>
        <v>TALAN</v>
      </c>
      <c r="P58" s="1" t="str">
        <f>_xlfn.CONCAT(TAB_CS[[#This Row],[Ressource]],TAB_CS[[#This Row],[Profile in €]])</f>
        <v>LORENC, Adrian443,55</v>
      </c>
      <c r="Q58" s="1" t="str">
        <f>_xlfn.CONCAT(TAB_CS[[#This Row],[Company]],TAB_CS[[#This Row],[Business perimeter]])</f>
        <v>TALANNB</v>
      </c>
      <c r="R58" s="1" t="str">
        <f>_xlfn.IFNA(IF(ISBLANK(TAB_CS[[#This Row],[Ressource]]),"",VLOOKUP(TAB_CS[[#This Row],[Reference]],TAB_Offres[[Reference]:[Profile]],COLUMNS(TAB_Offres[[Reference]:[Profile]]),FALSE)),"")</f>
        <v>Full-stack developer-FAR</v>
      </c>
      <c r="S58" s="150">
        <f>_xlfn.IFNA(IF(ISBLANK(TAB_CS[[#This Row],[Ressource]]),"",VLOOKUP(TAB_CS[[#This Row],[Reference]],TAB_Offres[[Reference]:[Level]],COLUMNS(TAB_Offres[[Reference]:[Level]]),FALSE)),"")</f>
        <v>7</v>
      </c>
      <c r="T58" s="357">
        <v>443.55</v>
      </c>
      <c r="U58" s="13">
        <v>200</v>
      </c>
      <c r="V58" s="189">
        <f>IF(OR(ISBLANK(TAB_CS[[#This Row],[Commited days]]),TAB_CS[[#This Row],[Commited days]]=0),,TAB_CS[[#This Row],[Commited days]]*TAB_CS[[#This Row],[Profile in €]])</f>
        <v>88710</v>
      </c>
      <c r="W58" s="127">
        <f>SUM(TAB_CS[[#This Row],[F]:[P+1]])-TAB_CS[[#This Row],[P+1]]</f>
        <v>200</v>
      </c>
      <c r="X58" s="189">
        <f>IF(OR(ISBLANK(TAB_CS[[#This Row],[Producted days]]),TAB_CS[[#This Row],[Producted days]]=0),,TAB_CS[[#This Row],[Producted days]]*TAB_CS[[#This Row],[Profile in €]])</f>
        <v>88710</v>
      </c>
      <c r="Y58" s="188">
        <f>TAB_CS[[#This Row],[Commited days]]-TAB_CS[[#This Row],[Producted days]]</f>
        <v>0</v>
      </c>
      <c r="Z58" s="189">
        <f>IF(OR(ISBLANK(TAB_CS[[#This Row],[Remaining days]]),TAB_CS[[#This Row],[Remaining days]]=0),,TAB_CS[[#This Row],[Remaining days]]*TAB_CS[[#This Row],[Profile in €]])</f>
        <v>0</v>
      </c>
      <c r="AA58" s="187">
        <f>SUM(TAB_CS[[#This Row],[P+1]:[FP]])</f>
        <v>0</v>
      </c>
      <c r="AB58" s="10">
        <f>IF(OR(ISBLANK(TAB_CS[[#This Row],[Expected days]]),TAB_CS[[#This Row],[Expected days]]=0),,TAB_CS[[#This Row],[Expected days]]*TAB_CS[[#This Row],[Profile in €]])</f>
        <v>0</v>
      </c>
      <c r="AC58" s="14" t="str">
        <f>CONCATENATE(TAB_CS[[#This Row],[DG]],TAB_CS[[#This Row],[Company]])</f>
        <v>DIGIT.B.1TALAN</v>
      </c>
      <c r="AD58" s="144"/>
      <c r="AE58" s="150"/>
      <c r="AF58" s="151"/>
      <c r="AG58" s="151"/>
      <c r="AH58" s="151"/>
      <c r="AI58" s="150"/>
      <c r="AJ58" s="151"/>
      <c r="AK58" s="156"/>
      <c r="AL58" s="156"/>
      <c r="AM58" s="150"/>
      <c r="AN58" s="150"/>
      <c r="AO58" s="150"/>
      <c r="AP58" s="150"/>
      <c r="AQ58" s="150"/>
      <c r="AR58" s="359">
        <v>4</v>
      </c>
      <c r="AS58" s="359">
        <v>21</v>
      </c>
      <c r="AT58" s="351">
        <v>20</v>
      </c>
      <c r="AU58" s="351">
        <v>19</v>
      </c>
      <c r="AV58" s="351">
        <v>1.5</v>
      </c>
      <c r="AW58" s="352">
        <v>21</v>
      </c>
      <c r="AX58" s="352">
        <v>15</v>
      </c>
      <c r="AY58" s="352">
        <v>16</v>
      </c>
      <c r="AZ58" s="352">
        <v>21</v>
      </c>
      <c r="BA58" s="352">
        <v>16</v>
      </c>
      <c r="BB58" s="352">
        <v>18</v>
      </c>
      <c r="BC58" s="352">
        <v>18</v>
      </c>
      <c r="BD58" s="352">
        <v>9.5</v>
      </c>
      <c r="BE58" s="644"/>
      <c r="BF58" s="644"/>
      <c r="BG58" s="644"/>
      <c r="BH58" s="644"/>
      <c r="BI58" s="173"/>
      <c r="BJ58" s="644"/>
      <c r="BK58" s="644"/>
      <c r="BL58" s="644"/>
      <c r="BM58" s="173"/>
      <c r="BN58" s="644"/>
      <c r="BO58" s="644"/>
      <c r="BP58" s="644"/>
      <c r="BQ58" s="644"/>
      <c r="BR58" s="644"/>
      <c r="BS58" s="644"/>
      <c r="BT58" s="644"/>
      <c r="BU58" s="644"/>
      <c r="BV58" s="644"/>
      <c r="BW58" s="644"/>
      <c r="BX58" s="644"/>
      <c r="BY58" s="644"/>
      <c r="BZ58" s="224"/>
    </row>
    <row r="59" spans="1:78" ht="12.75" customHeight="1" x14ac:dyDescent="0.3">
      <c r="A59" s="1">
        <f>IF(ISBLANK(TAB_CS[[#This Row],[Reference]]),"",INDEX(TAB_Offres[ID],MATCH(TAB_CS[[#This Row],[Reference]],TAB_Offres[Reference],0)))</f>
        <v>56</v>
      </c>
      <c r="B59" s="26" t="s">
        <v>566</v>
      </c>
      <c r="C59" s="150" t="s">
        <v>5651</v>
      </c>
      <c r="D59" s="1" t="str">
        <f>IF(ISBLANK(TAB_CS[[#This Row],[Reference]]),"",VLOOKUP(TAB_CS[[#This Row],[ID]],TAB_Offres[],2,FALSE))</f>
        <v>Lot 2</v>
      </c>
      <c r="E59" s="150" t="s">
        <v>5918</v>
      </c>
      <c r="F59" s="26">
        <f>_xlfn.IFNA(IF(ISBLANK(TAB_CS[[#This Row],[Reference]]),"",VLOOKUP(TAB_CS[[#This Row],[Reference]],TAB_Offres[[Reference]:[Modification Request]],COLUMNS(TAB_Offres[[Reference]:[Modification Request]]),FALSE)),)</f>
        <v>0</v>
      </c>
      <c r="G59" s="150" t="str">
        <f>IF(ISBLANK(TAB_CS[[#This Row],[Reference]]),"",INDEX(TAB_Offres[Institution/agency],MATCH(TAB_CS[[#This Row],[Reference]],TAB_Offres[Reference],0)))</f>
        <v>EC</v>
      </c>
      <c r="H59" s="150" t="str">
        <f>IF(ISBLANK(TAB_CS[[#This Row],[Reference]]),"",INDEX(TAB_Offres[DG],MATCH(TAB_CS[[#This Row],[Reference]],TAB_Offres[Reference],0)))</f>
        <v>DIGIT.B.1</v>
      </c>
      <c r="I59" t="str">
        <f>IF(ISBLANK(TAB_CS[[#This Row],[Reference]]),"",INDEX(TAB_Offres[Offer description],MATCH(TAB_CS[[#This Row],[Reference]],TAB_Offres[Reference],0)))</f>
        <v>2023-B1.001.032 - EXT - DIGIT TMII - Douhaizenet - suite CS 2931</v>
      </c>
      <c r="J59" s="155">
        <f>_xlfn.IFNA(IF(ISBLANK(TAB_CS[[#This Row],[Ressource]]),,VLOOKUP(TAB_CS[[#This Row],[Reference]],TAB_Offres[[Reference]:[CS signature date]],COLUMNS(TAB_Offres[[Reference]:[CS signature date]]),FALSE)),"")</f>
        <v>45031</v>
      </c>
      <c r="K59" s="155">
        <f>_xlfn.IFNA(IF(ISBLANK(TAB_CS[[#This Row],[Ressource]]),,VLOOKUP(TAB_CS[[#This Row],[Reference]],TAB_Offres[[Reference]:[CS start date]],COLUMNS(TAB_Offres[[Reference]:[CS start date]]),FALSE)),"")</f>
        <v>0</v>
      </c>
      <c r="L59" s="155">
        <f>_xlfn.IFNA(IF(ISBLANK(TAB_CS[[#This Row],[Ressource]]),,VLOOKUP(TAB_CS[[#This Row],[Reference]],TAB_Offres[[Reference]:[CS end date]],COLUMNS(TAB_Offres[[Reference]:[CS end date]]),FALSE)),"")</f>
        <v>45565</v>
      </c>
      <c r="M59" s="1" t="str">
        <f>_xlfn.IFNA(IF(ISBLANK(TAB_CS[[#This Row],[Ressource]]),,VLOOKUP(TAB_CS[[#This Row],[Reference]],TAB_Offres[[Reference]:[CS State]],COLUMNS(TAB_Offres[[Reference]:[CS State]]),FALSE)),"")</f>
        <v>CLOSE</v>
      </c>
      <c r="N59" s="26" t="str">
        <f>VLOOKUP(TAB_CS[[#This Row],[Reference]],TAB_Offres[[Reference]:[Ressource 1]],25,FALSE)</f>
        <v>DOUHAIZENET, Gael</v>
      </c>
      <c r="O59" s="1" t="str">
        <f>_xlfn.IFNA(IF(ISBLANK(TAB_CS[[#This Row],[Ressource]]),,VLOOKUP(TAB_CS[[#This Row],[Reference]],TAB_Offres[[Reference]:[Company]],COLUMNS(TAB_Offres[[Reference]:[Company]]),FALSE)),"")</f>
        <v>EDDA</v>
      </c>
      <c r="P59" s="1" t="str">
        <f>_xlfn.CONCAT(TAB_CS[[#This Row],[Ressource]],TAB_CS[[#This Row],[Profile in €]])</f>
        <v>DOUHAIZENET, Gael536,96</v>
      </c>
      <c r="Q59" s="1" t="str">
        <f>_xlfn.CONCAT(TAB_CS[[#This Row],[Company]],TAB_CS[[#This Row],[Business perimeter]])</f>
        <v>EDDABL</v>
      </c>
      <c r="R59" s="1" t="str">
        <f>_xlfn.IFNA(IF(ISBLANK(TAB_CS[[#This Row],[Ressource]]),"",VLOOKUP(TAB_CS[[#This Row],[Reference]],TAB_Offres[[Reference]:[Profile]],COLUMNS(TAB_Offres[[Reference]:[Profile]]),FALSE)),"")</f>
        <v>Data Scientist</v>
      </c>
      <c r="S59" s="150">
        <f>_xlfn.IFNA(IF(ISBLANK(TAB_CS[[#This Row],[Ressource]]),"",VLOOKUP(TAB_CS[[#This Row],[Reference]],TAB_Offres[[Reference]:[Level]],COLUMNS(TAB_Offres[[Reference]:[Level]]),FALSE)),"")</f>
        <v>7</v>
      </c>
      <c r="T59" s="357">
        <v>536.96</v>
      </c>
      <c r="U59" s="13">
        <v>121</v>
      </c>
      <c r="V59" s="189">
        <f>IF(OR(ISBLANK(TAB_CS[[#This Row],[Commited days]]),TAB_CS[[#This Row],[Commited days]]=0),,TAB_CS[[#This Row],[Commited days]]*TAB_CS[[#This Row],[Profile in €]])</f>
        <v>64972.160000000003</v>
      </c>
      <c r="W59" s="127">
        <f>SUM(TAB_CS[[#This Row],[F]:[P+1]])-TAB_CS[[#This Row],[P+1]]</f>
        <v>121</v>
      </c>
      <c r="X59" s="189">
        <f>IF(OR(ISBLANK(TAB_CS[[#This Row],[Producted days]]),TAB_CS[[#This Row],[Producted days]]=0),,TAB_CS[[#This Row],[Producted days]]*TAB_CS[[#This Row],[Profile in €]])</f>
        <v>64972.160000000003</v>
      </c>
      <c r="Y59" s="188">
        <f>TAB_CS[[#This Row],[Commited days]]-TAB_CS[[#This Row],[Producted days]]</f>
        <v>0</v>
      </c>
      <c r="Z59" s="189">
        <f>IF(OR(ISBLANK(TAB_CS[[#This Row],[Remaining days]]),TAB_CS[[#This Row],[Remaining days]]=0),,TAB_CS[[#This Row],[Remaining days]]*TAB_CS[[#This Row],[Profile in €]])</f>
        <v>0</v>
      </c>
      <c r="AA59" s="187">
        <f>SUM(TAB_CS[[#This Row],[P+1]:[FP]])</f>
        <v>0</v>
      </c>
      <c r="AB59" s="10">
        <f>IF(OR(ISBLANK(TAB_CS[[#This Row],[Expected days]]),TAB_CS[[#This Row],[Expected days]]=0),,TAB_CS[[#This Row],[Expected days]]*TAB_CS[[#This Row],[Profile in €]])</f>
        <v>0</v>
      </c>
      <c r="AC59" s="14" t="str">
        <f>CONCATENATE(TAB_CS[[#This Row],[DG]],TAB_CS[[#This Row],[Company]])</f>
        <v>DIGIT.B.1EDDA</v>
      </c>
      <c r="AD59" s="144"/>
      <c r="AE59" s="150"/>
      <c r="AF59" s="151"/>
      <c r="AG59" s="151"/>
      <c r="AH59" s="151"/>
      <c r="AI59" s="150"/>
      <c r="AJ59" s="151"/>
      <c r="AK59" s="156"/>
      <c r="AL59" s="156"/>
      <c r="AM59" s="150"/>
      <c r="AN59" s="150"/>
      <c r="AO59" s="150"/>
      <c r="AP59" s="150"/>
      <c r="AQ59" s="150"/>
      <c r="AR59" s="351">
        <v>7</v>
      </c>
      <c r="AS59" s="351">
        <v>19</v>
      </c>
      <c r="AT59" s="351">
        <v>19</v>
      </c>
      <c r="AU59" s="351">
        <v>13</v>
      </c>
      <c r="AV59" s="352">
        <v>21</v>
      </c>
      <c r="AW59" s="351">
        <v>22</v>
      </c>
      <c r="AX59" s="351">
        <v>20</v>
      </c>
      <c r="AY59" s="643"/>
      <c r="AZ59" s="643"/>
      <c r="BA59" s="643"/>
      <c r="BB59" s="643"/>
      <c r="BC59" s="643"/>
      <c r="BD59" s="643"/>
      <c r="BE59" s="643"/>
      <c r="BF59" s="643"/>
      <c r="BG59" s="643"/>
      <c r="BH59" s="643"/>
      <c r="BI59" s="173"/>
      <c r="BJ59" s="643"/>
      <c r="BK59" s="643"/>
      <c r="BL59" s="643"/>
      <c r="BM59" s="173"/>
      <c r="BN59" s="643"/>
      <c r="BO59" s="643"/>
      <c r="BP59" s="643"/>
      <c r="BQ59" s="643"/>
      <c r="BR59" s="643"/>
      <c r="BS59" s="643"/>
      <c r="BT59" s="643"/>
      <c r="BU59" s="643"/>
      <c r="BV59" s="643"/>
      <c r="BW59" s="643"/>
      <c r="BX59" s="643"/>
      <c r="BY59" s="643"/>
      <c r="BZ59" s="224"/>
    </row>
    <row r="60" spans="1:78" ht="14.4" x14ac:dyDescent="0.3">
      <c r="A60" s="1">
        <f>IF(ISBLANK(TAB_CS[[#This Row],[Reference]]),"",INDEX(TAB_Offres[ID],MATCH(TAB_CS[[#This Row],[Reference]],TAB_Offres[Reference],0)))</f>
        <v>57</v>
      </c>
      <c r="B60" s="26" t="s">
        <v>569</v>
      </c>
      <c r="C60" s="150" t="s">
        <v>5652</v>
      </c>
      <c r="D60" s="1" t="str">
        <f>IF(ISBLANK(TAB_CS[[#This Row],[Reference]]),"",VLOOKUP(TAB_CS[[#This Row],[ID]],TAB_Offres[],2,FALSE))</f>
        <v>Lot 2</v>
      </c>
      <c r="E60" s="150" t="s">
        <v>5918</v>
      </c>
      <c r="F60" s="26">
        <f>_xlfn.IFNA(IF(ISBLANK(TAB_CS[[#This Row],[Reference]]),"",VLOOKUP(TAB_CS[[#This Row],[Reference]],TAB_Offres[[Reference]:[Modification Request]],COLUMNS(TAB_Offres[[Reference]:[Modification Request]]),FALSE)),)</f>
        <v>0</v>
      </c>
      <c r="G60" s="150" t="str">
        <f>IF(ISBLANK(TAB_CS[[#This Row],[Reference]]),"",INDEX(TAB_Offres[Institution/agency],MATCH(TAB_CS[[#This Row],[Reference]],TAB_Offres[Reference],0)))</f>
        <v>EC</v>
      </c>
      <c r="H60" s="150" t="str">
        <f>IF(ISBLANK(TAB_CS[[#This Row],[Reference]]),"",INDEX(TAB_Offres[DG],MATCH(TAB_CS[[#This Row],[Reference]],TAB_Offres[Reference],0)))</f>
        <v>DIGIT.A.5</v>
      </c>
      <c r="I60" t="str">
        <f>IF(ISBLANK(TAB_CS[[#This Row],[Reference]]),"",INDEX(TAB_Offres[Offer description],MATCH(TAB_CS[[#This Row],[Reference]],TAB_Offres[Reference],0)))</f>
        <v>Extension PM level 9 WHYE  suite CS 3743</v>
      </c>
      <c r="J60" s="155">
        <f>_xlfn.IFNA(IF(ISBLANK(TAB_CS[[#This Row],[Ressource]]),,VLOOKUP(TAB_CS[[#This Row],[Reference]],TAB_Offres[[Reference]:[CS signature date]],COLUMNS(TAB_Offres[[Reference]:[CS signature date]]),FALSE)),"")</f>
        <v>45028</v>
      </c>
      <c r="K60" s="155">
        <f>_xlfn.IFNA(IF(ISBLANK(TAB_CS[[#This Row],[Ressource]]),,VLOOKUP(TAB_CS[[#This Row],[Reference]],TAB_Offres[[Reference]:[CS start date]],COLUMNS(TAB_Offres[[Reference]:[CS start date]]),FALSE)),"")</f>
        <v>0</v>
      </c>
      <c r="L60" s="155">
        <f>_xlfn.IFNA(IF(ISBLANK(TAB_CS[[#This Row],[Ressource]]),,VLOOKUP(TAB_CS[[#This Row],[Reference]],TAB_Offres[[Reference]:[CS end date]],COLUMNS(TAB_Offres[[Reference]:[CS end date]]),FALSE)),"")</f>
        <v>45565</v>
      </c>
      <c r="M60" s="1" t="str">
        <f>_xlfn.IFNA(IF(ISBLANK(TAB_CS[[#This Row],[Ressource]]),,VLOOKUP(TAB_CS[[#This Row],[Reference]],TAB_Offres[[Reference]:[CS State]],COLUMNS(TAB_Offres[[Reference]:[CS State]]),FALSE)),"")</f>
        <v>CLOSE</v>
      </c>
      <c r="N60" s="26" t="str">
        <f>VLOOKUP(TAB_CS[[#This Row],[Reference]],TAB_Offres[[Reference]:[Ressource 1]],25,FALSE)</f>
        <v>WHYE, Gregory</v>
      </c>
      <c r="O60" s="1" t="str">
        <f>_xlfn.IFNA(IF(ISBLANK(TAB_CS[[#This Row],[Ressource]]),,VLOOKUP(TAB_CS[[#This Row],[Reference]],TAB_Offres[[Reference]:[Company]],COLUMNS(TAB_Offres[[Reference]:[Company]]),FALSE)),"")</f>
        <v>CGI LUX</v>
      </c>
      <c r="P60" s="1" t="str">
        <f>_xlfn.CONCAT(TAB_CS[[#This Row],[Ressource]],TAB_CS[[#This Row],[Profile in €]])</f>
        <v>WHYE, Gregory753,77</v>
      </c>
      <c r="Q60" s="1" t="str">
        <f>_xlfn.CONCAT(TAB_CS[[#This Row],[Company]],TAB_CS[[#This Row],[Business perimeter]])</f>
        <v>CGI LUXBL</v>
      </c>
      <c r="R60" s="1" t="str">
        <f>_xlfn.IFNA(IF(ISBLANK(TAB_CS[[#This Row],[Ressource]]),"",VLOOKUP(TAB_CS[[#This Row],[Reference]],TAB_Offres[[Reference]:[Profile]],COLUMNS(TAB_Offres[[Reference]:[Profile]]),FALSE)),"")</f>
        <v>Project Manager</v>
      </c>
      <c r="S60" s="150">
        <f>_xlfn.IFNA(IF(ISBLANK(TAB_CS[[#This Row],[Ressource]]),"",VLOOKUP(TAB_CS[[#This Row],[Reference]],TAB_Offres[[Reference]:[Level]],COLUMNS(TAB_Offres[[Reference]:[Level]]),FALSE)),"")</f>
        <v>9</v>
      </c>
      <c r="T60" s="127">
        <f>_xlfn.IFNA(IF(OR(ISBLANK(TAB_CS[[#This Row],[Level]]),TAB_CS[[#This Row],[Level]]=""),,VLOOKUP(TAB_CS[[#This Row],[Profile]],TAB_prix[],2+TAB_CS[[#This Row],[Level]],FALSE)),)</f>
        <v>753.77</v>
      </c>
      <c r="U60" s="13">
        <v>120</v>
      </c>
      <c r="V60" s="189">
        <f>IF(OR(ISBLANK(TAB_CS[[#This Row],[Commited days]]),TAB_CS[[#This Row],[Commited days]]=0),,TAB_CS[[#This Row],[Commited days]]*TAB_CS[[#This Row],[Profile in €]])</f>
        <v>90452.4</v>
      </c>
      <c r="W60" s="127">
        <f>SUM(TAB_CS[[#This Row],[F]:[P+1]])-TAB_CS[[#This Row],[P+1]]</f>
        <v>120</v>
      </c>
      <c r="X60" s="189">
        <f>IF(OR(ISBLANK(TAB_CS[[#This Row],[Producted days]]),TAB_CS[[#This Row],[Producted days]]=0),,TAB_CS[[#This Row],[Producted days]]*TAB_CS[[#This Row],[Profile in €]])</f>
        <v>90452.4</v>
      </c>
      <c r="Y60" s="188">
        <f>TAB_CS[[#This Row],[Commited days]]-TAB_CS[[#This Row],[Producted days]]</f>
        <v>0</v>
      </c>
      <c r="Z60" s="189">
        <f>IF(OR(ISBLANK(TAB_CS[[#This Row],[Remaining days]]),TAB_CS[[#This Row],[Remaining days]]=0),,TAB_CS[[#This Row],[Remaining days]]*TAB_CS[[#This Row],[Profile in €]])</f>
        <v>0</v>
      </c>
      <c r="AA60" s="187">
        <f>SUM(TAB_CS[[#This Row],[P+1]:[FP]])</f>
        <v>0</v>
      </c>
      <c r="AB60" s="10">
        <f>IF(OR(ISBLANK(TAB_CS[[#This Row],[Expected days]]),TAB_CS[[#This Row],[Expected days]]=0),,TAB_CS[[#This Row],[Expected days]]*TAB_CS[[#This Row],[Profile in €]])</f>
        <v>0</v>
      </c>
      <c r="AC60" s="14" t="str">
        <f>CONCATENATE(TAB_CS[[#This Row],[DG]],TAB_CS[[#This Row],[Company]])</f>
        <v>DIGIT.A.5CGI LUX</v>
      </c>
      <c r="AD60" s="144"/>
      <c r="AE60" s="150"/>
      <c r="AF60" s="151"/>
      <c r="AG60" s="151"/>
      <c r="AH60" s="151"/>
      <c r="AI60" s="150"/>
      <c r="AJ60" s="151"/>
      <c r="AK60" s="156"/>
      <c r="AL60" s="156"/>
      <c r="AM60" s="150"/>
      <c r="AN60" s="150"/>
      <c r="AO60" s="150"/>
      <c r="AP60" s="150"/>
      <c r="AQ60" s="150"/>
      <c r="AR60" s="351">
        <v>14.5</v>
      </c>
      <c r="AS60" s="351">
        <v>20</v>
      </c>
      <c r="AT60" s="351">
        <v>18</v>
      </c>
      <c r="AU60" s="351">
        <v>22</v>
      </c>
      <c r="AV60" s="352">
        <v>21</v>
      </c>
      <c r="AW60" s="351">
        <v>22</v>
      </c>
      <c r="AX60" s="351">
        <v>2.5</v>
      </c>
      <c r="AY60" s="643"/>
      <c r="AZ60" s="643"/>
      <c r="BA60" s="643"/>
      <c r="BB60" s="643"/>
      <c r="BC60" s="643"/>
      <c r="BD60" s="643"/>
      <c r="BE60" s="643"/>
      <c r="BF60" s="643"/>
      <c r="BG60" s="643"/>
      <c r="BH60" s="643"/>
      <c r="BI60" s="173"/>
      <c r="BJ60" s="643"/>
      <c r="BK60" s="643"/>
      <c r="BL60" s="643"/>
      <c r="BM60" s="173"/>
      <c r="BN60" s="643"/>
      <c r="BO60" s="643"/>
      <c r="BP60" s="643"/>
      <c r="BQ60" s="643"/>
      <c r="BR60" s="643"/>
      <c r="BS60" s="643"/>
      <c r="BT60" s="643"/>
      <c r="BU60" s="643"/>
      <c r="BV60" s="643"/>
      <c r="BW60" s="643"/>
      <c r="BX60" s="643"/>
      <c r="BY60" s="643"/>
      <c r="BZ60" s="223"/>
    </row>
    <row r="61" spans="1:78" ht="14.4" x14ac:dyDescent="0.3">
      <c r="A61" s="1">
        <f>IF(ISBLANK(TAB_CS[[#This Row],[Reference]]),"",INDEX(TAB_Offres[ID],MATCH(TAB_CS[[#This Row],[Reference]],TAB_Offres[Reference],0)))</f>
        <v>58</v>
      </c>
      <c r="B61" s="26" t="s">
        <v>572</v>
      </c>
      <c r="C61" s="150" t="s">
        <v>5653</v>
      </c>
      <c r="D61" s="1" t="str">
        <f>IF(ISBLANK(TAB_CS[[#This Row],[Reference]]),"",VLOOKUP(TAB_CS[[#This Row],[ID]],TAB_Offres[],2,FALSE))</f>
        <v>Lot 3</v>
      </c>
      <c r="E61" s="150" t="s">
        <v>5920</v>
      </c>
      <c r="F61" s="26">
        <f>_xlfn.IFNA(IF(ISBLANK(TAB_CS[[#This Row],[Reference]]),"",VLOOKUP(TAB_CS[[#This Row],[Reference]],TAB_Offres[[Reference]:[Modification Request]],COLUMNS(TAB_Offres[[Reference]:[Modification Request]]),FALSE)),)</f>
        <v>0</v>
      </c>
      <c r="G61" s="150" t="str">
        <f>IF(ISBLANK(TAB_CS[[#This Row],[Reference]]),"",INDEX(TAB_Offres[Institution/agency],MATCH(TAB_CS[[#This Row],[Reference]],TAB_Offres[Reference],0)))</f>
        <v>REA</v>
      </c>
      <c r="H61" s="150" t="str">
        <f>IF(ISBLANK(TAB_CS[[#This Row],[Reference]]),"",INDEX(TAB_Offres[DG],MATCH(TAB_CS[[#This Row],[Reference]],TAB_Offres[Reference],0)))</f>
        <v>REA</v>
      </c>
      <c r="I61" t="str">
        <f>IF(ISBLANK(TAB_CS[[#This Row],[Reference]]),"",INDEX(TAB_Offres[Offer description],MATCH(TAB_CS[[#This Row],[Reference]],TAB_Offres[Reference],0)))</f>
        <v>Expert in BI - 1</v>
      </c>
      <c r="J61" s="155">
        <f>_xlfn.IFNA(IF(ISBLANK(TAB_CS[[#This Row],[Ressource]]),,VLOOKUP(TAB_CS[[#This Row],[Reference]],TAB_Offres[[Reference]:[CS signature date]],COLUMNS(TAB_Offres[[Reference]:[CS signature date]]),FALSE)),"")</f>
        <v>45051</v>
      </c>
      <c r="K61" s="155">
        <f>_xlfn.IFNA(IF(ISBLANK(TAB_CS[[#This Row],[Ressource]]),,VLOOKUP(TAB_CS[[#This Row],[Reference]],TAB_Offres[[Reference]:[CS start date]],COLUMNS(TAB_Offres[[Reference]:[CS start date]]),FALSE)),"")</f>
        <v>0</v>
      </c>
      <c r="L61" s="155">
        <f>_xlfn.IFNA(IF(ISBLANK(TAB_CS[[#This Row],[Ressource]]),,VLOOKUP(TAB_CS[[#This Row],[Reference]],TAB_Offres[[Reference]:[CS end date]],COLUMNS(TAB_Offres[[Reference]:[CS end date]]),FALSE)),"")</f>
        <v>45504</v>
      </c>
      <c r="M61" s="1" t="str">
        <f>_xlfn.IFNA(IF(ISBLANK(TAB_CS[[#This Row],[Ressource]]),,VLOOKUP(TAB_CS[[#This Row],[Reference]],TAB_Offres[[Reference]:[CS State]],COLUMNS(TAB_Offres[[Reference]:[CS State]]),FALSE)),"")</f>
        <v>PENDING</v>
      </c>
      <c r="N61" s="26" t="str">
        <f>VLOOKUP(TAB_CS[[#This Row],[Reference]],TAB_Offres[[Reference]:[Ressource 1]],25,FALSE)</f>
        <v>VASILIKIOTIS, Themis</v>
      </c>
      <c r="O61" s="1" t="str">
        <f>_xlfn.IFNA(IF(ISBLANK(TAB_CS[[#This Row],[Ressource]]),,VLOOKUP(TAB_CS[[#This Row],[Reference]],TAB_Offres[[Reference]:[Company]],COLUMNS(TAB_Offres[[Reference]:[Company]]),FALSE)),"")</f>
        <v>EDDA</v>
      </c>
      <c r="P61" s="1" t="str">
        <f>_xlfn.CONCAT(TAB_CS[[#This Row],[Ressource]],TAB_CS[[#This Row],[Profile in €]])</f>
        <v>VASILIKIOTIS, Themis515,46</v>
      </c>
      <c r="Q61" s="1" t="str">
        <f>_xlfn.CONCAT(TAB_CS[[#This Row],[Company]],TAB_CS[[#This Row],[Business perimeter]])</f>
        <v>EDDANB</v>
      </c>
      <c r="R61" s="1" t="str">
        <f>_xlfn.IFNA(IF(ISBLANK(TAB_CS[[#This Row],[Ressource]]),"",VLOOKUP(TAB_CS[[#This Row],[Reference]],TAB_Offres[[Reference]:[Profile]],COLUMNS(TAB_Offres[[Reference]:[Profile]]),FALSE)),"")</f>
        <v>Business Intelligence expert-FAR</v>
      </c>
      <c r="S61" s="150">
        <f>_xlfn.IFNA(IF(ISBLANK(TAB_CS[[#This Row],[Ressource]]),"",VLOOKUP(TAB_CS[[#This Row],[Reference]],TAB_Offres[[Reference]:[Level]],COLUMNS(TAB_Offres[[Reference]:[Level]]),FALSE)),"")</f>
        <v>8</v>
      </c>
      <c r="T61" s="127">
        <f>_xlfn.IFNA(IF(OR(ISBLANK(TAB_CS[[#This Row],[Level]]),TAB_CS[[#This Row],[Level]]=""),,VLOOKUP(TAB_CS[[#This Row],[Profile]],TAB_prix[],2+TAB_CS[[#This Row],[Level]],FALSE)),)</f>
        <v>515.46</v>
      </c>
      <c r="U61" s="13">
        <v>220</v>
      </c>
      <c r="V61" s="189">
        <f>IF(OR(ISBLANK(TAB_CS[[#This Row],[Commited days]]),TAB_CS[[#This Row],[Commited days]]=0),,TAB_CS[[#This Row],[Commited days]]*TAB_CS[[#This Row],[Profile in €]])</f>
        <v>113401.20000000001</v>
      </c>
      <c r="W61" s="127">
        <f>SUM(TAB_CS[[#This Row],[F]:[P+1]])-TAB_CS[[#This Row],[P+1]]</f>
        <v>220</v>
      </c>
      <c r="X61" s="189">
        <f>IF(OR(ISBLANK(TAB_CS[[#This Row],[Producted days]]),TAB_CS[[#This Row],[Producted days]]=0),,TAB_CS[[#This Row],[Producted days]]*TAB_CS[[#This Row],[Profile in €]])</f>
        <v>113401.20000000001</v>
      </c>
      <c r="Y61" s="188">
        <f>TAB_CS[[#This Row],[Commited days]]-TAB_CS[[#This Row],[Producted days]]</f>
        <v>0</v>
      </c>
      <c r="Z61" s="189">
        <f>IF(OR(ISBLANK(TAB_CS[[#This Row],[Remaining days]]),TAB_CS[[#This Row],[Remaining days]]=0),,TAB_CS[[#This Row],[Remaining days]]*TAB_CS[[#This Row],[Profile in €]])</f>
        <v>0</v>
      </c>
      <c r="AA61" s="187">
        <f>SUM(TAB_CS[[#This Row],[P+1]:[FP]])</f>
        <v>0</v>
      </c>
      <c r="AB61" s="10">
        <f>IF(OR(ISBLANK(TAB_CS[[#This Row],[Expected days]]),TAB_CS[[#This Row],[Expected days]]=0),,TAB_CS[[#This Row],[Expected days]]*TAB_CS[[#This Row],[Profile in €]])</f>
        <v>0</v>
      </c>
      <c r="AC61" s="14" t="str">
        <f>CONCATENATE(TAB_CS[[#This Row],[DG]],TAB_CS[[#This Row],[Company]])</f>
        <v>REAEDDA</v>
      </c>
      <c r="AD61" s="144"/>
      <c r="AE61" s="150"/>
      <c r="AF61" s="151"/>
      <c r="AG61" s="151"/>
      <c r="AH61" s="151"/>
      <c r="AI61" s="150"/>
      <c r="AJ61" s="151"/>
      <c r="AK61" s="156"/>
      <c r="AL61" s="156"/>
      <c r="AM61" s="150"/>
      <c r="AN61" s="150"/>
      <c r="AO61" s="150"/>
      <c r="AP61" s="150"/>
      <c r="AQ61" s="150"/>
      <c r="AR61" s="156"/>
      <c r="AS61" s="351">
        <v>17.5</v>
      </c>
      <c r="AT61" s="351">
        <v>20</v>
      </c>
      <c r="AU61" s="351">
        <v>17</v>
      </c>
      <c r="AV61" s="352">
        <v>20</v>
      </c>
      <c r="AW61" s="351">
        <v>22</v>
      </c>
      <c r="AX61" s="351">
        <v>19.5</v>
      </c>
      <c r="AY61" s="351">
        <v>15</v>
      </c>
      <c r="AZ61" s="351">
        <v>21</v>
      </c>
      <c r="BA61" s="351">
        <v>21</v>
      </c>
      <c r="BB61" s="351">
        <v>17</v>
      </c>
      <c r="BC61" s="351">
        <v>21</v>
      </c>
      <c r="BD61" s="351">
        <v>9</v>
      </c>
      <c r="BE61" s="643"/>
      <c r="BF61" s="643"/>
      <c r="BG61" s="643"/>
      <c r="BH61" s="643"/>
      <c r="BI61" s="173"/>
      <c r="BJ61" s="643"/>
      <c r="BK61" s="643"/>
      <c r="BL61" s="643"/>
      <c r="BM61" s="173"/>
      <c r="BN61" s="643"/>
      <c r="BO61" s="643"/>
      <c r="BP61" s="643"/>
      <c r="BQ61" s="643"/>
      <c r="BR61" s="643"/>
      <c r="BS61" s="643"/>
      <c r="BT61" s="643"/>
      <c r="BU61" s="643"/>
      <c r="BV61" s="643"/>
      <c r="BW61" s="643"/>
      <c r="BX61" s="643"/>
      <c r="BY61" s="643"/>
      <c r="BZ61" s="223"/>
    </row>
    <row r="62" spans="1:78" ht="14.4" x14ac:dyDescent="0.3">
      <c r="A62" s="1">
        <f>IF(ISBLANK(TAB_CS[[#This Row],[Reference]]),"",INDEX(TAB_Offres[ID],MATCH(TAB_CS[[#This Row],[Reference]],TAB_Offres[Reference],0)))</f>
        <v>59</v>
      </c>
      <c r="B62" s="26" t="s">
        <v>575</v>
      </c>
      <c r="C62" s="150" t="s">
        <v>5654</v>
      </c>
      <c r="D62" s="1" t="str">
        <f>IF(ISBLANK(TAB_CS[[#This Row],[Reference]]),"",VLOOKUP(TAB_CS[[#This Row],[ID]],TAB_Offres[],2,FALSE))</f>
        <v>Lot 1</v>
      </c>
      <c r="E62" s="150" t="s">
        <v>5920</v>
      </c>
      <c r="F62" s="26">
        <f>_xlfn.IFNA(IF(ISBLANK(TAB_CS[[#This Row],[Reference]]),"",VLOOKUP(TAB_CS[[#This Row],[Reference]],TAB_Offres[[Reference]:[Modification Request]],COLUMNS(TAB_Offres[[Reference]:[Modification Request]]),FALSE)),)</f>
        <v>0</v>
      </c>
      <c r="G62" s="150" t="str">
        <f>IF(ISBLANK(TAB_CS[[#This Row],[Reference]]),"",INDEX(TAB_Offres[Institution/agency],MATCH(TAB_CS[[#This Row],[Reference]],TAB_Offres[Reference],0)))</f>
        <v>REA</v>
      </c>
      <c r="H62" s="150" t="str">
        <f>IF(ISBLANK(TAB_CS[[#This Row],[Reference]]),"",INDEX(TAB_Offres[DG],MATCH(TAB_CS[[#This Row],[Reference]],TAB_Offres[Reference],0)))</f>
        <v>REA</v>
      </c>
      <c r="I62" t="str">
        <f>IF(ISBLANK(TAB_CS[[#This Row],[Reference]]),"",INDEX(TAB_Offres[Offer description],MATCH(TAB_CS[[#This Row],[Reference]],TAB_Offres[Reference],0)))</f>
        <v>Full-Stack Developer (FSD) level 7-8 Near-site in Java, Spring, Hibernate, Angular</v>
      </c>
      <c r="J62" s="155">
        <f>_xlfn.IFNA(IF(ISBLANK(TAB_CS[[#This Row],[Ressource]]),,VLOOKUP(TAB_CS[[#This Row],[Reference]],TAB_Offres[[Reference]:[CS signature date]],COLUMNS(TAB_Offres[[Reference]:[CS signature date]]),FALSE)),"")</f>
        <v>45083</v>
      </c>
      <c r="K62" s="155">
        <f>_xlfn.IFNA(IF(ISBLANK(TAB_CS[[#This Row],[Ressource]]),,VLOOKUP(TAB_CS[[#This Row],[Reference]],TAB_Offres[[Reference]:[CS start date]],COLUMNS(TAB_Offres[[Reference]:[CS start date]]),FALSE)),"")</f>
        <v>0</v>
      </c>
      <c r="L62" s="155">
        <f>_xlfn.IFNA(IF(ISBLANK(TAB_CS[[#This Row],[Ressource]]),,VLOOKUP(TAB_CS[[#This Row],[Reference]],TAB_Offres[[Reference]:[CS end date]],COLUMNS(TAB_Offres[[Reference]:[CS end date]]),FALSE)),"")</f>
        <v>45473</v>
      </c>
      <c r="M62" s="1" t="str">
        <f>_xlfn.IFNA(IF(ISBLANK(TAB_CS[[#This Row],[Ressource]]),,VLOOKUP(TAB_CS[[#This Row],[Reference]],TAB_Offres[[Reference]:[CS State]],COLUMNS(TAB_Offres[[Reference]:[CS State]]),FALSE)),"")</f>
        <v>PENDING</v>
      </c>
      <c r="N62" s="26" t="str">
        <f>VLOOKUP(TAB_CS[[#This Row],[Reference]],TAB_Offres[[Reference]:[Ressource 1]],25,FALSE)</f>
        <v>DIAZ MUNOZ, Jaime</v>
      </c>
      <c r="O62" s="1" t="str">
        <f>_xlfn.IFNA(IF(ISBLANK(TAB_CS[[#This Row],[Ressource]]),,VLOOKUP(TAB_CS[[#This Row],[Reference]],TAB_Offres[[Reference]:[Company]],COLUMNS(TAB_Offres[[Reference]:[Company]]),FALSE)),"")</f>
        <v>EDDA</v>
      </c>
      <c r="P62" s="1" t="str">
        <f>_xlfn.CONCAT(TAB_CS[[#This Row],[Ressource]],TAB_CS[[#This Row],[Profile in €]])</f>
        <v>DIAZ MUNOZ, Jaime580,74</v>
      </c>
      <c r="Q62" s="1" t="str">
        <f>_xlfn.CONCAT(TAB_CS[[#This Row],[Company]],TAB_CS[[#This Row],[Business perimeter]])</f>
        <v>EDDANB</v>
      </c>
      <c r="R62" s="1" t="str">
        <f>_xlfn.IFNA(IF(ISBLANK(TAB_CS[[#This Row],[Ressource]]),"",VLOOKUP(TAB_CS[[#This Row],[Reference]],TAB_Offres[[Reference]:[Profile]],COLUMNS(TAB_Offres[[Reference]:[Profile]]),FALSE)),"")</f>
        <v>Full-stack developer</v>
      </c>
      <c r="S62" s="150">
        <f>_xlfn.IFNA(IF(ISBLANK(TAB_CS[[#This Row],[Ressource]]),"",VLOOKUP(TAB_CS[[#This Row],[Reference]],TAB_Offres[[Reference]:[Level]],COLUMNS(TAB_Offres[[Reference]:[Level]]),FALSE)),"")</f>
        <v>8</v>
      </c>
      <c r="T62" s="127">
        <f>_xlfn.IFNA(IF(OR(ISBLANK(TAB_CS[[#This Row],[Level]]),TAB_CS[[#This Row],[Level]]=""),,VLOOKUP(TAB_CS[[#This Row],[Profile]],TAB_prix[],2+TAB_CS[[#This Row],[Level]],FALSE)),)</f>
        <v>580.74</v>
      </c>
      <c r="U62" s="13">
        <v>220</v>
      </c>
      <c r="V62" s="189">
        <f>IF(OR(ISBLANK(TAB_CS[[#This Row],[Commited days]]),TAB_CS[[#This Row],[Commited days]]=0),,TAB_CS[[#This Row],[Commited days]]*TAB_CS[[#This Row],[Profile in €]])</f>
        <v>127762.8</v>
      </c>
      <c r="W62" s="127">
        <f>SUM(TAB_CS[[#This Row],[F]:[P+1]])-TAB_CS[[#This Row],[P+1]]</f>
        <v>220</v>
      </c>
      <c r="X62" s="189">
        <f>IF(OR(ISBLANK(TAB_CS[[#This Row],[Producted days]]),TAB_CS[[#This Row],[Producted days]]=0),,TAB_CS[[#This Row],[Producted days]]*TAB_CS[[#This Row],[Profile in €]])</f>
        <v>127762.8</v>
      </c>
      <c r="Y62" s="188">
        <f>TAB_CS[[#This Row],[Commited days]]-TAB_CS[[#This Row],[Producted days]]</f>
        <v>0</v>
      </c>
      <c r="Z62" s="189">
        <f>IF(OR(ISBLANK(TAB_CS[[#This Row],[Remaining days]]),TAB_CS[[#This Row],[Remaining days]]=0),,TAB_CS[[#This Row],[Remaining days]]*TAB_CS[[#This Row],[Profile in €]])</f>
        <v>0</v>
      </c>
      <c r="AA62" s="187">
        <f>SUM(TAB_CS[[#This Row],[P+1]:[FP]])</f>
        <v>0</v>
      </c>
      <c r="AB62" s="10">
        <f>IF(OR(ISBLANK(TAB_CS[[#This Row],[Expected days]]),TAB_CS[[#This Row],[Expected days]]=0),,TAB_CS[[#This Row],[Expected days]]*TAB_CS[[#This Row],[Profile in €]])</f>
        <v>0</v>
      </c>
      <c r="AC62" s="14" t="str">
        <f>CONCATENATE(TAB_CS[[#This Row],[DG]],TAB_CS[[#This Row],[Company]])</f>
        <v>REAEDDA</v>
      </c>
      <c r="AD62" s="144"/>
      <c r="AE62" s="150"/>
      <c r="AF62" s="151"/>
      <c r="AG62" s="151"/>
      <c r="AH62" s="151"/>
      <c r="AI62" s="150"/>
      <c r="AJ62" s="151"/>
      <c r="AK62" s="156"/>
      <c r="AL62" s="156"/>
      <c r="AM62" s="150"/>
      <c r="AN62" s="150"/>
      <c r="AO62" s="150"/>
      <c r="AP62" s="150"/>
      <c r="AQ62" s="150"/>
      <c r="AR62" s="150"/>
      <c r="AS62" s="351">
        <v>9</v>
      </c>
      <c r="AT62" s="351">
        <v>12</v>
      </c>
      <c r="AU62" s="351">
        <v>21</v>
      </c>
      <c r="AV62" s="352">
        <v>21</v>
      </c>
      <c r="AW62" s="352">
        <v>22</v>
      </c>
      <c r="AX62" s="352">
        <v>20</v>
      </c>
      <c r="AY62" s="352">
        <v>16</v>
      </c>
      <c r="AZ62" s="352">
        <v>21</v>
      </c>
      <c r="BA62" s="352">
        <v>20</v>
      </c>
      <c r="BB62" s="352">
        <v>18</v>
      </c>
      <c r="BC62" s="352">
        <v>21</v>
      </c>
      <c r="BD62" s="352">
        <v>19</v>
      </c>
      <c r="BE62" s="644"/>
      <c r="BF62" s="644"/>
      <c r="BG62" s="644"/>
      <c r="BH62" s="644"/>
      <c r="BI62" s="173"/>
      <c r="BJ62" s="644"/>
      <c r="BK62" s="644"/>
      <c r="BL62" s="644"/>
      <c r="BM62" s="173"/>
      <c r="BN62" s="644"/>
      <c r="BO62" s="644"/>
      <c r="BP62" s="644"/>
      <c r="BQ62" s="644"/>
      <c r="BR62" s="644"/>
      <c r="BS62" s="644"/>
      <c r="BT62" s="644"/>
      <c r="BU62" s="644"/>
      <c r="BV62" s="644"/>
      <c r="BW62" s="644"/>
      <c r="BX62" s="644"/>
      <c r="BY62" s="644"/>
      <c r="BZ62" s="223"/>
    </row>
    <row r="63" spans="1:78" ht="14.4" x14ac:dyDescent="0.3">
      <c r="A63" s="1">
        <f>IF(ISBLANK(TAB_CS[[#This Row],[Reference]]),"",INDEX(TAB_Offres[ID],MATCH(TAB_CS[[#This Row],[Reference]],TAB_Offres[Reference],0)))</f>
        <v>60</v>
      </c>
      <c r="B63" s="26" t="s">
        <v>581</v>
      </c>
      <c r="C63" s="150" t="s">
        <v>5656</v>
      </c>
      <c r="D63" s="1" t="str">
        <f>IF(ISBLANK(TAB_CS[[#This Row],[Reference]]),"",VLOOKUP(TAB_CS[[#This Row],[ID]],TAB_Offres[],2,FALSE))</f>
        <v>Lot 2</v>
      </c>
      <c r="E63" s="150" t="s">
        <v>5920</v>
      </c>
      <c r="F63" s="26">
        <f>_xlfn.IFNA(IF(ISBLANK(TAB_CS[[#This Row],[Reference]]),"",VLOOKUP(TAB_CS[[#This Row],[Reference]],TAB_Offres[[Reference]:[Modification Request]],COLUMNS(TAB_Offres[[Reference]:[Modification Request]]),FALSE)),)</f>
        <v>0</v>
      </c>
      <c r="G63" s="150" t="str">
        <f>IF(ISBLANK(TAB_CS[[#This Row],[Reference]]),"",INDEX(TAB_Offres[Institution/agency],MATCH(TAB_CS[[#This Row],[Reference]],TAB_Offres[Reference],0)))</f>
        <v>EC</v>
      </c>
      <c r="H63" s="150" t="str">
        <f>IF(ISBLANK(TAB_CS[[#This Row],[Reference]]),"",INDEX(TAB_Offres[DG],MATCH(TAB_CS[[#This Row],[Reference]],TAB_Offres[Reference],0)))</f>
        <v>DIGIT.A.5</v>
      </c>
      <c r="I63" t="str">
        <f>IF(ISBLANK(TAB_CS[[#This Row],[Reference]]),"",INDEX(TAB_Offres[Offer description],MATCH(TAB_CS[[#This Row],[Reference]],TAB_Offres[Reference],0)))</f>
        <v>Extension PM level 2 TURCITU suite CS 2906</v>
      </c>
      <c r="J63" s="155">
        <f>_xlfn.IFNA(IF(ISBLANK(TAB_CS[[#This Row],[Ressource]]),,VLOOKUP(TAB_CS[[#This Row],[Reference]],TAB_Offres[[Reference]:[CS signature date]],COLUMNS(TAB_Offres[[Reference]:[CS signature date]]),FALSE)),"")</f>
        <v>45050</v>
      </c>
      <c r="K63" s="155">
        <f>_xlfn.IFNA(IF(ISBLANK(TAB_CS[[#This Row],[Ressource]]),,VLOOKUP(TAB_CS[[#This Row],[Reference]],TAB_Offres[[Reference]:[CS start date]],COLUMNS(TAB_Offres[[Reference]:[CS start date]]),FALSE)),"")</f>
        <v>0</v>
      </c>
      <c r="L63" s="155">
        <f>_xlfn.IFNA(IF(ISBLANK(TAB_CS[[#This Row],[Ressource]]),,VLOOKUP(TAB_CS[[#This Row],[Reference]],TAB_Offres[[Reference]:[CS end date]],COLUMNS(TAB_Offres[[Reference]:[CS end date]]),FALSE)),"")</f>
        <v>45565</v>
      </c>
      <c r="M63" s="1" t="str">
        <f>_xlfn.IFNA(IF(ISBLANK(TAB_CS[[#This Row],[Ressource]]),,VLOOKUP(TAB_CS[[#This Row],[Reference]],TAB_Offres[[Reference]:[CS State]],COLUMNS(TAB_Offres[[Reference]:[CS State]]),FALSE)),"")</f>
        <v>CLOSE</v>
      </c>
      <c r="N63" s="26" t="str">
        <f>VLOOKUP(TAB_CS[[#This Row],[Reference]],TAB_Offres[[Reference]:[Ressource 1]],25,FALSE)</f>
        <v xml:space="preserve">TURCITU, Mihai-Alexandru </v>
      </c>
      <c r="O63" s="1" t="str">
        <f>_xlfn.IFNA(IF(ISBLANK(TAB_CS[[#This Row],[Ressource]]),,VLOOKUP(TAB_CS[[#This Row],[Reference]],TAB_Offres[[Reference]:[Company]],COLUMNS(TAB_Offres[[Reference]:[Company]]),FALSE)),"")</f>
        <v>CGI LUX</v>
      </c>
      <c r="P63" s="1" t="str">
        <f>_xlfn.CONCAT(TAB_CS[[#This Row],[Ressource]],TAB_CS[[#This Row],[Profile in €]])</f>
        <v>TURCITU, Mihai-Alexandru 469,41</v>
      </c>
      <c r="Q63" s="1" t="str">
        <f>_xlfn.CONCAT(TAB_CS[[#This Row],[Company]],TAB_CS[[#This Row],[Business perimeter]])</f>
        <v>CGI LUXNB</v>
      </c>
      <c r="R63" s="1" t="str">
        <f>_xlfn.IFNA(IF(ISBLANK(TAB_CS[[#This Row],[Ressource]]),"",VLOOKUP(TAB_CS[[#This Row],[Reference]],TAB_Offres[[Reference]:[Profile]],COLUMNS(TAB_Offres[[Reference]:[Profile]]),FALSE)),"")</f>
        <v>Project Manager</v>
      </c>
      <c r="S63" s="150">
        <f>_xlfn.IFNA(IF(ISBLANK(TAB_CS[[#This Row],[Ressource]]),"",VLOOKUP(TAB_CS[[#This Row],[Reference]],TAB_Offres[[Reference]:[Level]],COLUMNS(TAB_Offres[[Reference]:[Level]]),FALSE)),"")</f>
        <v>2</v>
      </c>
      <c r="T63" s="127">
        <f>_xlfn.IFNA(IF(OR(ISBLANK(TAB_CS[[#This Row],[Level]]),TAB_CS[[#This Row],[Level]]=""),,VLOOKUP(TAB_CS[[#This Row],[Profile]],TAB_prix[],2+TAB_CS[[#This Row],[Level]],FALSE)),)</f>
        <v>469.41</v>
      </c>
      <c r="U63" s="13">
        <v>110</v>
      </c>
      <c r="V63" s="189">
        <f>IF(OR(ISBLANK(TAB_CS[[#This Row],[Commited days]]),TAB_CS[[#This Row],[Commited days]]=0),,TAB_CS[[#This Row],[Commited days]]*TAB_CS[[#This Row],[Profile in €]])</f>
        <v>51635.100000000006</v>
      </c>
      <c r="W63" s="127">
        <f>SUM(TAB_CS[[#This Row],[F]:[P+1]])-TAB_CS[[#This Row],[P+1]]</f>
        <v>110</v>
      </c>
      <c r="X63" s="189">
        <f>IF(OR(ISBLANK(TAB_CS[[#This Row],[Producted days]]),TAB_CS[[#This Row],[Producted days]]=0),,TAB_CS[[#This Row],[Producted days]]*TAB_CS[[#This Row],[Profile in €]])</f>
        <v>51635.100000000006</v>
      </c>
      <c r="Y63" s="188">
        <f>TAB_CS[[#This Row],[Commited days]]-TAB_CS[[#This Row],[Producted days]]</f>
        <v>0</v>
      </c>
      <c r="Z63" s="189">
        <f>IF(OR(ISBLANK(TAB_CS[[#This Row],[Remaining days]]),TAB_CS[[#This Row],[Remaining days]]=0),,TAB_CS[[#This Row],[Remaining days]]*TAB_CS[[#This Row],[Profile in €]])</f>
        <v>0</v>
      </c>
      <c r="AA63" s="187">
        <f>SUM(TAB_CS[[#This Row],[P+1]:[FP]])</f>
        <v>0</v>
      </c>
      <c r="AB63" s="10">
        <f>IF(OR(ISBLANK(TAB_CS[[#This Row],[Expected days]]),TAB_CS[[#This Row],[Expected days]]=0),,TAB_CS[[#This Row],[Expected days]]*TAB_CS[[#This Row],[Profile in €]])</f>
        <v>0</v>
      </c>
      <c r="AC63" s="14" t="str">
        <f>CONCATENATE(TAB_CS[[#This Row],[DG]],TAB_CS[[#This Row],[Company]])</f>
        <v>DIGIT.A.5CGI LUX</v>
      </c>
      <c r="AD63" s="144"/>
      <c r="AE63" s="150"/>
      <c r="AF63" s="151"/>
      <c r="AG63" s="151"/>
      <c r="AH63" s="151"/>
      <c r="AI63" s="150"/>
      <c r="AJ63" s="151"/>
      <c r="AK63" s="156"/>
      <c r="AL63" s="156"/>
      <c r="AM63" s="150"/>
      <c r="AN63" s="150"/>
      <c r="AO63" s="150"/>
      <c r="AP63" s="150"/>
      <c r="AQ63" s="150"/>
      <c r="AR63" s="351">
        <v>3.5</v>
      </c>
      <c r="AS63" s="351">
        <v>19</v>
      </c>
      <c r="AT63" s="351">
        <v>20</v>
      </c>
      <c r="AU63" s="351">
        <v>13</v>
      </c>
      <c r="AV63" s="352">
        <v>20</v>
      </c>
      <c r="AW63" s="351">
        <v>20</v>
      </c>
      <c r="AX63" s="351">
        <v>14.5</v>
      </c>
      <c r="AY63" s="643"/>
      <c r="AZ63" s="643"/>
      <c r="BA63" s="643"/>
      <c r="BB63" s="643"/>
      <c r="BC63" s="643"/>
      <c r="BD63" s="643"/>
      <c r="BE63" s="643"/>
      <c r="BF63" s="643"/>
      <c r="BG63" s="643"/>
      <c r="BH63" s="643"/>
      <c r="BI63" s="173"/>
      <c r="BJ63" s="643"/>
      <c r="BK63" s="643"/>
      <c r="BL63" s="643"/>
      <c r="BM63" s="173"/>
      <c r="BN63" s="643"/>
      <c r="BO63" s="643"/>
      <c r="BP63" s="643"/>
      <c r="BQ63" s="643"/>
      <c r="BR63" s="643"/>
      <c r="BS63" s="643"/>
      <c r="BT63" s="643"/>
      <c r="BU63" s="643"/>
      <c r="BV63" s="643"/>
      <c r="BW63" s="643"/>
      <c r="BX63" s="643"/>
      <c r="BY63" s="643"/>
      <c r="BZ63" s="224"/>
    </row>
    <row r="64" spans="1:78" ht="14.4" x14ac:dyDescent="0.3">
      <c r="A64" s="1">
        <f>IF(ISBLANK(TAB_CS[[#This Row],[Reference]]),"",INDEX(TAB_Offres[ID],MATCH(TAB_CS[[#This Row],[Reference]],TAB_Offres[Reference],0)))</f>
        <v>61</v>
      </c>
      <c r="B64" s="26" t="s">
        <v>579</v>
      </c>
      <c r="C64" s="605" t="s">
        <v>5657</v>
      </c>
      <c r="D64" s="1" t="str">
        <f>IF(ISBLANK(TAB_CS[[#This Row],[Reference]]),"",VLOOKUP(TAB_CS[[#This Row],[ID]],TAB_Offres[],2,FALSE))</f>
        <v>Lot 2</v>
      </c>
      <c r="E64" s="150" t="s">
        <v>5920</v>
      </c>
      <c r="F64" s="26">
        <f>_xlfn.IFNA(IF(ISBLANK(TAB_CS[[#This Row],[Reference]]),"",VLOOKUP(TAB_CS[[#This Row],[Reference]],TAB_Offres[[Reference]:[Modification Request]],COLUMNS(TAB_Offres[[Reference]:[Modification Request]]),FALSE)),)</f>
        <v>0</v>
      </c>
      <c r="G64" s="150" t="str">
        <f>IF(ISBLANK(TAB_CS[[#This Row],[Reference]]),"",INDEX(TAB_Offres[Institution/agency],MATCH(TAB_CS[[#This Row],[Reference]],TAB_Offres[Reference],0)))</f>
        <v>EC</v>
      </c>
      <c r="H64" s="150" t="str">
        <f>IF(ISBLANK(TAB_CS[[#This Row],[Reference]]),"",INDEX(TAB_Offres[DG],MATCH(TAB_CS[[#This Row],[Reference]],TAB_Offres[Reference],0)))</f>
        <v>DIGIT.A.4</v>
      </c>
      <c r="I64" t="str">
        <f>IF(ISBLANK(TAB_CS[[#This Row],[Reference]]),"",INDEX(TAB_Offres[Offer description],MATCH(TAB_CS[[#This Row],[Reference]],TAB_Offres[Reference],0)))</f>
        <v>Extension PM level 9 DE ANDRÉS DEL CASTILLO suite CS 2098</v>
      </c>
      <c r="J64" s="155">
        <f>_xlfn.IFNA(IF(ISBLANK(TAB_CS[[#This Row],[Ressource]]),,VLOOKUP(TAB_CS[[#This Row],[Reference]],TAB_Offres[[Reference]:[CS signature date]],COLUMNS(TAB_Offres[[Reference]:[CS signature date]]),FALSE)),"")</f>
        <v>45056</v>
      </c>
      <c r="K64" s="155">
        <f>_xlfn.IFNA(IF(ISBLANK(TAB_CS[[#This Row],[Ressource]]),,VLOOKUP(TAB_CS[[#This Row],[Reference]],TAB_Offres[[Reference]:[CS start date]],COLUMNS(TAB_Offres[[Reference]:[CS start date]]),FALSE)),"")</f>
        <v>0</v>
      </c>
      <c r="L64" s="155">
        <f>_xlfn.IFNA(IF(ISBLANK(TAB_CS[[#This Row],[Ressource]]),,VLOOKUP(TAB_CS[[#This Row],[Reference]],TAB_Offres[[Reference]:[CS end date]],COLUMNS(TAB_Offres[[Reference]:[CS end date]]),FALSE)),"")</f>
        <v>45565</v>
      </c>
      <c r="M64" s="1" t="str">
        <f>_xlfn.IFNA(IF(ISBLANK(TAB_CS[[#This Row],[Ressource]]),,VLOOKUP(TAB_CS[[#This Row],[Reference]],TAB_Offres[[Reference]:[CS State]],COLUMNS(TAB_Offres[[Reference]:[CS State]]),FALSE)),"")</f>
        <v>CLOSE</v>
      </c>
      <c r="N64" s="26" t="str">
        <f>VLOOKUP(TAB_CS[[#This Row],[Reference]],TAB_Offres[[Reference]:[Ressource 1]],25,FALSE)</f>
        <v>DE ANDRES DEL CASTILLO, David</v>
      </c>
      <c r="O64" s="1" t="str">
        <f>_xlfn.IFNA(IF(ISBLANK(TAB_CS[[#This Row],[Ressource]]),,VLOOKUP(TAB_CS[[#This Row],[Reference]],TAB_Offres[[Reference]:[Company]],COLUMNS(TAB_Offres[[Reference]:[Company]]),FALSE)),"")</f>
        <v>CGI LUX</v>
      </c>
      <c r="P64" s="1" t="str">
        <f>_xlfn.CONCAT(TAB_CS[[#This Row],[Ressource]],TAB_CS[[#This Row],[Profile in €]])</f>
        <v>DE ANDRES DEL CASTILLO, David753,77</v>
      </c>
      <c r="Q64" s="1" t="str">
        <f>_xlfn.CONCAT(TAB_CS[[#This Row],[Company]],TAB_CS[[#This Row],[Business perimeter]])</f>
        <v>CGI LUXNB</v>
      </c>
      <c r="R64" s="1" t="str">
        <f>_xlfn.IFNA(IF(ISBLANK(TAB_CS[[#This Row],[Ressource]]),"",VLOOKUP(TAB_CS[[#This Row],[Reference]],TAB_Offres[[Reference]:[Profile]],COLUMNS(TAB_Offres[[Reference]:[Profile]]),FALSE)),"")</f>
        <v>Project Manager</v>
      </c>
      <c r="S64" s="150">
        <f>_xlfn.IFNA(IF(ISBLANK(TAB_CS[[#This Row],[Ressource]]),"",VLOOKUP(TAB_CS[[#This Row],[Reference]],TAB_Offres[[Reference]:[Level]],COLUMNS(TAB_Offres[[Reference]:[Level]]),FALSE)),"")</f>
        <v>9</v>
      </c>
      <c r="T64" s="127">
        <f>_xlfn.IFNA(IF(OR(ISBLANK(TAB_CS[[#This Row],[Level]]),TAB_CS[[#This Row],[Level]]=""),,VLOOKUP(TAB_CS[[#This Row],[Profile]],TAB_prix[],2+TAB_CS[[#This Row],[Level]],FALSE)),)</f>
        <v>753.77</v>
      </c>
      <c r="U64" s="13">
        <v>90</v>
      </c>
      <c r="V64" s="189">
        <f>IF(OR(ISBLANK(TAB_CS[[#This Row],[Commited days]]),TAB_CS[[#This Row],[Commited days]]=0),,TAB_CS[[#This Row],[Commited days]]*TAB_CS[[#This Row],[Profile in €]])</f>
        <v>67839.3</v>
      </c>
      <c r="W64" s="127">
        <f>SUM(TAB_CS[[#This Row],[F]:[P+1]])-TAB_CS[[#This Row],[P+1]]</f>
        <v>90</v>
      </c>
      <c r="X64" s="189">
        <f>IF(OR(ISBLANK(TAB_CS[[#This Row],[Producted days]]),TAB_CS[[#This Row],[Producted days]]=0),,TAB_CS[[#This Row],[Producted days]]*TAB_CS[[#This Row],[Profile in €]])</f>
        <v>67839.3</v>
      </c>
      <c r="Y64" s="188">
        <f>TAB_CS[[#This Row],[Commited days]]-TAB_CS[[#This Row],[Producted days]]</f>
        <v>0</v>
      </c>
      <c r="Z64" s="189">
        <f>IF(OR(ISBLANK(TAB_CS[[#This Row],[Remaining days]]),TAB_CS[[#This Row],[Remaining days]]=0),,TAB_CS[[#This Row],[Remaining days]]*TAB_CS[[#This Row],[Profile in €]])</f>
        <v>0</v>
      </c>
      <c r="AA64" s="187">
        <f>SUM(TAB_CS[[#This Row],[P+1]:[FP]])</f>
        <v>0</v>
      </c>
      <c r="AB64" s="10">
        <f>IF(OR(ISBLANK(TAB_CS[[#This Row],[Expected days]]),TAB_CS[[#This Row],[Expected days]]=0),,TAB_CS[[#This Row],[Expected days]]*TAB_CS[[#This Row],[Profile in €]])</f>
        <v>0</v>
      </c>
      <c r="AC64" s="14" t="str">
        <f>CONCATENATE(TAB_CS[[#This Row],[DG]],TAB_CS[[#This Row],[Company]])</f>
        <v>DIGIT.A.4CGI LUX</v>
      </c>
      <c r="AD64" s="144"/>
      <c r="AE64" s="150"/>
      <c r="AF64" s="151"/>
      <c r="AG64" s="151"/>
      <c r="AH64" s="151"/>
      <c r="AI64" s="150"/>
      <c r="AJ64" s="151"/>
      <c r="AK64" s="156"/>
      <c r="AL64" s="156"/>
      <c r="AM64" s="150"/>
      <c r="AN64" s="179"/>
      <c r="AO64" s="150"/>
      <c r="AP64" s="150"/>
      <c r="AQ64" s="150"/>
      <c r="AR64" s="351">
        <v>2</v>
      </c>
      <c r="AS64" s="351">
        <v>22</v>
      </c>
      <c r="AT64" s="351">
        <v>16</v>
      </c>
      <c r="AU64" s="351">
        <v>18</v>
      </c>
      <c r="AV64" s="352">
        <v>19</v>
      </c>
      <c r="AW64" s="351">
        <v>13</v>
      </c>
      <c r="AX64" s="643"/>
      <c r="AY64" s="643"/>
      <c r="AZ64" s="643"/>
      <c r="BA64" s="643"/>
      <c r="BB64" s="643"/>
      <c r="BC64" s="643"/>
      <c r="BD64" s="643"/>
      <c r="BE64" s="643"/>
      <c r="BF64" s="643"/>
      <c r="BG64" s="643"/>
      <c r="BH64" s="643"/>
      <c r="BI64" s="173"/>
      <c r="BJ64" s="643"/>
      <c r="BK64" s="643"/>
      <c r="BL64" s="643"/>
      <c r="BM64" s="173"/>
      <c r="BN64" s="643"/>
      <c r="BO64" s="643"/>
      <c r="BP64" s="643"/>
      <c r="BQ64" s="643"/>
      <c r="BR64" s="643"/>
      <c r="BS64" s="643"/>
      <c r="BT64" s="643"/>
      <c r="BU64" s="643"/>
      <c r="BV64" s="643"/>
      <c r="BW64" s="643"/>
      <c r="BX64" s="643"/>
      <c r="BY64" s="643"/>
      <c r="BZ64" s="224"/>
    </row>
    <row r="65" spans="1:78" ht="14.4" x14ac:dyDescent="0.3">
      <c r="A65" s="1">
        <f>IF(ISBLANK(TAB_CS[[#This Row],[Reference]]),"",INDEX(TAB_Offres[ID],MATCH(TAB_CS[[#This Row],[Reference]],TAB_Offres[Reference],0)))</f>
        <v>62</v>
      </c>
      <c r="B65" s="26" t="s">
        <v>583</v>
      </c>
      <c r="C65" s="150" t="s">
        <v>5658</v>
      </c>
      <c r="D65" s="1" t="str">
        <f>IF(ISBLANK(TAB_CS[[#This Row],[Reference]]),"",VLOOKUP(TAB_CS[[#This Row],[ID]],TAB_Offres[],2,FALSE))</f>
        <v>Lot 1</v>
      </c>
      <c r="E65" s="150" t="s">
        <v>5920</v>
      </c>
      <c r="F65" s="26">
        <f>_xlfn.IFNA(IF(ISBLANK(TAB_CS[[#This Row],[Reference]]),"",VLOOKUP(TAB_CS[[#This Row],[Reference]],TAB_Offres[[Reference]:[Modification Request]],COLUMNS(TAB_Offres[[Reference]:[Modification Request]]),FALSE)),)</f>
        <v>0</v>
      </c>
      <c r="G65" s="150" t="str">
        <f>IF(ISBLANK(TAB_CS[[#This Row],[Reference]]),"",INDEX(TAB_Offres[Institution/agency],MATCH(TAB_CS[[#This Row],[Reference]],TAB_Offres[Reference],0)))</f>
        <v>EC</v>
      </c>
      <c r="H65" s="150" t="str">
        <f>IF(ISBLANK(TAB_CS[[#This Row],[Reference]]),"",INDEX(TAB_Offres[DG],MATCH(TAB_CS[[#This Row],[Reference]],TAB_Offres[Reference],0)))</f>
        <v>DIGIT.A.5</v>
      </c>
      <c r="I65" t="str">
        <f>IF(ISBLANK(TAB_CS[[#This Row],[Reference]]),"",INDEX(TAB_Offres[Offer description],MATCH(TAB_CS[[#This Row],[Reference]],TAB_Offres[Reference],0)))</f>
        <v xml:space="preserve"> Extension Back-end developer (BED) Lev 10 POCHON suite CS 2819</v>
      </c>
      <c r="J65" s="155">
        <f>_xlfn.IFNA(IF(ISBLANK(TAB_CS[[#This Row],[Ressource]]),,VLOOKUP(TAB_CS[[#This Row],[Reference]],TAB_Offres[[Reference]:[CS signature date]],COLUMNS(TAB_Offres[[Reference]:[CS signature date]]),FALSE)),"")</f>
        <v>45048</v>
      </c>
      <c r="K65" s="155">
        <f>_xlfn.IFNA(IF(ISBLANK(TAB_CS[[#This Row],[Ressource]]),,VLOOKUP(TAB_CS[[#This Row],[Reference]],TAB_Offres[[Reference]:[CS start date]],COLUMNS(TAB_Offres[[Reference]:[CS start date]]),FALSE)),"")</f>
        <v>0</v>
      </c>
      <c r="L65" s="155">
        <f>_xlfn.IFNA(IF(ISBLANK(TAB_CS[[#This Row],[Ressource]]),,VLOOKUP(TAB_CS[[#This Row],[Reference]],TAB_Offres[[Reference]:[CS end date]],COLUMNS(TAB_Offres[[Reference]:[CS end date]]),FALSE)),"")</f>
        <v>45565</v>
      </c>
      <c r="M65" s="1" t="str">
        <f>_xlfn.IFNA(IF(ISBLANK(TAB_CS[[#This Row],[Ressource]]),,VLOOKUP(TAB_CS[[#This Row],[Reference]],TAB_Offres[[Reference]:[CS State]],COLUMNS(TAB_Offres[[Reference]:[CS State]]),FALSE)),"")</f>
        <v>CLOSE</v>
      </c>
      <c r="N65" s="26" t="str">
        <f>VLOOKUP(TAB_CS[[#This Row],[Reference]],TAB_Offres[[Reference]:[Ressource 1]],25,FALSE)</f>
        <v>POCHON, Régis</v>
      </c>
      <c r="O65" s="1" t="str">
        <f>_xlfn.IFNA(IF(ISBLANK(TAB_CS[[#This Row],[Ressource]]),,VLOOKUP(TAB_CS[[#This Row],[Reference]],TAB_Offres[[Reference]:[Company]],COLUMNS(TAB_Offres[[Reference]:[Company]]),FALSE)),"")</f>
        <v>EDDA</v>
      </c>
      <c r="P65" s="1" t="str">
        <f>_xlfn.CONCAT(TAB_CS[[#This Row],[Ressource]],TAB_CS[[#This Row],[Profile in €]])</f>
        <v>POCHON, Régis659</v>
      </c>
      <c r="Q65" s="1" t="str">
        <f>_xlfn.CONCAT(TAB_CS[[#This Row],[Company]],TAB_CS[[#This Row],[Business perimeter]])</f>
        <v>EDDANB</v>
      </c>
      <c r="R65" s="1" t="str">
        <f>_xlfn.IFNA(IF(ISBLANK(TAB_CS[[#This Row],[Ressource]]),"",VLOOKUP(TAB_CS[[#This Row],[Reference]],TAB_Offres[[Reference]:[Profile]],COLUMNS(TAB_Offres[[Reference]:[Profile]]),FALSE)),"")</f>
        <v>Back-end developer</v>
      </c>
      <c r="S65" s="150">
        <f>_xlfn.IFNA(IF(ISBLANK(TAB_CS[[#This Row],[Ressource]]),"",VLOOKUP(TAB_CS[[#This Row],[Reference]],TAB_Offres[[Reference]:[Level]],COLUMNS(TAB_Offres[[Reference]:[Level]]),FALSE)),"")</f>
        <v>10</v>
      </c>
      <c r="T65" s="127">
        <f>_xlfn.IFNA(IF(OR(ISBLANK(TAB_CS[[#This Row],[Level]]),TAB_CS[[#This Row],[Level]]=""),,VLOOKUP(TAB_CS[[#This Row],[Profile]],TAB_prix[],2+TAB_CS[[#This Row],[Level]],FALSE)),)</f>
        <v>659</v>
      </c>
      <c r="U65" s="13">
        <v>90</v>
      </c>
      <c r="V65" s="189">
        <f>IF(OR(ISBLANK(TAB_CS[[#This Row],[Commited days]]),TAB_CS[[#This Row],[Commited days]]=0),,TAB_CS[[#This Row],[Commited days]]*TAB_CS[[#This Row],[Profile in €]])</f>
        <v>59310</v>
      </c>
      <c r="W65" s="127">
        <f>SUM(TAB_CS[[#This Row],[F]:[P+1]])-TAB_CS[[#This Row],[P+1]]</f>
        <v>90</v>
      </c>
      <c r="X65" s="189">
        <f>IF(OR(ISBLANK(TAB_CS[[#This Row],[Producted days]]),TAB_CS[[#This Row],[Producted days]]=0),,TAB_CS[[#This Row],[Producted days]]*TAB_CS[[#This Row],[Profile in €]])</f>
        <v>59310</v>
      </c>
      <c r="Y65" s="188">
        <f>TAB_CS[[#This Row],[Commited days]]-TAB_CS[[#This Row],[Producted days]]</f>
        <v>0</v>
      </c>
      <c r="Z65" s="189">
        <f>IF(OR(ISBLANK(TAB_CS[[#This Row],[Remaining days]]),TAB_CS[[#This Row],[Remaining days]]=0),,TAB_CS[[#This Row],[Remaining days]]*TAB_CS[[#This Row],[Profile in €]])</f>
        <v>0</v>
      </c>
      <c r="AA65" s="187">
        <f>SUM(TAB_CS[[#This Row],[P+1]:[FP]])</f>
        <v>0</v>
      </c>
      <c r="AB65" s="10">
        <f>IF(OR(ISBLANK(TAB_CS[[#This Row],[Expected days]]),TAB_CS[[#This Row],[Expected days]]=0),,TAB_CS[[#This Row],[Expected days]]*TAB_CS[[#This Row],[Profile in €]])</f>
        <v>0</v>
      </c>
      <c r="AC65" s="14" t="str">
        <f>CONCATENATE(TAB_CS[[#This Row],[DG]],TAB_CS[[#This Row],[Company]])</f>
        <v>DIGIT.A.5EDDA</v>
      </c>
      <c r="AD65" s="144"/>
      <c r="AE65" s="150"/>
      <c r="AF65" s="151"/>
      <c r="AG65" s="151"/>
      <c r="AH65" s="151"/>
      <c r="AI65" s="150"/>
      <c r="AJ65" s="151"/>
      <c r="AK65" s="156"/>
      <c r="AL65" s="156"/>
      <c r="AM65" s="150"/>
      <c r="AN65" s="150"/>
      <c r="AO65" s="150"/>
      <c r="AP65" s="150"/>
      <c r="AQ65" s="150"/>
      <c r="AR65" s="156"/>
      <c r="AS65" s="351">
        <v>20</v>
      </c>
      <c r="AT65" s="351">
        <v>18</v>
      </c>
      <c r="AU65" s="351">
        <v>15</v>
      </c>
      <c r="AV65" s="352">
        <v>20</v>
      </c>
      <c r="AW65" s="351">
        <v>17</v>
      </c>
      <c r="AX65" s="643"/>
      <c r="AY65" s="643"/>
      <c r="AZ65" s="643"/>
      <c r="BA65" s="643"/>
      <c r="BB65" s="643"/>
      <c r="BC65" s="643"/>
      <c r="BD65" s="643"/>
      <c r="BE65" s="643"/>
      <c r="BF65" s="643"/>
      <c r="BG65" s="643"/>
      <c r="BH65" s="643"/>
      <c r="BI65" s="173"/>
      <c r="BJ65" s="643"/>
      <c r="BK65" s="643"/>
      <c r="BL65" s="643"/>
      <c r="BM65" s="173"/>
      <c r="BN65" s="643"/>
      <c r="BO65" s="643"/>
      <c r="BP65" s="643"/>
      <c r="BQ65" s="643"/>
      <c r="BR65" s="643"/>
      <c r="BS65" s="643"/>
      <c r="BT65" s="643"/>
      <c r="BU65" s="643"/>
      <c r="BV65" s="643"/>
      <c r="BW65" s="643"/>
      <c r="BX65" s="643"/>
      <c r="BY65" s="643"/>
      <c r="BZ65" s="224"/>
    </row>
    <row r="66" spans="1:78" ht="14.4" x14ac:dyDescent="0.3">
      <c r="A66" s="1">
        <f>IF(ISBLANK(TAB_CS[[#This Row],[Reference]]),"",INDEX(TAB_Offres[ID],MATCH(TAB_CS[[#This Row],[Reference]],TAB_Offres[Reference],0)))</f>
        <v>63</v>
      </c>
      <c r="B66" s="26" t="s">
        <v>590</v>
      </c>
      <c r="C66" s="150" t="s">
        <v>5659</v>
      </c>
      <c r="D66" s="1" t="str">
        <f>IF(ISBLANK(TAB_CS[[#This Row],[Reference]]),"",VLOOKUP(TAB_CS[[#This Row],[ID]],TAB_Offres[],2,FALSE))</f>
        <v>Lot 2</v>
      </c>
      <c r="E66" s="150" t="s">
        <v>5920</v>
      </c>
      <c r="F66" s="26">
        <f>_xlfn.IFNA(IF(ISBLANK(TAB_CS[[#This Row],[Reference]]),"",VLOOKUP(TAB_CS[[#This Row],[Reference]],TAB_Offres[[Reference]:[Modification Request]],COLUMNS(TAB_Offres[[Reference]:[Modification Request]]),FALSE)),)</f>
        <v>0</v>
      </c>
      <c r="G66" s="150" t="str">
        <f>IF(ISBLANK(TAB_CS[[#This Row],[Reference]]),"",INDEX(TAB_Offres[Institution/agency],MATCH(TAB_CS[[#This Row],[Reference]],TAB_Offres[Reference],0)))</f>
        <v>EC</v>
      </c>
      <c r="H66" s="150" t="str">
        <f>IF(ISBLANK(TAB_CS[[#This Row],[Reference]]),"",INDEX(TAB_Offres[DG],MATCH(TAB_CS[[#This Row],[Reference]],TAB_Offres[Reference],0)))</f>
        <v>SANTE</v>
      </c>
      <c r="I66">
        <f>IF(ISBLANK(TAB_CS[[#This Row],[Reference]]),"",INDEX(TAB_Offres[Offer description],MATCH(TAB_CS[[#This Row],[Reference]],TAB_Offres[Reference],0)))</f>
        <v>0</v>
      </c>
      <c r="J66" s="155">
        <f>_xlfn.IFNA(IF(ISBLANK(TAB_CS[[#This Row],[Ressource]]),,VLOOKUP(TAB_CS[[#This Row],[Reference]],TAB_Offres[[Reference]:[CS signature date]],COLUMNS(TAB_Offres[[Reference]:[CS signature date]]),FALSE)),"")</f>
        <v>45086</v>
      </c>
      <c r="K66" s="155">
        <f>_xlfn.IFNA(IF(ISBLANK(TAB_CS[[#This Row],[Ressource]]),,VLOOKUP(TAB_CS[[#This Row],[Reference]],TAB_Offres[[Reference]:[CS start date]],COLUMNS(TAB_Offres[[Reference]:[CS start date]]),FALSE)),"")</f>
        <v>0</v>
      </c>
      <c r="L66" s="155">
        <f>_xlfn.IFNA(IF(ISBLANK(TAB_CS[[#This Row],[Ressource]]),,VLOOKUP(TAB_CS[[#This Row],[Reference]],TAB_Offres[[Reference]:[CS end date]],COLUMNS(TAB_Offres[[Reference]:[CS end date]]),FALSE)),"")</f>
        <v>45412</v>
      </c>
      <c r="M66" s="1" t="str">
        <f>_xlfn.IFNA(IF(ISBLANK(TAB_CS[[#This Row],[Ressource]]),,VLOOKUP(TAB_CS[[#This Row],[Reference]],TAB_Offres[[Reference]:[CS State]],COLUMNS(TAB_Offres[[Reference]:[CS State]]),FALSE)),"")</f>
        <v>PENDING</v>
      </c>
      <c r="N66" s="26" t="str">
        <f>VLOOKUP(TAB_CS[[#This Row],[Reference]],TAB_Offres[[Reference]:[Ressource 1]],25,FALSE)</f>
        <v>KATHAL, Tanisha</v>
      </c>
      <c r="O66" s="1" t="str">
        <f>_xlfn.IFNA(IF(ISBLANK(TAB_CS[[#This Row],[Ressource]]),,VLOOKUP(TAB_CS[[#This Row],[Reference]],TAB_Offres[[Reference]:[Company]],COLUMNS(TAB_Offres[[Reference]:[Company]]),FALSE)),"")</f>
        <v>EDDA</v>
      </c>
      <c r="P66" s="1" t="str">
        <f>_xlfn.CONCAT(TAB_CS[[#This Row],[Ressource]],TAB_CS[[#This Row],[Profile in €]])</f>
        <v>KATHAL, Tanisha533,56</v>
      </c>
      <c r="Q66" s="1" t="str">
        <f>_xlfn.CONCAT(TAB_CS[[#This Row],[Company]],TAB_CS[[#This Row],[Business perimeter]])</f>
        <v>EDDANB</v>
      </c>
      <c r="R66" s="1" t="str">
        <f>_xlfn.IFNA(IF(ISBLANK(TAB_CS[[#This Row],[Ressource]]),"",VLOOKUP(TAB_CS[[#This Row],[Reference]],TAB_Offres[[Reference]:[Profile]],COLUMNS(TAB_Offres[[Reference]:[Profile]]),FALSE)),"")</f>
        <v>Application/Cloud architect#R1</v>
      </c>
      <c r="S66" s="150">
        <f>_xlfn.IFNA(IF(ISBLANK(TAB_CS[[#This Row],[Ressource]]),"",VLOOKUP(TAB_CS[[#This Row],[Reference]],TAB_Offres[[Reference]:[Level]],COLUMNS(TAB_Offres[[Reference]:[Level]]),FALSE)),"")</f>
        <v>7</v>
      </c>
      <c r="T66" s="127">
        <f>_xlfn.IFNA(IF(OR(ISBLANK(TAB_CS[[#This Row],[Level]]),TAB_CS[[#This Row],[Level]]=""),,VLOOKUP(TAB_CS[[#This Row],[Profile]],TAB_prix[],2+TAB_CS[[#This Row],[Level]],FALSE)),)</f>
        <v>533.55999999999995</v>
      </c>
      <c r="U66" s="13">
        <v>50</v>
      </c>
      <c r="V66" s="189">
        <f>IF(OR(ISBLANK(TAB_CS[[#This Row],[Commited days]]),TAB_CS[[#This Row],[Commited days]]=0),,TAB_CS[[#This Row],[Commited days]]*TAB_CS[[#This Row],[Profile in €]])</f>
        <v>26677.999999999996</v>
      </c>
      <c r="W66" s="127">
        <f>SUM(TAB_CS[[#This Row],[F]:[P+1]])-TAB_CS[[#This Row],[P+1]]</f>
        <v>50</v>
      </c>
      <c r="X66" s="189">
        <f>IF(OR(ISBLANK(TAB_CS[[#This Row],[Producted days]]),TAB_CS[[#This Row],[Producted days]]=0),,TAB_CS[[#This Row],[Producted days]]*TAB_CS[[#This Row],[Profile in €]])</f>
        <v>26677.999999999996</v>
      </c>
      <c r="Y66" s="188">
        <f>TAB_CS[[#This Row],[Commited days]]-TAB_CS[[#This Row],[Producted days]]</f>
        <v>0</v>
      </c>
      <c r="Z66" s="189">
        <f>IF(OR(ISBLANK(TAB_CS[[#This Row],[Remaining days]]),TAB_CS[[#This Row],[Remaining days]]=0),,TAB_CS[[#This Row],[Remaining days]]*TAB_CS[[#This Row],[Profile in €]])</f>
        <v>0</v>
      </c>
      <c r="AA66" s="187">
        <f>SUM(TAB_CS[[#This Row],[P+1]:[FP]])</f>
        <v>0</v>
      </c>
      <c r="AB66" s="10">
        <f>IF(OR(ISBLANK(TAB_CS[[#This Row],[Expected days]]),TAB_CS[[#This Row],[Expected days]]=0),,TAB_CS[[#This Row],[Expected days]]*TAB_CS[[#This Row],[Profile in €]])</f>
        <v>0</v>
      </c>
      <c r="AC66" s="14" t="str">
        <f>CONCATENATE(TAB_CS[[#This Row],[DG]],TAB_CS[[#This Row],[Company]])</f>
        <v>SANTEEDDA</v>
      </c>
      <c r="AD66" s="144"/>
      <c r="AE66" s="150"/>
      <c r="AF66" s="151"/>
      <c r="AG66" s="151"/>
      <c r="AH66" s="151"/>
      <c r="AI66" s="150"/>
      <c r="AJ66" s="151"/>
      <c r="AK66" s="156"/>
      <c r="AL66" s="156"/>
      <c r="AM66" s="150"/>
      <c r="AN66" s="150"/>
      <c r="AO66" s="150"/>
      <c r="AP66" s="150"/>
      <c r="AQ66" s="150"/>
      <c r="AR66" s="150"/>
      <c r="AS66" s="150"/>
      <c r="AT66" s="156"/>
      <c r="AU66" s="156"/>
      <c r="AV66" s="171"/>
      <c r="AW66" s="171"/>
      <c r="AX66" s="171"/>
      <c r="AY66" s="171"/>
      <c r="AZ66" s="352">
        <v>2</v>
      </c>
      <c r="BA66" s="352">
        <v>21</v>
      </c>
      <c r="BB66" s="352">
        <v>17.5</v>
      </c>
      <c r="BC66" s="352">
        <v>9.5</v>
      </c>
      <c r="BD66" s="644"/>
      <c r="BE66" s="644"/>
      <c r="BF66" s="644"/>
      <c r="BG66" s="644"/>
      <c r="BH66" s="644"/>
      <c r="BI66" s="173"/>
      <c r="BJ66" s="644"/>
      <c r="BK66" s="644"/>
      <c r="BL66" s="644"/>
      <c r="BM66" s="173"/>
      <c r="BN66" s="644"/>
      <c r="BO66" s="644"/>
      <c r="BP66" s="644"/>
      <c r="BQ66" s="644"/>
      <c r="BR66" s="644"/>
      <c r="BS66" s="644"/>
      <c r="BT66" s="644"/>
      <c r="BU66" s="644"/>
      <c r="BV66" s="644"/>
      <c r="BW66" s="644"/>
      <c r="BX66" s="644"/>
      <c r="BY66" s="644"/>
      <c r="BZ66" s="224"/>
    </row>
    <row r="67" spans="1:78" s="4" customFormat="1" ht="14.4" customHeight="1" x14ac:dyDescent="0.3">
      <c r="A67" s="150">
        <f>IF(ISBLANK(TAB_CS[[#This Row],[Reference]]),"",INDEX(TAB_Offres[ID],MATCH(TAB_CS[[#This Row],[Reference]],TAB_Offres[Reference],0)))</f>
        <v>64</v>
      </c>
      <c r="B67" s="154" t="s">
        <v>5472</v>
      </c>
      <c r="C67" s="150" t="s">
        <v>5781</v>
      </c>
      <c r="D67" s="150" t="s">
        <v>138</v>
      </c>
      <c r="E67" s="150" t="s">
        <v>5920</v>
      </c>
      <c r="F67" s="154">
        <f>_xlfn.IFNA(IF(ISBLANK(TAB_CS[[#This Row],[Reference]]),"",VLOOKUP(TAB_CS[[#This Row],[Reference]],TAB_Offres[[Reference]:[Modification Request]],COLUMNS(TAB_Offres[[Reference]:[Modification Request]]),FALSE)),)</f>
        <v>0</v>
      </c>
      <c r="G67" s="150" t="str">
        <f>IF(ISBLANK(TAB_CS[[#This Row],[Reference]]),"",INDEX(TAB_Offres[Institution/agency],MATCH(TAB_CS[[#This Row],[Reference]],TAB_Offres[Reference],0)))</f>
        <v>EC</v>
      </c>
      <c r="H67" s="150" t="str">
        <f>IF(ISBLANK(TAB_CS[[#This Row],[Reference]]),"",INDEX(TAB_Offres[DG],MATCH(TAB_CS[[#This Row],[Reference]],TAB_Offres[Reference],0)))</f>
        <v>SANTE</v>
      </c>
      <c r="I67" t="str">
        <f>IF(ISBLANK(TAB_CS[[#This Row],[Reference]]),"",INDEX(TAB_Offres[Offer description],MATCH(TAB_CS[[#This Row],[Reference]],TAB_Offres[Reference],0)))</f>
        <v>Back-End Developer (BED)</v>
      </c>
      <c r="J67" s="155">
        <f>_xlfn.IFNA(IF(ISBLANK(TAB_CS[[#This Row],[Ressource]]),,VLOOKUP(TAB_CS[[#This Row],[Reference]],TAB_Offres[[Reference]:[CS signature date]],COLUMNS(TAB_Offres[[Reference]:[CS signature date]]),FALSE)),"")</f>
        <v>45190</v>
      </c>
      <c r="K67" s="155">
        <f>_xlfn.IFNA(IF(ISBLANK(TAB_CS[[#This Row],[Ressource]]),,VLOOKUP(TAB_CS[[#This Row],[Reference]],TAB_Offres[[Reference]:[CS start date]],COLUMNS(TAB_Offres[[Reference]:[CS start date]]),FALSE)),"")</f>
        <v>0</v>
      </c>
      <c r="L67" s="155">
        <f>_xlfn.IFNA(IF(ISBLANK(TAB_CS[[#This Row],[Ressource]]),,VLOOKUP(TAB_CS[[#This Row],[Reference]],TAB_Offres[[Reference]:[CS end date]],COLUMNS(TAB_Offres[[Reference]:[CS end date]]),FALSE)),"")</f>
        <v>45657</v>
      </c>
      <c r="M67" s="1">
        <f>_xlfn.IFNA(IF(ISBLANK(TAB_CS[[#This Row],[Ressource]]),,VLOOKUP(TAB_CS[[#This Row],[Reference]],TAB_Offres[[Reference]:[CS State]],COLUMNS(TAB_Offres[[Reference]:[CS State]]),FALSE)),"")</f>
        <v>0</v>
      </c>
      <c r="N67" s="154" t="str">
        <f>VLOOKUP(TAB_CS[[#This Row],[Reference]],TAB_Offres[[Reference]:[Ressource 1]],25,FALSE)</f>
        <v>ROSALES, Airy</v>
      </c>
      <c r="O67" s="150" t="str">
        <f>_xlfn.IFNA(IF(ISBLANK(TAB_CS[[#This Row],[Ressource]]),,VLOOKUP(TAB_CS[[#This Row],[Reference]],TAB_Offres[[Reference]:[Company]],COLUMNS(TAB_Offres[[Reference]:[Company]]),FALSE)),"")</f>
        <v>EDDA</v>
      </c>
      <c r="P67" s="1" t="str">
        <f>_xlfn.CONCAT(TAB_CS[[#This Row],[Ressource]],TAB_CS[[#This Row],[Profile in €]])</f>
        <v>ROSALES, Airy659</v>
      </c>
      <c r="Q67" s="1" t="str">
        <f>_xlfn.CONCAT(TAB_CS[[#This Row],[Company]],TAB_CS[[#This Row],[Business perimeter]])</f>
        <v>EDDANB</v>
      </c>
      <c r="R67" s="150" t="str">
        <f>_xlfn.IFNA(IF(ISBLANK(TAB_CS[[#This Row],[Ressource]]),"",VLOOKUP(TAB_CS[[#This Row],[Reference]],TAB_Offres[[Reference]:[Profile]],COLUMNS(TAB_Offres[[Reference]:[Profile]]),FALSE)),"")</f>
        <v>Back-end developer</v>
      </c>
      <c r="S67" s="150">
        <v>6</v>
      </c>
      <c r="T67" s="357">
        <v>659</v>
      </c>
      <c r="U67" s="151">
        <v>220</v>
      </c>
      <c r="V67" s="205">
        <f>IF(OR(ISBLANK(TAB_CS[[#This Row],[Commited days]]),TAB_CS[[#This Row],[Commited days]]=0),,TAB_CS[[#This Row],[Commited days]]*TAB_CS[[#This Row],[Profile in €]])</f>
        <v>144980</v>
      </c>
      <c r="W67" s="156">
        <f>SUM(TAB_CS[[#This Row],[F]:[P+1]])-TAB_CS[[#This Row],[P+1]]</f>
        <v>220</v>
      </c>
      <c r="X67" s="205">
        <f>IF(OR(ISBLANK(TAB_CS[[#This Row],[Producted days]]),TAB_CS[[#This Row],[Producted days]]=0),,TAB_CS[[#This Row],[Producted days]]*TAB_CS[[#This Row],[Profile in €]])</f>
        <v>144980</v>
      </c>
      <c r="Y67" s="206">
        <f>TAB_CS[[#This Row],[Commited days]]-TAB_CS[[#This Row],[Producted days]]</f>
        <v>0</v>
      </c>
      <c r="Z67" s="205">
        <f>IF(OR(ISBLANK(TAB_CS[[#This Row],[Remaining days]]),TAB_CS[[#This Row],[Remaining days]]=0),,TAB_CS[[#This Row],[Remaining days]]*TAB_CS[[#This Row],[Profile in €]])</f>
        <v>0</v>
      </c>
      <c r="AA67" s="207">
        <f>SUM(TAB_CS[[#This Row],[P+1]:[FP]])</f>
        <v>0</v>
      </c>
      <c r="AB67" s="208">
        <f>IF(OR(ISBLANK(TAB_CS[[#This Row],[Expected days]]),TAB_CS[[#This Row],[Expected days]]=0),,TAB_CS[[#This Row],[Expected days]]*TAB_CS[[#This Row],[Profile in €]])</f>
        <v>0</v>
      </c>
      <c r="AC67" s="14" t="str">
        <f>CONCATENATE(TAB_CS[[#This Row],[DG]],TAB_CS[[#This Row],[Company]])</f>
        <v>SANTEEDDA</v>
      </c>
      <c r="AD67" s="144"/>
      <c r="AE67" s="150"/>
      <c r="AF67" s="151"/>
      <c r="AG67" s="151"/>
      <c r="AH67" s="151"/>
      <c r="AI67" s="150"/>
      <c r="AJ67" s="151"/>
      <c r="AK67" s="156"/>
      <c r="AL67" s="156"/>
      <c r="AM67" s="150"/>
      <c r="AN67" s="150"/>
      <c r="AO67" s="150"/>
      <c r="AP67" s="150"/>
      <c r="AQ67" s="150"/>
      <c r="AR67" s="150"/>
      <c r="AS67" s="150"/>
      <c r="AT67" s="156"/>
      <c r="AU67" s="156"/>
      <c r="AV67" s="171"/>
      <c r="AW67" s="171"/>
      <c r="AX67" s="352">
        <v>18</v>
      </c>
      <c r="AY67" s="352">
        <v>16</v>
      </c>
      <c r="AZ67" s="352">
        <v>21</v>
      </c>
      <c r="BA67" s="352">
        <v>20.5</v>
      </c>
      <c r="BB67" s="352">
        <v>19</v>
      </c>
      <c r="BC67" s="352">
        <v>21</v>
      </c>
      <c r="BD67" s="352">
        <v>16</v>
      </c>
      <c r="BE67" s="352">
        <v>19</v>
      </c>
      <c r="BF67" s="352">
        <v>23</v>
      </c>
      <c r="BG67" s="352">
        <v>19</v>
      </c>
      <c r="BH67" s="352">
        <v>20</v>
      </c>
      <c r="BI67" s="350"/>
      <c r="BJ67" s="633">
        <v>7.5</v>
      </c>
      <c r="BK67" s="644"/>
      <c r="BL67" s="644"/>
      <c r="BM67" s="350"/>
      <c r="BN67" s="644"/>
      <c r="BO67" s="644"/>
      <c r="BP67" s="644"/>
      <c r="BQ67" s="644"/>
      <c r="BR67" s="644"/>
      <c r="BS67" s="644"/>
      <c r="BT67" s="644"/>
      <c r="BU67" s="644"/>
      <c r="BV67" s="644"/>
      <c r="BW67" s="644"/>
      <c r="BX67" s="644"/>
      <c r="BY67" s="644"/>
      <c r="BZ67" s="324"/>
    </row>
    <row r="68" spans="1:78" ht="14.4" x14ac:dyDescent="0.3">
      <c r="A68" s="1">
        <f>IF(ISBLANK(TAB_CS[[#This Row],[Reference]]),"",INDEX(TAB_Offres[ID],MATCH(TAB_CS[[#This Row],[Reference]],TAB_Offres[Reference],0)))</f>
        <v>65</v>
      </c>
      <c r="B68" s="26" t="s">
        <v>588</v>
      </c>
      <c r="C68" s="150" t="s">
        <v>5660</v>
      </c>
      <c r="D68" s="1" t="str">
        <f>IF(ISBLANK(TAB_CS[[#This Row],[Reference]]),"",VLOOKUP(TAB_CS[[#This Row],[ID]],TAB_Offres[],2,FALSE))</f>
        <v>Lot 2</v>
      </c>
      <c r="E68" s="1" t="s">
        <v>5920</v>
      </c>
      <c r="F68" s="26" t="str">
        <f>_xlfn.IFNA(IF(ISBLANK(TAB_CS[[#This Row],[Reference]]),"",VLOOKUP(TAB_CS[[#This Row],[Reference]],TAB_Offres[[Reference]:[Modification Request]],COLUMNS(TAB_Offres[[Reference]:[Modification Request]]),FALSE)),)</f>
        <v>DIGITTMII-004504-6000053863-REQ-01</v>
      </c>
      <c r="G68" s="150" t="str">
        <f>IF(ISBLANK(TAB_CS[[#This Row],[Reference]]),"",INDEX(TAB_Offres[Institution/agency],MATCH(TAB_CS[[#This Row],[Reference]],TAB_Offres[Reference],0)))</f>
        <v>EC</v>
      </c>
      <c r="H68" s="150" t="str">
        <f>IF(ISBLANK(TAB_CS[[#This Row],[Reference]]),"",INDEX(TAB_Offres[DG],MATCH(TAB_CS[[#This Row],[Reference]],TAB_Offres[Reference],0)))</f>
        <v>DIGIT.A.5</v>
      </c>
      <c r="I68" t="str">
        <f>IF(ISBLANK(TAB_CS[[#This Row],[Reference]]),"",INDEX(TAB_Offres[Offer description],MATCH(TAB_CS[[#This Row],[Reference]],TAB_Offres[Reference],0)))</f>
        <v>Replacement ADESANYA with Diana LEFTER</v>
      </c>
      <c r="J68" s="155">
        <f>_xlfn.IFNA(IF(ISBLANK(TAB_CS[[#This Row],[Ressource]]),,VLOOKUP(TAB_CS[[#This Row],[Reference]],TAB_Offres[[Reference]:[CS signature date]],COLUMNS(TAB_Offres[[Reference]:[CS signature date]]),FALSE)),"")</f>
        <v>45076</v>
      </c>
      <c r="K68" s="155">
        <f>_xlfn.IFNA(IF(ISBLANK(TAB_CS[[#This Row],[Ressource]]),,VLOOKUP(TAB_CS[[#This Row],[Reference]],TAB_Offres[[Reference]:[CS start date]],COLUMNS(TAB_Offres[[Reference]:[CS start date]]),FALSE)),"")</f>
        <v>45078</v>
      </c>
      <c r="L68" s="155">
        <f>_xlfn.IFNA(IF(ISBLANK(TAB_CS[[#This Row],[Ressource]]),,VLOOKUP(TAB_CS[[#This Row],[Reference]],TAB_Offres[[Reference]:[CS end date]],COLUMNS(TAB_Offres[[Reference]:[CS end date]]),FALSE)),"")</f>
        <v>45199</v>
      </c>
      <c r="M68" s="1" t="str">
        <f>_xlfn.IFNA(IF(ISBLANK(TAB_CS[[#This Row],[Ressource]]),,VLOOKUP(TAB_CS[[#This Row],[Reference]],TAB_Offres[[Reference]:[CS State]],COLUMNS(TAB_Offres[[Reference]:[CS State]]),FALSE)),"")</f>
        <v>START</v>
      </c>
      <c r="N68" s="26" t="str">
        <f>VLOOKUP(TAB_CS[[#This Row],[Reference]],TAB_Offres[[Reference]:[Ressource 1]],25,FALSE)</f>
        <v>LEFTER, Diana</v>
      </c>
      <c r="O68" s="1" t="str">
        <f>_xlfn.IFNA(IF(ISBLANK(TAB_CS[[#This Row],[Ressource]]),,VLOOKUP(TAB_CS[[#This Row],[Reference]],TAB_Offres[[Reference]:[Company]],COLUMNS(TAB_Offres[[Reference]:[Company]]),FALSE)),"")</f>
        <v>EDDA</v>
      </c>
      <c r="P68" s="1" t="str">
        <f>_xlfn.CONCAT(TAB_CS[[#This Row],[Ressource]],TAB_CS[[#This Row],[Profile in €]])</f>
        <v>LEFTER, Diana704,46</v>
      </c>
      <c r="Q68" s="1" t="str">
        <f>_xlfn.CONCAT(TAB_CS[[#This Row],[Company]],TAB_CS[[#This Row],[Business perimeter]])</f>
        <v>EDDANB</v>
      </c>
      <c r="R68" s="1" t="str">
        <f>_xlfn.IFNA(IF(ISBLANK(TAB_CS[[#This Row],[Ressource]]),"",VLOOKUP(TAB_CS[[#This Row],[Reference]],TAB_Offres[[Reference]:[Profile]],COLUMNS(TAB_Offres[[Reference]:[Profile]]),FALSE)),"")</f>
        <v>Project Manager</v>
      </c>
      <c r="S68" s="150">
        <f>_xlfn.IFNA(IF(ISBLANK(TAB_CS[[#This Row],[Ressource]]),"",VLOOKUP(TAB_CS[[#This Row],[Reference]],TAB_Offres[[Reference]:[Level]],COLUMNS(TAB_Offres[[Reference]:[Level]]),FALSE)),"")</f>
        <v>8</v>
      </c>
      <c r="T68" s="127">
        <f>_xlfn.IFNA(IF(OR(ISBLANK(TAB_CS[[#This Row],[Level]]),TAB_CS[[#This Row],[Level]]=""),,VLOOKUP(TAB_CS[[#This Row],[Profile]],TAB_prix[],2+TAB_CS[[#This Row],[Level]],FALSE)),)</f>
        <v>704.46</v>
      </c>
      <c r="U68" s="13">
        <v>130</v>
      </c>
      <c r="V68" s="189">
        <f>IF(OR(ISBLANK(TAB_CS[[#This Row],[Commited days]]),TAB_CS[[#This Row],[Commited days]]=0),,TAB_CS[[#This Row],[Commited days]]*TAB_CS[[#This Row],[Profile in €]])</f>
        <v>91579.8</v>
      </c>
      <c r="W68" s="127">
        <f>SUM(TAB_CS[[#This Row],[F]:[P+1]])-TAB_CS[[#This Row],[P+1]]</f>
        <v>75</v>
      </c>
      <c r="X68" s="189">
        <f>IF(OR(ISBLANK(TAB_CS[[#This Row],[Producted days]]),TAB_CS[[#This Row],[Producted days]]=0),,TAB_CS[[#This Row],[Producted days]]*TAB_CS[[#This Row],[Profile in €]])</f>
        <v>52834.5</v>
      </c>
      <c r="Y68" s="188">
        <f>TAB_CS[[#This Row],[Commited days]]-TAB_CS[[#This Row],[Producted days]]</f>
        <v>55</v>
      </c>
      <c r="Z68" s="189">
        <f>IF(OR(ISBLANK(TAB_CS[[#This Row],[Remaining days]]),TAB_CS[[#This Row],[Remaining days]]=0),,TAB_CS[[#This Row],[Remaining days]]*TAB_CS[[#This Row],[Profile in €]])</f>
        <v>38745.300000000003</v>
      </c>
      <c r="AA68" s="187">
        <f>SUM(TAB_CS[[#This Row],[P+1]:[FP]])</f>
        <v>0</v>
      </c>
      <c r="AB68" s="10">
        <f>IF(OR(ISBLANK(TAB_CS[[#This Row],[Expected days]]),TAB_CS[[#This Row],[Expected days]]=0),,TAB_CS[[#This Row],[Expected days]]*TAB_CS[[#This Row],[Profile in €]])</f>
        <v>0</v>
      </c>
      <c r="AC68" s="14" t="str">
        <f>CONCATENATE(TAB_CS[[#This Row],[DG]],TAB_CS[[#This Row],[Company]])</f>
        <v>DIGIT.A.5EDDA</v>
      </c>
      <c r="AD68" s="144"/>
      <c r="AE68" s="150"/>
      <c r="AF68" s="151"/>
      <c r="AG68" s="151"/>
      <c r="AH68" s="151"/>
      <c r="AI68" s="150"/>
      <c r="AJ68" s="151"/>
      <c r="AK68" s="156"/>
      <c r="AL68" s="156"/>
      <c r="AM68" s="150"/>
      <c r="AN68" s="150"/>
      <c r="AO68" s="150"/>
      <c r="AP68" s="150"/>
      <c r="AQ68" s="150"/>
      <c r="AR68" s="150"/>
      <c r="AS68" s="351">
        <v>7</v>
      </c>
      <c r="AT68" s="351">
        <v>20</v>
      </c>
      <c r="AU68" s="351">
        <v>19</v>
      </c>
      <c r="AV68" s="352">
        <v>19.5</v>
      </c>
      <c r="AW68" s="352">
        <v>9.5</v>
      </c>
      <c r="AX68" s="644"/>
      <c r="AY68" s="644"/>
      <c r="AZ68" s="644"/>
      <c r="BA68" s="644"/>
      <c r="BB68" s="644"/>
      <c r="BC68" s="644"/>
      <c r="BD68" s="644"/>
      <c r="BE68" s="644"/>
      <c r="BF68" s="644"/>
      <c r="BG68" s="644"/>
      <c r="BH68" s="644"/>
      <c r="BI68" s="173"/>
      <c r="BJ68" s="644"/>
      <c r="BK68" s="644"/>
      <c r="BL68" s="644"/>
      <c r="BM68" s="173"/>
      <c r="BN68" s="644"/>
      <c r="BO68" s="644"/>
      <c r="BP68" s="644"/>
      <c r="BQ68" s="644"/>
      <c r="BR68" s="644"/>
      <c r="BS68" s="644"/>
      <c r="BT68" s="644"/>
      <c r="BU68" s="644"/>
      <c r="BV68" s="644"/>
      <c r="BW68" s="644"/>
      <c r="BX68" s="644"/>
      <c r="BY68" s="644"/>
      <c r="BZ68" s="224"/>
    </row>
    <row r="69" spans="1:78" s="4" customFormat="1" ht="14.4" x14ac:dyDescent="0.3">
      <c r="A69" s="150">
        <f>IF(ISBLANK(TAB_CS[[#This Row],[Reference]]),"",INDEX(TAB_Offres[ID],MATCH(TAB_CS[[#This Row],[Reference]],TAB_Offres[Reference],0)))</f>
        <v>66</v>
      </c>
      <c r="B69" s="154" t="s">
        <v>5435</v>
      </c>
      <c r="C69" s="150" t="s">
        <v>5661</v>
      </c>
      <c r="D69" s="150" t="str">
        <f>IF(ISBLANK(TAB_CS[[#This Row],[Reference]]),"",VLOOKUP(TAB_CS[[#This Row],[ID]],TAB_Offres[],2,FALSE))</f>
        <v>Lot 1</v>
      </c>
      <c r="E69" s="150" t="s">
        <v>5920</v>
      </c>
      <c r="F69" s="154">
        <f>_xlfn.IFNA(IF(ISBLANK(TAB_CS[[#This Row],[Reference]]),"",VLOOKUP(TAB_CS[[#This Row],[Reference]],TAB_Offres[[Reference]:[Modification Request]],COLUMNS(TAB_Offres[[Reference]:[Modification Request]]),FALSE)),)</f>
        <v>0</v>
      </c>
      <c r="G69" s="150" t="str">
        <f>IF(ISBLANK(TAB_CS[[#This Row],[Reference]]),"",INDEX(TAB_Offres[Institution/agency],MATCH(TAB_CS[[#This Row],[Reference]],TAB_Offres[Reference],0)))</f>
        <v>EC</v>
      </c>
      <c r="H69" s="150" t="str">
        <f>IF(ISBLANK(TAB_CS[[#This Row],[Reference]]),"",INDEX(TAB_Offres[DG],MATCH(TAB_CS[[#This Row],[Reference]],TAB_Offres[Reference],0)))</f>
        <v>SANTE</v>
      </c>
      <c r="I69" t="str">
        <f>IF(ISBLANK(TAB_CS[[#This Row],[Reference]]),"",INDEX(TAB_Offres[Offer description],MATCH(TAB_CS[[#This Row],[Reference]],TAB_Offres[Reference],0)))</f>
        <v>BACK-END DEVELOPER level 7-10 with expertise in digital distributed infrastructures</v>
      </c>
      <c r="J69" s="155">
        <f>_xlfn.IFNA(IF(ISBLANK(TAB_CS[[#This Row],[Ressource]]),,VLOOKUP(TAB_CS[[#This Row],[Reference]],TAB_Offres[[Reference]:[CS signature date]],COLUMNS(TAB_Offres[[Reference]:[CS signature date]]),FALSE)),"")</f>
        <v>45140</v>
      </c>
      <c r="K69" s="155">
        <f>_xlfn.IFNA(IF(ISBLANK(TAB_CS[[#This Row],[Ressource]]),,VLOOKUP(TAB_CS[[#This Row],[Reference]],TAB_Offres[[Reference]:[CS start date]],COLUMNS(TAB_Offres[[Reference]:[CS start date]]),FALSE)),"")</f>
        <v>45141</v>
      </c>
      <c r="L69" s="155">
        <f>_xlfn.IFNA(IF(ISBLANK(TAB_CS[[#This Row],[Ressource]]),,VLOOKUP(TAB_CS[[#This Row],[Reference]],TAB_Offres[[Reference]:[CS end date]],COLUMNS(TAB_Offres[[Reference]:[CS end date]]),FALSE)),"")</f>
        <v>45565</v>
      </c>
      <c r="M69" s="1" t="str">
        <f>_xlfn.IFNA(IF(ISBLANK(TAB_CS[[#This Row],[Ressource]]),,VLOOKUP(TAB_CS[[#This Row],[Reference]],TAB_Offres[[Reference]:[CS State]],COLUMNS(TAB_Offres[[Reference]:[CS State]]),FALSE)),"")</f>
        <v>START</v>
      </c>
      <c r="N69" s="154" t="str">
        <f>VLOOKUP(TAB_CS[[#This Row],[Reference]],TAB_Offres[[Reference]:[Ressource 1]],25,FALSE)</f>
        <v>CHOUAIECH, Mohamed</v>
      </c>
      <c r="O69" s="150" t="str">
        <f>_xlfn.IFNA(IF(ISBLANK(TAB_CS[[#This Row],[Ressource]]),,VLOOKUP(TAB_CS[[#This Row],[Reference]],TAB_Offres[[Reference]:[Company]],COLUMNS(TAB_Offres[[Reference]:[Company]]),FALSE)),"")</f>
        <v>EDDA</v>
      </c>
      <c r="P69" s="1" t="str">
        <f>_xlfn.CONCAT(TAB_CS[[#This Row],[Ressource]],TAB_CS[[#This Row],[Profile in €]])</f>
        <v>CHOUAIECH, Mohamed615,89</v>
      </c>
      <c r="Q69" s="1" t="str">
        <f>_xlfn.CONCAT(TAB_CS[[#This Row],[Company]],TAB_CS[[#This Row],[Business perimeter]])</f>
        <v>EDDANB</v>
      </c>
      <c r="R69" s="150" t="str">
        <f>_xlfn.IFNA(IF(ISBLANK(TAB_CS[[#This Row],[Ressource]]),"",VLOOKUP(TAB_CS[[#This Row],[Reference]],TAB_Offres[[Reference]:[Profile]],COLUMNS(TAB_Offres[[Reference]:[Profile]]),FALSE)),"")</f>
        <v>Back-end developer</v>
      </c>
      <c r="S69" s="150">
        <f>_xlfn.IFNA(IF(ISBLANK(TAB_CS[[#This Row],[Ressource]]),"",VLOOKUP(TAB_CS[[#This Row],[Reference]],TAB_Offres[[Reference]:[Level]],COLUMNS(TAB_Offres[[Reference]:[Level]]),FALSE)),"")</f>
        <v>9</v>
      </c>
      <c r="T69" s="156">
        <f>_xlfn.IFNA(IF(OR(ISBLANK(TAB_CS[[#This Row],[Level]]),TAB_CS[[#This Row],[Level]]=""),,VLOOKUP(TAB_CS[[#This Row],[Profile]],TAB_prix[],2+TAB_CS[[#This Row],[Level]],FALSE)),)</f>
        <v>615.89</v>
      </c>
      <c r="U69" s="151">
        <v>220</v>
      </c>
      <c r="V69" s="205">
        <f>IF(OR(ISBLANK(TAB_CS[[#This Row],[Commited days]]),TAB_CS[[#This Row],[Commited days]]=0),,TAB_CS[[#This Row],[Commited days]]*TAB_CS[[#This Row],[Profile in €]])</f>
        <v>135495.79999999999</v>
      </c>
      <c r="W69" s="156">
        <f>SUM(TAB_CS[[#This Row],[F]:[P+1]])-TAB_CS[[#This Row],[P+1]]</f>
        <v>220</v>
      </c>
      <c r="X69" s="205">
        <f>IF(OR(ISBLANK(TAB_CS[[#This Row],[Producted days]]),TAB_CS[[#This Row],[Producted days]]=0),,TAB_CS[[#This Row],[Producted days]]*TAB_CS[[#This Row],[Profile in €]])</f>
        <v>135495.79999999999</v>
      </c>
      <c r="Y69" s="206">
        <f>TAB_CS[[#This Row],[Commited days]]-TAB_CS[[#This Row],[Producted days]]</f>
        <v>0</v>
      </c>
      <c r="Z69" s="205">
        <f>IF(OR(ISBLANK(TAB_CS[[#This Row],[Remaining days]]),TAB_CS[[#This Row],[Remaining days]]=0),,TAB_CS[[#This Row],[Remaining days]]*TAB_CS[[#This Row],[Profile in €]])</f>
        <v>0</v>
      </c>
      <c r="AA69" s="207">
        <f>SUM(TAB_CS[[#This Row],[P+1]:[FP]])</f>
        <v>0</v>
      </c>
      <c r="AB69" s="208">
        <f>IF(OR(ISBLANK(TAB_CS[[#This Row],[Expected days]]),TAB_CS[[#This Row],[Expected days]]=0),,TAB_CS[[#This Row],[Expected days]]*TAB_CS[[#This Row],[Profile in €]])</f>
        <v>0</v>
      </c>
      <c r="AC69" s="14" t="str">
        <f>CONCATENATE(TAB_CS[[#This Row],[DG]],TAB_CS[[#This Row],[Company]])</f>
        <v>SANTEEDDA</v>
      </c>
      <c r="AD69" s="144"/>
      <c r="AE69" s="150"/>
      <c r="AF69" s="151"/>
      <c r="AG69" s="151"/>
      <c r="AH69" s="151"/>
      <c r="AI69" s="150"/>
      <c r="AJ69" s="151"/>
      <c r="AK69" s="156"/>
      <c r="AL69" s="156"/>
      <c r="AM69" s="150"/>
      <c r="AN69" s="150"/>
      <c r="AO69" s="150"/>
      <c r="AP69" s="150"/>
      <c r="AQ69" s="150"/>
      <c r="AR69" s="150"/>
      <c r="AS69" s="150"/>
      <c r="AT69" s="156"/>
      <c r="AU69" s="351">
        <v>18</v>
      </c>
      <c r="AV69" s="352">
        <v>21</v>
      </c>
      <c r="AW69" s="352">
        <v>22</v>
      </c>
      <c r="AX69" s="352">
        <v>21</v>
      </c>
      <c r="AY69" s="352">
        <v>18</v>
      </c>
      <c r="AZ69" s="352">
        <v>21</v>
      </c>
      <c r="BA69" s="352">
        <v>21</v>
      </c>
      <c r="BB69" s="352">
        <v>19</v>
      </c>
      <c r="BC69" s="352">
        <v>21</v>
      </c>
      <c r="BD69" s="352">
        <v>19</v>
      </c>
      <c r="BE69" s="352">
        <v>19</v>
      </c>
      <c r="BF69" s="644"/>
      <c r="BG69" s="644"/>
      <c r="BH69" s="644"/>
      <c r="BI69" s="350"/>
      <c r="BJ69" s="644"/>
      <c r="BK69" s="644"/>
      <c r="BL69" s="644"/>
      <c r="BM69" s="350"/>
      <c r="BN69" s="644"/>
      <c r="BO69" s="644"/>
      <c r="BP69" s="644"/>
      <c r="BQ69" s="644"/>
      <c r="BR69" s="644"/>
      <c r="BS69" s="644"/>
      <c r="BT69" s="644"/>
      <c r="BU69" s="644"/>
      <c r="BV69" s="644"/>
      <c r="BW69" s="644"/>
      <c r="BX69" s="644"/>
      <c r="BY69" s="644"/>
      <c r="BZ69" s="541"/>
    </row>
    <row r="70" spans="1:78" s="4" customFormat="1" ht="14.4" x14ac:dyDescent="0.3">
      <c r="A70" s="150">
        <f>IF(ISBLANK(TAB_CS[[#This Row],[Reference]]),"",INDEX(TAB_Offres[ID],MATCH(TAB_CS[[#This Row],[Reference]],TAB_Offres[Reference],0)))</f>
        <v>67</v>
      </c>
      <c r="B70" s="154" t="s">
        <v>5366</v>
      </c>
      <c r="C70" s="150" t="s">
        <v>5662</v>
      </c>
      <c r="D70" s="150" t="str">
        <f>IF(ISBLANK(TAB_CS[[#This Row],[Reference]]),"",VLOOKUP(TAB_CS[[#This Row],[ID]],TAB_Offres[],2,FALSE))</f>
        <v>Lot 3</v>
      </c>
      <c r="E70" s="150" t="s">
        <v>5920</v>
      </c>
      <c r="F70" s="154">
        <f>_xlfn.IFNA(IF(ISBLANK(TAB_CS[[#This Row],[Reference]]),"",VLOOKUP(TAB_CS[[#This Row],[Reference]],TAB_Offres[[Reference]:[Modification Request]],COLUMNS(TAB_Offres[[Reference]:[Modification Request]]),FALSE)),)</f>
        <v>0</v>
      </c>
      <c r="G70" s="150" t="str">
        <f>IF(ISBLANK(TAB_CS[[#This Row],[Reference]]),"",INDEX(TAB_Offres[Institution/agency],MATCH(TAB_CS[[#This Row],[Reference]],TAB_Offres[Reference],0)))</f>
        <v>EC</v>
      </c>
      <c r="H70" s="150" t="str">
        <f>IF(ISBLANK(TAB_CS[[#This Row],[Reference]]),"",INDEX(TAB_Offres[DG],MATCH(TAB_CS[[#This Row],[Reference]],TAB_Offres[Reference],0)))</f>
        <v>RTD</v>
      </c>
      <c r="I70" t="str">
        <f>IF(ISBLANK(TAB_CS[[#This Row],[Reference]]),"",INDEX(TAB_Offres[Offer description],MATCH(TAB_CS[[#This Row],[Reference]],TAB_Offres[Reference],0)))</f>
        <v>IT Services for Security System</v>
      </c>
      <c r="J70" s="155">
        <f>_xlfn.IFNA(IF(ISBLANK(TAB_CS[[#This Row],[Ressource]]),,VLOOKUP(TAB_CS[[#This Row],[Reference]],TAB_Offres[[Reference]:[CS signature date]],COLUMNS(TAB_Offres[[Reference]:[CS signature date]]),FALSE)),"")</f>
        <v>45092</v>
      </c>
      <c r="K70" s="155">
        <f>_xlfn.IFNA(IF(ISBLANK(TAB_CS[[#This Row],[Ressource]]),,VLOOKUP(TAB_CS[[#This Row],[Reference]],TAB_Offres[[Reference]:[CS start date]],COLUMNS(TAB_Offres[[Reference]:[CS start date]]),FALSE)),"")</f>
        <v>45194</v>
      </c>
      <c r="L70" s="155">
        <f>_xlfn.IFNA(IF(ISBLANK(TAB_CS[[#This Row],[Ressource]]),,VLOOKUP(TAB_CS[[#This Row],[Reference]],TAB_Offres[[Reference]:[CS end date]],COLUMNS(TAB_Offres[[Reference]:[CS end date]]),FALSE)),"")</f>
        <v>45596</v>
      </c>
      <c r="M70" s="1" t="str">
        <f>_xlfn.IFNA(IF(ISBLANK(TAB_CS[[#This Row],[Ressource]]),,VLOOKUP(TAB_CS[[#This Row],[Reference]],TAB_Offres[[Reference]:[CS State]],COLUMNS(TAB_Offres[[Reference]:[CS State]]),FALSE)),"")</f>
        <v>PENDING</v>
      </c>
      <c r="N70" s="154" t="str">
        <f>VLOOKUP(TAB_CS[[#This Row],[Reference]],TAB_Offres[[Reference]:[Ressource 1]],25,FALSE)</f>
        <v>KIRIMLIDOU, Dimoula</v>
      </c>
      <c r="O70" s="150" t="str">
        <f>_xlfn.IFNA(IF(ISBLANK(TAB_CS[[#This Row],[Ressource]]),,VLOOKUP(TAB_CS[[#This Row],[Reference]],TAB_Offres[[Reference]:[Company]],COLUMNS(TAB_Offres[[Reference]:[Company]]),FALSE)),"")</f>
        <v>EDDA</v>
      </c>
      <c r="P70" s="1" t="str">
        <f>_xlfn.CONCAT(TAB_CS[[#This Row],[Ressource]],TAB_CS[[#This Row],[Profile in €]])</f>
        <v>KIRIMLIDOU, Dimoula469,07</v>
      </c>
      <c r="Q70" s="1" t="str">
        <f>_xlfn.CONCAT(TAB_CS[[#This Row],[Company]],TAB_CS[[#This Row],[Business perimeter]])</f>
        <v>EDDANB</v>
      </c>
      <c r="R70" s="150" t="str">
        <f>_xlfn.IFNA(IF(ISBLANK(TAB_CS[[#This Row],[Ressource]]),"",VLOOKUP(TAB_CS[[#This Row],[Reference]],TAB_Offres[[Reference]:[Profile]],COLUMNS(TAB_Offres[[Reference]:[Profile]]),FALSE)),"")</f>
        <v>Enterprise architect-FAR</v>
      </c>
      <c r="S70" s="150">
        <f>_xlfn.IFNA(IF(ISBLANK(TAB_CS[[#This Row],[Ressource]]),"",VLOOKUP(TAB_CS[[#This Row],[Reference]],TAB_Offres[[Reference]:[Level]],COLUMNS(TAB_Offres[[Reference]:[Level]]),FALSE)),"")</f>
        <v>8</v>
      </c>
      <c r="T70" s="357">
        <v>469.07</v>
      </c>
      <c r="U70" s="151">
        <v>180</v>
      </c>
      <c r="V70" s="205">
        <f>IF(OR(ISBLANK(TAB_CS[[#This Row],[Commited days]]),TAB_CS[[#This Row],[Commited days]]=0),,TAB_CS[[#This Row],[Commited days]]*TAB_CS[[#This Row],[Profile in €]])</f>
        <v>84432.6</v>
      </c>
      <c r="W70" s="156">
        <f>SUM(TAB_CS[[#This Row],[F]:[P+1]])-TAB_CS[[#This Row],[P+1]]</f>
        <v>180</v>
      </c>
      <c r="X70" s="205">
        <f>IF(OR(ISBLANK(TAB_CS[[#This Row],[Producted days]]),TAB_CS[[#This Row],[Producted days]]=0),,TAB_CS[[#This Row],[Producted days]]*TAB_CS[[#This Row],[Profile in €]])</f>
        <v>84432.6</v>
      </c>
      <c r="Y70" s="206">
        <f>TAB_CS[[#This Row],[Commited days]]-TAB_CS[[#This Row],[Producted days]]</f>
        <v>0</v>
      </c>
      <c r="Z70" s="205">
        <f>IF(OR(ISBLANK(TAB_CS[[#This Row],[Remaining days]]),TAB_CS[[#This Row],[Remaining days]]=0),,TAB_CS[[#This Row],[Remaining days]]*TAB_CS[[#This Row],[Profile in €]])</f>
        <v>0</v>
      </c>
      <c r="AA70" s="207">
        <f>SUM(TAB_CS[[#This Row],[P+1]:[FP]])</f>
        <v>0</v>
      </c>
      <c r="AB70" s="208">
        <f>IF(OR(ISBLANK(TAB_CS[[#This Row],[Expected days]]),TAB_CS[[#This Row],[Expected days]]=0),,TAB_CS[[#This Row],[Expected days]]*TAB_CS[[#This Row],[Profile in €]])</f>
        <v>0</v>
      </c>
      <c r="AC70" s="14" t="str">
        <f>CONCATENATE(TAB_CS[[#This Row],[DG]],TAB_CS[[#This Row],[Company]])</f>
        <v>RTDEDDA</v>
      </c>
      <c r="AD70" s="144"/>
      <c r="AE70" s="150"/>
      <c r="AF70" s="151"/>
      <c r="AG70" s="151"/>
      <c r="AH70" s="151"/>
      <c r="AI70" s="150"/>
      <c r="AJ70" s="151"/>
      <c r="AK70" s="156"/>
      <c r="AL70" s="156"/>
      <c r="AM70" s="150"/>
      <c r="AN70" s="150"/>
      <c r="AO70" s="150"/>
      <c r="AP70" s="150"/>
      <c r="AQ70" s="150"/>
      <c r="AR70" s="150"/>
      <c r="AS70" s="150"/>
      <c r="AT70" s="156"/>
      <c r="AU70" s="156"/>
      <c r="AV70" s="352">
        <v>5</v>
      </c>
      <c r="AW70" s="352">
        <v>22</v>
      </c>
      <c r="AX70" s="352">
        <v>19.5</v>
      </c>
      <c r="AY70" s="352">
        <v>15.5</v>
      </c>
      <c r="AZ70" s="352">
        <v>18</v>
      </c>
      <c r="BA70" s="352">
        <v>21</v>
      </c>
      <c r="BB70" s="352">
        <v>18.5</v>
      </c>
      <c r="BC70" s="352">
        <v>20.5</v>
      </c>
      <c r="BD70" s="352">
        <v>16</v>
      </c>
      <c r="BE70" s="352">
        <v>16.5</v>
      </c>
      <c r="BF70" s="352">
        <v>7.5</v>
      </c>
      <c r="BG70" s="644"/>
      <c r="BH70" s="644"/>
      <c r="BI70" s="350"/>
      <c r="BJ70" s="644"/>
      <c r="BK70" s="644"/>
      <c r="BL70" s="644"/>
      <c r="BM70" s="350"/>
      <c r="BN70" s="644"/>
      <c r="BO70" s="644"/>
      <c r="BP70" s="644"/>
      <c r="BQ70" s="644"/>
      <c r="BR70" s="644"/>
      <c r="BS70" s="644"/>
      <c r="BT70" s="644"/>
      <c r="BU70" s="644"/>
      <c r="BV70" s="644"/>
      <c r="BW70" s="644"/>
      <c r="BX70" s="644"/>
      <c r="BY70" s="644"/>
      <c r="BZ70" s="324"/>
    </row>
    <row r="71" spans="1:78" s="4" customFormat="1" ht="14.4" x14ac:dyDescent="0.3">
      <c r="A71" s="150">
        <f>IF(ISBLANK(TAB_CS[[#This Row],[Reference]]),"",INDEX(TAB_Offres[ID],MATCH(TAB_CS[[#This Row],[Reference]],TAB_Offres[Reference],0)))</f>
        <v>68</v>
      </c>
      <c r="B71" s="154" t="s">
        <v>5368</v>
      </c>
      <c r="C71" s="150" t="s">
        <v>5663</v>
      </c>
      <c r="D71" s="150" t="str">
        <f>IF(ISBLANK(TAB_CS[[#This Row],[Reference]]),"",VLOOKUP(TAB_CS[[#This Row],[ID]],TAB_Offres[],2,FALSE))</f>
        <v>Lot 1</v>
      </c>
      <c r="E71" s="150" t="s">
        <v>5920</v>
      </c>
      <c r="F71" s="154">
        <f>_xlfn.IFNA(IF(ISBLANK(TAB_CS[[#This Row],[Reference]]),"",VLOOKUP(TAB_CS[[#This Row],[Reference]],TAB_Offres[[Reference]:[Modification Request]],COLUMNS(TAB_Offres[[Reference]:[Modification Request]]),FALSE)),)</f>
        <v>0</v>
      </c>
      <c r="G71" s="150" t="str">
        <f>IF(ISBLANK(TAB_CS[[#This Row],[Reference]]),"",INDEX(TAB_Offres[Institution/agency],MATCH(TAB_CS[[#This Row],[Reference]],TAB_Offres[Reference],0)))</f>
        <v>EC</v>
      </c>
      <c r="H71" s="150" t="str">
        <f>IF(ISBLANK(TAB_CS[[#This Row],[Reference]]),"",INDEX(TAB_Offres[DG],MATCH(TAB_CS[[#This Row],[Reference]],TAB_Offres[Reference],0)))</f>
        <v>RTD</v>
      </c>
      <c r="I71" t="str">
        <f>IF(ISBLANK(TAB_CS[[#This Row],[Reference]]),"",INDEX(TAB_Offres[Offer description],MATCH(TAB_CS[[#This Row],[Reference]],TAB_Offres[Reference],0)))</f>
        <v>IT Architecture, Operations and Common Components</v>
      </c>
      <c r="J71" s="155">
        <f>_xlfn.IFNA(IF(ISBLANK(TAB_CS[[#This Row],[Ressource]]),,VLOOKUP(TAB_CS[[#This Row],[Reference]],TAB_Offres[[Reference]:[CS signature date]],COLUMNS(TAB_Offres[[Reference]:[CS signature date]]),FALSE)),"")</f>
        <v>0</v>
      </c>
      <c r="K71" s="155">
        <f>_xlfn.IFNA(IF(ISBLANK(TAB_CS[[#This Row],[Ressource]]),,VLOOKUP(TAB_CS[[#This Row],[Reference]],TAB_Offres[[Reference]:[CS start date]],COLUMNS(TAB_Offres[[Reference]:[CS start date]]),FALSE)),"")</f>
        <v>0</v>
      </c>
      <c r="L71" s="155">
        <f>_xlfn.IFNA(IF(ISBLANK(TAB_CS[[#This Row],[Ressource]]),,VLOOKUP(TAB_CS[[#This Row],[Reference]],TAB_Offres[[Reference]:[CS end date]],COLUMNS(TAB_Offres[[Reference]:[CS end date]]),FALSE)),"")</f>
        <v>0</v>
      </c>
      <c r="M71" s="1" t="str">
        <f>_xlfn.IFNA(IF(ISBLANK(TAB_CS[[#This Row],[Ressource]]),,VLOOKUP(TAB_CS[[#This Row],[Reference]],TAB_Offres[[Reference]:[CS State]],COLUMNS(TAB_Offres[[Reference]:[CS State]]),FALSE)),"")</f>
        <v>START</v>
      </c>
      <c r="N71" s="154" t="str">
        <f>VLOOKUP(TAB_CS[[#This Row],[Reference]],TAB_Offres[[Reference]:[Ressource 1]],25,FALSE)</f>
        <v>MEJRI, Mohamed</v>
      </c>
      <c r="O71" s="150" t="str">
        <f>_xlfn.IFNA(IF(ISBLANK(TAB_CS[[#This Row],[Ressource]]),,VLOOKUP(TAB_CS[[#This Row],[Reference]],TAB_Offres[[Reference]:[Company]],COLUMNS(TAB_Offres[[Reference]:[Company]]),FALSE)),"")</f>
        <v>EDDA</v>
      </c>
      <c r="P71" s="1" t="str">
        <f>_xlfn.CONCAT(TAB_CS[[#This Row],[Ressource]],TAB_CS[[#This Row],[Profile in €]])</f>
        <v>MEJRI, Mohamed621,39</v>
      </c>
      <c r="Q71" s="1" t="str">
        <f>_xlfn.CONCAT(TAB_CS[[#This Row],[Company]],TAB_CS[[#This Row],[Business perimeter]])</f>
        <v>EDDANB</v>
      </c>
      <c r="R71" s="150" t="str">
        <f>_xlfn.IFNA(IF(ISBLANK(TAB_CS[[#This Row],[Ressource]]),"",VLOOKUP(TAB_CS[[#This Row],[Reference]],TAB_Offres[[Reference]:[Profile]],COLUMNS(TAB_Offres[[Reference]:[Profile]]),FALSE)),"")</f>
        <v>Full-stack developer</v>
      </c>
      <c r="S71" s="150" t="str">
        <f>_xlfn.IFNA(IF(ISBLANK(TAB_CS[[#This Row],[Ressource]]),"",VLOOKUP(TAB_CS[[#This Row],[Reference]],TAB_Offres[[Reference]:[Level]],COLUMNS(TAB_Offres[[Reference]:[Level]]),FALSE)),"")</f>
        <v>9</v>
      </c>
      <c r="T71" s="156">
        <f>_xlfn.IFNA(IF(OR(ISBLANK(TAB_CS[[#This Row],[Level]]),TAB_CS[[#This Row],[Level]]=""),,VLOOKUP(TAB_CS[[#This Row],[Profile]],TAB_prix[],2+TAB_CS[[#This Row],[Level]],FALSE)),)</f>
        <v>621.39</v>
      </c>
      <c r="U71" s="151">
        <v>150</v>
      </c>
      <c r="V71" s="205">
        <f>IF(OR(ISBLANK(TAB_CS[[#This Row],[Commited days]]),TAB_CS[[#This Row],[Commited days]]=0),,TAB_CS[[#This Row],[Commited days]]*TAB_CS[[#This Row],[Profile in €]])</f>
        <v>93208.5</v>
      </c>
      <c r="W71" s="156">
        <f>SUM(TAB_CS[[#This Row],[F]:[P+1]])-TAB_CS[[#This Row],[P+1]]</f>
        <v>150</v>
      </c>
      <c r="X71" s="205">
        <f>IF(OR(ISBLANK(TAB_CS[[#This Row],[Producted days]]),TAB_CS[[#This Row],[Producted days]]=0),,TAB_CS[[#This Row],[Producted days]]*TAB_CS[[#This Row],[Profile in €]])</f>
        <v>93208.5</v>
      </c>
      <c r="Y71" s="206">
        <f>TAB_CS[[#This Row],[Commited days]]-TAB_CS[[#This Row],[Producted days]]</f>
        <v>0</v>
      </c>
      <c r="Z71" s="205">
        <f>IF(OR(ISBLANK(TAB_CS[[#This Row],[Remaining days]]),TAB_CS[[#This Row],[Remaining days]]=0),,TAB_CS[[#This Row],[Remaining days]]*TAB_CS[[#This Row],[Profile in €]])</f>
        <v>0</v>
      </c>
      <c r="AA71" s="207">
        <f>SUM(TAB_CS[[#This Row],[P+1]:[FP]])</f>
        <v>0</v>
      </c>
      <c r="AB71" s="208">
        <f>IF(OR(ISBLANK(TAB_CS[[#This Row],[Expected days]]),TAB_CS[[#This Row],[Expected days]]=0),,TAB_CS[[#This Row],[Expected days]]*TAB_CS[[#This Row],[Profile in €]])</f>
        <v>0</v>
      </c>
      <c r="AC71" s="14" t="str">
        <f>CONCATENATE(TAB_CS[[#This Row],[DG]],TAB_CS[[#This Row],[Company]])</f>
        <v>RTDEDDA</v>
      </c>
      <c r="AD71" s="144"/>
      <c r="AE71" s="150"/>
      <c r="AF71" s="151"/>
      <c r="AG71" s="151"/>
      <c r="AH71" s="151"/>
      <c r="AI71" s="150"/>
      <c r="AJ71" s="151"/>
      <c r="AK71" s="156"/>
      <c r="AL71" s="156"/>
      <c r="AM71" s="150"/>
      <c r="AN71" s="150"/>
      <c r="AO71" s="150"/>
      <c r="AP71" s="150"/>
      <c r="AQ71" s="150"/>
      <c r="AR71" s="150"/>
      <c r="AS71" s="150"/>
      <c r="AT71" s="156"/>
      <c r="AU71" s="156"/>
      <c r="AV71" s="171"/>
      <c r="AW71" s="352">
        <v>13</v>
      </c>
      <c r="AX71" s="352">
        <v>20</v>
      </c>
      <c r="AY71" s="352">
        <v>14</v>
      </c>
      <c r="AZ71" s="352">
        <v>21</v>
      </c>
      <c r="BA71" s="352">
        <v>18</v>
      </c>
      <c r="BB71" s="352">
        <v>19</v>
      </c>
      <c r="BC71" s="352">
        <v>18.5</v>
      </c>
      <c r="BD71" s="352">
        <v>18</v>
      </c>
      <c r="BE71" s="352">
        <v>8.5</v>
      </c>
      <c r="BF71" s="644"/>
      <c r="BG71" s="644"/>
      <c r="BH71" s="644"/>
      <c r="BI71" s="350"/>
      <c r="BJ71" s="644"/>
      <c r="BK71" s="644"/>
      <c r="BL71" s="644"/>
      <c r="BM71" s="350"/>
      <c r="BN71" s="644"/>
      <c r="BO71" s="644"/>
      <c r="BP71" s="644"/>
      <c r="BQ71" s="644"/>
      <c r="BR71" s="644"/>
      <c r="BS71" s="644"/>
      <c r="BT71" s="644"/>
      <c r="BU71" s="644"/>
      <c r="BV71" s="644"/>
      <c r="BW71" s="644"/>
      <c r="BX71" s="644"/>
      <c r="BY71" s="644"/>
      <c r="BZ71" s="324"/>
    </row>
    <row r="72" spans="1:78" ht="14.4" x14ac:dyDescent="0.3">
      <c r="A72" s="1">
        <f>IF(ISBLANK(TAB_CS[[#This Row],[Reference]]),"",INDEX(TAB_Offres[ID],MATCH(TAB_CS[[#This Row],[Reference]],TAB_Offres[Reference],0)))</f>
        <v>69</v>
      </c>
      <c r="B72" s="26" t="s">
        <v>5370</v>
      </c>
      <c r="C72" s="150" t="s">
        <v>5596</v>
      </c>
      <c r="D72" s="1" t="str">
        <f>IF(ISBLANK(TAB_CS[[#This Row],[Reference]]),"",VLOOKUP(TAB_CS[[#This Row],[ID]],TAB_Offres[],2,FALSE))</f>
        <v>Lot 3</v>
      </c>
      <c r="E72" s="150" t="s">
        <v>5920</v>
      </c>
      <c r="F72" s="26">
        <f>_xlfn.IFNA(IF(ISBLANK(TAB_CS[[#This Row],[Reference]]),"",VLOOKUP(TAB_CS[[#This Row],[Reference]],TAB_Offres[[Reference]:[Modification Request]],COLUMNS(TAB_Offres[[Reference]:[Modification Request]]),FALSE)),)</f>
        <v>0</v>
      </c>
      <c r="G72" s="150" t="str">
        <f>IF(ISBLANK(TAB_CS[[#This Row],[Reference]]),"",INDEX(TAB_Offres[Institution/agency],MATCH(TAB_CS[[#This Row],[Reference]],TAB_Offres[Reference],0)))</f>
        <v>EC</v>
      </c>
      <c r="H72" s="150" t="str">
        <f>IF(ISBLANK(TAB_CS[[#This Row],[Reference]]),"",INDEX(TAB_Offres[DG],MATCH(TAB_CS[[#This Row],[Reference]],TAB_Offres[Reference],0)))</f>
        <v>RTD</v>
      </c>
      <c r="I72" t="str">
        <f>IF(ISBLANK(TAB_CS[[#This Row],[Reference]]),"",INDEX(TAB_Offres[Offer description],MATCH(TAB_CS[[#This Row],[Reference]],TAB_Offres[Reference],0)))</f>
        <v>IT Services for e-Grants Management System</v>
      </c>
      <c r="J72" s="155">
        <f>_xlfn.IFNA(IF(ISBLANK(TAB_CS[[#This Row],[Ressource]]),,VLOOKUP(TAB_CS[[#This Row],[Reference]],TAB_Offres[[Reference]:[CS signature date]],COLUMNS(TAB_Offres[[Reference]:[CS signature date]]),FALSE)),"")</f>
        <v>45111</v>
      </c>
      <c r="K72" s="155">
        <f>_xlfn.IFNA(IF(ISBLANK(TAB_CS[[#This Row],[Ressource]]),,VLOOKUP(TAB_CS[[#This Row],[Reference]],TAB_Offres[[Reference]:[CS start date]],COLUMNS(TAB_Offres[[Reference]:[CS start date]]),FALSE)),"")</f>
        <v>45231</v>
      </c>
      <c r="L72" s="155">
        <f>_xlfn.IFNA(IF(ISBLANK(TAB_CS[[#This Row],[Ressource]]),,VLOOKUP(TAB_CS[[#This Row],[Reference]],TAB_Offres[[Reference]:[CS end date]],COLUMNS(TAB_Offres[[Reference]:[CS end date]]),FALSE)),"")</f>
        <v>45596</v>
      </c>
      <c r="M72" s="1" t="str">
        <f>_xlfn.IFNA(IF(ISBLANK(TAB_CS[[#This Row],[Ressource]]),,VLOOKUP(TAB_CS[[#This Row],[Reference]],TAB_Offres[[Reference]:[CS State]],COLUMNS(TAB_Offres[[Reference]:[CS State]]),FALSE)),"")</f>
        <v>PENDING</v>
      </c>
      <c r="N72" s="26" t="str">
        <f>VLOOKUP(TAB_CS[[#This Row],[Reference]],TAB_Offres[[Reference]:[Ressource 1]],25,FALSE)</f>
        <v>CHATTERJEE, Pallavi</v>
      </c>
      <c r="O72" s="1" t="str">
        <f>_xlfn.IFNA(IF(ISBLANK(TAB_CS[[#This Row],[Ressource]]),,VLOOKUP(TAB_CS[[#This Row],[Reference]],TAB_Offres[[Reference]:[Company]],COLUMNS(TAB_Offres[[Reference]:[Company]]),FALSE)),"")</f>
        <v>EDDA</v>
      </c>
      <c r="P72" s="1" t="str">
        <f>_xlfn.CONCAT(TAB_CS[[#This Row],[Ressource]],TAB_CS[[#This Row],[Profile in €]])</f>
        <v>CHATTERJEE, Pallavi561,02</v>
      </c>
      <c r="Q72" s="1" t="str">
        <f>_xlfn.CONCAT(TAB_CS[[#This Row],[Company]],TAB_CS[[#This Row],[Business perimeter]])</f>
        <v>EDDANB</v>
      </c>
      <c r="R72" s="1" t="str">
        <f>_xlfn.IFNA(IF(ISBLANK(TAB_CS[[#This Row],[Ressource]]),"",VLOOKUP(TAB_CS[[#This Row],[Reference]],TAB_Offres[[Reference]:[Profile]],COLUMNS(TAB_Offres[[Reference]:[Profile]]),FALSE)),"")</f>
        <v>Business Intelligence expert</v>
      </c>
      <c r="S72" s="150" t="str">
        <f>_xlfn.IFNA(IF(ISBLANK(TAB_CS[[#This Row],[Ressource]]),"",VLOOKUP(TAB_CS[[#This Row],[Reference]],TAB_Offres[[Reference]:[Level]],COLUMNS(TAB_Offres[[Reference]:[Level]]),FALSE)),"")</f>
        <v>5</v>
      </c>
      <c r="T72" s="127">
        <f>_xlfn.IFNA(IF(OR(ISBLANK(TAB_CS[[#This Row],[Level]]),TAB_CS[[#This Row],[Level]]=""),,VLOOKUP(TAB_CS[[#This Row],[Profile]],TAB_prix[],2+TAB_CS[[#This Row],[Level]],FALSE)),)</f>
        <v>561.02</v>
      </c>
      <c r="U72" s="13">
        <v>120</v>
      </c>
      <c r="V72" s="189">
        <f>IF(OR(ISBLANK(TAB_CS[[#This Row],[Commited days]]),TAB_CS[[#This Row],[Commited days]]=0),,TAB_CS[[#This Row],[Commited days]]*TAB_CS[[#This Row],[Profile in €]])</f>
        <v>67322.399999999994</v>
      </c>
      <c r="W72" s="127">
        <f>SUM(TAB_CS[[#This Row],[F]:[P+1]])-TAB_CS[[#This Row],[P+1]]</f>
        <v>120</v>
      </c>
      <c r="X72" s="189">
        <f>IF(OR(ISBLANK(TAB_CS[[#This Row],[Producted days]]),TAB_CS[[#This Row],[Producted days]]=0),,TAB_CS[[#This Row],[Producted days]]*TAB_CS[[#This Row],[Profile in €]])</f>
        <v>67322.399999999994</v>
      </c>
      <c r="Y72" s="188">
        <f>TAB_CS[[#This Row],[Commited days]]-TAB_CS[[#This Row],[Producted days]]</f>
        <v>0</v>
      </c>
      <c r="Z72" s="189">
        <f>IF(OR(ISBLANK(TAB_CS[[#This Row],[Remaining days]]),TAB_CS[[#This Row],[Remaining days]]=0),,TAB_CS[[#This Row],[Remaining days]]*TAB_CS[[#This Row],[Profile in €]])</f>
        <v>0</v>
      </c>
      <c r="AA72" s="187">
        <f>SUM(TAB_CS[[#This Row],[P+1]:[FP]])</f>
        <v>0</v>
      </c>
      <c r="AB72" s="10">
        <f>IF(OR(ISBLANK(TAB_CS[[#This Row],[Expected days]]),TAB_CS[[#This Row],[Expected days]]=0),,TAB_CS[[#This Row],[Expected days]]*TAB_CS[[#This Row],[Profile in €]])</f>
        <v>0</v>
      </c>
      <c r="AC72" s="14" t="str">
        <f>CONCATENATE(TAB_CS[[#This Row],[DG]],TAB_CS[[#This Row],[Company]])</f>
        <v>RTDEDDA</v>
      </c>
      <c r="AD72" s="144"/>
      <c r="AE72" s="150"/>
      <c r="AF72" s="151"/>
      <c r="AG72" s="151"/>
      <c r="AH72" s="151"/>
      <c r="AI72" s="150"/>
      <c r="AJ72" s="151"/>
      <c r="AK72" s="156"/>
      <c r="AL72" s="156"/>
      <c r="AM72" s="150"/>
      <c r="AN72" s="150"/>
      <c r="AO72" s="150"/>
      <c r="AP72" s="150"/>
      <c r="AQ72" s="150"/>
      <c r="AR72" s="150"/>
      <c r="AS72" s="150"/>
      <c r="AT72" s="156"/>
      <c r="AU72" s="156"/>
      <c r="AV72" s="171"/>
      <c r="AW72" s="171"/>
      <c r="AX72" s="352">
        <v>7.5</v>
      </c>
      <c r="AY72" s="352">
        <v>13.5</v>
      </c>
      <c r="AZ72" s="352">
        <v>20</v>
      </c>
      <c r="BA72" s="352">
        <v>20</v>
      </c>
      <c r="BB72" s="352">
        <v>18.5</v>
      </c>
      <c r="BC72" s="352">
        <v>18</v>
      </c>
      <c r="BD72" s="352">
        <v>19</v>
      </c>
      <c r="BE72" s="352">
        <v>3.5</v>
      </c>
      <c r="BF72" s="644"/>
      <c r="BG72" s="644"/>
      <c r="BH72" s="644"/>
      <c r="BI72" s="173"/>
      <c r="BJ72" s="644"/>
      <c r="BK72" s="644"/>
      <c r="BL72" s="644"/>
      <c r="BM72" s="173"/>
      <c r="BN72" s="644"/>
      <c r="BO72" s="644"/>
      <c r="BP72" s="644"/>
      <c r="BQ72" s="644"/>
      <c r="BR72" s="644"/>
      <c r="BS72" s="644"/>
      <c r="BT72" s="644"/>
      <c r="BU72" s="644"/>
      <c r="BV72" s="644"/>
      <c r="BW72" s="644"/>
      <c r="BX72" s="644"/>
      <c r="BY72" s="644"/>
      <c r="BZ72" s="224"/>
    </row>
    <row r="73" spans="1:78" s="4" customFormat="1" ht="14.4" x14ac:dyDescent="0.3">
      <c r="A73" s="150">
        <f>IF(ISBLANK(TAB_CS[[#This Row],[Reference]]),"",INDEX(TAB_Offres[ID],MATCH(TAB_CS[[#This Row],[Reference]],TAB_Offres[Reference],0)))</f>
        <v>70</v>
      </c>
      <c r="B73" s="154" t="s">
        <v>5373</v>
      </c>
      <c r="C73" s="605" t="s">
        <v>5664</v>
      </c>
      <c r="D73" s="150" t="str">
        <f>IF(ISBLANK(TAB_CS[[#This Row],[Reference]]),"",VLOOKUP(TAB_CS[[#This Row],[ID]],TAB_Offres[],2,FALSE))</f>
        <v>Lot 1</v>
      </c>
      <c r="E73" s="150" t="s">
        <v>5920</v>
      </c>
      <c r="F73" s="154">
        <f>_xlfn.IFNA(IF(ISBLANK(TAB_CS[[#This Row],[Reference]]),"",VLOOKUP(TAB_CS[[#This Row],[Reference]],TAB_Offres[[Reference]:[Modification Request]],COLUMNS(TAB_Offres[[Reference]:[Modification Request]]),FALSE)),)</f>
        <v>0</v>
      </c>
      <c r="G73" s="150" t="str">
        <f>IF(ISBLANK(TAB_CS[[#This Row],[Reference]]),"",INDEX(TAB_Offres[Institution/agency],MATCH(TAB_CS[[#This Row],[Reference]],TAB_Offres[Reference],0)))</f>
        <v>EC</v>
      </c>
      <c r="H73" s="150" t="str">
        <f>IF(ISBLANK(TAB_CS[[#This Row],[Reference]]),"",INDEX(TAB_Offres[DG],MATCH(TAB_CS[[#This Row],[Reference]],TAB_Offres[Reference],0)))</f>
        <v>DIGIT.B.3</v>
      </c>
      <c r="I73" t="str">
        <f>IF(ISBLANK(TAB_CS[[#This Row],[Reference]]),"",INDEX(TAB_Offres[Offer description],MATCH(TAB_CS[[#This Row],[Reference]],TAB_Offres[Reference],0)))</f>
        <v>B3.003 - EULOGIN - ESCRIBANO - Full stack developer Level 4 - Ext.1 of CS 3241</v>
      </c>
      <c r="J73" s="155">
        <f>_xlfn.IFNA(IF(ISBLANK(TAB_CS[[#This Row],[Ressource]]),,VLOOKUP(TAB_CS[[#This Row],[Reference]],TAB_Offres[[Reference]:[CS signature date]],COLUMNS(TAB_Offres[[Reference]:[CS signature date]]),FALSE)),"")</f>
        <v>45111</v>
      </c>
      <c r="K73" s="155">
        <f>_xlfn.IFNA(IF(ISBLANK(TAB_CS[[#This Row],[Ressource]]),,VLOOKUP(TAB_CS[[#This Row],[Reference]],TAB_Offres[[Reference]:[CS start date]],COLUMNS(TAB_Offres[[Reference]:[CS start date]]),FALSE)),"")</f>
        <v>45200</v>
      </c>
      <c r="L73" s="155">
        <f>_xlfn.IFNA(IF(ISBLANK(TAB_CS[[#This Row],[Ressource]]),,VLOOKUP(TAB_CS[[#This Row],[Reference]],TAB_Offres[[Reference]:[CS end date]],COLUMNS(TAB_Offres[[Reference]:[CS end date]]),FALSE)),"")</f>
        <v>45565</v>
      </c>
      <c r="M73" s="1" t="str">
        <f>_xlfn.IFNA(IF(ISBLANK(TAB_CS[[#This Row],[Ressource]]),,VLOOKUP(TAB_CS[[#This Row],[Reference]],TAB_Offres[[Reference]:[CS State]],COLUMNS(TAB_Offres[[Reference]:[CS State]]),FALSE)),"")</f>
        <v>PENDING</v>
      </c>
      <c r="N73" s="154" t="str">
        <f>VLOOKUP(TAB_CS[[#This Row],[Reference]],TAB_Offres[[Reference]:[Ressource 1]],25,FALSE)</f>
        <v>ESCRIBANO, Ruben</v>
      </c>
      <c r="O73" s="150" t="str">
        <f>_xlfn.IFNA(IF(ISBLANK(TAB_CS[[#This Row],[Ressource]]),,VLOOKUP(TAB_CS[[#This Row],[Reference]],TAB_Offres[[Reference]:[Company]],COLUMNS(TAB_Offres[[Reference]:[Company]]),FALSE)),"")</f>
        <v>EDDA</v>
      </c>
      <c r="P73" s="1" t="str">
        <f>_xlfn.CONCAT(TAB_CS[[#This Row],[Ressource]],TAB_CS[[#This Row],[Profile in €]])</f>
        <v>ESCRIBANO, Ruben443,05</v>
      </c>
      <c r="Q73" s="1" t="str">
        <f>_xlfn.CONCAT(TAB_CS[[#This Row],[Company]],TAB_CS[[#This Row],[Business perimeter]])</f>
        <v>EDDANB</v>
      </c>
      <c r="R73" s="150" t="str">
        <f>_xlfn.IFNA(IF(ISBLANK(TAB_CS[[#This Row],[Ressource]]),"",VLOOKUP(TAB_CS[[#This Row],[Reference]],TAB_Offres[[Reference]:[Profile]],COLUMNS(TAB_Offres[[Reference]:[Profile]]),FALSE)),"")</f>
        <v>Full-stack developer</v>
      </c>
      <c r="S73" s="150" t="str">
        <f>_xlfn.IFNA(IF(ISBLANK(TAB_CS[[#This Row],[Ressource]]),"",VLOOKUP(TAB_CS[[#This Row],[Reference]],TAB_Offres[[Reference]:[Level]],COLUMNS(TAB_Offres[[Reference]:[Level]]),FALSE)),"")</f>
        <v>4</v>
      </c>
      <c r="T73" s="156">
        <f>_xlfn.IFNA(IF(OR(ISBLANK(TAB_CS[[#This Row],[Level]]),TAB_CS[[#This Row],[Level]]=""),,VLOOKUP(TAB_CS[[#This Row],[Profile]],TAB_prix[],2+TAB_CS[[#This Row],[Level]],FALSE)),)</f>
        <v>443.05</v>
      </c>
      <c r="U73" s="151">
        <v>150</v>
      </c>
      <c r="V73" s="205">
        <f>IF(OR(ISBLANK(TAB_CS[[#This Row],[Commited days]]),TAB_CS[[#This Row],[Commited days]]=0),,TAB_CS[[#This Row],[Commited days]]*TAB_CS[[#This Row],[Profile in €]])</f>
        <v>66457.5</v>
      </c>
      <c r="W73" s="156">
        <f>SUM(TAB_CS[[#This Row],[F]:[P+1]])-TAB_CS[[#This Row],[P+1]]</f>
        <v>150</v>
      </c>
      <c r="X73" s="205">
        <f>IF(OR(ISBLANK(TAB_CS[[#This Row],[Producted days]]),TAB_CS[[#This Row],[Producted days]]=0),,TAB_CS[[#This Row],[Producted days]]*TAB_CS[[#This Row],[Profile in €]])</f>
        <v>66457.5</v>
      </c>
      <c r="Y73" s="206">
        <f>TAB_CS[[#This Row],[Commited days]]-TAB_CS[[#This Row],[Producted days]]</f>
        <v>0</v>
      </c>
      <c r="Z73" s="205">
        <f>IF(OR(ISBLANK(TAB_CS[[#This Row],[Remaining days]]),TAB_CS[[#This Row],[Remaining days]]=0),,TAB_CS[[#This Row],[Remaining days]]*TAB_CS[[#This Row],[Profile in €]])</f>
        <v>0</v>
      </c>
      <c r="AA73" s="207">
        <f>SUM(TAB_CS[[#This Row],[P+1]:[FP]])</f>
        <v>0</v>
      </c>
      <c r="AB73" s="208">
        <f>IF(OR(ISBLANK(TAB_CS[[#This Row],[Expected days]]),TAB_CS[[#This Row],[Expected days]]=0),,TAB_CS[[#This Row],[Expected days]]*TAB_CS[[#This Row],[Profile in €]])</f>
        <v>0</v>
      </c>
      <c r="AC73" s="14" t="str">
        <f>CONCATENATE(TAB_CS[[#This Row],[DG]],TAB_CS[[#This Row],[Company]])</f>
        <v>DIGIT.B.3EDDA</v>
      </c>
      <c r="AD73" s="144"/>
      <c r="AE73" s="150"/>
      <c r="AF73" s="151"/>
      <c r="AG73" s="151"/>
      <c r="AH73" s="151"/>
      <c r="AI73" s="150"/>
      <c r="AJ73" s="151"/>
      <c r="AK73" s="156"/>
      <c r="AL73" s="156"/>
      <c r="AM73" s="150"/>
      <c r="AN73" s="150"/>
      <c r="AO73" s="150"/>
      <c r="AP73" s="150"/>
      <c r="AQ73" s="150"/>
      <c r="AR73" s="150"/>
      <c r="AS73" s="150"/>
      <c r="AT73" s="156"/>
      <c r="AU73" s="156"/>
      <c r="AV73" s="351">
        <v>0.5</v>
      </c>
      <c r="AW73" s="352">
        <v>21</v>
      </c>
      <c r="AX73" s="352">
        <v>15</v>
      </c>
      <c r="AY73" s="352">
        <v>15</v>
      </c>
      <c r="AZ73" s="352">
        <v>17</v>
      </c>
      <c r="BA73" s="352">
        <v>21</v>
      </c>
      <c r="BB73" s="352">
        <v>18</v>
      </c>
      <c r="BC73" s="352">
        <v>19.5</v>
      </c>
      <c r="BD73" s="352">
        <v>19</v>
      </c>
      <c r="BE73" s="352">
        <v>4</v>
      </c>
      <c r="BF73" s="644"/>
      <c r="BG73" s="644"/>
      <c r="BH73" s="644"/>
      <c r="BI73" s="350"/>
      <c r="BJ73" s="644"/>
      <c r="BK73" s="644"/>
      <c r="BL73" s="644"/>
      <c r="BM73" s="350"/>
      <c r="BN73" s="644"/>
      <c r="BO73" s="644"/>
      <c r="BP73" s="644"/>
      <c r="BQ73" s="644"/>
      <c r="BR73" s="644"/>
      <c r="BS73" s="644"/>
      <c r="BT73" s="644"/>
      <c r="BU73" s="644"/>
      <c r="BV73" s="644"/>
      <c r="BW73" s="644"/>
      <c r="BX73" s="644"/>
      <c r="BY73" s="644"/>
      <c r="BZ73" s="324"/>
    </row>
    <row r="74" spans="1:78" s="4" customFormat="1" ht="14.4" x14ac:dyDescent="0.3">
      <c r="A74" s="150">
        <f>IF(ISBLANK(TAB_CS[[#This Row],[Reference]]),"",INDEX(TAB_Offres[ID],MATCH(TAB_CS[[#This Row],[Reference]],TAB_Offres[Reference],0)))</f>
        <v>71</v>
      </c>
      <c r="B74" s="154" t="s">
        <v>5475</v>
      </c>
      <c r="C74" s="150" t="s">
        <v>5793</v>
      </c>
      <c r="D74" s="150" t="str">
        <f>IF(ISBLANK(TAB_CS[[#This Row],[Reference]]),"",VLOOKUP(TAB_CS[[#This Row],[ID]],TAB_Offres[],2,FALSE))</f>
        <v>Lot 1</v>
      </c>
      <c r="E74" s="150" t="s">
        <v>5920</v>
      </c>
      <c r="F74" s="154">
        <f>_xlfn.IFNA(IF(ISBLANK(TAB_CS[[#This Row],[Reference]]),"",VLOOKUP(TAB_CS[[#This Row],[Reference]],TAB_Offres[[Reference]:[Modification Request]],COLUMNS(TAB_Offres[[Reference]:[Modification Request]]),FALSE)),)</f>
        <v>0</v>
      </c>
      <c r="G74" s="150" t="str">
        <f>IF(ISBLANK(TAB_CS[[#This Row],[Reference]]),"",INDEX(TAB_Offres[Institution/agency],MATCH(TAB_CS[[#This Row],[Reference]],TAB_Offres[Reference],0)))</f>
        <v>EC</v>
      </c>
      <c r="H74" s="150" t="str">
        <f>IF(ISBLANK(TAB_CS[[#This Row],[Reference]]),"",INDEX(TAB_Offres[DG],MATCH(TAB_CS[[#This Row],[Reference]],TAB_Offres[Reference],0)))</f>
        <v>DIGIT.B.1</v>
      </c>
      <c r="I74" s="4" t="str">
        <f>IF(ISBLANK(TAB_CS[[#This Row],[Reference]]),"",INDEX(TAB_Offres[Offer description],MATCH(TAB_CS[[#This Row],[Reference]],TAB_Offres[Reference],0)))</f>
        <v>Full-Stack Developer (FSD)</v>
      </c>
      <c r="J74" s="204">
        <f>_xlfn.IFNA(IF(ISBLANK(TAB_CS[[#This Row],[Ressource]]),,VLOOKUP(TAB_CS[[#This Row],[Reference]],TAB_Offres[[Reference]:[CS signature date]],COLUMNS(TAB_Offres[[Reference]:[CS signature date]]),FALSE)),"")</f>
        <v>45180</v>
      </c>
      <c r="K74" s="204">
        <f>_xlfn.IFNA(IF(ISBLANK(TAB_CS[[#This Row],[Ressource]]),,VLOOKUP(TAB_CS[[#This Row],[Reference]],TAB_Offres[[Reference]:[CS start date]],COLUMNS(TAB_Offres[[Reference]:[CS start date]]),FALSE)),"")</f>
        <v>45180</v>
      </c>
      <c r="L74" s="204">
        <f>_xlfn.IFNA(IF(ISBLANK(TAB_CS[[#This Row],[Ressource]]),,VLOOKUP(TAB_CS[[#This Row],[Reference]],TAB_Offres[[Reference]:[CS end date]],COLUMNS(TAB_Offres[[Reference]:[CS end date]]),FALSE)),"")</f>
        <v>45565</v>
      </c>
      <c r="M74" s="150">
        <f>_xlfn.IFNA(IF(ISBLANK(TAB_CS[[#This Row],[Ressource]]),,VLOOKUP(TAB_CS[[#This Row],[Reference]],TAB_Offres[[Reference]:[CS State]],COLUMNS(TAB_Offres[[Reference]:[CS State]]),FALSE)),"")</f>
        <v>0</v>
      </c>
      <c r="N74" s="154" t="str">
        <f>VLOOKUP(TAB_CS[[#This Row],[Reference]],TAB_Offres[[Reference]:[Ressource 1]],25,FALSE)</f>
        <v>COLLING, Fabiano</v>
      </c>
      <c r="O74" s="150" t="str">
        <f>_xlfn.IFNA(IF(ISBLANK(TAB_CS[[#This Row],[Ressource]]),,VLOOKUP(TAB_CS[[#This Row],[Reference]],TAB_Offres[[Reference]:[Company]],COLUMNS(TAB_Offres[[Reference]:[Company]]),FALSE)),"")</f>
        <v>TALAN</v>
      </c>
      <c r="P74" s="150" t="str">
        <f>_xlfn.CONCAT(TAB_CS[[#This Row],[Ressource]],TAB_CS[[#This Row],[Profile in €]])</f>
        <v>COLLING, Fabiano580,74</v>
      </c>
      <c r="Q74" s="150" t="str">
        <f>_xlfn.CONCAT(TAB_CS[[#This Row],[Company]],TAB_CS[[#This Row],[Business perimeter]])</f>
        <v>TALANNB</v>
      </c>
      <c r="R74" s="150" t="str">
        <f>_xlfn.IFNA(IF(ISBLANK(TAB_CS[[#This Row],[Ressource]]),"",VLOOKUP(TAB_CS[[#This Row],[Reference]],TAB_Offres[[Reference]:[Profile]],COLUMNS(TAB_Offres[[Reference]:[Profile]]),FALSE)),"")</f>
        <v>Full-stack developer</v>
      </c>
      <c r="S74" s="150">
        <f>_xlfn.IFNA(IF(ISBLANK(TAB_CS[[#This Row],[Ressource]]),"",VLOOKUP(TAB_CS[[#This Row],[Reference]],TAB_Offres[[Reference]:[Level]],COLUMNS(TAB_Offres[[Reference]:[Level]]),FALSE)),"")</f>
        <v>8</v>
      </c>
      <c r="T74" s="156">
        <f>_xlfn.IFNA(IF(OR(ISBLANK(TAB_CS[[#This Row],[Level]]),TAB_CS[[#This Row],[Level]]=""),,VLOOKUP(TAB_CS[[#This Row],[Profile]],TAB_prix[],2+TAB_CS[[#This Row],[Level]],FALSE)),)</f>
        <v>580.74</v>
      </c>
      <c r="U74" s="151">
        <f>33+117</f>
        <v>150</v>
      </c>
      <c r="V74" s="205">
        <f>IF(OR(ISBLANK(TAB_CS[[#This Row],[Commited days]]),TAB_CS[[#This Row],[Commited days]]=0),,TAB_CS[[#This Row],[Commited days]]*TAB_CS[[#This Row],[Profile in €]])</f>
        <v>87111</v>
      </c>
      <c r="W74" s="156">
        <f>SUM(TAB_CS[[#This Row],[F]:[P+1]])-TAB_CS[[#This Row],[P+1]]</f>
        <v>150</v>
      </c>
      <c r="X74" s="205">
        <f>IF(OR(ISBLANK(TAB_CS[[#This Row],[Producted days]]),TAB_CS[[#This Row],[Producted days]]=0),,TAB_CS[[#This Row],[Producted days]]*TAB_CS[[#This Row],[Profile in €]])</f>
        <v>87111</v>
      </c>
      <c r="Y74" s="206">
        <f>TAB_CS[[#This Row],[Commited days]]-TAB_CS[[#This Row],[Producted days]]</f>
        <v>0</v>
      </c>
      <c r="Z74" s="205">
        <f>IF(OR(ISBLANK(TAB_CS[[#This Row],[Remaining days]]),TAB_CS[[#This Row],[Remaining days]]=0),,TAB_CS[[#This Row],[Remaining days]]*TAB_CS[[#This Row],[Profile in €]])</f>
        <v>0</v>
      </c>
      <c r="AA74" s="207">
        <f>SUM(TAB_CS[[#This Row],[P+1]:[FP]])</f>
        <v>0</v>
      </c>
      <c r="AB74" s="208">
        <f>IF(OR(ISBLANK(TAB_CS[[#This Row],[Expected days]]),TAB_CS[[#This Row],[Expected days]]=0),,TAB_CS[[#This Row],[Expected days]]*TAB_CS[[#This Row],[Profile in €]])</f>
        <v>0</v>
      </c>
      <c r="AC74" s="322" t="str">
        <f>CONCATENATE(TAB_CS[[#This Row],[DG]],TAB_CS[[#This Row],[Company]])</f>
        <v>DIGIT.B.1TALAN</v>
      </c>
      <c r="AD74" s="209"/>
      <c r="AE74" s="150"/>
      <c r="AF74" s="151"/>
      <c r="AG74" s="151"/>
      <c r="AH74" s="151"/>
      <c r="AI74" s="150"/>
      <c r="AJ74" s="151"/>
      <c r="AK74" s="156"/>
      <c r="AL74" s="156"/>
      <c r="AM74" s="150"/>
      <c r="AN74" s="150"/>
      <c r="AO74" s="150"/>
      <c r="AP74" s="150"/>
      <c r="AQ74" s="150"/>
      <c r="AR74" s="150"/>
      <c r="AS74" s="150"/>
      <c r="AT74" s="156"/>
      <c r="AU74" s="156"/>
      <c r="AV74" s="171"/>
      <c r="AW74" s="352">
        <v>12</v>
      </c>
      <c r="AX74" s="352">
        <v>20</v>
      </c>
      <c r="AY74" s="352">
        <v>16</v>
      </c>
      <c r="AZ74" s="352">
        <v>21</v>
      </c>
      <c r="BA74" s="352">
        <v>21</v>
      </c>
      <c r="BB74" s="352">
        <v>18</v>
      </c>
      <c r="BC74" s="352">
        <v>11</v>
      </c>
      <c r="BD74" s="352">
        <v>19</v>
      </c>
      <c r="BE74" s="352">
        <v>12</v>
      </c>
      <c r="BF74" s="644"/>
      <c r="BG74" s="644"/>
      <c r="BH74" s="644"/>
      <c r="BI74" s="350"/>
      <c r="BJ74" s="644"/>
      <c r="BK74" s="644"/>
      <c r="BL74" s="644"/>
      <c r="BM74" s="350"/>
      <c r="BN74" s="644"/>
      <c r="BO74" s="644"/>
      <c r="BP74" s="644"/>
      <c r="BQ74" s="644"/>
      <c r="BR74" s="644"/>
      <c r="BS74" s="644"/>
      <c r="BT74" s="644"/>
      <c r="BU74" s="644"/>
      <c r="BV74" s="644"/>
      <c r="BW74" s="644"/>
      <c r="BX74" s="644"/>
      <c r="BY74" s="644"/>
      <c r="BZ74" s="324"/>
    </row>
    <row r="75" spans="1:78" s="4" customFormat="1" ht="14.4" x14ac:dyDescent="0.3">
      <c r="A75" s="150">
        <f>IF(ISBLANK(TAB_CS[[#This Row],[Reference]]),"",INDEX(TAB_Offres[ID],MATCH(TAB_CS[[#This Row],[Reference]],TAB_Offres[Reference],0)))</f>
        <v>72</v>
      </c>
      <c r="B75" s="154" t="s">
        <v>5466</v>
      </c>
      <c r="C75" s="150" t="s">
        <v>5665</v>
      </c>
      <c r="D75" s="150" t="str">
        <f>IF(ISBLANK(TAB_CS[[#This Row],[Reference]]),"",VLOOKUP(TAB_CS[[#This Row],[ID]],TAB_Offres[],2,FALSE))</f>
        <v>Lot 2</v>
      </c>
      <c r="E75" s="150" t="s">
        <v>5920</v>
      </c>
      <c r="F75" s="154">
        <f>_xlfn.IFNA(IF(ISBLANK(TAB_CS[[#This Row],[Reference]]),"",VLOOKUP(TAB_CS[[#This Row],[Reference]],TAB_Offres[[Reference]:[Modification Request]],COLUMNS(TAB_Offres[[Reference]:[Modification Request]]),FALSE)),)</f>
        <v>0</v>
      </c>
      <c r="G75" s="150" t="str">
        <f>IF(ISBLANK(TAB_CS[[#This Row],[Reference]]),"",INDEX(TAB_Offres[Institution/agency],MATCH(TAB_CS[[#This Row],[Reference]],TAB_Offres[Reference],0)))</f>
        <v>EC</v>
      </c>
      <c r="H75" s="150" t="str">
        <f>IF(ISBLANK(TAB_CS[[#This Row],[Reference]]),"",INDEX(TAB_Offres[DG],MATCH(TAB_CS[[#This Row],[Reference]],TAB_Offres[Reference],0)))</f>
        <v>JUST</v>
      </c>
      <c r="I75" t="str">
        <f>IF(ISBLANK(TAB_CS[[#This Row],[Reference]]),"",INDEX(TAB_Offres[Offer description],MATCH(TAB_CS[[#This Row],[Reference]],TAB_Offres[Reference],0)))</f>
        <v xml:space="preserve">	Project Manager (PM)</v>
      </c>
      <c r="J75" s="155">
        <f>_xlfn.IFNA(IF(ISBLANK(TAB_CS[[#This Row],[Ressource]]),,VLOOKUP(TAB_CS[[#This Row],[Reference]],TAB_Offres[[Reference]:[CS signature date]],COLUMNS(TAB_Offres[[Reference]:[CS signature date]]),FALSE)),"")</f>
        <v>45173</v>
      </c>
      <c r="K75" s="155">
        <f>_xlfn.IFNA(IF(ISBLANK(TAB_CS[[#This Row],[Ressource]]),,VLOOKUP(TAB_CS[[#This Row],[Reference]],TAB_Offres[[Reference]:[CS start date]],COLUMNS(TAB_Offres[[Reference]:[CS start date]]),FALSE)),"")</f>
        <v>45173</v>
      </c>
      <c r="L75" s="155">
        <f>_xlfn.IFNA(IF(ISBLANK(TAB_CS[[#This Row],[Ressource]]),,VLOOKUP(TAB_CS[[#This Row],[Reference]],TAB_Offres[[Reference]:[CS end date]],COLUMNS(TAB_Offres[[Reference]:[CS end date]]),FALSE)),"")</f>
        <v>45688</v>
      </c>
      <c r="M75" s="1" t="str">
        <f>_xlfn.IFNA(IF(ISBLANK(TAB_CS[[#This Row],[Ressource]]),,VLOOKUP(TAB_CS[[#This Row],[Reference]],TAB_Offres[[Reference]:[CS State]],COLUMNS(TAB_Offres[[Reference]:[CS State]]),FALSE)),"")</f>
        <v>START</v>
      </c>
      <c r="N75" s="154" t="str">
        <f>VLOOKUP(TAB_CS[[#This Row],[Reference]],TAB_Offres[[Reference]:[Ressource 1]],25,FALSE)</f>
        <v>VAN DE GUCHT, Pascal</v>
      </c>
      <c r="O75" s="150" t="s">
        <v>203</v>
      </c>
      <c r="P75" s="1" t="str">
        <f>_xlfn.CONCAT(TAB_CS[[#This Row],[Ressource]],TAB_CS[[#This Row],[Profile in €]])</f>
        <v>VAN DE GUCHT, Pascal806,53</v>
      </c>
      <c r="Q75" s="1" t="str">
        <f>_xlfn.CONCAT(TAB_CS[[#This Row],[Company]],TAB_CS[[#This Row],[Business perimeter]])</f>
        <v>CGI LUXNB</v>
      </c>
      <c r="R75" s="150" t="str">
        <f>_xlfn.IFNA(IF(ISBLANK(TAB_CS[[#This Row],[Ressource]]),"",VLOOKUP(TAB_CS[[#This Row],[Reference]],TAB_Offres[[Reference]:[Profile]],COLUMNS(TAB_Offres[[Reference]:[Profile]]),FALSE)),"")</f>
        <v>Project Manager</v>
      </c>
      <c r="S75" s="150">
        <f>_xlfn.IFNA(IF(ISBLANK(TAB_CS[[#This Row],[Ressource]]),"",VLOOKUP(TAB_CS[[#This Row],[Reference]],TAB_Offres[[Reference]:[Level]],COLUMNS(TAB_Offres[[Reference]:[Level]]),FALSE)),"")</f>
        <v>10</v>
      </c>
      <c r="T75" s="156">
        <f>_xlfn.IFNA(IF(OR(ISBLANK(TAB_CS[[#This Row],[Level]]),TAB_CS[[#This Row],[Level]]=""),,VLOOKUP(TAB_CS[[#This Row],[Profile]],TAB_prix[],2+TAB_CS[[#This Row],[Level]],FALSE)),)</f>
        <v>806.53</v>
      </c>
      <c r="U75" s="151">
        <v>220</v>
      </c>
      <c r="V75" s="205">
        <f>IF(OR(ISBLANK(TAB_CS[[#This Row],[Commited days]]),TAB_CS[[#This Row],[Commited days]]=0),,TAB_CS[[#This Row],[Commited days]]*TAB_CS[[#This Row],[Profile in €]])</f>
        <v>177436.6</v>
      </c>
      <c r="W75" s="156">
        <f>SUM(TAB_CS[[#This Row],[F]:[P+1]])-TAB_CS[[#This Row],[P+1]]</f>
        <v>220</v>
      </c>
      <c r="X75" s="205">
        <f>IF(OR(ISBLANK(TAB_CS[[#This Row],[Producted days]]),TAB_CS[[#This Row],[Producted days]]=0),,TAB_CS[[#This Row],[Producted days]]*TAB_CS[[#This Row],[Profile in €]])</f>
        <v>177436.6</v>
      </c>
      <c r="Y75" s="206">
        <f>TAB_CS[[#This Row],[Commited days]]-TAB_CS[[#This Row],[Producted days]]</f>
        <v>0</v>
      </c>
      <c r="Z75" s="205">
        <f>IF(OR(ISBLANK(TAB_CS[[#This Row],[Remaining days]]),TAB_CS[[#This Row],[Remaining days]]=0),,TAB_CS[[#This Row],[Remaining days]]*TAB_CS[[#This Row],[Profile in €]])</f>
        <v>0</v>
      </c>
      <c r="AA75" s="207">
        <f>SUM(TAB_CS[[#This Row],[P+1]:[FP]])</f>
        <v>0</v>
      </c>
      <c r="AB75" s="208">
        <f>IF(OR(ISBLANK(TAB_CS[[#This Row],[Expected days]]),TAB_CS[[#This Row],[Expected days]]=0),,TAB_CS[[#This Row],[Expected days]]*TAB_CS[[#This Row],[Profile in €]])</f>
        <v>0</v>
      </c>
      <c r="AC75" s="14" t="str">
        <f>CONCATENATE(TAB_CS[[#This Row],[DG]],TAB_CS[[#This Row],[Company]])</f>
        <v>JUSTCGI LUX</v>
      </c>
      <c r="AD75" s="144"/>
      <c r="AE75" s="150"/>
      <c r="AF75" s="151"/>
      <c r="AG75" s="151"/>
      <c r="AH75" s="151"/>
      <c r="AI75" s="150"/>
      <c r="AJ75" s="151"/>
      <c r="AK75" s="156"/>
      <c r="AL75" s="156"/>
      <c r="AM75" s="150"/>
      <c r="AN75" s="150"/>
      <c r="AO75" s="150"/>
      <c r="AP75" s="150"/>
      <c r="AQ75" s="150"/>
      <c r="AR75" s="150"/>
      <c r="AS75" s="150"/>
      <c r="AT75" s="156"/>
      <c r="AU75" s="156"/>
      <c r="AV75" s="352">
        <v>15.5</v>
      </c>
      <c r="AW75" s="352">
        <v>22</v>
      </c>
      <c r="AX75" s="352">
        <v>20.5</v>
      </c>
      <c r="AY75" s="352">
        <v>20</v>
      </c>
      <c r="AZ75" s="352">
        <v>24</v>
      </c>
      <c r="BA75" s="352">
        <v>24.5</v>
      </c>
      <c r="BB75" s="352">
        <v>21</v>
      </c>
      <c r="BC75" s="352">
        <v>17.5</v>
      </c>
      <c r="BD75" s="352">
        <v>19.5</v>
      </c>
      <c r="BE75" s="352">
        <v>19</v>
      </c>
      <c r="BF75" s="352">
        <v>16.5</v>
      </c>
      <c r="BG75" s="644"/>
      <c r="BH75" s="644"/>
      <c r="BI75" s="350"/>
      <c r="BJ75" s="644"/>
      <c r="BK75" s="644"/>
      <c r="BL75" s="644"/>
      <c r="BM75" s="350"/>
      <c r="BN75" s="644"/>
      <c r="BO75" s="644"/>
      <c r="BP75" s="644"/>
      <c r="BQ75" s="644"/>
      <c r="BR75" s="644"/>
      <c r="BS75" s="644"/>
      <c r="BT75" s="644"/>
      <c r="BU75" s="644"/>
      <c r="BV75" s="644"/>
      <c r="BW75" s="644"/>
      <c r="BX75" s="644"/>
      <c r="BY75" s="644"/>
      <c r="BZ75" s="324"/>
    </row>
    <row r="76" spans="1:78" s="4" customFormat="1" ht="14.4" x14ac:dyDescent="0.3">
      <c r="A76" s="150">
        <f>IF(ISBLANK(TAB_CS[[#This Row],[Reference]]),"",INDEX(TAB_Offres[ID],MATCH(TAB_CS[[#This Row],[Reference]],TAB_Offres[Reference],0)))</f>
        <v>73</v>
      </c>
      <c r="B76" s="154" t="s">
        <v>5473</v>
      </c>
      <c r="C76" s="150" t="s">
        <v>5598</v>
      </c>
      <c r="D76" s="150" t="s">
        <v>139</v>
      </c>
      <c r="E76" s="150" t="s">
        <v>5920</v>
      </c>
      <c r="F76" s="154">
        <f>_xlfn.IFNA(IF(ISBLANK(TAB_CS[[#This Row],[Reference]]),"",VLOOKUP(TAB_CS[[#This Row],[Reference]],TAB_Offres[[Reference]:[Modification Request]],COLUMNS(TAB_Offres[[Reference]:[Modification Request]]),FALSE)),)</f>
        <v>0</v>
      </c>
      <c r="G76" s="150" t="str">
        <f>IF(ISBLANK(TAB_CS[[#This Row],[Reference]]),"",INDEX(TAB_Offres[Institution/agency],MATCH(TAB_CS[[#This Row],[Reference]],TAB_Offres[Reference],0)))</f>
        <v>EC</v>
      </c>
      <c r="H76" s="150" t="str">
        <f>IF(ISBLANK(TAB_CS[[#This Row],[Reference]]),"",INDEX(TAB_Offres[DG],MATCH(TAB_CS[[#This Row],[Reference]],TAB_Offres[Reference],0)))</f>
        <v>JUST</v>
      </c>
      <c r="I76" t="str">
        <f>IF(ISBLANK(TAB_CS[[#This Row],[Reference]]),"",INDEX(TAB_Offres[Offer description],MATCH(TAB_CS[[#This Row],[Reference]],TAB_Offres[Reference],0)))</f>
        <v xml:space="preserve">Project Manager	</v>
      </c>
      <c r="J76" s="155">
        <f>_xlfn.IFNA(IF(ISBLANK(TAB_CS[[#This Row],[Ressource]]),,VLOOKUP(TAB_CS[[#This Row],[Reference]],TAB_Offres[[Reference]:[CS signature date]],COLUMNS(TAB_Offres[[Reference]:[CS signature date]]),FALSE)),"")</f>
        <v>45202</v>
      </c>
      <c r="K76" s="155">
        <f>_xlfn.IFNA(IF(ISBLANK(TAB_CS[[#This Row],[Ressource]]),,VLOOKUP(TAB_CS[[#This Row],[Reference]],TAB_Offres[[Reference]:[CS start date]],COLUMNS(TAB_Offres[[Reference]:[CS start date]]),FALSE)),"")</f>
        <v>45202</v>
      </c>
      <c r="L76" s="155">
        <f>_xlfn.IFNA(IF(ISBLANK(TAB_CS[[#This Row],[Ressource]]),,VLOOKUP(TAB_CS[[#This Row],[Reference]],TAB_Offres[[Reference]:[CS end date]],COLUMNS(TAB_Offres[[Reference]:[CS end date]]),FALSE)),"")</f>
        <v>46081</v>
      </c>
      <c r="M76" s="1">
        <f>_xlfn.IFNA(IF(ISBLANK(TAB_CS[[#This Row],[Ressource]]),,VLOOKUP(TAB_CS[[#This Row],[Reference]],TAB_Offres[[Reference]:[CS State]],COLUMNS(TAB_Offres[[Reference]:[CS State]]),FALSE)),"")</f>
        <v>0</v>
      </c>
      <c r="N76" s="154" t="str">
        <f>VLOOKUP(TAB_CS[[#This Row],[Reference]],TAB_Offres[[Reference]:[Ressource 1]],25,FALSE)</f>
        <v>BEN MILOUD, Djamila</v>
      </c>
      <c r="O76" s="150" t="str">
        <f>_xlfn.IFNA(IF(ISBLANK(TAB_CS[[#This Row],[Ressource]]),,VLOOKUP(TAB_CS[[#This Row],[Reference]],TAB_Offres[[Reference]:[Company]],COLUMNS(TAB_Offres[[Reference]:[Company]]),FALSE)),"")</f>
        <v>CGI LUX</v>
      </c>
      <c r="P76" s="1" t="str">
        <f>_xlfn.CONCAT(TAB_CS[[#This Row],[Ressource]],TAB_CS[[#This Row],[Profile in €]])</f>
        <v>BEN MILOUD, Djamila806,53</v>
      </c>
      <c r="Q76" s="1" t="str">
        <f>_xlfn.CONCAT(TAB_CS[[#This Row],[Company]],TAB_CS[[#This Row],[Business perimeter]])</f>
        <v>CGI LUXNB</v>
      </c>
      <c r="R76" s="150" t="str">
        <f>_xlfn.IFNA(IF(ISBLANK(TAB_CS[[#This Row],[Ressource]]),"",VLOOKUP(TAB_CS[[#This Row],[Reference]],TAB_Offres[[Reference]:[Profile]],COLUMNS(TAB_Offres[[Reference]:[Profile]]),FALSE)),"")</f>
        <v>Project Manager</v>
      </c>
      <c r="S76" s="150">
        <f>_xlfn.IFNA(IF(ISBLANK(TAB_CS[[#This Row],[Ressource]]),"",VLOOKUP(TAB_CS[[#This Row],[Reference]],TAB_Offres[[Reference]:[Level]],COLUMNS(TAB_Offres[[Reference]:[Level]]),FALSE)),"")</f>
        <v>10</v>
      </c>
      <c r="T76" s="156">
        <f>_xlfn.IFNA(IF(OR(ISBLANK(TAB_CS[[#This Row],[Level]]),TAB_CS[[#This Row],[Level]]=""),,VLOOKUP(TAB_CS[[#This Row],[Profile]],TAB_prix[],2+TAB_CS[[#This Row],[Level]],FALSE)),)</f>
        <v>806.53</v>
      </c>
      <c r="U76" s="151">
        <v>440</v>
      </c>
      <c r="V76" s="205">
        <f>IF(OR(ISBLANK(TAB_CS[[#This Row],[Commited days]]),TAB_CS[[#This Row],[Commited days]]=0),,TAB_CS[[#This Row],[Commited days]]*TAB_CS[[#This Row],[Profile in €]])</f>
        <v>354873.2</v>
      </c>
      <c r="W76" s="156">
        <f>SUM(TAB_CS[[#This Row],[F]:[P+1]])-TAB_CS[[#This Row],[P+1]]</f>
        <v>248.5</v>
      </c>
      <c r="X76" s="205">
        <f>IF(OR(ISBLANK(TAB_CS[[#This Row],[Producted days]]),TAB_CS[[#This Row],[Producted days]]=0),,TAB_CS[[#This Row],[Producted days]]*TAB_CS[[#This Row],[Profile in €]])</f>
        <v>200422.70499999999</v>
      </c>
      <c r="Y76" s="206">
        <f>TAB_CS[[#This Row],[Commited days]]-TAB_CS[[#This Row],[Producted days]]</f>
        <v>191.5</v>
      </c>
      <c r="Z76" s="205">
        <f>IF(OR(ISBLANK(TAB_CS[[#This Row],[Remaining days]]),TAB_CS[[#This Row],[Remaining days]]=0),,TAB_CS[[#This Row],[Remaining days]]*TAB_CS[[#This Row],[Profile in €]])</f>
        <v>154450.495</v>
      </c>
      <c r="AA76" s="207">
        <f>SUM(TAB_CS[[#This Row],[P+1]:[FP]])</f>
        <v>191.5</v>
      </c>
      <c r="AB76" s="208">
        <f>IF(OR(ISBLANK(TAB_CS[[#This Row],[Expected days]]),TAB_CS[[#This Row],[Expected days]]=0),,TAB_CS[[#This Row],[Expected days]]*TAB_CS[[#This Row],[Profile in €]])</f>
        <v>154450.495</v>
      </c>
      <c r="AC76" s="14" t="str">
        <f>CONCATENATE(TAB_CS[[#This Row],[DG]],TAB_CS[[#This Row],[Company]])</f>
        <v>JUSTCGI LUX</v>
      </c>
      <c r="AD76" s="144"/>
      <c r="AE76" s="150"/>
      <c r="AF76" s="151"/>
      <c r="AG76" s="151"/>
      <c r="AH76" s="151"/>
      <c r="AI76" s="150"/>
      <c r="AJ76" s="151"/>
      <c r="AK76" s="156"/>
      <c r="AL76" s="156"/>
      <c r="AM76" s="150"/>
      <c r="AN76" s="150"/>
      <c r="AO76" s="150"/>
      <c r="AP76" s="150"/>
      <c r="AQ76" s="150"/>
      <c r="AR76" s="150"/>
      <c r="AS76" s="150"/>
      <c r="AT76" s="156"/>
      <c r="AU76" s="156"/>
      <c r="AV76" s="171"/>
      <c r="AW76" s="171"/>
      <c r="AX76" s="352">
        <v>3.5</v>
      </c>
      <c r="AY76" s="352">
        <v>18</v>
      </c>
      <c r="AZ76" s="352">
        <v>21</v>
      </c>
      <c r="BA76" s="352">
        <v>21</v>
      </c>
      <c r="BB76" s="352">
        <v>21</v>
      </c>
      <c r="BC76" s="352">
        <v>21</v>
      </c>
      <c r="BD76" s="352">
        <v>20</v>
      </c>
      <c r="BE76" s="352">
        <v>20</v>
      </c>
      <c r="BF76" s="352">
        <v>23</v>
      </c>
      <c r="BG76" s="352">
        <v>5</v>
      </c>
      <c r="BH76" s="352">
        <v>21</v>
      </c>
      <c r="BI76" s="350"/>
      <c r="BJ76" s="171">
        <v>18</v>
      </c>
      <c r="BK76" s="171">
        <v>18</v>
      </c>
      <c r="BL76" s="171">
        <v>18</v>
      </c>
      <c r="BM76" s="350"/>
      <c r="BN76" s="171">
        <v>18</v>
      </c>
      <c r="BO76" s="171">
        <v>18</v>
      </c>
      <c r="BP76" s="171">
        <v>18</v>
      </c>
      <c r="BQ76" s="171">
        <v>18</v>
      </c>
      <c r="BR76" s="171">
        <v>18</v>
      </c>
      <c r="BS76" s="171">
        <v>18</v>
      </c>
      <c r="BT76" s="171">
        <v>18</v>
      </c>
      <c r="BU76" s="171">
        <v>18</v>
      </c>
      <c r="BV76" s="171">
        <v>18</v>
      </c>
      <c r="BW76" s="171">
        <v>18</v>
      </c>
      <c r="BX76" s="171">
        <v>11.5</v>
      </c>
      <c r="BY76" s="171"/>
      <c r="BZ76" s="324"/>
    </row>
    <row r="77" spans="1:78" ht="14.4" x14ac:dyDescent="0.3">
      <c r="A77" s="1">
        <f>IF(ISBLANK(TAB_CS[[#This Row],[Reference]]),"",INDEX(TAB_Offres[ID],MATCH(TAB_CS[[#This Row],[Reference]],TAB_Offres[Reference],0)))</f>
        <v>74</v>
      </c>
      <c r="B77" s="154" t="s">
        <v>5574</v>
      </c>
      <c r="C77" s="150" t="s">
        <v>5599</v>
      </c>
      <c r="D77" s="150" t="str">
        <f>IF(ISBLANK(TAB_CS[[#This Row],[Reference]]),"",VLOOKUP(TAB_CS[[#This Row],[ID]],TAB_Offres[],2,FALSE))</f>
        <v>Lot 3</v>
      </c>
      <c r="E77" s="1" t="s">
        <v>5920</v>
      </c>
      <c r="F77" s="154">
        <f>_xlfn.IFNA(IF(ISBLANK(TAB_CS[[#This Row],[Reference]]),"",VLOOKUP(TAB_CS[[#This Row],[Reference]],TAB_Offres[[Reference]:[Modification Request]],COLUMNS(TAB_Offres[[Reference]:[Modification Request]]),FALSE)),)</f>
        <v>0</v>
      </c>
      <c r="G77" s="150" t="str">
        <f>IF(ISBLANK(TAB_CS[[#This Row],[Reference]]),"",INDEX(TAB_Offres[Institution/agency],MATCH(TAB_CS[[#This Row],[Reference]],TAB_Offres[Reference],0)))</f>
        <v>EC</v>
      </c>
      <c r="H77" s="150" t="str">
        <f>IF(ISBLANK(TAB_CS[[#This Row],[Reference]]),"",INDEX(TAB_Offres[DG],MATCH(TAB_CS[[#This Row],[Reference]],TAB_Offres[Reference],0)))</f>
        <v>DIGIT.A.4</v>
      </c>
      <c r="I77" s="4" t="str">
        <f>IF(ISBLANK(TAB_CS[[#This Row],[Reference]]),"",INDEX(TAB_Offres[Offer description],MATCH(TAB_CS[[#This Row],[Reference]],TAB_Offres[Reference],0)))</f>
        <v>Enterprise Architect (EA)</v>
      </c>
      <c r="J77" s="204">
        <f>_xlfn.IFNA(IF(ISBLANK(TAB_CS[[#This Row],[Ressource]]),,VLOOKUP(TAB_CS[[#This Row],[Reference]],TAB_Offres[[Reference]:[CS signature date]],COLUMNS(TAB_Offres[[Reference]:[CS signature date]]),FALSE)),"")</f>
        <v>45264</v>
      </c>
      <c r="K77" s="204">
        <f>_xlfn.IFNA(IF(ISBLANK(TAB_CS[[#This Row],[Ressource]]),,VLOOKUP(TAB_CS[[#This Row],[Reference]],TAB_Offres[[Reference]:[CS start date]],COLUMNS(TAB_Offres[[Reference]:[CS start date]]),FALSE)),"")</f>
        <v>45264</v>
      </c>
      <c r="L77" s="204">
        <f>_xlfn.IFNA(IF(ISBLANK(TAB_CS[[#This Row],[Ressource]]),,VLOOKUP(TAB_CS[[#This Row],[Reference]],TAB_Offres[[Reference]:[CS end date]],COLUMNS(TAB_Offres[[Reference]:[CS end date]]),FALSE)),"")</f>
        <v>45565</v>
      </c>
      <c r="M77" s="150">
        <f>_xlfn.IFNA(IF(ISBLANK(TAB_CS[[#This Row],[Ressource]]),,VLOOKUP(TAB_CS[[#This Row],[Reference]],TAB_Offres[[Reference]:[CS State]],COLUMNS(TAB_Offres[[Reference]:[CS State]]),FALSE)),"")</f>
        <v>0</v>
      </c>
      <c r="N77" s="26" t="str">
        <f>VLOOKUP(TAB_CS[[#This Row],[Reference]],TAB_Offres[[Reference]:[Ressource 1]],25,FALSE)</f>
        <v>ADESIDA, Yemi</v>
      </c>
      <c r="O77" s="150" t="str">
        <f>_xlfn.IFNA(IF(ISBLANK(TAB_CS[[#This Row],[Ressource]]),,VLOOKUP(TAB_CS[[#This Row],[Reference]],TAB_Offres[[Reference]:[Company]],COLUMNS(TAB_Offres[[Reference]:[Company]]),FALSE)),"")</f>
        <v>EDDA</v>
      </c>
      <c r="P77" s="150" t="str">
        <f>_xlfn.CONCAT(TAB_CS[[#This Row],[Ressource]],TAB_CS[[#This Row],[Profile in €]])</f>
        <v>ADESIDA, Yemi727,04</v>
      </c>
      <c r="Q77" s="150" t="str">
        <f>_xlfn.CONCAT(TAB_CS[[#This Row],[Company]],TAB_CS[[#This Row],[Business perimeter]])</f>
        <v>EDDANB</v>
      </c>
      <c r="R77" s="150" t="str">
        <f>_xlfn.IFNA(IF(ISBLANK(TAB_CS[[#This Row],[Ressource]]),"",VLOOKUP(TAB_CS[[#This Row],[Reference]],TAB_Offres[[Reference]:[Profile]],COLUMNS(TAB_Offres[[Reference]:[Profile]]),FALSE)),"")</f>
        <v>Enterprise architect</v>
      </c>
      <c r="S77" s="150">
        <f>_xlfn.IFNA(IF(ISBLANK(TAB_CS[[#This Row],[Ressource]]),"",VLOOKUP(TAB_CS[[#This Row],[Reference]],TAB_Offres[[Reference]:[Level]],COLUMNS(TAB_Offres[[Reference]:[Level]]),FALSE)),"")</f>
        <v>10</v>
      </c>
      <c r="T77" s="156">
        <f>_xlfn.IFNA(IF(OR(ISBLANK(TAB_CS[[#This Row],[Level]]),TAB_CS[[#This Row],[Level]]=""),,VLOOKUP(TAB_CS[[#This Row],[Profile]],TAB_prix[],2+TAB_CS[[#This Row],[Level]],FALSE)),)</f>
        <v>727.04</v>
      </c>
      <c r="U77" s="151">
        <v>60</v>
      </c>
      <c r="V77" s="205">
        <f>IF(OR(ISBLANK(TAB_CS[[#This Row],[Commited days]]),TAB_CS[[#This Row],[Commited days]]=0),,TAB_CS[[#This Row],[Commited days]]*TAB_CS[[#This Row],[Profile in €]])</f>
        <v>43622.399999999994</v>
      </c>
      <c r="W77" s="156">
        <f>SUM(TAB_CS[[#This Row],[F]:[P+1]])-TAB_CS[[#This Row],[P+1]]</f>
        <v>60</v>
      </c>
      <c r="X77" s="205">
        <f>IF(OR(ISBLANK(TAB_CS[[#This Row],[Producted days]]),TAB_CS[[#This Row],[Producted days]]=0),,TAB_CS[[#This Row],[Producted days]]*TAB_CS[[#This Row],[Profile in €]])</f>
        <v>43622.399999999994</v>
      </c>
      <c r="Y77" s="206">
        <f>TAB_CS[[#This Row],[Commited days]]-TAB_CS[[#This Row],[Producted days]]</f>
        <v>0</v>
      </c>
      <c r="Z77" s="205">
        <f>IF(OR(ISBLANK(TAB_CS[[#This Row],[Remaining days]]),TAB_CS[[#This Row],[Remaining days]]=0),,TAB_CS[[#This Row],[Remaining days]]*TAB_CS[[#This Row],[Profile in €]])</f>
        <v>0</v>
      </c>
      <c r="AA77" s="207">
        <f>SUM(TAB_CS[[#This Row],[P+1]:[FP]])</f>
        <v>0</v>
      </c>
      <c r="AB77" s="208">
        <f>IF(OR(ISBLANK(TAB_CS[[#This Row],[Expected days]]),TAB_CS[[#This Row],[Expected days]]=0),,TAB_CS[[#This Row],[Expected days]]*TAB_CS[[#This Row],[Profile in €]])</f>
        <v>0</v>
      </c>
      <c r="AC77" s="322" t="str">
        <f>CONCATENATE(TAB_CS[[#This Row],[DG]],TAB_CS[[#This Row],[Company]])</f>
        <v>DIGIT.A.4EDDA</v>
      </c>
      <c r="AD77" s="209"/>
      <c r="AE77" s="150"/>
      <c r="AF77" s="151"/>
      <c r="AG77" s="151"/>
      <c r="AH77" s="151"/>
      <c r="AI77" s="150"/>
      <c r="AJ77" s="151"/>
      <c r="AK77" s="156"/>
      <c r="AL77" s="156"/>
      <c r="AM77" s="150"/>
      <c r="AN77" s="150"/>
      <c r="AO77" s="150"/>
      <c r="AP77" s="150"/>
      <c r="AQ77" s="150"/>
      <c r="AR77" s="150"/>
      <c r="AS77" s="150"/>
      <c r="AT77" s="156"/>
      <c r="AU77" s="156"/>
      <c r="AV77" s="321"/>
      <c r="AW77" s="321"/>
      <c r="AX77" s="156"/>
      <c r="AY77" s="351">
        <v>6</v>
      </c>
      <c r="AZ77" s="351">
        <v>22</v>
      </c>
      <c r="BA77" s="351">
        <v>21</v>
      </c>
      <c r="BB77" s="351">
        <v>11</v>
      </c>
      <c r="BC77" s="643"/>
      <c r="BD77" s="643"/>
      <c r="BE77" s="643"/>
      <c r="BF77" s="643"/>
      <c r="BG77" s="643"/>
      <c r="BH77" s="643"/>
      <c r="BI77" s="323"/>
      <c r="BJ77" s="643"/>
      <c r="BK77" s="643"/>
      <c r="BL77" s="643"/>
      <c r="BM77" s="323"/>
      <c r="BN77" s="643"/>
      <c r="BO77" s="643"/>
      <c r="BP77" s="643"/>
      <c r="BQ77" s="643"/>
      <c r="BR77" s="643"/>
      <c r="BS77" s="643"/>
      <c r="BT77" s="643"/>
      <c r="BU77" s="643"/>
      <c r="BV77" s="643"/>
      <c r="BW77" s="643"/>
      <c r="BX77" s="643"/>
      <c r="BY77" s="643"/>
      <c r="BZ77" s="324"/>
    </row>
    <row r="78" spans="1:78" ht="14.4" x14ac:dyDescent="0.3">
      <c r="A78" s="1">
        <f>IF(ISBLANK(TAB_CS[[#This Row],[Reference]]),"",INDEX(TAB_Offres[ID],MATCH(TAB_CS[[#This Row],[Reference]],TAB_Offres[Reference],0)))</f>
        <v>75</v>
      </c>
      <c r="B78" s="154" t="s">
        <v>5569</v>
      </c>
      <c r="C78" s="150" t="s">
        <v>5788</v>
      </c>
      <c r="D78" s="150" t="str">
        <f>IF(ISBLANK(TAB_CS[[#This Row],[Reference]]),"",VLOOKUP(TAB_CS[[#This Row],[ID]],TAB_Offres[],2,FALSE))</f>
        <v>Lot 2</v>
      </c>
      <c r="E78" s="150" t="s">
        <v>5920</v>
      </c>
      <c r="F78" s="154">
        <f>_xlfn.IFNA(IF(ISBLANK(TAB_CS[[#This Row],[Reference]]),"",VLOOKUP(TAB_CS[[#This Row],[Reference]],TAB_Offres[[Reference]:[Modification Request]],COLUMNS(TAB_Offres[[Reference]:[Modification Request]]),FALSE)),)</f>
        <v>0</v>
      </c>
      <c r="G78" s="150" t="str">
        <f>IF(ISBLANK(TAB_CS[[#This Row],[Reference]]),"",INDEX(TAB_Offres[Institution/agency],MATCH(TAB_CS[[#This Row],[Reference]],TAB_Offres[Reference],0)))</f>
        <v>EC</v>
      </c>
      <c r="H78" s="150" t="str">
        <f>IF(ISBLANK(TAB_CS[[#This Row],[Reference]]),"",INDEX(TAB_Offres[DG],MATCH(TAB_CS[[#This Row],[Reference]],TAB_Offres[Reference],0)))</f>
        <v>JUST</v>
      </c>
      <c r="I78" s="4" t="str">
        <f>IF(ISBLANK(TAB_CS[[#This Row],[Reference]]),"",INDEX(TAB_Offres[Offer description],MATCH(TAB_CS[[#This Row],[Reference]],TAB_Offres[Reference],0)))</f>
        <v>Project Manager</v>
      </c>
      <c r="J78" s="204">
        <f>_xlfn.IFNA(IF(ISBLANK(TAB_CS[[#This Row],[Ressource]]),,VLOOKUP(TAB_CS[[#This Row],[Reference]],TAB_Offres[[Reference]:[CS signature date]],COLUMNS(TAB_Offres[[Reference]:[CS signature date]]),FALSE)),"")</f>
        <v>45274</v>
      </c>
      <c r="K78" s="204">
        <f>_xlfn.IFNA(IF(ISBLANK(TAB_CS[[#This Row],[Ressource]]),,VLOOKUP(TAB_CS[[#This Row],[Reference]],TAB_Offres[[Reference]:[CS start date]],COLUMNS(TAB_Offres[[Reference]:[CS start date]]),FALSE)),"")</f>
        <v>45292</v>
      </c>
      <c r="L78" s="204">
        <f>_xlfn.IFNA(IF(ISBLANK(TAB_CS[[#This Row],[Ressource]]),,VLOOKUP(TAB_CS[[#This Row],[Reference]],TAB_Offres[[Reference]:[CS end date]],COLUMNS(TAB_Offres[[Reference]:[CS end date]]),FALSE)),"")</f>
        <v>45777</v>
      </c>
      <c r="M78" s="150">
        <f>_xlfn.IFNA(IF(ISBLANK(TAB_CS[[#This Row],[Ressource]]),,VLOOKUP(TAB_CS[[#This Row],[Reference]],TAB_Offres[[Reference]:[CS State]],COLUMNS(TAB_Offres[[Reference]:[CS State]]),FALSE)),"")</f>
        <v>0</v>
      </c>
      <c r="N78" s="26" t="str">
        <f>VLOOKUP(TAB_CS[[#This Row],[Reference]],TAB_Offres[[Reference]:[Ressource 1]],25,FALSE)</f>
        <v>PAPASPYROU, Vasileios</v>
      </c>
      <c r="O78" s="150" t="str">
        <f>_xlfn.IFNA(IF(ISBLANK(TAB_CS[[#This Row],[Ressource]]),,VLOOKUP(TAB_CS[[#This Row],[Reference]],TAB_Offres[[Reference]:[Company]],COLUMNS(TAB_Offres[[Reference]:[Company]]),FALSE)),"")</f>
        <v>TREMEND</v>
      </c>
      <c r="P78" s="150" t="str">
        <f>_xlfn.CONCAT(TAB_CS[[#This Row],[Ressource]],TAB_CS[[#This Row],[Profile in €]])</f>
        <v>PAPASPYROU, Vasileios741,44</v>
      </c>
      <c r="Q78" s="150" t="str">
        <f>_xlfn.CONCAT(TAB_CS[[#This Row],[Company]],TAB_CS[[#This Row],[Business perimeter]])</f>
        <v>TREMENDNB</v>
      </c>
      <c r="R78" s="150" t="str">
        <f>_xlfn.IFNA(IF(ISBLANK(TAB_CS[[#This Row],[Ressource]]),"",VLOOKUP(TAB_CS[[#This Row],[Reference]],TAB_Offres[[Reference]:[Profile]],COLUMNS(TAB_Offres[[Reference]:[Profile]]),FALSE)),"")</f>
        <v>Project Manager</v>
      </c>
      <c r="S78" s="150">
        <f>_xlfn.IFNA(IF(ISBLANK(TAB_CS[[#This Row],[Ressource]]),"",VLOOKUP(TAB_CS[[#This Row],[Reference]],TAB_Offres[[Reference]:[Level]],COLUMNS(TAB_Offres[[Reference]:[Level]]),FALSE)),"")</f>
        <v>8</v>
      </c>
      <c r="T78" s="357">
        <v>741.44</v>
      </c>
      <c r="U78" s="151">
        <v>220</v>
      </c>
      <c r="V78" s="205">
        <f>IF(OR(ISBLANK(TAB_CS[[#This Row],[Commited days]]),TAB_CS[[#This Row],[Commited days]]=0),,TAB_CS[[#This Row],[Commited days]]*TAB_CS[[#This Row],[Profile in €]])</f>
        <v>163116.80000000002</v>
      </c>
      <c r="W78" s="156">
        <f>SUM(TAB_CS[[#This Row],[F]:[P+1]])-TAB_CS[[#This Row],[P+1]]</f>
        <v>220</v>
      </c>
      <c r="X78" s="205">
        <f>IF(OR(ISBLANK(TAB_CS[[#This Row],[Producted days]]),TAB_CS[[#This Row],[Producted days]]=0),,TAB_CS[[#This Row],[Producted days]]*TAB_CS[[#This Row],[Profile in €]])</f>
        <v>163116.80000000002</v>
      </c>
      <c r="Y78" s="206">
        <f>TAB_CS[[#This Row],[Commited days]]-TAB_CS[[#This Row],[Producted days]]</f>
        <v>0</v>
      </c>
      <c r="Z78" s="205">
        <f>IF(OR(ISBLANK(TAB_CS[[#This Row],[Remaining days]]),TAB_CS[[#This Row],[Remaining days]]=0),,TAB_CS[[#This Row],[Remaining days]]*TAB_CS[[#This Row],[Profile in €]])</f>
        <v>0</v>
      </c>
      <c r="AA78" s="207">
        <f>SUM(TAB_CS[[#This Row],[P+1]:[FP]])</f>
        <v>0</v>
      </c>
      <c r="AB78" s="208">
        <f>IF(OR(ISBLANK(TAB_CS[[#This Row],[Expected days]]),TAB_CS[[#This Row],[Expected days]]=0),,TAB_CS[[#This Row],[Expected days]]*TAB_CS[[#This Row],[Profile in €]])</f>
        <v>0</v>
      </c>
      <c r="AC78" s="322" t="str">
        <f>CONCATENATE(TAB_CS[[#This Row],[DG]],TAB_CS[[#This Row],[Company]])</f>
        <v>JUSTTREMEND</v>
      </c>
      <c r="AD78" s="209"/>
      <c r="AE78" s="150"/>
      <c r="AF78" s="151"/>
      <c r="AG78" s="151"/>
      <c r="AH78" s="151"/>
      <c r="AI78" s="150"/>
      <c r="AJ78" s="151"/>
      <c r="AK78" s="156"/>
      <c r="AL78" s="156"/>
      <c r="AM78" s="150"/>
      <c r="AN78" s="150"/>
      <c r="AO78" s="150"/>
      <c r="AP78" s="150"/>
      <c r="AQ78" s="150"/>
      <c r="AR78" s="150"/>
      <c r="AS78" s="150"/>
      <c r="AT78" s="156"/>
      <c r="AU78" s="156"/>
      <c r="AV78" s="321"/>
      <c r="AW78" s="321"/>
      <c r="AX78" s="321"/>
      <c r="AY78" s="321"/>
      <c r="AZ78" s="360">
        <v>14</v>
      </c>
      <c r="BA78" s="360">
        <v>21</v>
      </c>
      <c r="BB78" s="360">
        <v>18.5</v>
      </c>
      <c r="BC78" s="360">
        <v>18.5</v>
      </c>
      <c r="BD78" s="360">
        <v>19</v>
      </c>
      <c r="BE78" s="360">
        <v>19</v>
      </c>
      <c r="BF78" s="360">
        <v>23</v>
      </c>
      <c r="BG78" s="360">
        <v>19</v>
      </c>
      <c r="BH78" s="360">
        <v>15</v>
      </c>
      <c r="BI78" s="323"/>
      <c r="BJ78" s="321">
        <v>18</v>
      </c>
      <c r="BK78" s="321">
        <v>18</v>
      </c>
      <c r="BL78" s="321">
        <v>17</v>
      </c>
      <c r="BM78" s="323"/>
      <c r="BN78" s="321"/>
      <c r="BO78" s="321"/>
      <c r="BP78" s="321"/>
      <c r="BQ78" s="321"/>
      <c r="BR78" s="642"/>
      <c r="BS78" s="642"/>
      <c r="BT78" s="642"/>
      <c r="BU78" s="642"/>
      <c r="BV78" s="642"/>
      <c r="BW78" s="642"/>
      <c r="BX78" s="642"/>
      <c r="BY78" s="642"/>
      <c r="BZ78" s="324"/>
    </row>
    <row r="79" spans="1:78" s="4" customFormat="1" ht="14.4" x14ac:dyDescent="0.3">
      <c r="A79" s="150">
        <f>IF(ISBLANK(TAB_CS[[#This Row],[Reference]]),"",INDEX(TAB_Offres[ID],MATCH(TAB_CS[[#This Row],[Reference]],TAB_Offres[Reference],0)))</f>
        <v>76</v>
      </c>
      <c r="B79" s="154" t="s">
        <v>5437</v>
      </c>
      <c r="C79" s="150" t="s">
        <v>5666</v>
      </c>
      <c r="D79" s="150" t="str">
        <f>IF(ISBLANK(TAB_CS[[#This Row],[Reference]]),"",VLOOKUP(TAB_CS[[#This Row],[ID]],TAB_Offres[],2,FALSE))</f>
        <v>Lot 3</v>
      </c>
      <c r="E79" s="150" t="s">
        <v>5918</v>
      </c>
      <c r="F79" s="154">
        <f>_xlfn.IFNA(IF(ISBLANK(TAB_CS[[#This Row],[Reference]]),"",VLOOKUP(TAB_CS[[#This Row],[Reference]],TAB_Offres[[Reference]:[Modification Request]],COLUMNS(TAB_Offres[[Reference]:[Modification Request]]),FALSE)),)</f>
        <v>0</v>
      </c>
      <c r="G79" s="150" t="str">
        <f>IF(ISBLANK(TAB_CS[[#This Row],[Reference]]),"",INDEX(TAB_Offres[Institution/agency],MATCH(TAB_CS[[#This Row],[Reference]],TAB_Offres[Reference],0)))</f>
        <v>EC</v>
      </c>
      <c r="H79" s="150" t="str">
        <f>IF(ISBLANK(TAB_CS[[#This Row],[Reference]]),"",INDEX(TAB_Offres[DG],MATCH(TAB_CS[[#This Row],[Reference]],TAB_Offres[Reference],0)))</f>
        <v>DIGIT.B.3</v>
      </c>
      <c r="I79" t="str">
        <f>IF(ISBLANK(TAB_CS[[#This Row],[Reference]]),"",INDEX(TAB_Offres[Offer description],MATCH(TAB_CS[[#This Row],[Reference]],TAB_Offres[Reference],0)))</f>
        <v>B3.002 - EU Send - Lopes Gonçalves, OM lvl 4 - extension request</v>
      </c>
      <c r="J79" s="155">
        <f>_xlfn.IFNA(IF(ISBLANK(TAB_CS[[#This Row],[Ressource]]),,VLOOKUP(TAB_CS[[#This Row],[Reference]],TAB_Offres[[Reference]:[CS signature date]],COLUMNS(TAB_Offres[[Reference]:[CS signature date]]),FALSE)),"")</f>
        <v>45140</v>
      </c>
      <c r="K79" s="155">
        <f>_xlfn.IFNA(IF(ISBLANK(TAB_CS[[#This Row],[Ressource]]),,VLOOKUP(TAB_CS[[#This Row],[Reference]],TAB_Offres[[Reference]:[CS start date]],COLUMNS(TAB_Offres[[Reference]:[CS start date]]),FALSE)),"")</f>
        <v>45140</v>
      </c>
      <c r="L79" s="155">
        <f>_xlfn.IFNA(IF(ISBLANK(TAB_CS[[#This Row],[Ressource]]),,VLOOKUP(TAB_CS[[#This Row],[Reference]],TAB_Offres[[Reference]:[CS end date]],COLUMNS(TAB_Offres[[Reference]:[CS end date]]),FALSE)),"")</f>
        <v>45289</v>
      </c>
      <c r="M79" s="1" t="str">
        <f>_xlfn.IFNA(IF(ISBLANK(TAB_CS[[#This Row],[Ressource]]),,VLOOKUP(TAB_CS[[#This Row],[Reference]],TAB_Offres[[Reference]:[CS State]],COLUMNS(TAB_Offres[[Reference]:[CS State]]),FALSE)),"")</f>
        <v>START</v>
      </c>
      <c r="N79" s="154" t="str">
        <f>VLOOKUP(TAB_CS[[#This Row],[Reference]],TAB_Offres[[Reference]:[Ressource 1]],25,FALSE)</f>
        <v>LOPES GONÇALVES, Débora</v>
      </c>
      <c r="O79" s="150" t="str">
        <f>_xlfn.IFNA(IF(ISBLANK(TAB_CS[[#This Row],[Ressource]]),,VLOOKUP(TAB_CS[[#This Row],[Reference]],TAB_Offres[[Reference]:[Company]],COLUMNS(TAB_Offres[[Reference]:[Company]]),FALSE)),"")</f>
        <v>Wavestone</v>
      </c>
      <c r="P79" s="1" t="str">
        <f>_xlfn.CONCAT(TAB_CS[[#This Row],[Ressource]],TAB_CS[[#This Row],[Profile in €]])</f>
        <v>LOPES GONÇALVES, Débora576,75</v>
      </c>
      <c r="Q79" s="1" t="str">
        <f>_xlfn.CONCAT(TAB_CS[[#This Row],[Company]],TAB_CS[[#This Row],[Business perimeter]])</f>
        <v>WavestoneBL</v>
      </c>
      <c r="R79" s="150" t="str">
        <f>_xlfn.IFNA(IF(ISBLANK(TAB_CS[[#This Row],[Ressource]]),"",VLOOKUP(TAB_CS[[#This Row],[Reference]],TAB_Offres[[Reference]:[Profile]],COLUMNS(TAB_Offres[[Reference]:[Profile]]),FALSE)),"")</f>
        <v>Onboarding manager</v>
      </c>
      <c r="S79" s="150">
        <f>_xlfn.IFNA(IF(ISBLANK(TAB_CS[[#This Row],[Ressource]]),"",VLOOKUP(TAB_CS[[#This Row],[Reference]],TAB_Offres[[Reference]:[Level]],COLUMNS(TAB_Offres[[Reference]:[Level]]),FALSE)),"")</f>
        <v>4</v>
      </c>
      <c r="T79" s="156">
        <f>_xlfn.IFNA(IF(OR(ISBLANK(TAB_CS[[#This Row],[Level]]),TAB_CS[[#This Row],[Level]]=""),,VLOOKUP(TAB_CS[[#This Row],[Profile]],TAB_prix[],2+TAB_CS[[#This Row],[Level]],FALSE)),)</f>
        <v>576.75</v>
      </c>
      <c r="U79" s="151">
        <v>221</v>
      </c>
      <c r="V79" s="205">
        <f>IF(OR(ISBLANK(TAB_CS[[#This Row],[Commited days]]),TAB_CS[[#This Row],[Commited days]]=0),,TAB_CS[[#This Row],[Commited days]]*TAB_CS[[#This Row],[Profile in €]])</f>
        <v>127461.75</v>
      </c>
      <c r="W79" s="156">
        <f>SUM(TAB_CS[[#This Row],[F]:[P+1]])-TAB_CS[[#This Row],[P+1]]</f>
        <v>214</v>
      </c>
      <c r="X79" s="205">
        <f>IF(OR(ISBLANK(TAB_CS[[#This Row],[Producted days]]),TAB_CS[[#This Row],[Producted days]]=0),,TAB_CS[[#This Row],[Producted days]]*TAB_CS[[#This Row],[Profile in €]])</f>
        <v>123424.5</v>
      </c>
      <c r="Y79" s="206">
        <f>TAB_CS[[#This Row],[Commited days]]-TAB_CS[[#This Row],[Producted days]]</f>
        <v>7</v>
      </c>
      <c r="Z79" s="205">
        <f>IF(OR(ISBLANK(TAB_CS[[#This Row],[Remaining days]]),TAB_CS[[#This Row],[Remaining days]]=0),,TAB_CS[[#This Row],[Remaining days]]*TAB_CS[[#This Row],[Profile in €]])</f>
        <v>4037.25</v>
      </c>
      <c r="AA79" s="207">
        <f>SUM(TAB_CS[[#This Row],[P+1]:[FP]])</f>
        <v>0</v>
      </c>
      <c r="AB79" s="208">
        <f>IF(OR(ISBLANK(TAB_CS[[#This Row],[Expected days]]),TAB_CS[[#This Row],[Expected days]]=0),,TAB_CS[[#This Row],[Expected days]]*TAB_CS[[#This Row],[Profile in €]])</f>
        <v>0</v>
      </c>
      <c r="AC79" s="14" t="str">
        <f>CONCATENATE(TAB_CS[[#This Row],[DG]],TAB_CS[[#This Row],[Company]])</f>
        <v>DIGIT.B.3Wavestone</v>
      </c>
      <c r="AD79" s="144"/>
      <c r="AE79" s="150"/>
      <c r="AF79" s="151"/>
      <c r="AG79" s="151"/>
      <c r="AH79" s="151"/>
      <c r="AI79" s="150"/>
      <c r="AJ79" s="151"/>
      <c r="AK79" s="156"/>
      <c r="AL79" s="156"/>
      <c r="AM79" s="150"/>
      <c r="AN79" s="150"/>
      <c r="AO79" s="150"/>
      <c r="AP79" s="150"/>
      <c r="AQ79" s="150"/>
      <c r="AR79" s="150"/>
      <c r="AS79" s="150"/>
      <c r="AT79" s="156"/>
      <c r="AU79" s="156"/>
      <c r="AV79" s="171"/>
      <c r="AW79" s="351">
        <v>18.5</v>
      </c>
      <c r="AX79" s="351">
        <v>17</v>
      </c>
      <c r="AY79" s="351">
        <v>14</v>
      </c>
      <c r="AZ79" s="351">
        <v>19</v>
      </c>
      <c r="BA79" s="351">
        <v>19</v>
      </c>
      <c r="BB79" s="351">
        <v>21</v>
      </c>
      <c r="BC79" s="352">
        <v>18.5</v>
      </c>
      <c r="BD79" s="352">
        <v>16</v>
      </c>
      <c r="BE79" s="352">
        <v>17</v>
      </c>
      <c r="BF79" s="351">
        <v>22</v>
      </c>
      <c r="BG79" s="351">
        <v>21</v>
      </c>
      <c r="BH79" s="351">
        <v>11</v>
      </c>
      <c r="BI79" s="350"/>
      <c r="BJ79" s="649"/>
      <c r="BK79" s="643"/>
      <c r="BL79" s="643"/>
      <c r="BM79" s="350"/>
      <c r="BN79" s="643"/>
      <c r="BO79" s="643"/>
      <c r="BP79" s="643"/>
      <c r="BQ79" s="643"/>
      <c r="BR79" s="643"/>
      <c r="BS79" s="643"/>
      <c r="BT79" s="643"/>
      <c r="BU79" s="643"/>
      <c r="BV79" s="643"/>
      <c r="BW79" s="643"/>
      <c r="BX79" s="643"/>
      <c r="BY79" s="643"/>
      <c r="BZ79" s="324"/>
    </row>
    <row r="80" spans="1:78" ht="14.4" x14ac:dyDescent="0.3">
      <c r="A80" s="1">
        <f>IF(ISBLANK(TAB_CS[[#This Row],[Reference]]),"",INDEX(TAB_Offres[ID],MATCH(TAB_CS[[#This Row],[Reference]],TAB_Offres[Reference],0)))</f>
        <v>77</v>
      </c>
      <c r="B80" s="26" t="s">
        <v>5505</v>
      </c>
      <c r="C80" s="150" t="s">
        <v>5994</v>
      </c>
      <c r="D80" s="1" t="str">
        <f>IF(ISBLANK(TAB_CS[[#This Row],[Reference]]),"",VLOOKUP(TAB_CS[[#This Row],[ID]],TAB_Offres[],2,FALSE))</f>
        <v>Lot 1</v>
      </c>
      <c r="E80" s="150" t="s">
        <v>5920</v>
      </c>
      <c r="F80" s="26">
        <f>_xlfn.IFNA(IF(ISBLANK(TAB_CS[[#This Row],[Reference]]),"",VLOOKUP(TAB_CS[[#This Row],[Reference]],TAB_Offres[[Reference]:[Modification Request]],COLUMNS(TAB_Offres[[Reference]:[Modification Request]]),FALSE)),)</f>
        <v>0</v>
      </c>
      <c r="G80" s="150" t="str">
        <f>IF(ISBLANK(TAB_CS[[#This Row],[Reference]]),"",INDEX(TAB_Offres[Institution/agency],MATCH(TAB_CS[[#This Row],[Reference]],TAB_Offres[Reference],0)))</f>
        <v>EC</v>
      </c>
      <c r="H80" s="150" t="str">
        <f>IF(ISBLANK(TAB_CS[[#This Row],[Reference]]),"",INDEX(TAB_Offres[DG],MATCH(TAB_CS[[#This Row],[Reference]],TAB_Offres[Reference],0)))</f>
        <v xml:space="preserve">DIGIT.B.1	</v>
      </c>
      <c r="I80" t="str">
        <f>IF(ISBLANK(TAB_CS[[#This Row],[Reference]]),"",INDEX(TAB_Offres[Offer description],MATCH(TAB_CS[[#This Row],[Reference]],TAB_Offres[Reference],0)))</f>
        <v>Full-Stack Developer (FSD)</v>
      </c>
      <c r="J80" s="155">
        <f>_xlfn.IFNA(IF(ISBLANK(TAB_CS[[#This Row],[Ressource]]),,VLOOKUP(TAB_CS[[#This Row],[Reference]],TAB_Offres[[Reference]:[CS signature date]],COLUMNS(TAB_Offres[[Reference]:[CS signature date]]),FALSE)),"")</f>
        <v>45166</v>
      </c>
      <c r="K80" s="155">
        <f>_xlfn.IFNA(IF(ISBLANK(TAB_CS[[#This Row],[Ressource]]),,VLOOKUP(TAB_CS[[#This Row],[Reference]],TAB_Offres[[Reference]:[CS start date]],COLUMNS(TAB_Offres[[Reference]:[CS start date]]),FALSE)),"")</f>
        <v>45168</v>
      </c>
      <c r="L80" s="155">
        <f>_xlfn.IFNA(IF(ISBLANK(TAB_CS[[#This Row],[Ressource]]),,VLOOKUP(TAB_CS[[#This Row],[Reference]],TAB_Offres[[Reference]:[CS end date]],COLUMNS(TAB_Offres[[Reference]:[CS end date]]),FALSE)),"")</f>
        <v>45199</v>
      </c>
      <c r="M80" s="1">
        <f>_xlfn.IFNA(IF(ISBLANK(TAB_CS[[#This Row],[Ressource]]),,VLOOKUP(TAB_CS[[#This Row],[Reference]],TAB_Offres[[Reference]:[CS State]],COLUMNS(TAB_Offres[[Reference]:[CS State]]),FALSE)),"")</f>
        <v>0</v>
      </c>
      <c r="N80" s="26" t="str">
        <f>VLOOKUP(TAB_CS[[#This Row],[Reference]],TAB_Offres[[Reference]:[Ressource 1]],25,FALSE)</f>
        <v>LORENC, Adrian</v>
      </c>
      <c r="O80" s="1" t="str">
        <f>_xlfn.IFNA(IF(ISBLANK(TAB_CS[[#This Row],[Ressource]]),,VLOOKUP(TAB_CS[[#This Row],[Reference]],TAB_Offres[[Reference]:[Company]],COLUMNS(TAB_Offres[[Reference]:[Company]]),FALSE)),"")</f>
        <v>TALAN</v>
      </c>
      <c r="P80" s="1" t="str">
        <f>_xlfn.CONCAT(TAB_CS[[#This Row],[Ressource]],TAB_CS[[#This Row],[Profile in €]])</f>
        <v>LORENC, Adrian443,55</v>
      </c>
      <c r="Q80" s="1" t="str">
        <f>_xlfn.CONCAT(TAB_CS[[#This Row],[Company]],TAB_CS[[#This Row],[Business perimeter]])</f>
        <v>TALANNB</v>
      </c>
      <c r="R80" s="1" t="str">
        <f>_xlfn.IFNA(IF(ISBLANK(TAB_CS[[#This Row],[Ressource]]),"",VLOOKUP(TAB_CS[[#This Row],[Reference]],TAB_Offres[[Reference]:[Profile]],COLUMNS(TAB_Offres[[Reference]:[Profile]]),FALSE)),"")</f>
        <v>Full-stack developer-FAR</v>
      </c>
      <c r="S80" s="150">
        <f>_xlfn.IFNA(IF(ISBLANK(TAB_CS[[#This Row],[Ressource]]),"",VLOOKUP(TAB_CS[[#This Row],[Reference]],TAB_Offres[[Reference]:[Level]],COLUMNS(TAB_Offres[[Reference]:[Level]]),FALSE)),"")</f>
        <v>7</v>
      </c>
      <c r="T80" s="357">
        <v>443.55</v>
      </c>
      <c r="U80" s="590">
        <v>0</v>
      </c>
      <c r="V80" s="189">
        <f>IF(OR(ISBLANK(TAB_CS[[#This Row],[Commited days]]),TAB_CS[[#This Row],[Commited days]]=0),,TAB_CS[[#This Row],[Commited days]]*TAB_CS[[#This Row],[Profile in €]])</f>
        <v>0</v>
      </c>
      <c r="W80" s="127">
        <f>SUM(TAB_CS[[#This Row],[F]:[P+1]])-TAB_CS[[#This Row],[P+1]]</f>
        <v>0</v>
      </c>
      <c r="X80" s="189">
        <f>IF(OR(ISBLANK(TAB_CS[[#This Row],[Producted days]]),TAB_CS[[#This Row],[Producted days]]=0),,TAB_CS[[#This Row],[Producted days]]*TAB_CS[[#This Row],[Profile in €]])</f>
        <v>0</v>
      </c>
      <c r="Y80" s="188">
        <f>TAB_CS[[#This Row],[Commited days]]-TAB_CS[[#This Row],[Producted days]]</f>
        <v>0</v>
      </c>
      <c r="Z80" s="189">
        <f>IF(OR(ISBLANK(TAB_CS[[#This Row],[Remaining days]]),TAB_CS[[#This Row],[Remaining days]]=0),,TAB_CS[[#This Row],[Remaining days]]*TAB_CS[[#This Row],[Profile in €]])</f>
        <v>0</v>
      </c>
      <c r="AA80" s="187">
        <f>SUM(TAB_CS[[#This Row],[P+1]:[FP]])</f>
        <v>0</v>
      </c>
      <c r="AB80" s="10">
        <f>IF(OR(ISBLANK(TAB_CS[[#This Row],[Expected days]]),TAB_CS[[#This Row],[Expected days]]=0),,TAB_CS[[#This Row],[Expected days]]*TAB_CS[[#This Row],[Profile in €]])</f>
        <v>0</v>
      </c>
      <c r="AC80" s="14" t="str">
        <f>CONCATENATE(TAB_CS[[#This Row],[DG]],TAB_CS[[#This Row],[Company]])</f>
        <v>DIGIT.B.1	TALAN</v>
      </c>
      <c r="AD80" s="144"/>
      <c r="AE80" s="646"/>
      <c r="AF80" s="647"/>
      <c r="AG80" s="647"/>
      <c r="AH80" s="647"/>
      <c r="AI80" s="646"/>
      <c r="AJ80" s="647"/>
      <c r="AK80" s="643"/>
      <c r="AL80" s="643"/>
      <c r="AM80" s="646"/>
      <c r="AN80" s="646"/>
      <c r="AO80" s="646"/>
      <c r="AP80" s="646"/>
      <c r="AQ80" s="646"/>
      <c r="AR80" s="646"/>
      <c r="AS80" s="646"/>
      <c r="AT80" s="643"/>
      <c r="AU80" s="643"/>
      <c r="AV80" s="644"/>
      <c r="AW80" s="644"/>
      <c r="AX80" s="644"/>
      <c r="AY80" s="644"/>
      <c r="AZ80" s="644"/>
      <c r="BA80" s="644"/>
      <c r="BB80" s="644"/>
      <c r="BC80" s="644"/>
      <c r="BD80" s="644"/>
      <c r="BE80" s="644"/>
      <c r="BF80" s="644"/>
      <c r="BG80" s="644"/>
      <c r="BH80" s="644"/>
      <c r="BI80" s="173"/>
      <c r="BJ80" s="644"/>
      <c r="BK80" s="644"/>
      <c r="BL80" s="644"/>
      <c r="BM80" s="173"/>
      <c r="BN80" s="644"/>
      <c r="BO80" s="644"/>
      <c r="BP80" s="644"/>
      <c r="BQ80" s="644"/>
      <c r="BR80" s="644"/>
      <c r="BS80" s="644"/>
      <c r="BT80" s="644"/>
      <c r="BU80" s="644"/>
      <c r="BV80" s="644"/>
      <c r="BW80" s="644"/>
      <c r="BX80" s="644"/>
      <c r="BY80" s="644"/>
      <c r="BZ80" s="224"/>
    </row>
    <row r="81" spans="1:78" s="4" customFormat="1" ht="14.4" x14ac:dyDescent="0.3">
      <c r="A81" s="150">
        <f>IF(ISBLANK(TAB_CS[[#This Row],[Reference]]),"",INDEX(TAB_Offres[ID],MATCH(TAB_CS[[#This Row],[Reference]],TAB_Offres[Reference],0)))</f>
        <v>78</v>
      </c>
      <c r="B81" s="154" t="s">
        <v>5476</v>
      </c>
      <c r="C81" s="150" t="s">
        <v>5597</v>
      </c>
      <c r="D81" s="150" t="str">
        <f>IF(ISBLANK(TAB_CS[[#This Row],[Reference]]),"",VLOOKUP(TAB_CS[[#This Row],[ID]],TAB_Offres[],2,FALSE))</f>
        <v>Lot 1</v>
      </c>
      <c r="E81" s="150" t="s">
        <v>5920</v>
      </c>
      <c r="F81" s="154" t="s">
        <v>5833</v>
      </c>
      <c r="G81" s="150" t="str">
        <f>IF(ISBLANK(TAB_CS[[#This Row],[Reference]]),"",INDEX(TAB_Offres[Institution/agency],MATCH(TAB_CS[[#This Row],[Reference]],TAB_Offres[Reference],0)))</f>
        <v>EC</v>
      </c>
      <c r="H81" s="150" t="str">
        <f>IF(ISBLANK(TAB_CS[[#This Row],[Reference]]),"",INDEX(TAB_Offres[DG],MATCH(TAB_CS[[#This Row],[Reference]],TAB_Offres[Reference],0)))</f>
        <v>RTD</v>
      </c>
      <c r="I81" t="str">
        <f>IF(ISBLANK(TAB_CS[[#This Row],[Reference]]),"",INDEX(TAB_Offres[Offer description],MATCH(TAB_CS[[#This Row],[Reference]],TAB_Offres[Reference],0)))</f>
        <v xml:space="preserve">	Front-end Developer (FED)</v>
      </c>
      <c r="J81" s="155">
        <f>_xlfn.IFNA(IF(ISBLANK(TAB_CS[[#This Row],[Ressource]]),,VLOOKUP(TAB_CS[[#This Row],[Reference]],TAB_Offres[[Reference]:[CS signature date]],COLUMNS(TAB_Offres[[Reference]:[CS signature date]]),FALSE)),"")</f>
        <v>45203</v>
      </c>
      <c r="K81" s="155">
        <f>_xlfn.IFNA(IF(ISBLANK(TAB_CS[[#This Row],[Ressource]]),,VLOOKUP(TAB_CS[[#This Row],[Reference]],TAB_Offres[[Reference]:[CS start date]],COLUMNS(TAB_Offres[[Reference]:[CS start date]]),FALSE)),"")</f>
        <v>45204</v>
      </c>
      <c r="L81" s="155">
        <f>_xlfn.IFNA(IF(ISBLANK(TAB_CS[[#This Row],[Ressource]]),,VLOOKUP(TAB_CS[[#This Row],[Reference]],TAB_Offres[[Reference]:[CS end date]],COLUMNS(TAB_Offres[[Reference]:[CS end date]]),FALSE)),"")</f>
        <v>45657</v>
      </c>
      <c r="M81" s="1">
        <f>_xlfn.IFNA(IF(ISBLANK(TAB_CS[[#This Row],[Ressource]]),,VLOOKUP(TAB_CS[[#This Row],[Reference]],TAB_Offres[[Reference]:[CS State]],COLUMNS(TAB_Offres[[Reference]:[CS State]]),FALSE)),"")</f>
        <v>0</v>
      </c>
      <c r="N81" s="154" t="str">
        <f>VLOOKUP(TAB_CS[[#This Row],[Reference]],TAB_Offres[[Reference]:[Ressource 1]],25,FALSE)</f>
        <v>TRANDAFIR, Tiberiu</v>
      </c>
      <c r="O81" s="150" t="str">
        <f>_xlfn.IFNA(IF(ISBLANK(TAB_CS[[#This Row],[Ressource]]),,VLOOKUP(TAB_CS[[#This Row],[Reference]],TAB_Offres[[Reference]:[Company]],COLUMNS(TAB_Offres[[Reference]:[Company]]),FALSE)),"")</f>
        <v>TREMEND</v>
      </c>
      <c r="P81" s="1" t="str">
        <f>_xlfn.CONCAT(TAB_CS[[#This Row],[Ressource]],TAB_CS[[#This Row],[Profile in €]])</f>
        <v>TRANDAFIR, Tiberiu274,61</v>
      </c>
      <c r="Q81" s="1" t="str">
        <f>_xlfn.CONCAT(TAB_CS[[#This Row],[Company]],TAB_CS[[#This Row],[Business perimeter]])</f>
        <v>TREMENDNB</v>
      </c>
      <c r="R81" s="150" t="str">
        <f>_xlfn.IFNA(IF(ISBLANK(TAB_CS[[#This Row],[Ressource]]),"",VLOOKUP(TAB_CS[[#This Row],[Reference]],TAB_Offres[[Reference]:[Profile]],COLUMNS(TAB_Offres[[Reference]:[Profile]]),FALSE)),"")</f>
        <v>Front-end developer-FAR</v>
      </c>
      <c r="S81" s="150">
        <f>_xlfn.IFNA(IF(ISBLANK(TAB_CS[[#This Row],[Ressource]]),"",VLOOKUP(TAB_CS[[#This Row],[Reference]],TAB_Offres[[Reference]:[Level]],COLUMNS(TAB_Offres[[Reference]:[Level]]),FALSE)),"")</f>
        <v>5</v>
      </c>
      <c r="T81" s="357">
        <v>274.61</v>
      </c>
      <c r="U81" s="151">
        <v>215</v>
      </c>
      <c r="V81" s="205">
        <f>IF(OR(ISBLANK(TAB_CS[[#This Row],[Commited days]]),TAB_CS[[#This Row],[Commited days]]=0),,TAB_CS[[#This Row],[Commited days]]*TAB_CS[[#This Row],[Profile in €]])</f>
        <v>59041.15</v>
      </c>
      <c r="W81" s="156">
        <f>SUM(TAB_CS[[#This Row],[F]:[P+1]])-TAB_CS[[#This Row],[P+1]]</f>
        <v>215</v>
      </c>
      <c r="X81" s="205">
        <f>IF(OR(ISBLANK(TAB_CS[[#This Row],[Producted days]]),TAB_CS[[#This Row],[Producted days]]=0),,TAB_CS[[#This Row],[Producted days]]*TAB_CS[[#This Row],[Profile in €]])</f>
        <v>59041.15</v>
      </c>
      <c r="Y81" s="206">
        <f>TAB_CS[[#This Row],[Commited days]]-TAB_CS[[#This Row],[Producted days]]</f>
        <v>0</v>
      </c>
      <c r="Z81" s="205">
        <f>IF(OR(ISBLANK(TAB_CS[[#This Row],[Remaining days]]),TAB_CS[[#This Row],[Remaining days]]=0),,TAB_CS[[#This Row],[Remaining days]]*TAB_CS[[#This Row],[Profile in €]])</f>
        <v>0</v>
      </c>
      <c r="AA81" s="207">
        <f>SUM(TAB_CS[[#This Row],[P+1]:[FP]])</f>
        <v>0</v>
      </c>
      <c r="AB81" s="208">
        <f>IF(OR(ISBLANK(TAB_CS[[#This Row],[Expected days]]),TAB_CS[[#This Row],[Expected days]]=0),,TAB_CS[[#This Row],[Expected days]]*TAB_CS[[#This Row],[Profile in €]])</f>
        <v>0</v>
      </c>
      <c r="AC81" s="14" t="str">
        <f>CONCATENATE(TAB_CS[[#This Row],[DG]],TAB_CS[[#This Row],[Company]])</f>
        <v>RTDTREMEND</v>
      </c>
      <c r="AD81" s="144"/>
      <c r="AE81" s="150"/>
      <c r="AF81" s="151"/>
      <c r="AG81" s="151"/>
      <c r="AH81" s="151"/>
      <c r="AI81" s="150"/>
      <c r="AJ81" s="151"/>
      <c r="AK81" s="156"/>
      <c r="AL81" s="156"/>
      <c r="AM81" s="150"/>
      <c r="AN81" s="150"/>
      <c r="AO81" s="150"/>
      <c r="AP81" s="150"/>
      <c r="AQ81" s="150"/>
      <c r="AR81" s="150"/>
      <c r="AS81" s="150"/>
      <c r="AT81" s="156"/>
      <c r="AU81" s="156"/>
      <c r="AV81" s="171"/>
      <c r="AW81" s="352">
        <v>19</v>
      </c>
      <c r="AX81" s="352">
        <v>20</v>
      </c>
      <c r="AY81" s="352">
        <v>15</v>
      </c>
      <c r="AZ81" s="352">
        <v>20</v>
      </c>
      <c r="BA81" s="352">
        <v>20</v>
      </c>
      <c r="BB81" s="352">
        <v>19</v>
      </c>
      <c r="BC81" s="352">
        <v>21</v>
      </c>
      <c r="BD81" s="352">
        <v>18</v>
      </c>
      <c r="BE81" s="352">
        <v>19</v>
      </c>
      <c r="BF81" s="352">
        <v>23</v>
      </c>
      <c r="BG81" s="352">
        <v>19</v>
      </c>
      <c r="BH81" s="352">
        <v>2</v>
      </c>
      <c r="BI81" s="350"/>
      <c r="BJ81" s="644"/>
      <c r="BK81" s="644"/>
      <c r="BL81" s="644"/>
      <c r="BM81" s="350"/>
      <c r="BN81" s="644"/>
      <c r="BO81" s="644"/>
      <c r="BP81" s="644"/>
      <c r="BQ81" s="644"/>
      <c r="BR81" s="644"/>
      <c r="BS81" s="644"/>
      <c r="BT81" s="644"/>
      <c r="BU81" s="644"/>
      <c r="BV81" s="644"/>
      <c r="BW81" s="644"/>
      <c r="BX81" s="644"/>
      <c r="BY81" s="644"/>
      <c r="BZ81" s="324"/>
    </row>
    <row r="82" spans="1:78" ht="14.4" x14ac:dyDescent="0.3">
      <c r="A82" s="1">
        <f>IF(ISBLANK(TAB_CS[[#This Row],[Reference]]),"",INDEX(TAB_Offres[ID],MATCH(TAB_CS[[#This Row],[Reference]],TAB_Offres[Reference],0)))</f>
        <v>79</v>
      </c>
      <c r="B82" s="26" t="s">
        <v>5566</v>
      </c>
      <c r="C82" s="150" t="s">
        <v>5668</v>
      </c>
      <c r="D82" s="1" t="str">
        <f>IF(ISBLANK(TAB_CS[[#This Row],[Reference]]),"",VLOOKUP(TAB_CS[[#This Row],[ID]],TAB_Offres[],2,FALSE))</f>
        <v>Lot 1</v>
      </c>
      <c r="E82" s="150" t="s">
        <v>5920</v>
      </c>
      <c r="F82" s="26">
        <f>_xlfn.IFNA(IF(ISBLANK(TAB_CS[[#This Row],[Reference]]),"",VLOOKUP(TAB_CS[[#This Row],[Reference]],TAB_Offres[[Reference]:[Modification Request]],COLUMNS(TAB_Offres[[Reference]:[Modification Request]]),FALSE)),)</f>
        <v>0</v>
      </c>
      <c r="G82" s="150" t="str">
        <f>IF(ISBLANK(TAB_CS[[#This Row],[Reference]]),"",INDEX(TAB_Offres[Institution/agency],MATCH(TAB_CS[[#This Row],[Reference]],TAB_Offres[Reference],0)))</f>
        <v>EC</v>
      </c>
      <c r="H82" s="150" t="str">
        <f>IF(ISBLANK(TAB_CS[[#This Row],[Reference]]),"",INDEX(TAB_Offres[DG],MATCH(TAB_CS[[#This Row],[Reference]],TAB_Offres[Reference],0)))</f>
        <v>DIGIT.A.4</v>
      </c>
      <c r="I82" t="str">
        <f>IF(ISBLANK(TAB_CS[[#This Row],[Reference]]),"",INDEX(TAB_Offres[Offer description],MATCH(TAB_CS[[#This Row],[Reference]],TAB_Offres[Reference],0)))</f>
        <v>Full-Stack Developer (FSD)</v>
      </c>
      <c r="J82" s="155">
        <f>_xlfn.IFNA(IF(ISBLANK(TAB_CS[[#This Row],[Ressource]]),,VLOOKUP(TAB_CS[[#This Row],[Reference]],TAB_Offres[[Reference]:[CS signature date]],COLUMNS(TAB_Offres[[Reference]:[CS signature date]]),FALSE)),"")</f>
        <v>45181</v>
      </c>
      <c r="K82" s="155">
        <f>_xlfn.IFNA(IF(ISBLANK(TAB_CS[[#This Row],[Ressource]]),,VLOOKUP(TAB_CS[[#This Row],[Reference]],TAB_Offres[[Reference]:[CS start date]],COLUMNS(TAB_Offres[[Reference]:[CS start date]]),FALSE)),"")</f>
        <v>45182</v>
      </c>
      <c r="L82" s="155">
        <f>_xlfn.IFNA(IF(ISBLANK(TAB_CS[[#This Row],[Ressource]]),,VLOOKUP(TAB_CS[[#This Row],[Reference]],TAB_Offres[[Reference]:[CS end date]],COLUMNS(TAB_Offres[[Reference]:[CS end date]]),FALSE)),"")</f>
        <v>45565</v>
      </c>
      <c r="M82" s="1">
        <f>_xlfn.IFNA(IF(ISBLANK(TAB_CS[[#This Row],[Ressource]]),,VLOOKUP(TAB_CS[[#This Row],[Reference]],TAB_Offres[[Reference]:[CS State]],COLUMNS(TAB_Offres[[Reference]:[CS State]]),FALSE)),"")</f>
        <v>0</v>
      </c>
      <c r="N82" s="26" t="str">
        <f>VLOOKUP(TAB_CS[[#This Row],[Reference]],TAB_Offres[[Reference]:[Ressource 1]],25,FALSE)</f>
        <v>MEDAN, Andrei</v>
      </c>
      <c r="O82" s="1" t="str">
        <f>_xlfn.IFNA(IF(ISBLANK(TAB_CS[[#This Row],[Ressource]]),,VLOOKUP(TAB_CS[[#This Row],[Reference]],TAB_Offres[[Reference]:[Company]],COLUMNS(TAB_Offres[[Reference]:[Company]]),FALSE)),"")</f>
        <v>EDDA</v>
      </c>
      <c r="P82" s="1" t="str">
        <f>_xlfn.CONCAT(TAB_CS[[#This Row],[Ressource]],TAB_CS[[#This Row],[Profile in €]])</f>
        <v>MEDAN, Andrei463,9</v>
      </c>
      <c r="Q82" s="1" t="str">
        <f>_xlfn.CONCAT(TAB_CS[[#This Row],[Company]],TAB_CS[[#This Row],[Business perimeter]])</f>
        <v>EDDANB</v>
      </c>
      <c r="R82" s="1" t="str">
        <f>_xlfn.IFNA(IF(ISBLANK(TAB_CS[[#This Row],[Ressource]]),"",VLOOKUP(TAB_CS[[#This Row],[Reference]],TAB_Offres[[Reference]:[Profile]],COLUMNS(TAB_Offres[[Reference]:[Profile]]),FALSE)),"")</f>
        <v>Front-end developer-FAR</v>
      </c>
      <c r="S82" s="150">
        <f>_xlfn.IFNA(IF(ISBLANK(TAB_CS[[#This Row],[Ressource]]),"",VLOOKUP(TAB_CS[[#This Row],[Reference]],TAB_Offres[[Reference]:[Level]],COLUMNS(TAB_Offres[[Reference]:[Level]]),FALSE)),"")</f>
        <v>8</v>
      </c>
      <c r="T82" s="357">
        <v>463.9</v>
      </c>
      <c r="U82" s="13">
        <v>115</v>
      </c>
      <c r="V82" s="189">
        <f>IF(OR(ISBLANK(TAB_CS[[#This Row],[Commited days]]),TAB_CS[[#This Row],[Commited days]]=0),,TAB_CS[[#This Row],[Commited days]]*TAB_CS[[#This Row],[Profile in €]])</f>
        <v>53348.5</v>
      </c>
      <c r="W82" s="127">
        <f>SUM(TAB_CS[[#This Row],[F]:[P+1]])-TAB_CS[[#This Row],[P+1]]</f>
        <v>115</v>
      </c>
      <c r="X82" s="189">
        <f>IF(OR(ISBLANK(TAB_CS[[#This Row],[Producted days]]),TAB_CS[[#This Row],[Producted days]]=0),,TAB_CS[[#This Row],[Producted days]]*TAB_CS[[#This Row],[Profile in €]])</f>
        <v>53348.5</v>
      </c>
      <c r="Y82" s="188">
        <f>TAB_CS[[#This Row],[Commited days]]-TAB_CS[[#This Row],[Producted days]]</f>
        <v>0</v>
      </c>
      <c r="Z82" s="189">
        <f>IF(OR(ISBLANK(TAB_CS[[#This Row],[Remaining days]]),TAB_CS[[#This Row],[Remaining days]]=0),,TAB_CS[[#This Row],[Remaining days]]*TAB_CS[[#This Row],[Profile in €]])</f>
        <v>0</v>
      </c>
      <c r="AA82" s="187">
        <f>SUM(TAB_CS[[#This Row],[P+1]:[FP]])</f>
        <v>0</v>
      </c>
      <c r="AB82" s="10">
        <f>IF(OR(ISBLANK(TAB_CS[[#This Row],[Expected days]]),TAB_CS[[#This Row],[Expected days]]=0),,TAB_CS[[#This Row],[Expected days]]*TAB_CS[[#This Row],[Profile in €]])</f>
        <v>0</v>
      </c>
      <c r="AC82" s="14" t="str">
        <f>CONCATENATE(TAB_CS[[#This Row],[DG]],TAB_CS[[#This Row],[Company]])</f>
        <v>DIGIT.A.4EDDA</v>
      </c>
      <c r="AD82" s="144"/>
      <c r="AE82" s="150"/>
      <c r="AF82" s="151"/>
      <c r="AG82" s="151"/>
      <c r="AH82" s="151"/>
      <c r="AI82" s="150"/>
      <c r="AJ82" s="151"/>
      <c r="AK82" s="156"/>
      <c r="AL82" s="156"/>
      <c r="AM82" s="150"/>
      <c r="AN82" s="150"/>
      <c r="AO82" s="150"/>
      <c r="AP82" s="150"/>
      <c r="AQ82" s="150"/>
      <c r="AR82" s="150"/>
      <c r="AS82" s="150"/>
      <c r="AT82" s="156"/>
      <c r="AU82" s="156"/>
      <c r="AV82" s="171"/>
      <c r="AW82" s="352">
        <v>11</v>
      </c>
      <c r="AX82" s="352">
        <f>22+1</f>
        <v>23</v>
      </c>
      <c r="AY82" s="352">
        <v>18</v>
      </c>
      <c r="AZ82" s="352">
        <v>21</v>
      </c>
      <c r="BA82" s="352">
        <v>21</v>
      </c>
      <c r="BB82" s="352">
        <v>20.5</v>
      </c>
      <c r="BC82" s="352">
        <v>0.5</v>
      </c>
      <c r="BD82" s="644"/>
      <c r="BE82" s="644"/>
      <c r="BF82" s="644"/>
      <c r="BG82" s="644"/>
      <c r="BH82" s="644"/>
      <c r="BI82" s="173"/>
      <c r="BJ82" s="644"/>
      <c r="BK82" s="644"/>
      <c r="BL82" s="644"/>
      <c r="BM82" s="173"/>
      <c r="BN82" s="644"/>
      <c r="BO82" s="644"/>
      <c r="BP82" s="644"/>
      <c r="BQ82" s="644"/>
      <c r="BR82" s="644"/>
      <c r="BS82" s="644"/>
      <c r="BT82" s="644"/>
      <c r="BU82" s="644"/>
      <c r="BV82" s="644"/>
      <c r="BW82" s="644"/>
      <c r="BX82" s="644"/>
      <c r="BY82" s="644"/>
      <c r="BZ82" s="224"/>
    </row>
    <row r="83" spans="1:78" s="4" customFormat="1" ht="14.4" x14ac:dyDescent="0.3">
      <c r="A83" s="150">
        <f>IF(ISBLANK(TAB_CS[[#This Row],[Reference]]),"",INDEX(TAB_Offres[ID],MATCH(TAB_CS[[#This Row],[Reference]],TAB_Offres[Reference],0)))</f>
        <v>80</v>
      </c>
      <c r="B83" s="154" t="s">
        <v>5507</v>
      </c>
      <c r="C83" s="150" t="s">
        <v>5782</v>
      </c>
      <c r="D83" s="150" t="str">
        <f>IF(ISBLANK(TAB_CS[[#This Row],[Reference]]),"",VLOOKUP(TAB_CS[[#This Row],[ID]],TAB_Offres[],2,FALSE))</f>
        <v>Lot 1</v>
      </c>
      <c r="E83" s="150" t="s">
        <v>5920</v>
      </c>
      <c r="F83" s="154">
        <f>_xlfn.IFNA(IF(ISBLANK(TAB_CS[[#This Row],[Reference]]),"",VLOOKUP(TAB_CS[[#This Row],[Reference]],TAB_Offres[[Reference]:[Modification Request]],COLUMNS(TAB_Offres[[Reference]:[Modification Request]]),FALSE)),)</f>
        <v>0</v>
      </c>
      <c r="G83" s="150" t="str">
        <f>IF(ISBLANK(TAB_CS[[#This Row],[Reference]]),"",INDEX(TAB_Offres[Institution/agency],MATCH(TAB_CS[[#This Row],[Reference]],TAB_Offres[Reference],0)))</f>
        <v>EC</v>
      </c>
      <c r="H83" s="150" t="str">
        <f>IF(ISBLANK(TAB_CS[[#This Row],[Reference]]),"",INDEX(TAB_Offres[DG],MATCH(TAB_CS[[#This Row],[Reference]],TAB_Offres[Reference],0)))</f>
        <v>ENV</v>
      </c>
      <c r="I83" t="str">
        <f>IF(ISBLANK(TAB_CS[[#This Row],[Reference]]),"",INDEX(TAB_Offres[Offer description],MATCH(TAB_CS[[#This Row],[Reference]],TAB_Offres[Reference],0)))</f>
        <v xml:space="preserve">Full-Stack Developer (FSD)	</v>
      </c>
      <c r="J83" s="155">
        <f>_xlfn.IFNA(IF(ISBLANK(TAB_CS[[#This Row],[Ressource]]),,VLOOKUP(TAB_CS[[#This Row],[Reference]],TAB_Offres[[Reference]:[CS signature date]],COLUMNS(TAB_Offres[[Reference]:[CS signature date]]),FALSE)),"")</f>
        <v>45210</v>
      </c>
      <c r="K83" s="155">
        <f>_xlfn.IFNA(IF(ISBLANK(TAB_CS[[#This Row],[Ressource]]),,VLOOKUP(TAB_CS[[#This Row],[Reference]],TAB_Offres[[Reference]:[CS start date]],COLUMNS(TAB_Offres[[Reference]:[CS start date]]),FALSE)),"")</f>
        <v>45210</v>
      </c>
      <c r="L83" s="155">
        <f>_xlfn.IFNA(IF(ISBLANK(TAB_CS[[#This Row],[Ressource]]),,VLOOKUP(TAB_CS[[#This Row],[Reference]],TAB_Offres[[Reference]:[CS end date]],COLUMNS(TAB_Offres[[Reference]:[CS end date]]),FALSE)),"")</f>
        <v>45626</v>
      </c>
      <c r="M83" s="1">
        <f>_xlfn.IFNA(IF(ISBLANK(TAB_CS[[#This Row],[Ressource]]),,VLOOKUP(TAB_CS[[#This Row],[Reference]],TAB_Offres[[Reference]:[CS State]],COLUMNS(TAB_Offres[[Reference]:[CS State]]),FALSE)),"")</f>
        <v>0</v>
      </c>
      <c r="N83" s="154" t="str">
        <f>VLOOKUP(TAB_CS[[#This Row],[Reference]],TAB_Offres[[Reference]:[Ressource 1]],25,FALSE)</f>
        <v>TRINDADE-SALGUEIRO, Nuno</v>
      </c>
      <c r="O83" s="150" t="str">
        <f>_xlfn.IFNA(IF(ISBLANK(TAB_CS[[#This Row],[Ressource]]),,VLOOKUP(TAB_CS[[#This Row],[Reference]],TAB_Offres[[Reference]:[Company]],COLUMNS(TAB_Offres[[Reference]:[Company]]),FALSE)),"")</f>
        <v>CGI LUX</v>
      </c>
      <c r="P83" s="1" t="str">
        <f>_xlfn.CONCAT(TAB_CS[[#This Row],[Ressource]],TAB_CS[[#This Row],[Profile in €]])</f>
        <v>TRINDADE-SALGUEIRO, Nuno531,12</v>
      </c>
      <c r="Q83" s="1" t="str">
        <f>_xlfn.CONCAT(TAB_CS[[#This Row],[Company]],TAB_CS[[#This Row],[Business perimeter]])</f>
        <v>CGI LUXNB</v>
      </c>
      <c r="R83" s="150" t="str">
        <f>_xlfn.IFNA(IF(ISBLANK(TAB_CS[[#This Row],[Ressource]]),"",VLOOKUP(TAB_CS[[#This Row],[Reference]],TAB_Offres[[Reference]:[Profile]],COLUMNS(TAB_Offres[[Reference]:[Profile]]),FALSE)),"")</f>
        <v>Full-stack developer-FAR</v>
      </c>
      <c r="S83" s="150">
        <f>_xlfn.IFNA(IF(ISBLANK(TAB_CS[[#This Row],[Ressource]]),"",VLOOKUP(TAB_CS[[#This Row],[Reference]],TAB_Offres[[Reference]:[Level]],COLUMNS(TAB_Offres[[Reference]:[Level]]),FALSE)),"")</f>
        <v>10</v>
      </c>
      <c r="T83" s="156">
        <f>_xlfn.IFNA(IF(OR(ISBLANK(TAB_CS[[#This Row],[Level]]),TAB_CS[[#This Row],[Level]]=""),,VLOOKUP(TAB_CS[[#This Row],[Profile]],TAB_prix[],2+TAB_CS[[#This Row],[Level]],FALSE)),)</f>
        <v>531.12</v>
      </c>
      <c r="U83" s="151">
        <v>220</v>
      </c>
      <c r="V83" s="205">
        <f>IF(OR(ISBLANK(TAB_CS[[#This Row],[Commited days]]),TAB_CS[[#This Row],[Commited days]]=0),,TAB_CS[[#This Row],[Commited days]]*TAB_CS[[#This Row],[Profile in €]])</f>
        <v>116846.39999999999</v>
      </c>
      <c r="W83" s="156">
        <f>SUM(TAB_CS[[#This Row],[F]:[P+1]])-TAB_CS[[#This Row],[P+1]]</f>
        <v>220</v>
      </c>
      <c r="X83" s="205">
        <f>IF(OR(ISBLANK(TAB_CS[[#This Row],[Producted days]]),TAB_CS[[#This Row],[Producted days]]=0),,TAB_CS[[#This Row],[Producted days]]*TAB_CS[[#This Row],[Profile in €]])</f>
        <v>116846.39999999999</v>
      </c>
      <c r="Y83" s="206">
        <f>TAB_CS[[#This Row],[Commited days]]-TAB_CS[[#This Row],[Producted days]]</f>
        <v>0</v>
      </c>
      <c r="Z83" s="205">
        <f>IF(OR(ISBLANK(TAB_CS[[#This Row],[Remaining days]]),TAB_CS[[#This Row],[Remaining days]]=0),,TAB_CS[[#This Row],[Remaining days]]*TAB_CS[[#This Row],[Profile in €]])</f>
        <v>0</v>
      </c>
      <c r="AA83" s="207">
        <f>SUM(TAB_CS[[#This Row],[P+1]:[FP]])</f>
        <v>0</v>
      </c>
      <c r="AB83" s="208">
        <f>IF(OR(ISBLANK(TAB_CS[[#This Row],[Expected days]]),TAB_CS[[#This Row],[Expected days]]=0),,TAB_CS[[#This Row],[Expected days]]*TAB_CS[[#This Row],[Profile in €]])</f>
        <v>0</v>
      </c>
      <c r="AC83" s="14" t="str">
        <f>CONCATENATE(TAB_CS[[#This Row],[DG]],TAB_CS[[#This Row],[Company]])</f>
        <v>ENVCGI LUX</v>
      </c>
      <c r="AD83" s="144"/>
      <c r="AE83" s="150"/>
      <c r="AF83" s="151"/>
      <c r="AG83" s="151"/>
      <c r="AH83" s="151"/>
      <c r="AI83" s="150"/>
      <c r="AJ83" s="151"/>
      <c r="AK83" s="156"/>
      <c r="AL83" s="156"/>
      <c r="AM83" s="150"/>
      <c r="AN83" s="150"/>
      <c r="AO83" s="150"/>
      <c r="AP83" s="150"/>
      <c r="AQ83" s="150"/>
      <c r="AR83" s="150"/>
      <c r="AS83" s="150"/>
      <c r="AT83" s="156"/>
      <c r="AU83" s="156"/>
      <c r="AV83" s="171"/>
      <c r="AW83" s="352">
        <v>8.5</v>
      </c>
      <c r="AX83" s="352">
        <v>19</v>
      </c>
      <c r="AY83" s="352">
        <v>15</v>
      </c>
      <c r="AZ83" s="352">
        <v>20.5</v>
      </c>
      <c r="BA83" s="352">
        <v>21</v>
      </c>
      <c r="BB83" s="352">
        <v>17.5</v>
      </c>
      <c r="BC83" s="352">
        <v>21</v>
      </c>
      <c r="BD83" s="352">
        <v>13.5</v>
      </c>
      <c r="BE83" s="352">
        <v>20</v>
      </c>
      <c r="BF83" s="352">
        <v>23</v>
      </c>
      <c r="BG83" s="352">
        <v>20</v>
      </c>
      <c r="BH83" s="352">
        <v>16</v>
      </c>
      <c r="BI83" s="350"/>
      <c r="BJ83" s="171">
        <v>5</v>
      </c>
      <c r="BK83" s="171"/>
      <c r="BL83" s="644"/>
      <c r="BM83" s="350"/>
      <c r="BN83" s="644"/>
      <c r="BO83" s="644"/>
      <c r="BP83" s="644"/>
      <c r="BQ83" s="644"/>
      <c r="BR83" s="644"/>
      <c r="BS83" s="644"/>
      <c r="BT83" s="644"/>
      <c r="BU83" s="644"/>
      <c r="BV83" s="644"/>
      <c r="BW83" s="644"/>
      <c r="BX83" s="644"/>
      <c r="BY83" s="644"/>
      <c r="BZ83" s="324"/>
    </row>
    <row r="84" spans="1:78" ht="14.4" x14ac:dyDescent="0.3">
      <c r="A84" s="1">
        <f>IF(ISBLANK(TAB_CS[[#This Row],[Reference]]),"",INDEX(TAB_Offres[ID],MATCH(TAB_CS[[#This Row],[Reference]],TAB_Offres[Reference],0)))</f>
        <v>82</v>
      </c>
      <c r="B84" s="26" t="s">
        <v>5514</v>
      </c>
      <c r="C84" s="1" t="s">
        <v>5787</v>
      </c>
      <c r="D84" s="1" t="str">
        <f>IF(ISBLANK(TAB_CS[[#This Row],[Reference]]),"",VLOOKUP(TAB_CS[[#This Row],[ID]],TAB_Offres[],2,FALSE))</f>
        <v>Lot 2</v>
      </c>
      <c r="E84" s="150" t="s">
        <v>5920</v>
      </c>
      <c r="F84" s="26">
        <f>_xlfn.IFNA(IF(ISBLANK(TAB_CS[[#This Row],[Reference]]),"",VLOOKUP(TAB_CS[[#This Row],[Reference]],TAB_Offres[[Reference]:[Modification Request]],COLUMNS(TAB_Offres[[Reference]:[Modification Request]]),FALSE)),)</f>
        <v>0</v>
      </c>
      <c r="G84" s="150" t="str">
        <f>IF(ISBLANK(TAB_CS[[#This Row],[Reference]]),"",INDEX(TAB_Offres[Institution/agency],MATCH(TAB_CS[[#This Row],[Reference]],TAB_Offres[Reference],0)))</f>
        <v>EC</v>
      </c>
      <c r="H84" s="150" t="str">
        <f>IF(ISBLANK(TAB_CS[[#This Row],[Reference]]),"",INDEX(TAB_Offres[DG],MATCH(TAB_CS[[#This Row],[Reference]],TAB_Offres[Reference],0)))</f>
        <v>JUST</v>
      </c>
      <c r="I84" t="str">
        <f>IF(ISBLANK(TAB_CS[[#This Row],[Reference]]),"",INDEX(TAB_Offres[Offer description],MATCH(TAB_CS[[#This Row],[Reference]],TAB_Offres[Reference],0)))</f>
        <v xml:space="preserve">	Project Manager</v>
      </c>
      <c r="J84" s="155">
        <f>_xlfn.IFNA(IF(ISBLANK(TAB_CS[[#This Row],[Ressource]]),,VLOOKUP(TAB_CS[[#This Row],[Reference]],TAB_Offres[[Reference]:[CS signature date]],COLUMNS(TAB_Offres[[Reference]:[CS signature date]]),FALSE)),"")</f>
        <v>45224</v>
      </c>
      <c r="K84" s="155">
        <f>_xlfn.IFNA(IF(ISBLANK(TAB_CS[[#This Row],[Ressource]]),,VLOOKUP(TAB_CS[[#This Row],[Reference]],TAB_Offres[[Reference]:[CS start date]],COLUMNS(TAB_Offres[[Reference]:[CS start date]]),FALSE)),"")</f>
        <v>45236</v>
      </c>
      <c r="L84" s="155">
        <f>_xlfn.IFNA(IF(ISBLANK(TAB_CS[[#This Row],[Ressource]]),,VLOOKUP(TAB_CS[[#This Row],[Reference]],TAB_Offres[[Reference]:[CS end date]],COLUMNS(TAB_Offres[[Reference]:[CS end date]]),FALSE)),"")</f>
        <v>45747</v>
      </c>
      <c r="M84" s="1">
        <f>_xlfn.IFNA(IF(ISBLANK(TAB_CS[[#This Row],[Ressource]]),,VLOOKUP(TAB_CS[[#This Row],[Reference]],TAB_Offres[[Reference]:[CS State]],COLUMNS(TAB_Offres[[Reference]:[CS State]]),FALSE)),"")</f>
        <v>0</v>
      </c>
      <c r="N84" s="26" t="str">
        <f>VLOOKUP(TAB_CS[[#This Row],[Reference]],TAB_Offres[[Reference]:[Ressource 1]],25,FALSE)</f>
        <v>DEBSKI, Tomasz</v>
      </c>
      <c r="O84" s="1" t="str">
        <f>_xlfn.IFNA(IF(ISBLANK(TAB_CS[[#This Row],[Ressource]]),,VLOOKUP(TAB_CS[[#This Row],[Reference]],TAB_Offres[[Reference]:[Company]],COLUMNS(TAB_Offres[[Reference]:[Company]]),FALSE)),"")</f>
        <v>TREMEND</v>
      </c>
      <c r="P84" s="1" t="str">
        <f>_xlfn.CONCAT(TAB_CS[[#This Row],[Ressource]],TAB_CS[[#This Row],[Profile in €]])</f>
        <v>DEBSKI, Tomasz848,87</v>
      </c>
      <c r="Q84" s="1" t="str">
        <f>_xlfn.CONCAT(TAB_CS[[#This Row],[Company]],TAB_CS[[#This Row],[Business perimeter]])</f>
        <v>TREMENDNB</v>
      </c>
      <c r="R84" s="1" t="str">
        <f>_xlfn.IFNA(IF(ISBLANK(TAB_CS[[#This Row],[Ressource]]),"",VLOOKUP(TAB_CS[[#This Row],[Reference]],TAB_Offres[[Reference]:[Profile]],COLUMNS(TAB_Offres[[Reference]:[Profile]]),FALSE)),"")</f>
        <v>Project Manager</v>
      </c>
      <c r="S84" s="150">
        <f>_xlfn.IFNA(IF(ISBLANK(TAB_CS[[#This Row],[Ressource]]),"",VLOOKUP(TAB_CS[[#This Row],[Reference]],TAB_Offres[[Reference]:[Level]],COLUMNS(TAB_Offres[[Reference]:[Level]]),FALSE)),"")</f>
        <v>9</v>
      </c>
      <c r="T84" s="357">
        <v>848.87</v>
      </c>
      <c r="U84" s="13">
        <v>220</v>
      </c>
      <c r="V84" s="189">
        <f>IF(OR(ISBLANK(TAB_CS[[#This Row],[Commited days]]),TAB_CS[[#This Row],[Commited days]]=0),,TAB_CS[[#This Row],[Commited days]]*TAB_CS[[#This Row],[Profile in €]])</f>
        <v>186751.4</v>
      </c>
      <c r="W84" s="127">
        <f>SUM(TAB_CS[[#This Row],[F]:[P+1]])-TAB_CS[[#This Row],[P+1]]</f>
        <v>177</v>
      </c>
      <c r="X84" s="189">
        <f>IF(OR(ISBLANK(TAB_CS[[#This Row],[Producted days]]),TAB_CS[[#This Row],[Producted days]]=0),,TAB_CS[[#This Row],[Producted days]]*TAB_CS[[#This Row],[Profile in €]])</f>
        <v>150249.99</v>
      </c>
      <c r="Y84" s="188">
        <f>TAB_CS[[#This Row],[Commited days]]-TAB_CS[[#This Row],[Producted days]]</f>
        <v>43</v>
      </c>
      <c r="Z84" s="189">
        <f>IF(OR(ISBLANK(TAB_CS[[#This Row],[Remaining days]]),TAB_CS[[#This Row],[Remaining days]]=0),,TAB_CS[[#This Row],[Remaining days]]*TAB_CS[[#This Row],[Profile in €]])</f>
        <v>36501.410000000003</v>
      </c>
      <c r="AA84" s="187">
        <f>SUM(TAB_CS[[#This Row],[P+1]:[FP]])</f>
        <v>43</v>
      </c>
      <c r="AB84" s="10">
        <f>IF(OR(ISBLANK(TAB_CS[[#This Row],[Expected days]]),TAB_CS[[#This Row],[Expected days]]=0),,TAB_CS[[#This Row],[Expected days]]*TAB_CS[[#This Row],[Profile in €]])</f>
        <v>36501.410000000003</v>
      </c>
      <c r="AC84" s="14" t="str">
        <f>CONCATENATE(TAB_CS[[#This Row],[DG]],TAB_CS[[#This Row],[Company]])</f>
        <v>JUSTTREMEND</v>
      </c>
      <c r="AD84" s="144"/>
      <c r="AE84" s="150"/>
      <c r="AF84" s="151"/>
      <c r="AG84" s="151"/>
      <c r="AH84" s="151"/>
      <c r="AI84" s="150"/>
      <c r="AJ84" s="151"/>
      <c r="AK84" s="156"/>
      <c r="AL84" s="156"/>
      <c r="AM84" s="150"/>
      <c r="AN84" s="150"/>
      <c r="AO84" s="150"/>
      <c r="AP84" s="150"/>
      <c r="AQ84" s="150"/>
      <c r="AR84" s="150"/>
      <c r="AS84" s="150"/>
      <c r="AT84" s="156"/>
      <c r="AU84" s="156"/>
      <c r="AV84" s="171"/>
      <c r="AW84" s="171"/>
      <c r="AX84" s="171"/>
      <c r="AY84" s="171"/>
      <c r="AZ84" s="171"/>
      <c r="BA84" s="352">
        <v>11</v>
      </c>
      <c r="BB84" s="352">
        <v>16</v>
      </c>
      <c r="BC84" s="352">
        <v>17</v>
      </c>
      <c r="BD84" s="352">
        <v>17</v>
      </c>
      <c r="BE84" s="352">
        <v>18</v>
      </c>
      <c r="BF84" s="352">
        <v>17.5</v>
      </c>
      <c r="BG84" s="352">
        <v>5.5</v>
      </c>
      <c r="BH84" s="352">
        <v>21</v>
      </c>
      <c r="BI84" s="173"/>
      <c r="BJ84" s="171">
        <v>18</v>
      </c>
      <c r="BK84" s="171">
        <v>18</v>
      </c>
      <c r="BL84" s="171">
        <v>18</v>
      </c>
      <c r="BM84" s="173"/>
      <c r="BN84" s="171">
        <v>18</v>
      </c>
      <c r="BO84" s="171">
        <v>18</v>
      </c>
      <c r="BP84" s="650">
        <v>7</v>
      </c>
      <c r="BQ84" s="644"/>
      <c r="BR84" s="644"/>
      <c r="BS84" s="644"/>
      <c r="BT84" s="644"/>
      <c r="BU84" s="644"/>
      <c r="BV84" s="644"/>
      <c r="BW84" s="644"/>
      <c r="BX84" s="644"/>
      <c r="BY84" s="644"/>
      <c r="BZ84" s="224"/>
    </row>
    <row r="85" spans="1:78" s="4" customFormat="1" ht="14.4" x14ac:dyDescent="0.3">
      <c r="A85" s="150">
        <f>IF(ISBLANK(TAB_CS[[#This Row],[Reference]]),"",INDEX(TAB_Offres[ID],MATCH(TAB_CS[[#This Row],[Reference]],TAB_Offres[Reference],0)))</f>
        <v>83</v>
      </c>
      <c r="B85" s="154" t="s">
        <v>5477</v>
      </c>
      <c r="C85" s="150" t="s">
        <v>5669</v>
      </c>
      <c r="D85" s="150" t="str">
        <f>IF(ISBLANK(TAB_CS[[#This Row],[Reference]]),"",VLOOKUP(TAB_CS[[#This Row],[ID]],TAB_Offres[],2,FALSE))</f>
        <v>Lot 2</v>
      </c>
      <c r="E85" s="150" t="s">
        <v>5920</v>
      </c>
      <c r="F85" s="154">
        <f>_xlfn.IFNA(IF(ISBLANK(TAB_CS[[#This Row],[Reference]]),"",VLOOKUP(TAB_CS[[#This Row],[Reference]],TAB_Offres[[Reference]:[Modification Request]],COLUMNS(TAB_Offres[[Reference]:[Modification Request]]),FALSE)),)</f>
        <v>0</v>
      </c>
      <c r="G85" s="150" t="str">
        <f>IF(ISBLANK(TAB_CS[[#This Row],[Reference]]),"",INDEX(TAB_Offres[Institution/agency],MATCH(TAB_CS[[#This Row],[Reference]],TAB_Offres[Reference],0)))</f>
        <v>EC</v>
      </c>
      <c r="H85" s="150" t="str">
        <f>IF(ISBLANK(TAB_CS[[#This Row],[Reference]]),"",INDEX(TAB_Offres[DG],MATCH(TAB_CS[[#This Row],[Reference]],TAB_Offres[Reference],0)))</f>
        <v>DIGIT.A.5</v>
      </c>
      <c r="I85" t="str">
        <f>IF(ISBLANK(TAB_CS[[#This Row],[Reference]]),"",INDEX(TAB_Offres[Offer description],MATCH(TAB_CS[[#This Row],[Reference]],TAB_Offres[Reference],0)))</f>
        <v xml:space="preserve">	Project Manager</v>
      </c>
      <c r="J85" s="155">
        <f>_xlfn.IFNA(IF(ISBLANK(TAB_CS[[#This Row],[Ressource]]),,VLOOKUP(TAB_CS[[#This Row],[Reference]],TAB_Offres[[Reference]:[CS signature date]],COLUMNS(TAB_Offres[[Reference]:[CS signature date]]),FALSE)),"")</f>
        <v>45198</v>
      </c>
      <c r="K85" s="155">
        <f>_xlfn.IFNA(IF(ISBLANK(TAB_CS[[#This Row],[Ressource]]),,VLOOKUP(TAB_CS[[#This Row],[Reference]],TAB_Offres[[Reference]:[CS start date]],COLUMNS(TAB_Offres[[Reference]:[CS start date]]),FALSE)),"")</f>
        <v>45198</v>
      </c>
      <c r="L85" s="155">
        <f>_xlfn.IFNA(IF(ISBLANK(TAB_CS[[#This Row],[Ressource]]),,VLOOKUP(TAB_CS[[#This Row],[Reference]],TAB_Offres[[Reference]:[CS end date]],COLUMNS(TAB_Offres[[Reference]:[CS end date]]),FALSE)),"")</f>
        <v>45565</v>
      </c>
      <c r="M85" s="1">
        <f>_xlfn.IFNA(IF(ISBLANK(TAB_CS[[#This Row],[Ressource]]),,VLOOKUP(TAB_CS[[#This Row],[Reference]],TAB_Offres[[Reference]:[CS State]],COLUMNS(TAB_Offres[[Reference]:[CS State]]),FALSE)),"")</f>
        <v>0</v>
      </c>
      <c r="N85" s="154" t="str">
        <f>VLOOKUP(TAB_CS[[#This Row],[Reference]],TAB_Offres[[Reference]:[Ressource 1]],25,FALSE)</f>
        <v>LEFTER, Diana</v>
      </c>
      <c r="O85" s="150" t="str">
        <f>_xlfn.IFNA(IF(ISBLANK(TAB_CS[[#This Row],[Ressource]]),,VLOOKUP(TAB_CS[[#This Row],[Reference]],TAB_Offres[[Reference]:[Company]],COLUMNS(TAB_Offres[[Reference]:[Company]]),FALSE)),"")</f>
        <v>EDDA</v>
      </c>
      <c r="P85" s="1" t="str">
        <f>_xlfn.CONCAT(TAB_CS[[#This Row],[Ressource]],TAB_CS[[#This Row],[Profile in €]])</f>
        <v>LEFTER, Diana704,46</v>
      </c>
      <c r="Q85" s="1" t="str">
        <f>_xlfn.CONCAT(TAB_CS[[#This Row],[Company]],TAB_CS[[#This Row],[Business perimeter]])</f>
        <v>EDDANB</v>
      </c>
      <c r="R85" s="150" t="str">
        <f>_xlfn.IFNA(IF(ISBLANK(TAB_CS[[#This Row],[Ressource]]),"",VLOOKUP(TAB_CS[[#This Row],[Reference]],TAB_Offres[[Reference]:[Profile]],COLUMNS(TAB_Offres[[Reference]:[Profile]]),FALSE)),"")</f>
        <v>Project Manager</v>
      </c>
      <c r="S85" s="150">
        <f>_xlfn.IFNA(IF(ISBLANK(TAB_CS[[#This Row],[Ressource]]),"",VLOOKUP(TAB_CS[[#This Row],[Reference]],TAB_Offres[[Reference]:[Level]],COLUMNS(TAB_Offres[[Reference]:[Level]]),FALSE)),"")</f>
        <v>8</v>
      </c>
      <c r="T85" s="156">
        <f>_xlfn.IFNA(IF(OR(ISBLANK(TAB_CS[[#This Row],[Level]]),TAB_CS[[#This Row],[Level]]=""),,VLOOKUP(TAB_CS[[#This Row],[Profile]],TAB_prix[],2+TAB_CS[[#This Row],[Level]],FALSE)),)</f>
        <v>704.46</v>
      </c>
      <c r="U85" s="151">
        <f>90+28.5+31.5</f>
        <v>150</v>
      </c>
      <c r="V85" s="205">
        <f>IF(OR(ISBLANK(TAB_CS[[#This Row],[Commited days]]),TAB_CS[[#This Row],[Commited days]]=0),,TAB_CS[[#This Row],[Commited days]]*TAB_CS[[#This Row],[Profile in €]])</f>
        <v>105669</v>
      </c>
      <c r="W85" s="156">
        <f>SUM(TAB_CS[[#This Row],[F]:[P+1]])-TAB_CS[[#This Row],[P+1]]</f>
        <v>150</v>
      </c>
      <c r="X85" s="205">
        <f>IF(OR(ISBLANK(TAB_CS[[#This Row],[Producted days]]),TAB_CS[[#This Row],[Producted days]]=0),,TAB_CS[[#This Row],[Producted days]]*TAB_CS[[#This Row],[Profile in €]])</f>
        <v>105669</v>
      </c>
      <c r="Y85" s="206">
        <f>TAB_CS[[#This Row],[Commited days]]-TAB_CS[[#This Row],[Producted days]]</f>
        <v>0</v>
      </c>
      <c r="Z85" s="205">
        <f>IF(OR(ISBLANK(TAB_CS[[#This Row],[Remaining days]]),TAB_CS[[#This Row],[Remaining days]]=0),,TAB_CS[[#This Row],[Remaining days]]*TAB_CS[[#This Row],[Profile in €]])</f>
        <v>0</v>
      </c>
      <c r="AA85" s="207">
        <f>SUM(TAB_CS[[#This Row],[P+1]:[FP]])</f>
        <v>0</v>
      </c>
      <c r="AB85" s="208">
        <f>IF(OR(ISBLANK(TAB_CS[[#This Row],[Expected days]]),TAB_CS[[#This Row],[Expected days]]=0),,TAB_CS[[#This Row],[Expected days]]*TAB_CS[[#This Row],[Profile in €]])</f>
        <v>0</v>
      </c>
      <c r="AC85" s="14" t="str">
        <f>CONCATENATE(TAB_CS[[#This Row],[DG]],TAB_CS[[#This Row],[Company]])</f>
        <v>DIGIT.A.5EDDA</v>
      </c>
      <c r="AD85" s="144"/>
      <c r="AE85" s="150"/>
      <c r="AF85" s="151"/>
      <c r="AG85" s="151"/>
      <c r="AH85" s="151"/>
      <c r="AI85" s="150"/>
      <c r="AJ85" s="151"/>
      <c r="AK85" s="156"/>
      <c r="AL85" s="156"/>
      <c r="AM85" s="150"/>
      <c r="AN85" s="150"/>
      <c r="AO85" s="150"/>
      <c r="AP85" s="150"/>
      <c r="AQ85" s="150"/>
      <c r="AR85" s="150"/>
      <c r="AS85" s="150"/>
      <c r="AT85" s="156"/>
      <c r="AU85" s="156"/>
      <c r="AV85" s="171"/>
      <c r="AW85" s="352">
        <v>8</v>
      </c>
      <c r="AX85" s="352">
        <v>17</v>
      </c>
      <c r="AY85" s="352">
        <v>14</v>
      </c>
      <c r="AZ85" s="352">
        <v>18</v>
      </c>
      <c r="BA85" s="352">
        <v>18</v>
      </c>
      <c r="BB85" s="352">
        <v>18.5</v>
      </c>
      <c r="BC85" s="352">
        <v>18.5</v>
      </c>
      <c r="BD85" s="352">
        <v>13</v>
      </c>
      <c r="BE85" s="352">
        <v>12</v>
      </c>
      <c r="BF85" s="352">
        <v>13</v>
      </c>
      <c r="BG85" s="644"/>
      <c r="BH85" s="644"/>
      <c r="BI85" s="350"/>
      <c r="BJ85" s="644"/>
      <c r="BK85" s="644"/>
      <c r="BL85" s="644"/>
      <c r="BM85" s="350"/>
      <c r="BN85" s="644"/>
      <c r="BO85" s="644"/>
      <c r="BP85" s="644"/>
      <c r="BQ85" s="644"/>
      <c r="BR85" s="644"/>
      <c r="BS85" s="644"/>
      <c r="BT85" s="644"/>
      <c r="BU85" s="644"/>
      <c r="BV85" s="644"/>
      <c r="BW85" s="644"/>
      <c r="BX85" s="644"/>
      <c r="BY85" s="644"/>
      <c r="BZ85" s="324"/>
    </row>
    <row r="86" spans="1:78" ht="14.4" x14ac:dyDescent="0.3">
      <c r="A86" s="1">
        <f>IF(ISBLANK(TAB_CS[[#This Row],[Reference]]),"",INDEX(TAB_Offres[ID],MATCH(TAB_CS[[#This Row],[Reference]],TAB_Offres[Reference],0)))</f>
        <v>84</v>
      </c>
      <c r="B86" s="154" t="s">
        <v>5570</v>
      </c>
      <c r="C86" s="150" t="s">
        <v>23</v>
      </c>
      <c r="D86" s="150" t="str">
        <f>IF(ISBLANK(TAB_CS[[#This Row],[Reference]]),"",VLOOKUP(TAB_CS[[#This Row],[ID]],TAB_Offres[],2,FALSE))</f>
        <v>Lot 1</v>
      </c>
      <c r="E86" s="1" t="s">
        <v>5920</v>
      </c>
      <c r="F86" s="154" t="s">
        <v>563</v>
      </c>
      <c r="G86" s="150" t="str">
        <f>IF(ISBLANK(TAB_CS[[#This Row],[Reference]]),"",INDEX(TAB_Offres[Institution/agency],MATCH(TAB_CS[[#This Row],[Reference]],TAB_Offres[Reference],0)))</f>
        <v>EC</v>
      </c>
      <c r="H86" s="150" t="str">
        <f>IF(ISBLANK(TAB_CS[[#This Row],[Reference]]),"",INDEX(TAB_Offres[DG],MATCH(TAB_CS[[#This Row],[Reference]],TAB_Offres[Reference],0)))</f>
        <v>DIGIT.B.1</v>
      </c>
      <c r="I86" s="4" t="str">
        <f>IF(ISBLANK(TAB_CS[[#This Row],[Reference]]),"",INDEX(TAB_Offres[Offer description],MATCH(TAB_CS[[#This Row],[Reference]],TAB_Offres[Reference],0)))</f>
        <v xml:space="preserve">Full-Stack Developer (FSD)	</v>
      </c>
      <c r="J86" s="204">
        <f>_xlfn.IFNA(IF(ISBLANK(TAB_CS[[#This Row],[Ressource]]),,VLOOKUP(TAB_CS[[#This Row],[Reference]],TAB_Offres[[Reference]:[CS signature date]],COLUMNS(TAB_Offres[[Reference]:[CS signature date]]),FALSE)),"")</f>
        <v>0</v>
      </c>
      <c r="K86" s="204">
        <f>_xlfn.IFNA(IF(ISBLANK(TAB_CS[[#This Row],[Ressource]]),,VLOOKUP(TAB_CS[[#This Row],[Reference]],TAB_Offres[[Reference]:[CS start date]],COLUMNS(TAB_Offres[[Reference]:[CS start date]]),FALSE)),"")</f>
        <v>0</v>
      </c>
      <c r="L86" s="204">
        <f>_xlfn.IFNA(IF(ISBLANK(TAB_CS[[#This Row],[Ressource]]),,VLOOKUP(TAB_CS[[#This Row],[Reference]],TAB_Offres[[Reference]:[CS end date]],COLUMNS(TAB_Offres[[Reference]:[CS end date]]),FALSE)),"")</f>
        <v>0</v>
      </c>
      <c r="M86" s="150">
        <f>_xlfn.IFNA(IF(ISBLANK(TAB_CS[[#This Row],[Ressource]]),,VLOOKUP(TAB_CS[[#This Row],[Reference]],TAB_Offres[[Reference]:[CS State]],COLUMNS(TAB_Offres[[Reference]:[CS State]]),FALSE)),"")</f>
        <v>0</v>
      </c>
      <c r="N86" s="26" t="str">
        <f>VLOOKUP(TAB_CS[[#This Row],[Reference]],TAB_Offres[[Reference]:[Ressource 1]],25,FALSE)</f>
        <v>APETRI, Ioana</v>
      </c>
      <c r="O86" s="150" t="str">
        <f>_xlfn.IFNA(IF(ISBLANK(TAB_CS[[#This Row],[Ressource]]),,VLOOKUP(TAB_CS[[#This Row],[Reference]],TAB_Offres[[Reference]:[Company]],COLUMNS(TAB_Offres[[Reference]:[Company]]),FALSE)),"")</f>
        <v>TALAN</v>
      </c>
      <c r="P86" s="150" t="str">
        <f>_xlfn.CONCAT(TAB_CS[[#This Row],[Ressource]],TAB_CS[[#This Row],[Profile in €]])</f>
        <v>APETRI, Ioana443,55</v>
      </c>
      <c r="Q86" s="150" t="str">
        <f>_xlfn.CONCAT(TAB_CS[[#This Row],[Company]],TAB_CS[[#This Row],[Business perimeter]])</f>
        <v>TALANNB</v>
      </c>
      <c r="R86" s="150" t="str">
        <f>_xlfn.IFNA(IF(ISBLANK(TAB_CS[[#This Row],[Ressource]]),"",VLOOKUP(TAB_CS[[#This Row],[Reference]],TAB_Offres[[Reference]:[Profile]],COLUMNS(TAB_Offres[[Reference]:[Profile]]),FALSE)),"")</f>
        <v>Full-stack developer-FAR</v>
      </c>
      <c r="S86" s="150">
        <f>_xlfn.IFNA(IF(ISBLANK(TAB_CS[[#This Row],[Ressource]]),"",VLOOKUP(TAB_CS[[#This Row],[Reference]],TAB_Offres[[Reference]:[Level]],COLUMNS(TAB_Offres[[Reference]:[Level]]),FALSE)),"")</f>
        <v>7</v>
      </c>
      <c r="T86" s="357">
        <v>443.55</v>
      </c>
      <c r="U86" s="590">
        <v>0</v>
      </c>
      <c r="V86" s="205">
        <f>IF(OR(ISBLANK(TAB_CS[[#This Row],[Commited days]]),TAB_CS[[#This Row],[Commited days]]=0),,TAB_CS[[#This Row],[Commited days]]*TAB_CS[[#This Row],[Profile in €]])</f>
        <v>0</v>
      </c>
      <c r="W86" s="156">
        <f>SUM(TAB_CS[[#This Row],[F]:[P+1]])-TAB_CS[[#This Row],[P+1]]</f>
        <v>0</v>
      </c>
      <c r="X86" s="205">
        <f>IF(OR(ISBLANK(TAB_CS[[#This Row],[Producted days]]),TAB_CS[[#This Row],[Producted days]]=0),,TAB_CS[[#This Row],[Producted days]]*TAB_CS[[#This Row],[Profile in €]])</f>
        <v>0</v>
      </c>
      <c r="Y86" s="206">
        <f>TAB_CS[[#This Row],[Commited days]]-TAB_CS[[#This Row],[Producted days]]</f>
        <v>0</v>
      </c>
      <c r="Z86" s="205">
        <f>IF(OR(ISBLANK(TAB_CS[[#This Row],[Remaining days]]),TAB_CS[[#This Row],[Remaining days]]=0),,TAB_CS[[#This Row],[Remaining days]]*TAB_CS[[#This Row],[Profile in €]])</f>
        <v>0</v>
      </c>
      <c r="AA86" s="207">
        <f>SUM(TAB_CS[[#This Row],[P+1]:[FP]])</f>
        <v>0</v>
      </c>
      <c r="AB86" s="208">
        <f>IF(OR(ISBLANK(TAB_CS[[#This Row],[Expected days]]),TAB_CS[[#This Row],[Expected days]]=0),,TAB_CS[[#This Row],[Expected days]]*TAB_CS[[#This Row],[Profile in €]])</f>
        <v>0</v>
      </c>
      <c r="AC86" s="322" t="str">
        <f>CONCATENATE(TAB_CS[[#This Row],[DG]],TAB_CS[[#This Row],[Company]])</f>
        <v>DIGIT.B.1TALAN</v>
      </c>
      <c r="AD86" s="209"/>
      <c r="AE86" s="646"/>
      <c r="AF86" s="647"/>
      <c r="AG86" s="647"/>
      <c r="AH86" s="647"/>
      <c r="AI86" s="646"/>
      <c r="AJ86" s="647"/>
      <c r="AK86" s="643"/>
      <c r="AL86" s="643"/>
      <c r="AM86" s="646"/>
      <c r="AN86" s="646"/>
      <c r="AO86" s="646"/>
      <c r="AP86" s="646"/>
      <c r="AQ86" s="646"/>
      <c r="AR86" s="646"/>
      <c r="AS86" s="646"/>
      <c r="AT86" s="643"/>
      <c r="AU86" s="643"/>
      <c r="AV86" s="642"/>
      <c r="AW86" s="642"/>
      <c r="AX86" s="642"/>
      <c r="AY86" s="642"/>
      <c r="AZ86" s="642"/>
      <c r="BA86" s="642"/>
      <c r="BB86" s="642"/>
      <c r="BC86" s="642"/>
      <c r="BD86" s="642"/>
      <c r="BE86" s="642"/>
      <c r="BF86" s="642"/>
      <c r="BG86" s="642"/>
      <c r="BH86" s="642"/>
      <c r="BI86" s="323"/>
      <c r="BJ86" s="642"/>
      <c r="BK86" s="642"/>
      <c r="BL86" s="642"/>
      <c r="BM86" s="323"/>
      <c r="BN86" s="642"/>
      <c r="BO86" s="642"/>
      <c r="BP86" s="642"/>
      <c r="BQ86" s="642"/>
      <c r="BR86" s="642"/>
      <c r="BS86" s="642"/>
      <c r="BT86" s="642"/>
      <c r="BU86" s="642"/>
      <c r="BV86" s="642"/>
      <c r="BW86" s="642"/>
      <c r="BX86" s="642"/>
      <c r="BY86" s="642"/>
      <c r="BZ86" s="324"/>
    </row>
    <row r="87" spans="1:78" ht="14.4" x14ac:dyDescent="0.3">
      <c r="A87" s="1">
        <f>IF(ISBLANK(TAB_CS[[#This Row],[Reference]]),"",INDEX(TAB_Offres[ID],MATCH(TAB_CS[[#This Row],[Reference]],TAB_Offres[Reference],0)))</f>
        <v>85</v>
      </c>
      <c r="B87" s="26" t="s">
        <v>5478</v>
      </c>
      <c r="C87" s="150" t="s">
        <v>5670</v>
      </c>
      <c r="D87" s="1" t="str">
        <f>IF(ISBLANK(TAB_CS[[#This Row],[Reference]]),"",VLOOKUP(TAB_CS[[#This Row],[ID]],TAB_Offres[],2,FALSE))</f>
        <v>Lot 2</v>
      </c>
      <c r="E87" s="150" t="s">
        <v>5920</v>
      </c>
      <c r="F87" s="26">
        <f>_xlfn.IFNA(IF(ISBLANK(TAB_CS[[#This Row],[Reference]]),"",VLOOKUP(TAB_CS[[#This Row],[Reference]],TAB_Offres[[Reference]:[Modification Request]],COLUMNS(TAB_Offres[[Reference]:[Modification Request]]),FALSE)),)</f>
        <v>0</v>
      </c>
      <c r="G87" s="150" t="str">
        <f>IF(ISBLANK(TAB_CS[[#This Row],[Reference]]),"",INDEX(TAB_Offres[Institution/agency],MATCH(TAB_CS[[#This Row],[Reference]],TAB_Offres[Reference],0)))</f>
        <v>EC</v>
      </c>
      <c r="H87" s="150" t="str">
        <f>IF(ISBLANK(TAB_CS[[#This Row],[Reference]]),"",INDEX(TAB_Offres[DG],MATCH(TAB_CS[[#This Row],[Reference]],TAB_Offres[Reference],0)))</f>
        <v>DIGIT.A.5</v>
      </c>
      <c r="I87" t="str">
        <f>IF(ISBLANK(TAB_CS[[#This Row],[Reference]]),"",INDEX(TAB_Offres[Offer description],MATCH(TAB_CS[[#This Row],[Reference]],TAB_Offres[Reference],0)))</f>
        <v>Project Manager</v>
      </c>
      <c r="J87" s="155">
        <f>_xlfn.IFNA(IF(ISBLANK(TAB_CS[[#This Row],[Ressource]]),,VLOOKUP(TAB_CS[[#This Row],[Reference]],TAB_Offres[[Reference]:[CS signature date]],COLUMNS(TAB_Offres[[Reference]:[CS signature date]]),FALSE)),"")</f>
        <v>45210</v>
      </c>
      <c r="K87" s="155">
        <f>_xlfn.IFNA(IF(ISBLANK(TAB_CS[[#This Row],[Ressource]]),,VLOOKUP(TAB_CS[[#This Row],[Reference]],TAB_Offres[[Reference]:[CS start date]],COLUMNS(TAB_Offres[[Reference]:[CS start date]]),FALSE)),"")</f>
        <v>45210</v>
      </c>
      <c r="L87" s="155">
        <f>_xlfn.IFNA(IF(ISBLANK(TAB_CS[[#This Row],[Ressource]]),,VLOOKUP(TAB_CS[[#This Row],[Reference]],TAB_Offres[[Reference]:[CS end date]],COLUMNS(TAB_Offres[[Reference]:[CS end date]]),FALSE)),"")</f>
        <v>45565</v>
      </c>
      <c r="M87" s="1">
        <f>_xlfn.IFNA(IF(ISBLANK(TAB_CS[[#This Row],[Ressource]]),,VLOOKUP(TAB_CS[[#This Row],[Reference]],TAB_Offres[[Reference]:[CS State]],COLUMNS(TAB_Offres[[Reference]:[CS State]]),FALSE)),"")</f>
        <v>0</v>
      </c>
      <c r="N87" s="26" t="str">
        <f>VLOOKUP(TAB_CS[[#This Row],[Reference]],TAB_Offres[[Reference]:[Ressource 1]],25,FALSE)</f>
        <v>OLLINGER, Yannick</v>
      </c>
      <c r="O87" s="1" t="str">
        <f>_xlfn.IFNA(IF(ISBLANK(TAB_CS[[#This Row],[Ressource]]),,VLOOKUP(TAB_CS[[#This Row],[Reference]],TAB_Offres[[Reference]:[Company]],COLUMNS(TAB_Offres[[Reference]:[Company]]),FALSE)),"")</f>
        <v>CGI LUX</v>
      </c>
      <c r="P87" s="1" t="str">
        <f>_xlfn.CONCAT(TAB_CS[[#This Row],[Ressource]],TAB_CS[[#This Row],[Profile in €]])</f>
        <v>OLLINGER, Yannick753,77</v>
      </c>
      <c r="Q87" s="1" t="str">
        <f>_xlfn.CONCAT(TAB_CS[[#This Row],[Company]],TAB_CS[[#This Row],[Business perimeter]])</f>
        <v>CGI LUXNB</v>
      </c>
      <c r="R87" s="1" t="str">
        <f>_xlfn.IFNA(IF(ISBLANK(TAB_CS[[#This Row],[Ressource]]),"",VLOOKUP(TAB_CS[[#This Row],[Reference]],TAB_Offres[[Reference]:[Profile]],COLUMNS(TAB_Offres[[Reference]:[Profile]]),FALSE)),"")</f>
        <v>Project Manager</v>
      </c>
      <c r="S87" s="150">
        <f>_xlfn.IFNA(IF(ISBLANK(TAB_CS[[#This Row],[Ressource]]),"",VLOOKUP(TAB_CS[[#This Row],[Reference]],TAB_Offres[[Reference]:[Level]],COLUMNS(TAB_Offres[[Reference]:[Level]]),FALSE)),"")</f>
        <v>9</v>
      </c>
      <c r="T87" s="156">
        <f>_xlfn.IFNA(IF(OR(ISBLANK(TAB_CS[[#This Row],[Level]]),TAB_CS[[#This Row],[Level]]=""),,VLOOKUP(TAB_CS[[#This Row],[Profile]],TAB_prix[],2+TAB_CS[[#This Row],[Level]],FALSE)),)</f>
        <v>753.77</v>
      </c>
      <c r="U87" s="13">
        <f>91+8.5+0.5+6+14</f>
        <v>120</v>
      </c>
      <c r="V87" s="189">
        <f>IF(OR(ISBLANK(TAB_CS[[#This Row],[Commited days]]),TAB_CS[[#This Row],[Commited days]]=0),,TAB_CS[[#This Row],[Commited days]]*TAB_CS[[#This Row],[Profile in €]])</f>
        <v>90452.4</v>
      </c>
      <c r="W87" s="127">
        <f>SUM(TAB_CS[[#This Row],[F]:[P+1]])-TAB_CS[[#This Row],[P+1]]</f>
        <v>120</v>
      </c>
      <c r="X87" s="189">
        <f>IF(OR(ISBLANK(TAB_CS[[#This Row],[Producted days]]),TAB_CS[[#This Row],[Producted days]]=0),,TAB_CS[[#This Row],[Producted days]]*TAB_CS[[#This Row],[Profile in €]])</f>
        <v>90452.4</v>
      </c>
      <c r="Y87" s="188">
        <f>TAB_CS[[#This Row],[Commited days]]-TAB_CS[[#This Row],[Producted days]]</f>
        <v>0</v>
      </c>
      <c r="Z87" s="189">
        <f>IF(OR(ISBLANK(TAB_CS[[#This Row],[Remaining days]]),TAB_CS[[#This Row],[Remaining days]]=0),,TAB_CS[[#This Row],[Remaining days]]*TAB_CS[[#This Row],[Profile in €]])</f>
        <v>0</v>
      </c>
      <c r="AA87" s="187">
        <f>SUM(TAB_CS[[#This Row],[P+1]:[FP]])</f>
        <v>0</v>
      </c>
      <c r="AB87" s="10">
        <f>IF(OR(ISBLANK(TAB_CS[[#This Row],[Expected days]]),TAB_CS[[#This Row],[Expected days]]=0),,TAB_CS[[#This Row],[Expected days]]*TAB_CS[[#This Row],[Profile in €]])</f>
        <v>0</v>
      </c>
      <c r="AC87" s="14" t="str">
        <f>CONCATENATE(TAB_CS[[#This Row],[DG]],TAB_CS[[#This Row],[Company]])</f>
        <v>DIGIT.A.5CGI LUX</v>
      </c>
      <c r="AD87" s="144"/>
      <c r="AE87" s="150"/>
      <c r="AF87" s="151"/>
      <c r="AG87" s="151"/>
      <c r="AH87" s="151"/>
      <c r="AI87" s="150"/>
      <c r="AJ87" s="151"/>
      <c r="AK87" s="156"/>
      <c r="AL87" s="156"/>
      <c r="AM87" s="150"/>
      <c r="AN87" s="150"/>
      <c r="AO87" s="150"/>
      <c r="AP87" s="150"/>
      <c r="AQ87" s="150"/>
      <c r="AR87" s="150"/>
      <c r="AS87" s="150"/>
      <c r="AT87" s="156"/>
      <c r="AU87" s="156"/>
      <c r="AV87" s="171"/>
      <c r="AW87" s="352">
        <v>9.5</v>
      </c>
      <c r="AX87" s="352">
        <v>21</v>
      </c>
      <c r="AY87" s="352">
        <v>16.5</v>
      </c>
      <c r="AZ87" s="352">
        <v>21</v>
      </c>
      <c r="BA87" s="352">
        <v>21</v>
      </c>
      <c r="BB87" s="352">
        <v>20.5</v>
      </c>
      <c r="BC87" s="352">
        <v>10.5</v>
      </c>
      <c r="BD87" s="644"/>
      <c r="BE87" s="644"/>
      <c r="BF87" s="644"/>
      <c r="BG87" s="644"/>
      <c r="BH87" s="644"/>
      <c r="BI87" s="173"/>
      <c r="BJ87" s="644"/>
      <c r="BK87" s="644"/>
      <c r="BL87" s="644"/>
      <c r="BM87" s="173"/>
      <c r="BN87" s="644"/>
      <c r="BO87" s="644"/>
      <c r="BP87" s="644"/>
      <c r="BQ87" s="644"/>
      <c r="BR87" s="644"/>
      <c r="BS87" s="644"/>
      <c r="BT87" s="644"/>
      <c r="BU87" s="644"/>
      <c r="BV87" s="644"/>
      <c r="BW87" s="644"/>
      <c r="BX87" s="644"/>
      <c r="BY87" s="644"/>
      <c r="BZ87" s="224"/>
    </row>
    <row r="88" spans="1:78" ht="14.4" x14ac:dyDescent="0.3">
      <c r="A88" s="1">
        <f>IF(ISBLANK(TAB_CS[[#This Row],[Reference]]),"",INDEX(TAB_Offres[ID],MATCH(TAB_CS[[#This Row],[Reference]],TAB_Offres[Reference],0)))</f>
        <v>86</v>
      </c>
      <c r="B88" s="26" t="s">
        <v>5508</v>
      </c>
      <c r="C88" s="150" t="s">
        <v>5671</v>
      </c>
      <c r="D88" s="1" t="str">
        <f>IF(ISBLANK(TAB_CS[[#This Row],[Reference]]),"",VLOOKUP(TAB_CS[[#This Row],[ID]],TAB_Offres[],2,FALSE))</f>
        <v>Lot 2</v>
      </c>
      <c r="E88" s="150" t="s">
        <v>5920</v>
      </c>
      <c r="F88" s="26">
        <f>_xlfn.IFNA(IF(ISBLANK(TAB_CS[[#This Row],[Reference]]),"",VLOOKUP(TAB_CS[[#This Row],[Reference]],TAB_Offres[[Reference]:[Modification Request]],COLUMNS(TAB_Offres[[Reference]:[Modification Request]]),FALSE)),)</f>
        <v>0</v>
      </c>
      <c r="G88" s="150" t="str">
        <f>IF(ISBLANK(TAB_CS[[#This Row],[Reference]]),"",INDEX(TAB_Offres[Institution/agency],MATCH(TAB_CS[[#This Row],[Reference]],TAB_Offres[Reference],0)))</f>
        <v>EC</v>
      </c>
      <c r="H88" s="150" t="str">
        <f>IF(ISBLANK(TAB_CS[[#This Row],[Reference]]),"",INDEX(TAB_Offres[DG],MATCH(TAB_CS[[#This Row],[Reference]],TAB_Offres[Reference],0)))</f>
        <v>DIGIT.A.5</v>
      </c>
      <c r="I88" t="str">
        <f>IF(ISBLANK(TAB_CS[[#This Row],[Reference]]),"",INDEX(TAB_Offres[Offer description],MATCH(TAB_CS[[#This Row],[Reference]],TAB_Offres[Reference],0)))</f>
        <v xml:space="preserve">	Project Manager</v>
      </c>
      <c r="J88" s="155">
        <f>_xlfn.IFNA(IF(ISBLANK(TAB_CS[[#This Row],[Ressource]]),,VLOOKUP(TAB_CS[[#This Row],[Reference]],TAB_Offres[[Reference]:[CS signature date]],COLUMNS(TAB_Offres[[Reference]:[CS signature date]]),FALSE)),"")</f>
        <v>45210</v>
      </c>
      <c r="K88" s="155">
        <f>_xlfn.IFNA(IF(ISBLANK(TAB_CS[[#This Row],[Ressource]]),,VLOOKUP(TAB_CS[[#This Row],[Reference]],TAB_Offres[[Reference]:[CS start date]],COLUMNS(TAB_Offres[[Reference]:[CS start date]]),FALSE)),"")</f>
        <v>45210</v>
      </c>
      <c r="L88" s="155">
        <f>_xlfn.IFNA(IF(ISBLANK(TAB_CS[[#This Row],[Ressource]]),,VLOOKUP(TAB_CS[[#This Row],[Reference]],TAB_Offres[[Reference]:[CS end date]],COLUMNS(TAB_Offres[[Reference]:[CS end date]]),FALSE)),"")</f>
        <v>45199</v>
      </c>
      <c r="M88" s="1">
        <f>_xlfn.IFNA(IF(ISBLANK(TAB_CS[[#This Row],[Ressource]]),,VLOOKUP(TAB_CS[[#This Row],[Reference]],TAB_Offres[[Reference]:[CS State]],COLUMNS(TAB_Offres[[Reference]:[CS State]]),FALSE)),"")</f>
        <v>0</v>
      </c>
      <c r="N88" s="26" t="str">
        <f>VLOOKUP(TAB_CS[[#This Row],[Reference]],TAB_Offres[[Reference]:[Ressource 1]],25,FALSE)</f>
        <v>DE ANDRES DEL CASTILLO, David</v>
      </c>
      <c r="O88" s="1" t="str">
        <f>_xlfn.IFNA(IF(ISBLANK(TAB_CS[[#This Row],[Ressource]]),,VLOOKUP(TAB_CS[[#This Row],[Reference]],TAB_Offres[[Reference]:[Company]],COLUMNS(TAB_Offres[[Reference]:[Company]]),FALSE)),"")</f>
        <v>CGI LUX</v>
      </c>
      <c r="P88" s="1" t="str">
        <f>_xlfn.CONCAT(TAB_CS[[#This Row],[Ressource]],TAB_CS[[#This Row],[Profile in €]])</f>
        <v>DE ANDRES DEL CASTILLO, David753,77</v>
      </c>
      <c r="Q88" s="1" t="str">
        <f>_xlfn.CONCAT(TAB_CS[[#This Row],[Company]],TAB_CS[[#This Row],[Business perimeter]])</f>
        <v>CGI LUXNB</v>
      </c>
      <c r="R88" s="1" t="str">
        <f>_xlfn.IFNA(IF(ISBLANK(TAB_CS[[#This Row],[Ressource]]),"",VLOOKUP(TAB_CS[[#This Row],[Reference]],TAB_Offres[[Reference]:[Profile]],COLUMNS(TAB_Offres[[Reference]:[Profile]]),FALSE)),"")</f>
        <v>Project Manager</v>
      </c>
      <c r="S88" s="150">
        <f>_xlfn.IFNA(IF(ISBLANK(TAB_CS[[#This Row],[Ressource]]),"",VLOOKUP(TAB_CS[[#This Row],[Reference]],TAB_Offres[[Reference]:[Level]],COLUMNS(TAB_Offres[[Reference]:[Level]]),FALSE)),"")</f>
        <v>9</v>
      </c>
      <c r="T88" s="156">
        <f>_xlfn.IFNA(IF(OR(ISBLANK(TAB_CS[[#This Row],[Level]]),TAB_CS[[#This Row],[Level]]=""),,VLOOKUP(TAB_CS[[#This Row],[Profile]],TAB_prix[],2+TAB_CS[[#This Row],[Level]],FALSE)),)</f>
        <v>753.77</v>
      </c>
      <c r="U88" s="13">
        <f>46+46+28</f>
        <v>120</v>
      </c>
      <c r="V88" s="189">
        <f>IF(OR(ISBLANK(TAB_CS[[#This Row],[Commited days]]),TAB_CS[[#This Row],[Commited days]]=0),,TAB_CS[[#This Row],[Commited days]]*TAB_CS[[#This Row],[Profile in €]])</f>
        <v>90452.4</v>
      </c>
      <c r="W88" s="127">
        <f>SUM(TAB_CS[[#This Row],[F]:[P+1]])-TAB_CS[[#This Row],[P+1]]</f>
        <v>120</v>
      </c>
      <c r="X88" s="189">
        <f>IF(OR(ISBLANK(TAB_CS[[#This Row],[Producted days]]),TAB_CS[[#This Row],[Producted days]]=0),,TAB_CS[[#This Row],[Producted days]]*TAB_CS[[#This Row],[Profile in €]])</f>
        <v>90452.4</v>
      </c>
      <c r="Y88" s="188">
        <f>TAB_CS[[#This Row],[Commited days]]-TAB_CS[[#This Row],[Producted days]]</f>
        <v>0</v>
      </c>
      <c r="Z88" s="189">
        <f>IF(OR(ISBLANK(TAB_CS[[#This Row],[Remaining days]]),TAB_CS[[#This Row],[Remaining days]]=0),,TAB_CS[[#This Row],[Remaining days]]*TAB_CS[[#This Row],[Profile in €]])</f>
        <v>0</v>
      </c>
      <c r="AA88" s="187">
        <f>SUM(TAB_CS[[#This Row],[P+1]:[FP]])</f>
        <v>0</v>
      </c>
      <c r="AB88" s="10">
        <f>IF(OR(ISBLANK(TAB_CS[[#This Row],[Expected days]]),TAB_CS[[#This Row],[Expected days]]=0),,TAB_CS[[#This Row],[Expected days]]*TAB_CS[[#This Row],[Profile in €]])</f>
        <v>0</v>
      </c>
      <c r="AC88" s="14" t="str">
        <f>CONCATENATE(TAB_CS[[#This Row],[DG]],TAB_CS[[#This Row],[Company]])</f>
        <v>DIGIT.A.5CGI LUX</v>
      </c>
      <c r="AD88" s="144"/>
      <c r="AE88" s="150"/>
      <c r="AF88" s="151"/>
      <c r="AG88" s="151"/>
      <c r="AH88" s="151"/>
      <c r="AI88" s="150"/>
      <c r="AJ88" s="151"/>
      <c r="AK88" s="156"/>
      <c r="AL88" s="156"/>
      <c r="AM88" s="150"/>
      <c r="AN88" s="150"/>
      <c r="AO88" s="150"/>
      <c r="AP88" s="150"/>
      <c r="AQ88" s="150"/>
      <c r="AR88" s="150"/>
      <c r="AS88" s="150"/>
      <c r="AT88" s="156"/>
      <c r="AU88" s="156"/>
      <c r="AV88" s="171"/>
      <c r="AW88" s="352">
        <v>6</v>
      </c>
      <c r="AX88" s="352">
        <v>19</v>
      </c>
      <c r="AY88" s="352">
        <v>15</v>
      </c>
      <c r="AZ88" s="352">
        <v>21</v>
      </c>
      <c r="BA88" s="352">
        <v>18</v>
      </c>
      <c r="BB88" s="352">
        <v>17</v>
      </c>
      <c r="BC88" s="352">
        <v>18.5</v>
      </c>
      <c r="BD88" s="352">
        <v>5.5</v>
      </c>
      <c r="BE88" s="644"/>
      <c r="BF88" s="644"/>
      <c r="BG88" s="644"/>
      <c r="BH88" s="644"/>
      <c r="BI88" s="173"/>
      <c r="BJ88" s="644"/>
      <c r="BK88" s="644"/>
      <c r="BL88" s="644"/>
      <c r="BM88" s="173"/>
      <c r="BN88" s="644"/>
      <c r="BO88" s="644"/>
      <c r="BP88" s="644"/>
      <c r="BQ88" s="644"/>
      <c r="BR88" s="644"/>
      <c r="BS88" s="644"/>
      <c r="BT88" s="644"/>
      <c r="BU88" s="644"/>
      <c r="BV88" s="644"/>
      <c r="BW88" s="644"/>
      <c r="BX88" s="644"/>
      <c r="BY88" s="644"/>
      <c r="BZ88" s="224"/>
    </row>
    <row r="89" spans="1:78" ht="14.4" x14ac:dyDescent="0.3">
      <c r="A89" s="1">
        <f>IF(ISBLANK(TAB_CS[[#This Row],[Reference]]),"",INDEX(TAB_Offres[ID],MATCH(TAB_CS[[#This Row],[Reference]],TAB_Offres[Reference],0)))</f>
        <v>87</v>
      </c>
      <c r="B89" s="26" t="s">
        <v>5515</v>
      </c>
      <c r="C89" s="150" t="s">
        <v>5672</v>
      </c>
      <c r="D89" s="1" t="str">
        <f>IF(ISBLANK(TAB_CS[[#This Row],[Reference]]),"",VLOOKUP(TAB_CS[[#This Row],[ID]],TAB_Offres[],2,FALSE))</f>
        <v>Lot 2</v>
      </c>
      <c r="E89" s="150" t="s">
        <v>5918</v>
      </c>
      <c r="F89" s="26">
        <f>_xlfn.IFNA(IF(ISBLANK(TAB_CS[[#This Row],[Reference]]),"",VLOOKUP(TAB_CS[[#This Row],[Reference]],TAB_Offres[[Reference]:[Modification Request]],COLUMNS(TAB_Offres[[Reference]:[Modification Request]]),FALSE)),)</f>
        <v>0</v>
      </c>
      <c r="G89" s="150" t="str">
        <f>IF(ISBLANK(TAB_CS[[#This Row],[Reference]]),"",INDEX(TAB_Offres[Institution/agency],MATCH(TAB_CS[[#This Row],[Reference]],TAB_Offres[Reference],0)))</f>
        <v>EC</v>
      </c>
      <c r="H89" s="150" t="str">
        <f>IF(ISBLANK(TAB_CS[[#This Row],[Reference]]),"",INDEX(TAB_Offres[DG],MATCH(TAB_CS[[#This Row],[Reference]],TAB_Offres[Reference],0)))</f>
        <v>DIGIT.A.5</v>
      </c>
      <c r="I89" t="str">
        <f>IF(ISBLANK(TAB_CS[[#This Row],[Reference]]),"",INDEX(TAB_Offres[Offer description],MATCH(TAB_CS[[#This Row],[Reference]],TAB_Offres[Reference],0)))</f>
        <v>Project Manager</v>
      </c>
      <c r="J89" s="155">
        <f>_xlfn.IFNA(IF(ISBLANK(TAB_CS[[#This Row],[Ressource]]),,VLOOKUP(TAB_CS[[#This Row],[Reference]],TAB_Offres[[Reference]:[CS signature date]],COLUMNS(TAB_Offres[[Reference]:[CS signature date]]),FALSE)),"")</f>
        <v>45224</v>
      </c>
      <c r="K89" s="155">
        <f>_xlfn.IFNA(IF(ISBLANK(TAB_CS[[#This Row],[Ressource]]),,VLOOKUP(TAB_CS[[#This Row],[Reference]],TAB_Offres[[Reference]:[CS start date]],COLUMNS(TAB_Offres[[Reference]:[CS start date]]),FALSE)),"")</f>
        <v>45224</v>
      </c>
      <c r="L89" s="155">
        <f>_xlfn.IFNA(IF(ISBLANK(TAB_CS[[#This Row],[Ressource]]),,VLOOKUP(TAB_CS[[#This Row],[Reference]],TAB_Offres[[Reference]:[CS end date]],COLUMNS(TAB_Offres[[Reference]:[CS end date]]),FALSE)),"")</f>
        <v>45565</v>
      </c>
      <c r="M89" s="1">
        <f>_xlfn.IFNA(IF(ISBLANK(TAB_CS[[#This Row],[Ressource]]),,VLOOKUP(TAB_CS[[#This Row],[Reference]],TAB_Offres[[Reference]:[CS State]],COLUMNS(TAB_Offres[[Reference]:[CS State]]),FALSE)),"")</f>
        <v>0</v>
      </c>
      <c r="N89" s="26" t="str">
        <f>VLOOKUP(TAB_CS[[#This Row],[Reference]],TAB_Offres[[Reference]:[Ressource 1]],25,FALSE)</f>
        <v>WHYE, Gregory</v>
      </c>
      <c r="O89" s="1" t="str">
        <f>_xlfn.IFNA(IF(ISBLANK(TAB_CS[[#This Row],[Ressource]]),,VLOOKUP(TAB_CS[[#This Row],[Reference]],TAB_Offres[[Reference]:[Company]],COLUMNS(TAB_Offres[[Reference]:[Company]]),FALSE)),"")</f>
        <v>CGI LUX</v>
      </c>
      <c r="P89" s="1" t="str">
        <f>_xlfn.CONCAT(TAB_CS[[#This Row],[Ressource]],TAB_CS[[#This Row],[Profile in €]])</f>
        <v>WHYE, Gregory753,77</v>
      </c>
      <c r="Q89" s="1" t="str">
        <f>_xlfn.CONCAT(TAB_CS[[#This Row],[Company]],TAB_CS[[#This Row],[Business perimeter]])</f>
        <v>CGI LUXBL</v>
      </c>
      <c r="R89" s="1" t="str">
        <f>_xlfn.IFNA(IF(ISBLANK(TAB_CS[[#This Row],[Ressource]]),"",VLOOKUP(TAB_CS[[#This Row],[Reference]],TAB_Offres[[Reference]:[Profile]],COLUMNS(TAB_Offres[[Reference]:[Profile]]),FALSE)),"")</f>
        <v>Project Manager</v>
      </c>
      <c r="S89" s="150">
        <f>_xlfn.IFNA(IF(ISBLANK(TAB_CS[[#This Row],[Ressource]]),"",VLOOKUP(TAB_CS[[#This Row],[Reference]],TAB_Offres[[Reference]:[Level]],COLUMNS(TAB_Offres[[Reference]:[Level]]),FALSE)),"")</f>
        <v>9</v>
      </c>
      <c r="T89" s="156">
        <f>_xlfn.IFNA(IF(OR(ISBLANK(TAB_CS[[#This Row],[Level]]),TAB_CS[[#This Row],[Level]]=""),,VLOOKUP(TAB_CS[[#This Row],[Profile]],TAB_prix[],2+TAB_CS[[#This Row],[Level]],FALSE)),)</f>
        <v>753.77</v>
      </c>
      <c r="U89" s="13">
        <f>34+86</f>
        <v>120</v>
      </c>
      <c r="V89" s="189">
        <f>IF(OR(ISBLANK(TAB_CS[[#This Row],[Commited days]]),TAB_CS[[#This Row],[Commited days]]=0),,TAB_CS[[#This Row],[Commited days]]*TAB_CS[[#This Row],[Profile in €]])</f>
        <v>90452.4</v>
      </c>
      <c r="W89" s="127">
        <f>SUM(TAB_CS[[#This Row],[F]:[P+1]])-TAB_CS[[#This Row],[P+1]]</f>
        <v>120</v>
      </c>
      <c r="X89" s="189">
        <f>IF(OR(ISBLANK(TAB_CS[[#This Row],[Producted days]]),TAB_CS[[#This Row],[Producted days]]=0),,TAB_CS[[#This Row],[Producted days]]*TAB_CS[[#This Row],[Profile in €]])</f>
        <v>90452.4</v>
      </c>
      <c r="Y89" s="188">
        <f>TAB_CS[[#This Row],[Commited days]]-TAB_CS[[#This Row],[Producted days]]</f>
        <v>0</v>
      </c>
      <c r="Z89" s="189">
        <f>IF(OR(ISBLANK(TAB_CS[[#This Row],[Remaining days]]),TAB_CS[[#This Row],[Remaining days]]=0),,TAB_CS[[#This Row],[Remaining days]]*TAB_CS[[#This Row],[Profile in €]])</f>
        <v>0</v>
      </c>
      <c r="AA89" s="187">
        <f>SUM(TAB_CS[[#This Row],[P+1]:[FP]])</f>
        <v>0</v>
      </c>
      <c r="AB89" s="10">
        <f>IF(OR(ISBLANK(TAB_CS[[#This Row],[Expected days]]),TAB_CS[[#This Row],[Expected days]]=0),,TAB_CS[[#This Row],[Expected days]]*TAB_CS[[#This Row],[Profile in €]])</f>
        <v>0</v>
      </c>
      <c r="AC89" s="14" t="str">
        <f>CONCATENATE(TAB_CS[[#This Row],[DG]],TAB_CS[[#This Row],[Company]])</f>
        <v>DIGIT.A.5CGI LUX</v>
      </c>
      <c r="AD89" s="144"/>
      <c r="AE89" s="150"/>
      <c r="AF89" s="151"/>
      <c r="AG89" s="151"/>
      <c r="AH89" s="151"/>
      <c r="AI89" s="150"/>
      <c r="AJ89" s="151"/>
      <c r="AK89" s="156"/>
      <c r="AL89" s="156"/>
      <c r="AM89" s="150"/>
      <c r="AN89" s="150"/>
      <c r="AO89" s="150"/>
      <c r="AP89" s="150"/>
      <c r="AQ89" s="150"/>
      <c r="AR89" s="150"/>
      <c r="AS89" s="150"/>
      <c r="AT89" s="156"/>
      <c r="AU89" s="156"/>
      <c r="AV89" s="171"/>
      <c r="AW89" s="171"/>
      <c r="AX89" s="352">
        <v>17.5</v>
      </c>
      <c r="AY89" s="352">
        <v>16</v>
      </c>
      <c r="AZ89" s="352">
        <v>21</v>
      </c>
      <c r="BA89" s="352">
        <v>21</v>
      </c>
      <c r="BB89" s="352">
        <v>21</v>
      </c>
      <c r="BC89" s="352">
        <v>21</v>
      </c>
      <c r="BD89" s="352">
        <v>2.5</v>
      </c>
      <c r="BE89" s="644"/>
      <c r="BF89" s="644"/>
      <c r="BG89" s="644"/>
      <c r="BH89" s="644"/>
      <c r="BI89" s="173"/>
      <c r="BJ89" s="644"/>
      <c r="BK89" s="644"/>
      <c r="BL89" s="644"/>
      <c r="BM89" s="173"/>
      <c r="BN89" s="644"/>
      <c r="BO89" s="644"/>
      <c r="BP89" s="644"/>
      <c r="BQ89" s="644"/>
      <c r="BR89" s="644"/>
      <c r="BS89" s="644"/>
      <c r="BT89" s="644"/>
      <c r="BU89" s="644"/>
      <c r="BV89" s="644"/>
      <c r="BW89" s="644"/>
      <c r="BX89" s="644"/>
      <c r="BY89" s="644"/>
      <c r="BZ89" s="224"/>
    </row>
    <row r="90" spans="1:78" ht="14.4" x14ac:dyDescent="0.3">
      <c r="A90" s="1">
        <f>IF(ISBLANK(TAB_CS[[#This Row],[Reference]]),"",INDEX(TAB_Offres[ID],MATCH(TAB_CS[[#This Row],[Reference]],TAB_Offres[Reference],0)))</f>
        <v>88</v>
      </c>
      <c r="B90" s="26" t="s">
        <v>5518</v>
      </c>
      <c r="C90" s="150" t="s">
        <v>5673</v>
      </c>
      <c r="D90" s="1" t="str">
        <f>IF(ISBLANK(TAB_CS[[#This Row],[Reference]]),"",VLOOKUP(TAB_CS[[#This Row],[ID]],TAB_Offres[],2,FALSE))</f>
        <v>Lot 1</v>
      </c>
      <c r="E90" s="150" t="s">
        <v>5920</v>
      </c>
      <c r="F90" s="26">
        <f>_xlfn.IFNA(IF(ISBLANK(TAB_CS[[#This Row],[Reference]]),"",VLOOKUP(TAB_CS[[#This Row],[Reference]],TAB_Offres[[Reference]:[Modification Request]],COLUMNS(TAB_Offres[[Reference]:[Modification Request]]),FALSE)),)</f>
        <v>0</v>
      </c>
      <c r="G90" s="150" t="str">
        <f>IF(ISBLANK(TAB_CS[[#This Row],[Reference]]),"",INDEX(TAB_Offres[Institution/agency],MATCH(TAB_CS[[#This Row],[Reference]],TAB_Offres[Reference],0)))</f>
        <v>EC</v>
      </c>
      <c r="H90" s="150" t="str">
        <f>IF(ISBLANK(TAB_CS[[#This Row],[Reference]]),"",INDEX(TAB_Offres[DG],MATCH(TAB_CS[[#This Row],[Reference]],TAB_Offres[Reference],0)))</f>
        <v>DIGIT.A.5</v>
      </c>
      <c r="I90" t="str">
        <f>IF(ISBLANK(TAB_CS[[#This Row],[Reference]]),"",INDEX(TAB_Offres[Offer description],MATCH(TAB_CS[[#This Row],[Reference]],TAB_Offres[Reference],0)))</f>
        <v xml:space="preserve">	Back-End Developer (BED)</v>
      </c>
      <c r="J90" s="155">
        <f>_xlfn.IFNA(IF(ISBLANK(TAB_CS[[#This Row],[Ressource]]),,VLOOKUP(TAB_CS[[#This Row],[Reference]],TAB_Offres[[Reference]:[CS signature date]],COLUMNS(TAB_Offres[[Reference]:[CS signature date]]),FALSE)),"")</f>
        <v>45212</v>
      </c>
      <c r="K90" s="155">
        <f>_xlfn.IFNA(IF(ISBLANK(TAB_CS[[#This Row],[Ressource]]),,VLOOKUP(TAB_CS[[#This Row],[Reference]],TAB_Offres[[Reference]:[CS start date]],COLUMNS(TAB_Offres[[Reference]:[CS start date]]),FALSE)),"")</f>
        <v>45212</v>
      </c>
      <c r="L90" s="155">
        <f>_xlfn.IFNA(IF(ISBLANK(TAB_CS[[#This Row],[Ressource]]),,VLOOKUP(TAB_CS[[#This Row],[Reference]],TAB_Offres[[Reference]:[CS end date]],COLUMNS(TAB_Offres[[Reference]:[CS end date]]),FALSE)),"")</f>
        <v>45565</v>
      </c>
      <c r="M90" s="1">
        <f>_xlfn.IFNA(IF(ISBLANK(TAB_CS[[#This Row],[Ressource]]),,VLOOKUP(TAB_CS[[#This Row],[Reference]],TAB_Offres[[Reference]:[CS State]],COLUMNS(TAB_Offres[[Reference]:[CS State]]),FALSE)),"")</f>
        <v>0</v>
      </c>
      <c r="N90" s="26" t="str">
        <f>VLOOKUP(TAB_CS[[#This Row],[Reference]],TAB_Offres[[Reference]:[Ressource 1]],25,FALSE)</f>
        <v>POCHON, Régis</v>
      </c>
      <c r="O90" s="1" t="str">
        <f>_xlfn.IFNA(IF(ISBLANK(TAB_CS[[#This Row],[Ressource]]),,VLOOKUP(TAB_CS[[#This Row],[Reference]],TAB_Offres[[Reference]:[Company]],COLUMNS(TAB_Offres[[Reference]:[Company]]),FALSE)),"")</f>
        <v>EDDA</v>
      </c>
      <c r="P90" s="1" t="str">
        <f>_xlfn.CONCAT(TAB_CS[[#This Row],[Ressource]],TAB_CS[[#This Row],[Profile in €]])</f>
        <v>POCHON, Régis659</v>
      </c>
      <c r="Q90" s="1" t="str">
        <f>_xlfn.CONCAT(TAB_CS[[#This Row],[Company]],TAB_CS[[#This Row],[Business perimeter]])</f>
        <v>EDDANB</v>
      </c>
      <c r="R90" s="1" t="str">
        <f>_xlfn.IFNA(IF(ISBLANK(TAB_CS[[#This Row],[Ressource]]),"",VLOOKUP(TAB_CS[[#This Row],[Reference]],TAB_Offres[[Reference]:[Profile]],COLUMNS(TAB_Offres[[Reference]:[Profile]]),FALSE)),"")</f>
        <v>Back-end developer</v>
      </c>
      <c r="S90" s="150">
        <f>_xlfn.IFNA(IF(ISBLANK(TAB_CS[[#This Row],[Ressource]]),"",VLOOKUP(TAB_CS[[#This Row],[Reference]],TAB_Offres[[Reference]:[Level]],COLUMNS(TAB_Offres[[Reference]:[Level]]),FALSE)),"")</f>
        <v>10</v>
      </c>
      <c r="T90" s="156">
        <f>_xlfn.IFNA(IF(OR(ISBLANK(TAB_CS[[#This Row],[Level]]),TAB_CS[[#This Row],[Level]]=""),,VLOOKUP(TAB_CS[[#This Row],[Profile]],TAB_prix[],2+TAB_CS[[#This Row],[Level]],FALSE)),)</f>
        <v>659</v>
      </c>
      <c r="U90" s="13">
        <f>96+24</f>
        <v>120</v>
      </c>
      <c r="V90" s="189">
        <f>IF(OR(ISBLANK(TAB_CS[[#This Row],[Commited days]]),TAB_CS[[#This Row],[Commited days]]=0),,TAB_CS[[#This Row],[Commited days]]*TAB_CS[[#This Row],[Profile in €]])</f>
        <v>79080</v>
      </c>
      <c r="W90" s="127">
        <f>SUM(TAB_CS[[#This Row],[F]:[P+1]])-TAB_CS[[#This Row],[P+1]]</f>
        <v>33</v>
      </c>
      <c r="X90" s="189">
        <f>IF(OR(ISBLANK(TAB_CS[[#This Row],[Producted days]]),TAB_CS[[#This Row],[Producted days]]=0),,TAB_CS[[#This Row],[Producted days]]*TAB_CS[[#This Row],[Profile in €]])</f>
        <v>21747</v>
      </c>
      <c r="Y90" s="188">
        <f>TAB_CS[[#This Row],[Commited days]]-TAB_CS[[#This Row],[Producted days]]</f>
        <v>87</v>
      </c>
      <c r="Z90" s="189">
        <f>IF(OR(ISBLANK(TAB_CS[[#This Row],[Remaining days]]),TAB_CS[[#This Row],[Remaining days]]=0),,TAB_CS[[#This Row],[Remaining days]]*TAB_CS[[#This Row],[Profile in €]])</f>
        <v>57333</v>
      </c>
      <c r="AA90" s="187">
        <f>SUM(TAB_CS[[#This Row],[P+1]:[FP]])</f>
        <v>0</v>
      </c>
      <c r="AB90" s="10">
        <f>IF(OR(ISBLANK(TAB_CS[[#This Row],[Expected days]]),TAB_CS[[#This Row],[Expected days]]=0),,TAB_CS[[#This Row],[Expected days]]*TAB_CS[[#This Row],[Profile in €]])</f>
        <v>0</v>
      </c>
      <c r="AC90" s="14" t="str">
        <f>CONCATENATE(TAB_CS[[#This Row],[DG]],TAB_CS[[#This Row],[Company]])</f>
        <v>DIGIT.A.5EDDA</v>
      </c>
      <c r="AD90" s="144"/>
      <c r="AE90" s="150"/>
      <c r="AF90" s="151"/>
      <c r="AG90" s="151"/>
      <c r="AH90" s="151"/>
      <c r="AI90" s="150"/>
      <c r="AJ90" s="151"/>
      <c r="AK90" s="156"/>
      <c r="AL90" s="156"/>
      <c r="AM90" s="150"/>
      <c r="AN90" s="150"/>
      <c r="AO90" s="150"/>
      <c r="AP90" s="150"/>
      <c r="AQ90" s="150"/>
      <c r="AR90" s="150"/>
      <c r="AS90" s="150"/>
      <c r="AT90" s="156"/>
      <c r="AU90" s="156"/>
      <c r="AV90" s="171"/>
      <c r="AW90" s="352">
        <v>5</v>
      </c>
      <c r="AX90" s="352">
        <v>19</v>
      </c>
      <c r="AY90" s="352">
        <v>9</v>
      </c>
      <c r="AZ90" s="644"/>
      <c r="BA90" s="644"/>
      <c r="BB90" s="644"/>
      <c r="BC90" s="644"/>
      <c r="BD90" s="644"/>
      <c r="BE90" s="644"/>
      <c r="BF90" s="644"/>
      <c r="BG90" s="644"/>
      <c r="BH90" s="644"/>
      <c r="BI90" s="173"/>
      <c r="BJ90" s="644"/>
      <c r="BK90" s="644"/>
      <c r="BL90" s="644"/>
      <c r="BM90" s="173"/>
      <c r="BN90" s="644"/>
      <c r="BO90" s="644"/>
      <c r="BP90" s="644"/>
      <c r="BQ90" s="644"/>
      <c r="BR90" s="644"/>
      <c r="BS90" s="644"/>
      <c r="BT90" s="644"/>
      <c r="BU90" s="644"/>
      <c r="BV90" s="644"/>
      <c r="BW90" s="644"/>
      <c r="BX90" s="644"/>
      <c r="BY90" s="644"/>
      <c r="BZ90" s="224"/>
    </row>
    <row r="91" spans="1:78" ht="14.4" x14ac:dyDescent="0.3">
      <c r="A91" s="1">
        <f>IF(ISBLANK(TAB_CS[[#This Row],[Reference]]),"",INDEX(TAB_Offres[ID],MATCH(TAB_CS[[#This Row],[Reference]],TAB_Offres[Reference],0)))</f>
        <v>89</v>
      </c>
      <c r="B91" s="26" t="s">
        <v>5516</v>
      </c>
      <c r="C91" s="150" t="s">
        <v>5674</v>
      </c>
      <c r="D91" s="1" t="str">
        <f>IF(ISBLANK(TAB_CS[[#This Row],[Reference]]),"",VLOOKUP(TAB_CS[[#This Row],[ID]],TAB_Offres[],2,FALSE))</f>
        <v>Lot 3</v>
      </c>
      <c r="E91" s="150" t="s">
        <v>5920</v>
      </c>
      <c r="F91" s="26">
        <f>_xlfn.IFNA(IF(ISBLANK(TAB_CS[[#This Row],[Reference]]),"",VLOOKUP(TAB_CS[[#This Row],[Reference]],TAB_Offres[[Reference]:[Modification Request]],COLUMNS(TAB_Offres[[Reference]:[Modification Request]]),FALSE)),)</f>
        <v>0</v>
      </c>
      <c r="G91" s="150" t="str">
        <f>IF(ISBLANK(TAB_CS[[#This Row],[Reference]]),"",INDEX(TAB_Offres[Institution/agency],MATCH(TAB_CS[[#This Row],[Reference]],TAB_Offres[Reference],0)))</f>
        <v>EC</v>
      </c>
      <c r="H91" s="150" t="str">
        <f>IF(ISBLANK(TAB_CS[[#This Row],[Reference]]),"",INDEX(TAB_Offres[DG],MATCH(TAB_CS[[#This Row],[Reference]],TAB_Offres[Reference],0)))</f>
        <v>DIGIT.B.3</v>
      </c>
      <c r="I91" t="str">
        <f>IF(ISBLANK(TAB_CS[[#This Row],[Reference]]),"",INDEX(TAB_Offres[Offer description],MATCH(TAB_CS[[#This Row],[Reference]],TAB_Offres[Reference],0)))</f>
        <v xml:space="preserve">	Onboarding Manager (OM)</v>
      </c>
      <c r="J91" s="155">
        <f>_xlfn.IFNA(IF(ISBLANK(TAB_CS[[#This Row],[Ressource]]),,VLOOKUP(TAB_CS[[#This Row],[Reference]],TAB_Offres[[Reference]:[CS signature date]],COLUMNS(TAB_Offres[[Reference]:[CS signature date]]),FALSE)),"")</f>
        <v>45224</v>
      </c>
      <c r="K91" s="155">
        <f>_xlfn.IFNA(IF(ISBLANK(TAB_CS[[#This Row],[Ressource]]),,VLOOKUP(TAB_CS[[#This Row],[Reference]],TAB_Offres[[Reference]:[CS start date]],COLUMNS(TAB_Offres[[Reference]:[CS start date]]),FALSE)),"")</f>
        <v>45224</v>
      </c>
      <c r="L91" s="155">
        <f>_xlfn.IFNA(IF(ISBLANK(TAB_CS[[#This Row],[Ressource]]),,VLOOKUP(TAB_CS[[#This Row],[Reference]],TAB_Offres[[Reference]:[CS end date]],COLUMNS(TAB_Offres[[Reference]:[CS end date]]),FALSE)),"")</f>
        <v>45565</v>
      </c>
      <c r="M91" s="1">
        <f>_xlfn.IFNA(IF(ISBLANK(TAB_CS[[#This Row],[Ressource]]),,VLOOKUP(TAB_CS[[#This Row],[Reference]],TAB_Offres[[Reference]:[CS State]],COLUMNS(TAB_Offres[[Reference]:[CS State]]),FALSE)),"")</f>
        <v>0</v>
      </c>
      <c r="N91" s="26" t="str">
        <f>VLOOKUP(TAB_CS[[#This Row],[Reference]],TAB_Offres[[Reference]:[Ressource 1]],25,FALSE)</f>
        <v>DEVLEESCHOUWER, Sophie</v>
      </c>
      <c r="O91" s="1" t="str">
        <f>_xlfn.IFNA(IF(ISBLANK(TAB_CS[[#This Row],[Ressource]]),,VLOOKUP(TAB_CS[[#This Row],[Reference]],TAB_Offres[[Reference]:[Company]],COLUMNS(TAB_Offres[[Reference]:[Company]]),FALSE)),"")</f>
        <v>CGI LUX</v>
      </c>
      <c r="P91" s="1" t="str">
        <f>_xlfn.CONCAT(TAB_CS[[#This Row],[Ressource]],TAB_CS[[#This Row],[Profile in €]])</f>
        <v>DEVLEESCHOUWER, Sophie808,92</v>
      </c>
      <c r="Q91" s="1" t="str">
        <f>_xlfn.CONCAT(TAB_CS[[#This Row],[Company]],TAB_CS[[#This Row],[Business perimeter]])</f>
        <v>CGI LUXNB</v>
      </c>
      <c r="R91" s="1" t="str">
        <f>_xlfn.IFNA(IF(ISBLANK(TAB_CS[[#This Row],[Ressource]]),"",VLOOKUP(TAB_CS[[#This Row],[Reference]],TAB_Offres[[Reference]:[Profile]],COLUMNS(TAB_Offres[[Reference]:[Profile]]),FALSE)),"")</f>
        <v>Onboarding manager</v>
      </c>
      <c r="S91" s="150">
        <f>_xlfn.IFNA(IF(ISBLANK(TAB_CS[[#This Row],[Ressource]]),"",VLOOKUP(TAB_CS[[#This Row],[Reference]],TAB_Offres[[Reference]:[Level]],COLUMNS(TAB_Offres[[Reference]:[Level]]),FALSE)),"")</f>
        <v>9</v>
      </c>
      <c r="T91" s="156">
        <f>_xlfn.IFNA(IF(OR(ISBLANK(TAB_CS[[#This Row],[Level]]),TAB_CS[[#This Row],[Level]]=""),,VLOOKUP(TAB_CS[[#This Row],[Profile]],TAB_prix[],2+TAB_CS[[#This Row],[Level]],FALSE)),)</f>
        <v>808.92</v>
      </c>
      <c r="U91" s="13">
        <v>100</v>
      </c>
      <c r="V91" s="189">
        <f>IF(OR(ISBLANK(TAB_CS[[#This Row],[Commited days]]),TAB_CS[[#This Row],[Commited days]]=0),,TAB_CS[[#This Row],[Commited days]]*TAB_CS[[#This Row],[Profile in €]])</f>
        <v>80892</v>
      </c>
      <c r="W91" s="127">
        <f>SUM(TAB_CS[[#This Row],[F]:[P+1]])-TAB_CS[[#This Row],[P+1]]</f>
        <v>100</v>
      </c>
      <c r="X91" s="189">
        <f>IF(OR(ISBLANK(TAB_CS[[#This Row],[Producted days]]),TAB_CS[[#This Row],[Producted days]]=0),,TAB_CS[[#This Row],[Producted days]]*TAB_CS[[#This Row],[Profile in €]])</f>
        <v>80892</v>
      </c>
      <c r="Y91" s="188">
        <f>TAB_CS[[#This Row],[Commited days]]-TAB_CS[[#This Row],[Producted days]]</f>
        <v>0</v>
      </c>
      <c r="Z91" s="189">
        <f>IF(OR(ISBLANK(TAB_CS[[#This Row],[Remaining days]]),TAB_CS[[#This Row],[Remaining days]]=0),,TAB_CS[[#This Row],[Remaining days]]*TAB_CS[[#This Row],[Profile in €]])</f>
        <v>0</v>
      </c>
      <c r="AA91" s="187">
        <f>SUM(TAB_CS[[#This Row],[P+1]:[FP]])</f>
        <v>0</v>
      </c>
      <c r="AB91" s="10">
        <f>IF(OR(ISBLANK(TAB_CS[[#This Row],[Expected days]]),TAB_CS[[#This Row],[Expected days]]=0),,TAB_CS[[#This Row],[Expected days]]*TAB_CS[[#This Row],[Profile in €]])</f>
        <v>0</v>
      </c>
      <c r="AC91" s="14" t="str">
        <f>CONCATENATE(TAB_CS[[#This Row],[DG]],TAB_CS[[#This Row],[Company]])</f>
        <v>DIGIT.B.3CGI LUX</v>
      </c>
      <c r="AD91" s="144"/>
      <c r="AE91" s="150"/>
      <c r="AF91" s="151"/>
      <c r="AG91" s="151"/>
      <c r="AH91" s="151"/>
      <c r="AI91" s="150"/>
      <c r="AJ91" s="151"/>
      <c r="AK91" s="156"/>
      <c r="AL91" s="156"/>
      <c r="AM91" s="150"/>
      <c r="AN91" s="150"/>
      <c r="AO91" s="150"/>
      <c r="AP91" s="150"/>
      <c r="AQ91" s="150"/>
      <c r="AR91" s="150"/>
      <c r="AS91" s="150"/>
      <c r="AT91" s="156"/>
      <c r="AU91" s="156"/>
      <c r="AV91" s="171"/>
      <c r="AW91" s="171"/>
      <c r="AX91" s="352">
        <v>8</v>
      </c>
      <c r="AY91" s="352">
        <v>15</v>
      </c>
      <c r="AZ91" s="352">
        <v>17</v>
      </c>
      <c r="BA91" s="352">
        <v>16.5</v>
      </c>
      <c r="BB91" s="352">
        <v>15.5</v>
      </c>
      <c r="BC91" s="352">
        <v>19</v>
      </c>
      <c r="BD91" s="352">
        <v>9</v>
      </c>
      <c r="BE91" s="644"/>
      <c r="BF91" s="644"/>
      <c r="BG91" s="644"/>
      <c r="BH91" s="644"/>
      <c r="BI91" s="173"/>
      <c r="BJ91" s="644"/>
      <c r="BK91" s="644"/>
      <c r="BL91" s="644"/>
      <c r="BM91" s="173"/>
      <c r="BN91" s="644"/>
      <c r="BO91" s="644"/>
      <c r="BP91" s="644"/>
      <c r="BQ91" s="644"/>
      <c r="BR91" s="644"/>
      <c r="BS91" s="644"/>
      <c r="BT91" s="644"/>
      <c r="BU91" s="644"/>
      <c r="BV91" s="644"/>
      <c r="BW91" s="644"/>
      <c r="BX91" s="644"/>
      <c r="BY91" s="644"/>
      <c r="BZ91" s="224"/>
    </row>
    <row r="92" spans="1:78" s="4" customFormat="1" ht="14.4" x14ac:dyDescent="0.3">
      <c r="A92" s="150">
        <f>IF(ISBLANK(TAB_CS[[#This Row],[Reference]]),"",INDEX(TAB_Offres[ID],MATCH(TAB_CS[[#This Row],[Reference]],TAB_Offres[Reference],0)))</f>
        <v>90</v>
      </c>
      <c r="B92" s="154" t="s">
        <v>5517</v>
      </c>
      <c r="C92" s="150" t="s">
        <v>5675</v>
      </c>
      <c r="D92" s="150" t="str">
        <f>IF(ISBLANK(TAB_CS[[#This Row],[Reference]]),"",VLOOKUP(TAB_CS[[#This Row],[ID]],TAB_Offres[],2,FALSE))</f>
        <v>Lot 2</v>
      </c>
      <c r="E92" s="150" t="s">
        <v>5920</v>
      </c>
      <c r="F92" s="154">
        <f>_xlfn.IFNA(IF(ISBLANK(TAB_CS[[#This Row],[Reference]]),"",VLOOKUP(TAB_CS[[#This Row],[Reference]],TAB_Offres[[Reference]:[Modification Request]],COLUMNS(TAB_Offres[[Reference]:[Modification Request]]),FALSE)),)</f>
        <v>0</v>
      </c>
      <c r="G92" s="150" t="str">
        <f>IF(ISBLANK(TAB_CS[[#This Row],[Reference]]),"",INDEX(TAB_Offres[Institution/agency],MATCH(TAB_CS[[#This Row],[Reference]],TAB_Offres[Reference],0)))</f>
        <v>EC</v>
      </c>
      <c r="H92" s="150" t="str">
        <f>IF(ISBLANK(TAB_CS[[#This Row],[Reference]]),"",INDEX(TAB_Offres[DG],MATCH(TAB_CS[[#This Row],[Reference]],TAB_Offres[Reference],0)))</f>
        <v>DIGIT.B.3</v>
      </c>
      <c r="I92" t="str">
        <f>IF(ISBLANK(TAB_CS[[#This Row],[Reference]]),"",INDEX(TAB_Offres[Offer description],MATCH(TAB_CS[[#This Row],[Reference]],TAB_Offres[Reference],0)))</f>
        <v>Project Manager</v>
      </c>
      <c r="J92" s="155">
        <f>_xlfn.IFNA(IF(ISBLANK(TAB_CS[[#This Row],[Ressource]]),,VLOOKUP(TAB_CS[[#This Row],[Reference]],TAB_Offres[[Reference]:[CS signature date]],COLUMNS(TAB_Offres[[Reference]:[CS signature date]]),FALSE)),"")</f>
        <v>45224</v>
      </c>
      <c r="K92" s="155">
        <f>_xlfn.IFNA(IF(ISBLANK(TAB_CS[[#This Row],[Ressource]]),,VLOOKUP(TAB_CS[[#This Row],[Reference]],TAB_Offres[[Reference]:[CS start date]],COLUMNS(TAB_Offres[[Reference]:[CS start date]]),FALSE)),"")</f>
        <v>45225</v>
      </c>
      <c r="L92" s="155">
        <f>_xlfn.IFNA(IF(ISBLANK(TAB_CS[[#This Row],[Ressource]]),,VLOOKUP(TAB_CS[[#This Row],[Reference]],TAB_Offres[[Reference]:[CS end date]],COLUMNS(TAB_Offres[[Reference]:[CS end date]]),FALSE)),"")</f>
        <v>45565</v>
      </c>
      <c r="M92" s="1">
        <f>_xlfn.IFNA(IF(ISBLANK(TAB_CS[[#This Row],[Ressource]]),,VLOOKUP(TAB_CS[[#This Row],[Reference]],TAB_Offres[[Reference]:[CS State]],COLUMNS(TAB_Offres[[Reference]:[CS State]]),FALSE)),"")</f>
        <v>0</v>
      </c>
      <c r="N92" s="154" t="str">
        <f>VLOOKUP(TAB_CS[[#This Row],[Reference]],TAB_Offres[[Reference]:[Ressource 1]],25,FALSE)</f>
        <v>GAGO CABEZAS, Irma</v>
      </c>
      <c r="O92" s="150" t="str">
        <f>_xlfn.IFNA(IF(ISBLANK(TAB_CS[[#This Row],[Ressource]]),,VLOOKUP(TAB_CS[[#This Row],[Reference]],TAB_Offres[[Reference]:[Company]],COLUMNS(TAB_Offres[[Reference]:[Company]]),FALSE)),"")</f>
        <v>CGI LUX</v>
      </c>
      <c r="P92" s="1" t="str">
        <f>_xlfn.CONCAT(TAB_CS[[#This Row],[Ressource]],TAB_CS[[#This Row],[Profile in €]])</f>
        <v>GAGO CABEZAS, Irma806,53</v>
      </c>
      <c r="Q92" s="1" t="str">
        <f>_xlfn.CONCAT(TAB_CS[[#This Row],[Company]],TAB_CS[[#This Row],[Business perimeter]])</f>
        <v>CGI LUXNB</v>
      </c>
      <c r="R92" s="150" t="str">
        <f>_xlfn.IFNA(IF(ISBLANK(TAB_CS[[#This Row],[Ressource]]),"",VLOOKUP(TAB_CS[[#This Row],[Reference]],TAB_Offres[[Reference]:[Profile]],COLUMNS(TAB_Offres[[Reference]:[Profile]]),FALSE)),"")</f>
        <v>Project Manager</v>
      </c>
      <c r="S92" s="150">
        <f>_xlfn.IFNA(IF(ISBLANK(TAB_CS[[#This Row],[Ressource]]),"",VLOOKUP(TAB_CS[[#This Row],[Reference]],TAB_Offres[[Reference]:[Level]],COLUMNS(TAB_Offres[[Reference]:[Level]]),FALSE)),"")</f>
        <v>10</v>
      </c>
      <c r="T92" s="156">
        <f>_xlfn.IFNA(IF(OR(ISBLANK(TAB_CS[[#This Row],[Level]]),TAB_CS[[#This Row],[Level]]=""),,VLOOKUP(TAB_CS[[#This Row],[Profile]],TAB_prix[],2+TAB_CS[[#This Row],[Level]],FALSE)),)</f>
        <v>806.53</v>
      </c>
      <c r="U92" s="151">
        <v>100</v>
      </c>
      <c r="V92" s="205">
        <f>IF(OR(ISBLANK(TAB_CS[[#This Row],[Commited days]]),TAB_CS[[#This Row],[Commited days]]=0),,TAB_CS[[#This Row],[Commited days]]*TAB_CS[[#This Row],[Profile in €]])</f>
        <v>80653</v>
      </c>
      <c r="W92" s="156">
        <f>SUM(TAB_CS[[#This Row],[F]:[P+1]])-TAB_CS[[#This Row],[P+1]]</f>
        <v>100</v>
      </c>
      <c r="X92" s="205">
        <f>IF(OR(ISBLANK(TAB_CS[[#This Row],[Producted days]]),TAB_CS[[#This Row],[Producted days]]=0),,TAB_CS[[#This Row],[Producted days]]*TAB_CS[[#This Row],[Profile in €]])</f>
        <v>80653</v>
      </c>
      <c r="Y92" s="206">
        <f>TAB_CS[[#This Row],[Commited days]]-TAB_CS[[#This Row],[Producted days]]</f>
        <v>0</v>
      </c>
      <c r="Z92" s="205">
        <f>IF(OR(ISBLANK(TAB_CS[[#This Row],[Remaining days]]),TAB_CS[[#This Row],[Remaining days]]=0),,TAB_CS[[#This Row],[Remaining days]]*TAB_CS[[#This Row],[Profile in €]])</f>
        <v>0</v>
      </c>
      <c r="AA92" s="207">
        <f>SUM(TAB_CS[[#This Row],[P+1]:[FP]])</f>
        <v>0</v>
      </c>
      <c r="AB92" s="208">
        <f>IF(OR(ISBLANK(TAB_CS[[#This Row],[Expected days]]),TAB_CS[[#This Row],[Expected days]]=0),,TAB_CS[[#This Row],[Expected days]]*TAB_CS[[#This Row],[Profile in €]])</f>
        <v>0</v>
      </c>
      <c r="AC92" s="14" t="str">
        <f>CONCATENATE(TAB_CS[[#This Row],[DG]],TAB_CS[[#This Row],[Company]])</f>
        <v>DIGIT.B.3CGI LUX</v>
      </c>
      <c r="AD92" s="144"/>
      <c r="AE92" s="150"/>
      <c r="AF92" s="151"/>
      <c r="AG92" s="151"/>
      <c r="AH92" s="151"/>
      <c r="AI92" s="150"/>
      <c r="AJ92" s="151"/>
      <c r="AK92" s="156"/>
      <c r="AL92" s="156"/>
      <c r="AM92" s="150"/>
      <c r="AN92" s="150"/>
      <c r="AO92" s="150"/>
      <c r="AP92" s="150"/>
      <c r="AQ92" s="150"/>
      <c r="AR92" s="150"/>
      <c r="AS92" s="150"/>
      <c r="AT92" s="156"/>
      <c r="AU92" s="156"/>
      <c r="AV92" s="171"/>
      <c r="AW92" s="171"/>
      <c r="AX92" s="352">
        <v>4</v>
      </c>
      <c r="AY92" s="352">
        <v>15</v>
      </c>
      <c r="AZ92" s="352">
        <v>13</v>
      </c>
      <c r="BA92" s="352">
        <v>16</v>
      </c>
      <c r="BB92" s="352">
        <v>16.5</v>
      </c>
      <c r="BC92" s="352">
        <v>19</v>
      </c>
      <c r="BD92" s="352">
        <v>15.5</v>
      </c>
      <c r="BE92" s="352">
        <v>1</v>
      </c>
      <c r="BF92" s="644"/>
      <c r="BG92" s="644"/>
      <c r="BH92" s="644"/>
      <c r="BI92" s="350"/>
      <c r="BJ92" s="644"/>
      <c r="BK92" s="644"/>
      <c r="BL92" s="644"/>
      <c r="BM92" s="350"/>
      <c r="BN92" s="644"/>
      <c r="BO92" s="644"/>
      <c r="BP92" s="644"/>
      <c r="BQ92" s="644"/>
      <c r="BR92" s="644"/>
      <c r="BS92" s="644"/>
      <c r="BT92" s="644"/>
      <c r="BU92" s="644"/>
      <c r="BV92" s="644"/>
      <c r="BW92" s="644"/>
      <c r="BX92" s="644"/>
      <c r="BY92" s="644"/>
      <c r="BZ92" s="324"/>
    </row>
    <row r="93" spans="1:78" s="4" customFormat="1" ht="14.4" x14ac:dyDescent="0.3">
      <c r="A93" s="150">
        <f>IF(ISBLANK(TAB_CS[[#This Row],[Reference]]),"",INDEX(TAB_Offres[ID],MATCH(TAB_CS[[#This Row],[Reference]],TAB_Offres[Reference],0)))</f>
        <v>91</v>
      </c>
      <c r="B93" s="154" t="s">
        <v>5573</v>
      </c>
      <c r="C93" s="150" t="s">
        <v>5676</v>
      </c>
      <c r="D93" s="150" t="str">
        <f>IF(ISBLANK(TAB_CS[[#This Row],[Reference]]),"",VLOOKUP(TAB_CS[[#This Row],[ID]],TAB_Offres[],2,FALSE))</f>
        <v>Lot 1</v>
      </c>
      <c r="E93" s="150" t="s">
        <v>5920</v>
      </c>
      <c r="F93" s="154">
        <f>_xlfn.IFNA(IF(ISBLANK(TAB_CS[[#This Row],[Reference]]),"",VLOOKUP(TAB_CS[[#This Row],[Reference]],TAB_Offres[[Reference]:[Modification Request]],COLUMNS(TAB_Offres[[Reference]:[Modification Request]]),FALSE)),)</f>
        <v>0</v>
      </c>
      <c r="G93" s="150" t="str">
        <f>IF(ISBLANK(TAB_CS[[#This Row],[Reference]]),"",INDEX(TAB_Offres[Institution/agency],MATCH(TAB_CS[[#This Row],[Reference]],TAB_Offres[Reference],0)))</f>
        <v>EC</v>
      </c>
      <c r="H93" s="150" t="str">
        <f>IF(ISBLANK(TAB_CS[[#This Row],[Reference]]),"",INDEX(TAB_Offres[DG],MATCH(TAB_CS[[#This Row],[Reference]],TAB_Offres[Reference],0)))</f>
        <v>ESTAT.A.5</v>
      </c>
      <c r="I93" s="4" t="str">
        <f>IF(ISBLANK(TAB_CS[[#This Row],[Reference]]),"",INDEX(TAB_Offres[Offer description],MATCH(TAB_CS[[#This Row],[Reference]],TAB_Offres[Reference],0)))</f>
        <v xml:space="preserve">Full-Stack Developer (FSD)	</v>
      </c>
      <c r="J93" s="204">
        <f>_xlfn.IFNA(IF(ISBLANK(TAB_CS[[#This Row],[Ressource]]),,VLOOKUP(TAB_CS[[#This Row],[Reference]],TAB_Offres[[Reference]:[CS signature date]],COLUMNS(TAB_Offres[[Reference]:[CS signature date]]),FALSE)),"")</f>
        <v>45251</v>
      </c>
      <c r="K93" s="204">
        <f>_xlfn.IFNA(IF(ISBLANK(TAB_CS[[#This Row],[Ressource]]),,VLOOKUP(TAB_CS[[#This Row],[Reference]],TAB_Offres[[Reference]:[CS start date]],COLUMNS(TAB_Offres[[Reference]:[CS start date]]),FALSE)),"")</f>
        <v>45261</v>
      </c>
      <c r="L93" s="204">
        <f>_xlfn.IFNA(IF(ISBLANK(TAB_CS[[#This Row],[Ressource]]),,VLOOKUP(TAB_CS[[#This Row],[Reference]],TAB_Offres[[Reference]:[CS end date]],COLUMNS(TAB_Offres[[Reference]:[CS end date]]),FALSE)),"")</f>
        <v>45777</v>
      </c>
      <c r="M93" s="150">
        <f>_xlfn.IFNA(IF(ISBLANK(TAB_CS[[#This Row],[Ressource]]),,VLOOKUP(TAB_CS[[#This Row],[Reference]],TAB_Offres[[Reference]:[CS State]],COLUMNS(TAB_Offres[[Reference]:[CS State]]),FALSE)),"")</f>
        <v>0</v>
      </c>
      <c r="N93" s="154" t="str">
        <f>VLOOKUP(TAB_CS[[#This Row],[Reference]],TAB_Offres[[Reference]:[Ressource 1]],25,FALSE)</f>
        <v>VISICH, Valeryy</v>
      </c>
      <c r="O93" s="150" t="str">
        <f>_xlfn.IFNA(IF(ISBLANK(TAB_CS[[#This Row],[Ressource]]),,VLOOKUP(TAB_CS[[#This Row],[Reference]],TAB_Offres[[Reference]:[Company]],COLUMNS(TAB_Offres[[Reference]:[Company]]),FALSE)),"")</f>
        <v>TALAN</v>
      </c>
      <c r="P93" s="150" t="str">
        <f>_xlfn.CONCAT(TAB_CS[[#This Row],[Ressource]],TAB_CS[[#This Row],[Profile in €]])</f>
        <v>VISICH, Valeryy405,19</v>
      </c>
      <c r="Q93" s="150" t="str">
        <f>_xlfn.CONCAT(TAB_CS[[#This Row],[Company]],TAB_CS[[#This Row],[Business perimeter]])</f>
        <v>TALANNB</v>
      </c>
      <c r="R93" s="150" t="str">
        <f>_xlfn.IFNA(IF(ISBLANK(TAB_CS[[#This Row],[Ressource]]),"",VLOOKUP(TAB_CS[[#This Row],[Reference]],TAB_Offres[[Reference]:[Profile]],COLUMNS(TAB_Offres[[Reference]:[Profile]]),FALSE)),"")</f>
        <v>Full-stack developer-FAR</v>
      </c>
      <c r="S93" s="150">
        <f>_xlfn.IFNA(IF(ISBLANK(TAB_CS[[#This Row],[Ressource]]),"",VLOOKUP(TAB_CS[[#This Row],[Reference]],TAB_Offres[[Reference]:[Level]],COLUMNS(TAB_Offres[[Reference]:[Level]]),FALSE)),"")</f>
        <v>6</v>
      </c>
      <c r="T93" s="156">
        <f>_xlfn.IFNA(IF(OR(ISBLANK(TAB_CS[[#This Row],[Level]]),TAB_CS[[#This Row],[Level]]=""),,VLOOKUP(TAB_CS[[#This Row],[Profile]],TAB_prix[],2+TAB_CS[[#This Row],[Level]],FALSE)),)</f>
        <v>405.19</v>
      </c>
      <c r="U93" s="151">
        <v>260</v>
      </c>
      <c r="V93" s="205">
        <f>IF(OR(ISBLANK(TAB_CS[[#This Row],[Commited days]]),TAB_CS[[#This Row],[Commited days]]=0),,TAB_CS[[#This Row],[Commited days]]*TAB_CS[[#This Row],[Profile in €]])</f>
        <v>105349.4</v>
      </c>
      <c r="W93" s="156">
        <f>SUM(TAB_CS[[#This Row],[F]:[P+1]])-TAB_CS[[#This Row],[P+1]]</f>
        <v>259</v>
      </c>
      <c r="X93" s="205">
        <f>IF(OR(ISBLANK(TAB_CS[[#This Row],[Producted days]]),TAB_CS[[#This Row],[Producted days]]=0),,TAB_CS[[#This Row],[Producted days]]*TAB_CS[[#This Row],[Profile in €]])</f>
        <v>104944.21</v>
      </c>
      <c r="Y93" s="206">
        <f>TAB_CS[[#This Row],[Commited days]]-TAB_CS[[#This Row],[Producted days]]</f>
        <v>1</v>
      </c>
      <c r="Z93" s="205">
        <f>IF(OR(ISBLANK(TAB_CS[[#This Row],[Remaining days]]),TAB_CS[[#This Row],[Remaining days]]=0),,TAB_CS[[#This Row],[Remaining days]]*TAB_CS[[#This Row],[Profile in €]])</f>
        <v>405.19</v>
      </c>
      <c r="AA93" s="207">
        <f>SUM(TAB_CS[[#This Row],[P+1]:[FP]])</f>
        <v>1</v>
      </c>
      <c r="AB93" s="208">
        <f>IF(OR(ISBLANK(TAB_CS[[#This Row],[Expected days]]),TAB_CS[[#This Row],[Expected days]]=0),,TAB_CS[[#This Row],[Expected days]]*TAB_CS[[#This Row],[Profile in €]])</f>
        <v>405.19</v>
      </c>
      <c r="AC93" s="322" t="str">
        <f>CONCATENATE(TAB_CS[[#This Row],[DG]],TAB_CS[[#This Row],[Company]])</f>
        <v>ESTAT.A.5TALAN</v>
      </c>
      <c r="AD93" s="209"/>
      <c r="AE93" s="150"/>
      <c r="AF93" s="151"/>
      <c r="AG93" s="151"/>
      <c r="AH93" s="151"/>
      <c r="AI93" s="150"/>
      <c r="AJ93" s="151"/>
      <c r="AK93" s="156"/>
      <c r="AL93" s="156"/>
      <c r="AM93" s="150"/>
      <c r="AN93" s="150"/>
      <c r="AO93" s="150"/>
      <c r="AP93" s="150"/>
      <c r="AQ93" s="150"/>
      <c r="AR93" s="150"/>
      <c r="AS93" s="150"/>
      <c r="AT93" s="156"/>
      <c r="AU93" s="156"/>
      <c r="AV93" s="321"/>
      <c r="AW93" s="321"/>
      <c r="AX93" s="360">
        <v>3</v>
      </c>
      <c r="AY93" s="360">
        <v>16</v>
      </c>
      <c r="AZ93" s="360">
        <v>21</v>
      </c>
      <c r="BA93" s="360">
        <v>21</v>
      </c>
      <c r="BB93" s="360">
        <v>19</v>
      </c>
      <c r="BC93" s="360">
        <v>21</v>
      </c>
      <c r="BD93" s="360">
        <v>19</v>
      </c>
      <c r="BE93" s="360">
        <v>20</v>
      </c>
      <c r="BF93" s="360">
        <v>23</v>
      </c>
      <c r="BG93" s="360">
        <v>21</v>
      </c>
      <c r="BH93" s="360">
        <v>21</v>
      </c>
      <c r="BI93" s="323"/>
      <c r="BJ93" s="321">
        <v>18</v>
      </c>
      <c r="BK93" s="321">
        <v>18</v>
      </c>
      <c r="BL93" s="321">
        <v>18</v>
      </c>
      <c r="BM93" s="323"/>
      <c r="BN93" s="321">
        <v>1</v>
      </c>
      <c r="BO93" s="321"/>
      <c r="BP93" s="321"/>
      <c r="BQ93" s="321"/>
      <c r="BR93" s="642"/>
      <c r="BS93" s="642"/>
      <c r="BT93" s="642"/>
      <c r="BU93" s="642"/>
      <c r="BV93" s="642"/>
      <c r="BW93" s="642"/>
      <c r="BX93" s="642"/>
      <c r="BY93" s="642"/>
      <c r="BZ93" s="324"/>
    </row>
    <row r="94" spans="1:78" ht="14.4" x14ac:dyDescent="0.3">
      <c r="A94" s="1">
        <f>IF(ISBLANK(TAB_CS[[#This Row],[Reference]]),"",INDEX(TAB_Offres[ID],MATCH(TAB_CS[[#This Row],[Reference]],TAB_Offres[Reference],0)))</f>
        <v>92</v>
      </c>
      <c r="B94" s="154" t="s">
        <v>5548</v>
      </c>
      <c r="C94" s="1" t="s">
        <v>23</v>
      </c>
      <c r="D94" s="1" t="str">
        <f>IF(ISBLANK(TAB_CS[[#This Row],[Reference]]),"",VLOOKUP(TAB_CS[[#This Row],[ID]],TAB_Offres[],2,FALSE))</f>
        <v>Lot 3</v>
      </c>
      <c r="E94" s="150" t="s">
        <v>5920</v>
      </c>
      <c r="F94" s="26">
        <f>_xlfn.IFNA(IF(ISBLANK(TAB_CS[[#This Row],[Reference]]),"",VLOOKUP(TAB_CS[[#This Row],[Reference]],TAB_Offres[[Reference]:[Modification Request]],COLUMNS(TAB_Offres[[Reference]:[Modification Request]]),FALSE)),)</f>
        <v>0</v>
      </c>
      <c r="G94" s="150" t="str">
        <f>IF(ISBLANK(TAB_CS[[#This Row],[Reference]]),"",INDEX(TAB_Offres[Institution/agency],MATCH(TAB_CS[[#This Row],[Reference]],TAB_Offres[Reference],0)))</f>
        <v>EC</v>
      </c>
      <c r="H94" s="150" t="str">
        <f>IF(ISBLANK(TAB_CS[[#This Row],[Reference]]),"",INDEX(TAB_Offres[DG],MATCH(TAB_CS[[#This Row],[Reference]],TAB_Offres[Reference],0)))</f>
        <v>DIGIT.B.3</v>
      </c>
      <c r="I94" t="str">
        <f>IF(ISBLANK(TAB_CS[[#This Row],[Reference]]),"",INDEX(TAB_Offres[Offer description],MATCH(TAB_CS[[#This Row],[Reference]],TAB_Offres[Reference],0)))</f>
        <v>PES</v>
      </c>
      <c r="J94" s="155">
        <f>_xlfn.IFNA(IF(ISBLANK(TAB_CS[[#This Row],[Ressource]]),,VLOOKUP(TAB_CS[[#This Row],[Reference]],TAB_Offres[[Reference]:[CS signature date]],COLUMNS(TAB_Offres[[Reference]:[CS signature date]]),FALSE)),"")</f>
        <v>0</v>
      </c>
      <c r="K94" s="155">
        <f>_xlfn.IFNA(IF(ISBLANK(TAB_CS[[#This Row],[Ressource]]),,VLOOKUP(TAB_CS[[#This Row],[Reference]],TAB_Offres[[Reference]:[CS start date]],COLUMNS(TAB_Offres[[Reference]:[CS start date]]),FALSE)),"")</f>
        <v>0</v>
      </c>
      <c r="L94" s="155">
        <f>_xlfn.IFNA(IF(ISBLANK(TAB_CS[[#This Row],[Ressource]]),,VLOOKUP(TAB_CS[[#This Row],[Reference]],TAB_Offres[[Reference]:[CS end date]],COLUMNS(TAB_Offres[[Reference]:[CS end date]]),FALSE)),"")</f>
        <v>0</v>
      </c>
      <c r="M94" s="1">
        <f>_xlfn.IFNA(IF(ISBLANK(TAB_CS[[#This Row],[Ressource]]),,VLOOKUP(TAB_CS[[#This Row],[Reference]],TAB_Offres[[Reference]:[CS State]],COLUMNS(TAB_Offres[[Reference]:[CS State]]),FALSE)),"")</f>
        <v>0</v>
      </c>
      <c r="N94" s="26" t="str">
        <f>VLOOKUP(TAB_CS[[#This Row],[Reference]],TAB_Offres[[Reference]:[Ressource 1]],25,FALSE)</f>
        <v>DEVLEESCHOUWER, Sophie</v>
      </c>
      <c r="O94" s="1" t="str">
        <f>_xlfn.IFNA(IF(ISBLANK(TAB_CS[[#This Row],[Ressource]]),,VLOOKUP(TAB_CS[[#This Row],[Reference]],TAB_Offres[[Reference]:[Company]],COLUMNS(TAB_Offres[[Reference]:[Company]]),FALSE)),"")</f>
        <v>CGI LUX</v>
      </c>
      <c r="P94" s="1" t="str">
        <f>_xlfn.CONCAT(TAB_CS[[#This Row],[Ressource]],TAB_CS[[#This Row],[Profile in €]])</f>
        <v>DEVLEESCHOUWER, Sophie808,92</v>
      </c>
      <c r="Q94" s="1" t="str">
        <f>_xlfn.CONCAT(TAB_CS[[#This Row],[Company]],TAB_CS[[#This Row],[Business perimeter]])</f>
        <v>CGI LUXNB</v>
      </c>
      <c r="R94" s="1" t="str">
        <f>_xlfn.IFNA(IF(ISBLANK(TAB_CS[[#This Row],[Ressource]]),"",VLOOKUP(TAB_CS[[#This Row],[Reference]],TAB_Offres[[Reference]:[Profile]],COLUMNS(TAB_Offres[[Reference]:[Profile]]),FALSE)),"")</f>
        <v>Onboarding manager</v>
      </c>
      <c r="S94" s="150">
        <f>_xlfn.IFNA(IF(ISBLANK(TAB_CS[[#This Row],[Ressource]]),"",VLOOKUP(TAB_CS[[#This Row],[Reference]],TAB_Offres[[Reference]:[Level]],COLUMNS(TAB_Offres[[Reference]:[Level]]),FALSE)),"")</f>
        <v>9</v>
      </c>
      <c r="T94" s="156">
        <f>_xlfn.IFNA(IF(OR(ISBLANK(TAB_CS[[#This Row],[Level]]),TAB_CS[[#This Row],[Level]]=""),,VLOOKUP(TAB_CS[[#This Row],[Profile]],TAB_prix[],2+TAB_CS[[#This Row],[Level]],FALSE)),)</f>
        <v>808.92</v>
      </c>
      <c r="U94" s="13">
        <v>1</v>
      </c>
      <c r="V94" s="189">
        <v>10000</v>
      </c>
      <c r="W94" s="127">
        <f>SUM(TAB_CS[[#This Row],[F]:[P+1]])-TAB_CS[[#This Row],[P+1]]</f>
        <v>0</v>
      </c>
      <c r="X94" s="189">
        <f>IF(OR(ISBLANK(TAB_CS[[#This Row],[Producted days]]),TAB_CS[[#This Row],[Producted days]]=0),,TAB_CS[[#This Row],[Producted days]]*TAB_CS[[#This Row],[Profile in €]])</f>
        <v>0</v>
      </c>
      <c r="Y94" s="188">
        <f>TAB_CS[[#This Row],[Commited days]]-TAB_CS[[#This Row],[Producted days]]</f>
        <v>1</v>
      </c>
      <c r="Z94" s="189">
        <f>IF(OR(ISBLANK(TAB_CS[[#This Row],[Remaining days]]),TAB_CS[[#This Row],[Remaining days]]=0),,TAB_CS[[#This Row],[Remaining days]]*TAB_CS[[#This Row],[Profile in €]])</f>
        <v>808.92</v>
      </c>
      <c r="AA94" s="187">
        <f>SUM(TAB_CS[[#This Row],[P+1]:[FP]])</f>
        <v>0</v>
      </c>
      <c r="AB94" s="10">
        <f>IF(OR(ISBLANK(TAB_CS[[#This Row],[Expected days]]),TAB_CS[[#This Row],[Expected days]]=0),,TAB_CS[[#This Row],[Expected days]]*TAB_CS[[#This Row],[Profile in €]])</f>
        <v>0</v>
      </c>
      <c r="AC94" s="14" t="str">
        <f>CONCATENATE(TAB_CS[[#This Row],[DG]],TAB_CS[[#This Row],[Company]])</f>
        <v>DIGIT.B.3CGI LUX</v>
      </c>
      <c r="AD94" s="144"/>
      <c r="AE94" s="646"/>
      <c r="AF94" s="647"/>
      <c r="AG94" s="647"/>
      <c r="AH94" s="647"/>
      <c r="AI94" s="646"/>
      <c r="AJ94" s="647"/>
      <c r="AK94" s="643"/>
      <c r="AL94" s="643"/>
      <c r="AM94" s="646"/>
      <c r="AN94" s="646"/>
      <c r="AO94" s="646"/>
      <c r="AP94" s="646"/>
      <c r="AQ94" s="646"/>
      <c r="AR94" s="646"/>
      <c r="AS94" s="646"/>
      <c r="AT94" s="643"/>
      <c r="AU94" s="643"/>
      <c r="AV94" s="644"/>
      <c r="AW94" s="644"/>
      <c r="AX94" s="644"/>
      <c r="AY94" s="644"/>
      <c r="AZ94" s="644"/>
      <c r="BA94" s="644"/>
      <c r="BB94" s="644"/>
      <c r="BC94" s="644"/>
      <c r="BD94" s="644"/>
      <c r="BE94" s="644"/>
      <c r="BF94" s="644"/>
      <c r="BG94" s="644"/>
      <c r="BH94" s="644"/>
      <c r="BI94" s="173"/>
      <c r="BJ94" s="644"/>
      <c r="BK94" s="644"/>
      <c r="BL94" s="644"/>
      <c r="BM94" s="173"/>
      <c r="BN94" s="644"/>
      <c r="BO94" s="644"/>
      <c r="BP94" s="644"/>
      <c r="BQ94" s="644"/>
      <c r="BR94" s="644"/>
      <c r="BS94" s="644"/>
      <c r="BT94" s="644"/>
      <c r="BU94" s="644"/>
      <c r="BV94" s="644"/>
      <c r="BW94" s="644"/>
      <c r="BX94" s="644"/>
      <c r="BY94" s="644"/>
      <c r="BZ94" s="224"/>
    </row>
    <row r="95" spans="1:78" s="4" customFormat="1" ht="14.4" x14ac:dyDescent="0.3">
      <c r="A95" s="1">
        <f>IF(ISBLANK(TAB_CS[[#This Row],[Reference]]),"",INDEX(TAB_Offres[ID],MATCH(TAB_CS[[#This Row],[Reference]],TAB_Offres[Reference],0)))</f>
        <v>93</v>
      </c>
      <c r="B95" s="154" t="s">
        <v>5550</v>
      </c>
      <c r="C95" s="150" t="s">
        <v>5677</v>
      </c>
      <c r="D95" s="1" t="str">
        <f>IF(ISBLANK(TAB_CS[[#This Row],[Reference]]),"",VLOOKUP(TAB_CS[[#This Row],[ID]],TAB_Offres[],2,FALSE))</f>
        <v>Lot 2</v>
      </c>
      <c r="E95" s="150" t="s">
        <v>5920</v>
      </c>
      <c r="F95" s="26">
        <f>_xlfn.IFNA(IF(ISBLANK(TAB_CS[[#This Row],[Reference]]),"",VLOOKUP(TAB_CS[[#This Row],[Reference]],TAB_Offres[[Reference]:[Modification Request]],COLUMNS(TAB_Offres[[Reference]:[Modification Request]]),FALSE)),)</f>
        <v>0</v>
      </c>
      <c r="G95" s="150" t="str">
        <f>IF(ISBLANK(TAB_CS[[#This Row],[Reference]]),"",INDEX(TAB_Offres[Institution/agency],MATCH(TAB_CS[[#This Row],[Reference]],TAB_Offres[Reference],0)))</f>
        <v>EC</v>
      </c>
      <c r="H95" s="150" t="str">
        <f>IF(ISBLANK(TAB_CS[[#This Row],[Reference]]),"",INDEX(TAB_Offres[DG],MATCH(TAB_CS[[#This Row],[Reference]],TAB_Offres[Reference],0)))</f>
        <v>DIGIT.A.5</v>
      </c>
      <c r="I95" t="str">
        <f>IF(ISBLANK(TAB_CS[[#This Row],[Reference]]),"",INDEX(TAB_Offres[Offer description],MATCH(TAB_CS[[#This Row],[Reference]],TAB_Offres[Reference],0)))</f>
        <v>Project Manager</v>
      </c>
      <c r="J95" s="155">
        <f>_xlfn.IFNA(IF(ISBLANK(TAB_CS[[#This Row],[Ressource]]),,VLOOKUP(TAB_CS[[#This Row],[Reference]],TAB_Offres[[Reference]:[CS signature date]],COLUMNS(TAB_Offres[[Reference]:[CS signature date]]),FALSE)),"")</f>
        <v>0</v>
      </c>
      <c r="K95" s="155">
        <f>_xlfn.IFNA(IF(ISBLANK(TAB_CS[[#This Row],[Ressource]]),,VLOOKUP(TAB_CS[[#This Row],[Reference]],TAB_Offres[[Reference]:[CS start date]],COLUMNS(TAB_Offres[[Reference]:[CS start date]]),FALSE)),"")</f>
        <v>0</v>
      </c>
      <c r="L95" s="155">
        <f>_xlfn.IFNA(IF(ISBLANK(TAB_CS[[#This Row],[Ressource]]),,VLOOKUP(TAB_CS[[#This Row],[Reference]],TAB_Offres[[Reference]:[CS end date]],COLUMNS(TAB_Offres[[Reference]:[CS end date]]),FALSE)),"")</f>
        <v>0</v>
      </c>
      <c r="M95" s="1">
        <f>_xlfn.IFNA(IF(ISBLANK(TAB_CS[[#This Row],[Ressource]]),,VLOOKUP(TAB_CS[[#This Row],[Reference]],TAB_Offres[[Reference]:[CS State]],COLUMNS(TAB_Offres[[Reference]:[CS State]]),FALSE)),"")</f>
        <v>0</v>
      </c>
      <c r="N95" s="26" t="str">
        <f>VLOOKUP(TAB_CS[[#This Row],[Reference]],TAB_Offres[[Reference]:[Ressource 1]],25,FALSE)</f>
        <v xml:space="preserve">TURCITU, Mihai-Alexandru </v>
      </c>
      <c r="O95" s="1" t="str">
        <f>_xlfn.IFNA(IF(ISBLANK(TAB_CS[[#This Row],[Ressource]]),,VLOOKUP(TAB_CS[[#This Row],[Reference]],TAB_Offres[[Reference]:[Company]],COLUMNS(TAB_Offres[[Reference]:[Company]]),FALSE)),"")</f>
        <v>CGI LUX</v>
      </c>
      <c r="P95" s="1" t="str">
        <f>_xlfn.CONCAT(TAB_CS[[#This Row],[Ressource]],TAB_CS[[#This Row],[Profile in €]])</f>
        <v>TURCITU, Mihai-Alexandru 469,41</v>
      </c>
      <c r="Q95" s="1" t="str">
        <f>_xlfn.CONCAT(TAB_CS[[#This Row],[Company]],TAB_CS[[#This Row],[Business perimeter]])</f>
        <v>CGI LUXNB</v>
      </c>
      <c r="R95" s="1" t="str">
        <f>_xlfn.IFNA(IF(ISBLANK(TAB_CS[[#This Row],[Ressource]]),"",VLOOKUP(TAB_CS[[#This Row],[Reference]],TAB_Offres[[Reference]:[Profile]],COLUMNS(TAB_Offres[[Reference]:[Profile]]),FALSE)),"")</f>
        <v>Project Manager</v>
      </c>
      <c r="S95" s="150">
        <f>_xlfn.IFNA(IF(ISBLANK(TAB_CS[[#This Row],[Ressource]]),"",VLOOKUP(TAB_CS[[#This Row],[Reference]],TAB_Offres[[Reference]:[Level]],COLUMNS(TAB_Offres[[Reference]:[Level]]),FALSE)),"")</f>
        <v>2</v>
      </c>
      <c r="T95" s="156">
        <f>_xlfn.IFNA(IF(OR(ISBLANK(TAB_CS[[#This Row],[Level]]),TAB_CS[[#This Row],[Level]]=""),,VLOOKUP(TAB_CS[[#This Row],[Profile]],TAB_prix[],2+TAB_CS[[#This Row],[Level]],FALSE)),)</f>
        <v>469.41</v>
      </c>
      <c r="U95" s="13">
        <v>101.5</v>
      </c>
      <c r="V95" s="189">
        <f>IF(OR(ISBLANK(TAB_CS[[#This Row],[Commited days]]),TAB_CS[[#This Row],[Commited days]]=0),,TAB_CS[[#This Row],[Commited days]]*TAB_CS[[#This Row],[Profile in €]])</f>
        <v>47645.115000000005</v>
      </c>
      <c r="W95" s="127">
        <f>SUM(TAB_CS[[#This Row],[F]:[P+1]])-TAB_CS[[#This Row],[P+1]]</f>
        <v>101.5</v>
      </c>
      <c r="X95" s="189">
        <f>IF(OR(ISBLANK(TAB_CS[[#This Row],[Producted days]]),TAB_CS[[#This Row],[Producted days]]=0),,TAB_CS[[#This Row],[Producted days]]*TAB_CS[[#This Row],[Profile in €]])</f>
        <v>47645.115000000005</v>
      </c>
      <c r="Y95" s="188">
        <f>TAB_CS[[#This Row],[Commited days]]-TAB_CS[[#This Row],[Producted days]]</f>
        <v>0</v>
      </c>
      <c r="Z95" s="189">
        <f>IF(OR(ISBLANK(TAB_CS[[#This Row],[Remaining days]]),TAB_CS[[#This Row],[Remaining days]]=0),,TAB_CS[[#This Row],[Remaining days]]*TAB_CS[[#This Row],[Profile in €]])</f>
        <v>0</v>
      </c>
      <c r="AA95" s="187">
        <f>SUM(TAB_CS[[#This Row],[P+1]:[FP]])</f>
        <v>0</v>
      </c>
      <c r="AB95" s="10">
        <f>IF(OR(ISBLANK(TAB_CS[[#This Row],[Expected days]]),TAB_CS[[#This Row],[Expected days]]=0),,TAB_CS[[#This Row],[Expected days]]*TAB_CS[[#This Row],[Profile in €]])</f>
        <v>0</v>
      </c>
      <c r="AC95" s="14" t="str">
        <f>CONCATENATE(TAB_CS[[#This Row],[DG]],TAB_CS[[#This Row],[Company]])</f>
        <v>DIGIT.A.5CGI LUX</v>
      </c>
      <c r="AD95" s="144"/>
      <c r="AE95" s="150"/>
      <c r="AF95" s="151"/>
      <c r="AG95" s="151"/>
      <c r="AH95" s="151"/>
      <c r="AI95" s="150"/>
      <c r="AJ95" s="151"/>
      <c r="AK95" s="156"/>
      <c r="AL95" s="156"/>
      <c r="AM95" s="150"/>
      <c r="AN95" s="150"/>
      <c r="AO95" s="150"/>
      <c r="AP95" s="150"/>
      <c r="AQ95" s="150"/>
      <c r="AR95" s="150"/>
      <c r="AS95" s="150"/>
      <c r="AT95" s="156"/>
      <c r="AU95" s="156"/>
      <c r="AV95" s="171"/>
      <c r="AW95" s="171"/>
      <c r="AX95" s="352">
        <v>6.5</v>
      </c>
      <c r="AY95" s="352">
        <v>15.5</v>
      </c>
      <c r="AZ95" s="352">
        <v>18</v>
      </c>
      <c r="BA95" s="352">
        <v>21</v>
      </c>
      <c r="BB95" s="352">
        <v>21</v>
      </c>
      <c r="BC95" s="352">
        <v>19.5</v>
      </c>
      <c r="BD95" s="644"/>
      <c r="BE95" s="644"/>
      <c r="BF95" s="644"/>
      <c r="BG95" s="644"/>
      <c r="BH95" s="644"/>
      <c r="BI95" s="173"/>
      <c r="BJ95" s="644"/>
      <c r="BK95" s="644"/>
      <c r="BL95" s="644"/>
      <c r="BM95" s="173"/>
      <c r="BN95" s="644"/>
      <c r="BO95" s="644"/>
      <c r="BP95" s="644"/>
      <c r="BQ95" s="644"/>
      <c r="BR95" s="644"/>
      <c r="BS95" s="644"/>
      <c r="BT95" s="644"/>
      <c r="BU95" s="644"/>
      <c r="BV95" s="644"/>
      <c r="BW95" s="644"/>
      <c r="BX95" s="644"/>
      <c r="BY95" s="644"/>
      <c r="BZ95" s="224"/>
    </row>
    <row r="96" spans="1:78" s="4" customFormat="1" ht="14.4" x14ac:dyDescent="0.3">
      <c r="A96" s="1">
        <f>IF(ISBLANK(TAB_CS[[#This Row],[Reference]]),"",INDEX(TAB_Offres[ID],MATCH(TAB_CS[[#This Row],[Reference]],TAB_Offres[Reference],0)))</f>
        <v>94</v>
      </c>
      <c r="B96" s="26" t="s">
        <v>5552</v>
      </c>
      <c r="C96" s="150" t="s">
        <v>5678</v>
      </c>
      <c r="D96" s="1" t="str">
        <f>IF(ISBLANK(TAB_CS[[#This Row],[Reference]]),"",VLOOKUP(TAB_CS[[#This Row],[ID]],TAB_Offres[],2,FALSE))</f>
        <v>Lot 2</v>
      </c>
      <c r="E96" s="150" t="s">
        <v>5920</v>
      </c>
      <c r="F96" s="26">
        <f>_xlfn.IFNA(IF(ISBLANK(TAB_CS[[#This Row],[Reference]]),"",VLOOKUP(TAB_CS[[#This Row],[Reference]],TAB_Offres[[Reference]:[Modification Request]],COLUMNS(TAB_Offres[[Reference]:[Modification Request]]),FALSE)),)</f>
        <v>0</v>
      </c>
      <c r="G96" s="150" t="str">
        <f>IF(ISBLANK(TAB_CS[[#This Row],[Reference]]),"",INDEX(TAB_Offres[Institution/agency],MATCH(TAB_CS[[#This Row],[Reference]],TAB_Offres[Reference],0)))</f>
        <v>EC</v>
      </c>
      <c r="H96" s="150" t="str">
        <f>IF(ISBLANK(TAB_CS[[#This Row],[Reference]]),"",INDEX(TAB_Offres[DG],MATCH(TAB_CS[[#This Row],[Reference]],TAB_Offres[Reference],0)))</f>
        <v>HR.DS</v>
      </c>
      <c r="I96" t="str">
        <f>IF(ISBLANK(TAB_CS[[#This Row],[Reference]]),"",INDEX(TAB_Offres[Offer description],MATCH(TAB_CS[[#This Row],[Reference]],TAB_Offres[Reference],0)))</f>
        <v xml:space="preserve">	Project Manager</v>
      </c>
      <c r="J96" s="155">
        <f>_xlfn.IFNA(IF(ISBLANK(TAB_CS[[#This Row],[Ressource]]),,VLOOKUP(TAB_CS[[#This Row],[Reference]],TAB_Offres[[Reference]:[CS signature date]],COLUMNS(TAB_Offres[[Reference]:[CS signature date]]),FALSE)),"")</f>
        <v>0</v>
      </c>
      <c r="K96" s="155">
        <f>_xlfn.IFNA(IF(ISBLANK(TAB_CS[[#This Row],[Ressource]]),,VLOOKUP(TAB_CS[[#This Row],[Reference]],TAB_Offres[[Reference]:[CS start date]],COLUMNS(TAB_Offres[[Reference]:[CS start date]]),FALSE)),"")</f>
        <v>0</v>
      </c>
      <c r="L96" s="155">
        <f>_xlfn.IFNA(IF(ISBLANK(TAB_CS[[#This Row],[Ressource]]),,VLOOKUP(TAB_CS[[#This Row],[Reference]],TAB_Offres[[Reference]:[CS end date]],COLUMNS(TAB_Offres[[Reference]:[CS end date]]),FALSE)),"")</f>
        <v>0</v>
      </c>
      <c r="M96" s="1">
        <f>_xlfn.IFNA(IF(ISBLANK(TAB_CS[[#This Row],[Ressource]]),,VLOOKUP(TAB_CS[[#This Row],[Reference]],TAB_Offres[[Reference]:[CS State]],COLUMNS(TAB_Offres[[Reference]:[CS State]]),FALSE)),"")</f>
        <v>0</v>
      </c>
      <c r="N96" s="26" t="str">
        <f>VLOOKUP(TAB_CS[[#This Row],[Reference]],TAB_Offres[[Reference]:[Ressource 1]],25,FALSE)</f>
        <v>FREIRE FERREIRA, Carlos Miguel</v>
      </c>
      <c r="O96" s="1" t="str">
        <f>_xlfn.IFNA(IF(ISBLANK(TAB_CS[[#This Row],[Ressource]]),,VLOOKUP(TAB_CS[[#This Row],[Reference]],TAB_Offres[[Reference]:[Company]],COLUMNS(TAB_Offres[[Reference]:[Company]]),FALSE)),"")</f>
        <v>CGI LUX</v>
      </c>
      <c r="P96" s="1" t="str">
        <f>_xlfn.CONCAT(TAB_CS[[#This Row],[Ressource]],TAB_CS[[#This Row],[Profile in €]])</f>
        <v>FREIRE FERREIRA, Carlos Miguel704,46</v>
      </c>
      <c r="Q96" s="1" t="str">
        <f>_xlfn.CONCAT(TAB_CS[[#This Row],[Company]],TAB_CS[[#This Row],[Business perimeter]])</f>
        <v>CGI LUXNB</v>
      </c>
      <c r="R96" s="1" t="str">
        <f>_xlfn.IFNA(IF(ISBLANK(TAB_CS[[#This Row],[Ressource]]),"",VLOOKUP(TAB_CS[[#This Row],[Reference]],TAB_Offres[[Reference]:[Profile]],COLUMNS(TAB_Offres[[Reference]:[Profile]]),FALSE)),"")</f>
        <v>Project Manager</v>
      </c>
      <c r="S96" s="150">
        <f>_xlfn.IFNA(IF(ISBLANK(TAB_CS[[#This Row],[Ressource]]),"",VLOOKUP(TAB_CS[[#This Row],[Reference]],TAB_Offres[[Reference]:[Level]],COLUMNS(TAB_Offres[[Reference]:[Level]]),FALSE)),"")</f>
        <v>8</v>
      </c>
      <c r="T96" s="156">
        <f>_xlfn.IFNA(IF(OR(ISBLANK(TAB_CS[[#This Row],[Level]]),TAB_CS[[#This Row],[Level]]=""),,VLOOKUP(TAB_CS[[#This Row],[Profile]],TAB_prix[],2+TAB_CS[[#This Row],[Level]],FALSE)),)</f>
        <v>704.46</v>
      </c>
      <c r="U96" s="13">
        <v>50</v>
      </c>
      <c r="V96" s="189">
        <f>IF(OR(ISBLANK(TAB_CS[[#This Row],[Commited days]]),TAB_CS[[#This Row],[Commited days]]=0),,TAB_CS[[#This Row],[Commited days]]*TAB_CS[[#This Row],[Profile in €]])</f>
        <v>35223</v>
      </c>
      <c r="W96" s="127">
        <f>SUM(TAB_CS[[#This Row],[F]:[P+1]])-TAB_CS[[#This Row],[P+1]]</f>
        <v>50</v>
      </c>
      <c r="X96" s="189">
        <f>IF(OR(ISBLANK(TAB_CS[[#This Row],[Producted days]]),TAB_CS[[#This Row],[Producted days]]=0),,TAB_CS[[#This Row],[Producted days]]*TAB_CS[[#This Row],[Profile in €]])</f>
        <v>35223</v>
      </c>
      <c r="Y96" s="188">
        <f>TAB_CS[[#This Row],[Commited days]]-TAB_CS[[#This Row],[Producted days]]</f>
        <v>0</v>
      </c>
      <c r="Z96" s="189">
        <f>IF(OR(ISBLANK(TAB_CS[[#This Row],[Remaining days]]),TAB_CS[[#This Row],[Remaining days]]=0),,TAB_CS[[#This Row],[Remaining days]]*TAB_CS[[#This Row],[Profile in €]])</f>
        <v>0</v>
      </c>
      <c r="AA96" s="187">
        <f>SUM(TAB_CS[[#This Row],[P+1]:[FP]])</f>
        <v>0</v>
      </c>
      <c r="AB96" s="10">
        <f>IF(OR(ISBLANK(TAB_CS[[#This Row],[Expected days]]),TAB_CS[[#This Row],[Expected days]]=0),,TAB_CS[[#This Row],[Expected days]]*TAB_CS[[#This Row],[Profile in €]])</f>
        <v>0</v>
      </c>
      <c r="AC96" s="14" t="str">
        <f>CONCATENATE(TAB_CS[[#This Row],[DG]],TAB_CS[[#This Row],[Company]])</f>
        <v>HR.DSCGI LUX</v>
      </c>
      <c r="AD96" s="144"/>
      <c r="AE96" s="150"/>
      <c r="AF96" s="151"/>
      <c r="AG96" s="151"/>
      <c r="AH96" s="151"/>
      <c r="AI96" s="150"/>
      <c r="AJ96" s="151"/>
      <c r="AK96" s="156"/>
      <c r="AL96" s="156"/>
      <c r="AM96" s="150"/>
      <c r="AN96" s="150"/>
      <c r="AO96" s="150"/>
      <c r="AP96" s="150"/>
      <c r="AQ96" s="150"/>
      <c r="AR96" s="150"/>
      <c r="AS96" s="150"/>
      <c r="AT96" s="156"/>
      <c r="AU96" s="156"/>
      <c r="AV96" s="171"/>
      <c r="AW96" s="171"/>
      <c r="AX96" s="171"/>
      <c r="AY96" s="352">
        <v>6</v>
      </c>
      <c r="AZ96" s="352">
        <v>21</v>
      </c>
      <c r="BA96" s="352">
        <v>19</v>
      </c>
      <c r="BB96" s="352">
        <v>4</v>
      </c>
      <c r="BC96" s="644"/>
      <c r="BD96" s="644"/>
      <c r="BE96" s="644"/>
      <c r="BF96" s="644"/>
      <c r="BG96" s="644"/>
      <c r="BH96" s="644"/>
      <c r="BI96" s="173"/>
      <c r="BJ96" s="644"/>
      <c r="BK96" s="644"/>
      <c r="BL96" s="644"/>
      <c r="BM96" s="173"/>
      <c r="BN96" s="644"/>
      <c r="BO96" s="644"/>
      <c r="BP96" s="644"/>
      <c r="BQ96" s="644"/>
      <c r="BR96" s="644"/>
      <c r="BS96" s="644"/>
      <c r="BT96" s="644"/>
      <c r="BU96" s="644"/>
      <c r="BV96" s="644"/>
      <c r="BW96" s="644"/>
      <c r="BX96" s="644"/>
      <c r="BY96" s="644"/>
      <c r="BZ96" s="224"/>
    </row>
    <row r="97" spans="1:78" s="4" customFormat="1" ht="14.4" x14ac:dyDescent="0.3">
      <c r="A97" s="150">
        <f>IF(ISBLANK(TAB_CS[[#This Row],[Reference]]),"",INDEX(TAB_Offres[ID],MATCH(TAB_CS[[#This Row],[Reference]],TAB_Offres[Reference],0)))</f>
        <v>95</v>
      </c>
      <c r="B97" s="154" t="s">
        <v>5553</v>
      </c>
      <c r="C97" s="150" t="s">
        <v>5600</v>
      </c>
      <c r="D97" s="150" t="str">
        <f>IF(ISBLANK(TAB_CS[[#This Row],[Reference]]),"",VLOOKUP(TAB_CS[[#This Row],[ID]],TAB_Offres[],2,FALSE))</f>
        <v>Lot 1</v>
      </c>
      <c r="E97" s="150" t="s">
        <v>5920</v>
      </c>
      <c r="F97" s="154">
        <f>_xlfn.IFNA(IF(ISBLANK(TAB_CS[[#This Row],[Reference]]),"",VLOOKUP(TAB_CS[[#This Row],[Reference]],TAB_Offres[[Reference]:[Modification Request]],COLUMNS(TAB_Offres[[Reference]:[Modification Request]]),FALSE)),)</f>
        <v>0</v>
      </c>
      <c r="G97" s="150" t="str">
        <f>IF(ISBLANK(TAB_CS[[#This Row],[Reference]]),"",INDEX(TAB_Offres[Institution/agency],MATCH(TAB_CS[[#This Row],[Reference]],TAB_Offres[Reference],0)))</f>
        <v>EC</v>
      </c>
      <c r="H97" s="150" t="str">
        <f>IF(ISBLANK(TAB_CS[[#This Row],[Reference]]),"",INDEX(TAB_Offres[DG],MATCH(TAB_CS[[#This Row],[Reference]],TAB_Offres[Reference],0)))</f>
        <v>SG</v>
      </c>
      <c r="I97" t="str">
        <f>IF(ISBLANK(TAB_CS[[#This Row],[Reference]]),"",INDEX(TAB_Offres[Offer description],MATCH(TAB_CS[[#This Row],[Reference]],TAB_Offres[Reference],0)))</f>
        <v xml:space="preserve">	Full-Stack Developer (FSD)</v>
      </c>
      <c r="J97" s="155">
        <f>_xlfn.IFNA(IF(ISBLANK(TAB_CS[[#This Row],[Ressource]]),,VLOOKUP(TAB_CS[[#This Row],[Reference]],TAB_Offres[[Reference]:[CS signature date]],COLUMNS(TAB_Offres[[Reference]:[CS signature date]]),FALSE)),"")</f>
        <v>45182</v>
      </c>
      <c r="K97" s="155">
        <f>_xlfn.IFNA(IF(ISBLANK(TAB_CS[[#This Row],[Ressource]]),,VLOOKUP(TAB_CS[[#This Row],[Reference]],TAB_Offres[[Reference]:[CS start date]],COLUMNS(TAB_Offres[[Reference]:[CS start date]]),FALSE)),"")</f>
        <v>0</v>
      </c>
      <c r="L97" s="155">
        <f>_xlfn.IFNA(IF(ISBLANK(TAB_CS[[#This Row],[Ressource]]),,VLOOKUP(TAB_CS[[#This Row],[Reference]],TAB_Offres[[Reference]:[CS end date]],COLUMNS(TAB_Offres[[Reference]:[CS end date]]),FALSE)),"")</f>
        <v>0</v>
      </c>
      <c r="M97" s="1">
        <f>_xlfn.IFNA(IF(ISBLANK(TAB_CS[[#This Row],[Ressource]]),,VLOOKUP(TAB_CS[[#This Row],[Reference]],TAB_Offres[[Reference]:[CS State]],COLUMNS(TAB_Offres[[Reference]:[CS State]]),FALSE)),"")</f>
        <v>0</v>
      </c>
      <c r="N97" s="154" t="str">
        <f>VLOOKUP(TAB_CS[[#This Row],[Reference]],TAB_Offres[[Reference]:[Ressource 1]],25,FALSE)</f>
        <v>AFONSO, Leonardo</v>
      </c>
      <c r="O97" s="150" t="str">
        <f>_xlfn.IFNA(IF(ISBLANK(TAB_CS[[#This Row],[Ressource]]),,VLOOKUP(TAB_CS[[#This Row],[Reference]],TAB_Offres[[Reference]:[Company]],COLUMNS(TAB_Offres[[Reference]:[Company]]),FALSE)),"")</f>
        <v>TALAN</v>
      </c>
      <c r="P97" s="1" t="str">
        <f>_xlfn.CONCAT(TAB_CS[[#This Row],[Ressource]],TAB_CS[[#This Row],[Profile in €]])</f>
        <v>AFONSO, Leonardo507,24</v>
      </c>
      <c r="Q97" s="1" t="str">
        <f>_xlfn.CONCAT(TAB_CS[[#This Row],[Company]],TAB_CS[[#This Row],[Business perimeter]])</f>
        <v>TALANNB</v>
      </c>
      <c r="R97" s="150" t="str">
        <f>_xlfn.IFNA(IF(ISBLANK(TAB_CS[[#This Row],[Ressource]]),"",VLOOKUP(TAB_CS[[#This Row],[Reference]],TAB_Offres[[Reference]:[Profile]],COLUMNS(TAB_Offres[[Reference]:[Profile]]),FALSE)),"")</f>
        <v>Full-stack developer</v>
      </c>
      <c r="S97" s="150">
        <f>_xlfn.IFNA(IF(ISBLANK(TAB_CS[[#This Row],[Ressource]]),"",VLOOKUP(TAB_CS[[#This Row],[Reference]],TAB_Offres[[Reference]:[Level]],COLUMNS(TAB_Offres[[Reference]:[Level]]),FALSE)),"")</f>
        <v>6</v>
      </c>
      <c r="T97" s="156">
        <f>_xlfn.IFNA(IF(OR(ISBLANK(TAB_CS[[#This Row],[Level]]),TAB_CS[[#This Row],[Level]]=""),,VLOOKUP(TAB_CS[[#This Row],[Profile]],TAB_prix[],2+TAB_CS[[#This Row],[Level]],FALSE)),)</f>
        <v>507.24</v>
      </c>
      <c r="U97" s="151">
        <v>150</v>
      </c>
      <c r="V97" s="205">
        <f>IF(OR(ISBLANK(TAB_CS[[#This Row],[Commited days]]),TAB_CS[[#This Row],[Commited days]]=0),,TAB_CS[[#This Row],[Commited days]]*TAB_CS[[#This Row],[Profile in €]])</f>
        <v>76086</v>
      </c>
      <c r="W97" s="156">
        <f>SUM(TAB_CS[[#This Row],[F]:[P+1]])-TAB_CS[[#This Row],[P+1]]</f>
        <v>150</v>
      </c>
      <c r="X97" s="205">
        <f>IF(OR(ISBLANK(TAB_CS[[#This Row],[Producted days]]),TAB_CS[[#This Row],[Producted days]]=0),,TAB_CS[[#This Row],[Producted days]]*TAB_CS[[#This Row],[Profile in €]])</f>
        <v>76086</v>
      </c>
      <c r="Y97" s="206">
        <f>TAB_CS[[#This Row],[Commited days]]-TAB_CS[[#This Row],[Producted days]]</f>
        <v>0</v>
      </c>
      <c r="Z97" s="205">
        <f>IF(OR(ISBLANK(TAB_CS[[#This Row],[Remaining days]]),TAB_CS[[#This Row],[Remaining days]]=0),,TAB_CS[[#This Row],[Remaining days]]*TAB_CS[[#This Row],[Profile in €]])</f>
        <v>0</v>
      </c>
      <c r="AA97" s="207">
        <f>SUM(TAB_CS[[#This Row],[P+1]:[FP]])</f>
        <v>0</v>
      </c>
      <c r="AB97" s="208">
        <f>IF(OR(ISBLANK(TAB_CS[[#This Row],[Expected days]]),TAB_CS[[#This Row],[Expected days]]=0),,TAB_CS[[#This Row],[Expected days]]*TAB_CS[[#This Row],[Profile in €]])</f>
        <v>0</v>
      </c>
      <c r="AC97" s="14" t="str">
        <f>CONCATENATE(TAB_CS[[#This Row],[DG]],TAB_CS[[#This Row],[Company]])</f>
        <v>SGTALAN</v>
      </c>
      <c r="AD97" s="144"/>
      <c r="AE97" s="150"/>
      <c r="AF97" s="151"/>
      <c r="AG97" s="151"/>
      <c r="AH97" s="151"/>
      <c r="AI97" s="150"/>
      <c r="AJ97" s="151"/>
      <c r="AK97" s="156"/>
      <c r="AL97" s="156"/>
      <c r="AM97" s="150"/>
      <c r="AN97" s="150"/>
      <c r="AO97" s="150"/>
      <c r="AP97" s="150"/>
      <c r="AQ97" s="150"/>
      <c r="AR97" s="150"/>
      <c r="AS97" s="150"/>
      <c r="AT97" s="156"/>
      <c r="AU97" s="156"/>
      <c r="AV97" s="171"/>
      <c r="AW97" s="171"/>
      <c r="AX97" s="352">
        <v>1.5</v>
      </c>
      <c r="AY97" s="352">
        <v>14</v>
      </c>
      <c r="AZ97" s="352">
        <v>21</v>
      </c>
      <c r="BA97" s="352">
        <v>21</v>
      </c>
      <c r="BB97" s="352">
        <v>20</v>
      </c>
      <c r="BC97" s="352">
        <v>19</v>
      </c>
      <c r="BD97" s="352">
        <v>17</v>
      </c>
      <c r="BE97" s="352">
        <v>20</v>
      </c>
      <c r="BF97" s="352">
        <v>16.5</v>
      </c>
      <c r="BG97" s="644"/>
      <c r="BH97" s="644"/>
      <c r="BI97" s="350"/>
      <c r="BJ97" s="644"/>
      <c r="BK97" s="644"/>
      <c r="BL97" s="644"/>
      <c r="BM97" s="350"/>
      <c r="BN97" s="644"/>
      <c r="BO97" s="644"/>
      <c r="BP97" s="644"/>
      <c r="BQ97" s="644"/>
      <c r="BR97" s="644"/>
      <c r="BS97" s="644"/>
      <c r="BT97" s="644"/>
      <c r="BU97" s="644"/>
      <c r="BV97" s="644"/>
      <c r="BW97" s="644"/>
      <c r="BX97" s="644"/>
      <c r="BY97" s="644"/>
      <c r="BZ97" s="324"/>
    </row>
    <row r="98" spans="1:78" s="4" customFormat="1" ht="14.4" x14ac:dyDescent="0.3">
      <c r="A98" s="150">
        <f>IF(ISBLANK(TAB_CS[[#This Row],[Reference]]),"",INDEX(TAB_Offres[ID],MATCH(TAB_CS[[#This Row],[Reference]],TAB_Offres[Reference],0)))</f>
        <v>96</v>
      </c>
      <c r="B98" s="154" t="s">
        <v>5571</v>
      </c>
      <c r="C98" s="150" t="s">
        <v>5783</v>
      </c>
      <c r="D98" s="150" t="str">
        <f>IF(ISBLANK(TAB_CS[[#This Row],[Reference]]),"",VLOOKUP(TAB_CS[[#This Row],[ID]],TAB_Offres[],2,FALSE))</f>
        <v>Lot 1</v>
      </c>
      <c r="E98" s="150" t="s">
        <v>5920</v>
      </c>
      <c r="F98" s="154">
        <f>_xlfn.IFNA(IF(ISBLANK(TAB_CS[[#This Row],[Reference]]),"",VLOOKUP(TAB_CS[[#This Row],[Reference]],TAB_Offres[[Reference]:[Modification Request]],COLUMNS(TAB_Offres[[Reference]:[Modification Request]]),FALSE)),)</f>
        <v>0</v>
      </c>
      <c r="G98" s="150" t="str">
        <f>IF(ISBLANK(TAB_CS[[#This Row],[Reference]]),"",INDEX(TAB_Offres[Institution/agency],MATCH(TAB_CS[[#This Row],[Reference]],TAB_Offres[Reference],0)))</f>
        <v>EC</v>
      </c>
      <c r="H98" s="150" t="str">
        <f>IF(ISBLANK(TAB_CS[[#This Row],[Reference]]),"",INDEX(TAB_Offres[DG],MATCH(TAB_CS[[#This Row],[Reference]],TAB_Offres[Reference],0)))</f>
        <v>EMPL</v>
      </c>
      <c r="I98" s="4" t="str">
        <f>IF(ISBLANK(TAB_CS[[#This Row],[Reference]]),"",INDEX(TAB_Offres[Offer description],MATCH(TAB_CS[[#This Row],[Reference]],TAB_Offres[Reference],0)))</f>
        <v xml:space="preserve">	Full-Stack Developer (FSD)</v>
      </c>
      <c r="J98" s="204">
        <f>_xlfn.IFNA(IF(ISBLANK(TAB_CS[[#This Row],[Ressource]]),,VLOOKUP(TAB_CS[[#This Row],[Reference]],TAB_Offres[[Reference]:[CS signature date]],COLUMNS(TAB_Offres[[Reference]:[CS signature date]]),FALSE)),"")</f>
        <v>45271</v>
      </c>
      <c r="K98" s="204">
        <f>_xlfn.IFNA(IF(ISBLANK(TAB_CS[[#This Row],[Ressource]]),,VLOOKUP(TAB_CS[[#This Row],[Reference]],TAB_Offres[[Reference]:[CS start date]],COLUMNS(TAB_Offres[[Reference]:[CS start date]]),FALSE)),"")</f>
        <v>45292</v>
      </c>
      <c r="L98" s="204">
        <f>_xlfn.IFNA(IF(ISBLANK(TAB_CS[[#This Row],[Ressource]]),,VLOOKUP(TAB_CS[[#This Row],[Reference]],TAB_Offres[[Reference]:[CS end date]],COLUMNS(TAB_Offres[[Reference]:[CS end date]]),FALSE)),"")</f>
        <v>45565</v>
      </c>
      <c r="M98" s="150">
        <f>_xlfn.IFNA(IF(ISBLANK(TAB_CS[[#This Row],[Ressource]]),,VLOOKUP(TAB_CS[[#This Row],[Reference]],TAB_Offres[[Reference]:[CS State]],COLUMNS(TAB_Offres[[Reference]:[CS State]]),FALSE)),"")</f>
        <v>0</v>
      </c>
      <c r="N98" s="154" t="str">
        <f>VLOOKUP(TAB_CS[[#This Row],[Reference]],TAB_Offres[[Reference]:[Ressource 1]],25,FALSE)</f>
        <v>FERNANDEZ GUERRERO, Ivan</v>
      </c>
      <c r="O98" s="150" t="str">
        <f>_xlfn.IFNA(IF(ISBLANK(TAB_CS[[#This Row],[Ressource]]),,VLOOKUP(TAB_CS[[#This Row],[Reference]],TAB_Offres[[Reference]:[Company]],COLUMNS(TAB_Offres[[Reference]:[Company]]),FALSE)),"")</f>
        <v>EDDA</v>
      </c>
      <c r="P98" s="150" t="str">
        <f>_xlfn.CONCAT(TAB_CS[[#This Row],[Ressource]],TAB_CS[[#This Row],[Profile in €]])</f>
        <v>FERNANDEZ GUERRERO, Ivan611,25</v>
      </c>
      <c r="Q98" s="150" t="str">
        <f>_xlfn.CONCAT(TAB_CS[[#This Row],[Company]],TAB_CS[[#This Row],[Business perimeter]])</f>
        <v>EDDANB</v>
      </c>
      <c r="R98" s="150" t="str">
        <f>_xlfn.IFNA(IF(ISBLANK(TAB_CS[[#This Row],[Ressource]]),"",VLOOKUP(TAB_CS[[#This Row],[Reference]],TAB_Offres[[Reference]:[Profile]],COLUMNS(TAB_Offres[[Reference]:[Profile]]),FALSE)),"")</f>
        <v>Full-stack developer</v>
      </c>
      <c r="S98" s="150">
        <f>_xlfn.IFNA(IF(ISBLANK(TAB_CS[[#This Row],[Ressource]]),"",VLOOKUP(TAB_CS[[#This Row],[Reference]],TAB_Offres[[Reference]:[Level]],COLUMNS(TAB_Offres[[Reference]:[Level]]),FALSE)),"")</f>
        <v>8</v>
      </c>
      <c r="T98" s="357">
        <v>611.25</v>
      </c>
      <c r="U98" s="151">
        <f>150-3</f>
        <v>147</v>
      </c>
      <c r="V98" s="205">
        <f>IF(OR(ISBLANK(TAB_CS[[#This Row],[Commited days]]),TAB_CS[[#This Row],[Commited days]]=0),,TAB_CS[[#This Row],[Commited days]]*TAB_CS[[#This Row],[Profile in €]])</f>
        <v>89853.75</v>
      </c>
      <c r="W98" s="156">
        <f>SUM(TAB_CS[[#This Row],[F]:[P+1]])-TAB_CS[[#This Row],[P+1]]</f>
        <v>147</v>
      </c>
      <c r="X98" s="205">
        <f>IF(OR(ISBLANK(TAB_CS[[#This Row],[Producted days]]),TAB_CS[[#This Row],[Producted days]]=0),,TAB_CS[[#This Row],[Producted days]]*TAB_CS[[#This Row],[Profile in €]])</f>
        <v>89853.75</v>
      </c>
      <c r="Y98" s="206">
        <f>TAB_CS[[#This Row],[Commited days]]-TAB_CS[[#This Row],[Producted days]]</f>
        <v>0</v>
      </c>
      <c r="Z98" s="205">
        <f>IF(OR(ISBLANK(TAB_CS[[#This Row],[Remaining days]]),TAB_CS[[#This Row],[Remaining days]]=0),,TAB_CS[[#This Row],[Remaining days]]*TAB_CS[[#This Row],[Profile in €]])</f>
        <v>0</v>
      </c>
      <c r="AA98" s="207">
        <f>SUM(TAB_CS[[#This Row],[P+1]:[FP]])</f>
        <v>0</v>
      </c>
      <c r="AB98" s="208">
        <f>IF(OR(ISBLANK(TAB_CS[[#This Row],[Expected days]]),TAB_CS[[#This Row],[Expected days]]=0),,TAB_CS[[#This Row],[Expected days]]*TAB_CS[[#This Row],[Profile in €]])</f>
        <v>0</v>
      </c>
      <c r="AC98" s="322" t="str">
        <f>CONCATENATE(TAB_CS[[#This Row],[DG]],TAB_CS[[#This Row],[Company]])</f>
        <v>EMPLEDDA</v>
      </c>
      <c r="AD98" s="209"/>
      <c r="AE98" s="150"/>
      <c r="AF98" s="151"/>
      <c r="AG98" s="151"/>
      <c r="AH98" s="151"/>
      <c r="AI98" s="150"/>
      <c r="AJ98" s="151"/>
      <c r="AK98" s="156"/>
      <c r="AL98" s="156"/>
      <c r="AM98" s="150"/>
      <c r="AN98" s="150"/>
      <c r="AO98" s="150"/>
      <c r="AP98" s="150"/>
      <c r="AQ98" s="150"/>
      <c r="AR98" s="150"/>
      <c r="AS98" s="150"/>
      <c r="AT98" s="156"/>
      <c r="AU98" s="156"/>
      <c r="AV98" s="321"/>
      <c r="AW98" s="321"/>
      <c r="AX98" s="321"/>
      <c r="AY98" s="321"/>
      <c r="AZ98" s="360">
        <v>6.5</v>
      </c>
      <c r="BA98" s="360">
        <v>19.5</v>
      </c>
      <c r="BB98" s="360">
        <v>15</v>
      </c>
      <c r="BC98" s="360">
        <v>15</v>
      </c>
      <c r="BD98" s="360">
        <v>19</v>
      </c>
      <c r="BE98" s="360">
        <v>16.5</v>
      </c>
      <c r="BF98" s="360">
        <v>22.5</v>
      </c>
      <c r="BG98" s="360">
        <v>15</v>
      </c>
      <c r="BH98" s="360">
        <v>18</v>
      </c>
      <c r="BI98" s="323"/>
      <c r="BJ98" s="642"/>
      <c r="BK98" s="642"/>
      <c r="BL98" s="642"/>
      <c r="BM98" s="323"/>
      <c r="BN98" s="642"/>
      <c r="BO98" s="642"/>
      <c r="BP98" s="642"/>
      <c r="BQ98" s="642"/>
      <c r="BR98" s="642"/>
      <c r="BS98" s="642"/>
      <c r="BT98" s="642"/>
      <c r="BU98" s="642"/>
      <c r="BV98" s="642"/>
      <c r="BW98" s="642"/>
      <c r="BX98" s="642"/>
      <c r="BY98" s="642"/>
      <c r="BZ98" s="324"/>
    </row>
    <row r="99" spans="1:78" s="4" customFormat="1" ht="14.4" x14ac:dyDescent="0.3">
      <c r="A99" s="150">
        <f>IF(ISBLANK(TAB_CS[[#This Row],[Reference]]),"",INDEX(TAB_Offres[ID],MATCH(TAB_CS[[#This Row],[Reference]],TAB_Offres[Reference],0)))</f>
        <v>97</v>
      </c>
      <c r="B99" s="154" t="s">
        <v>5554</v>
      </c>
      <c r="C99" s="150" t="s">
        <v>5601</v>
      </c>
      <c r="D99" s="150" t="str">
        <f>IF(ISBLANK(TAB_CS[[#This Row],[Reference]]),"",VLOOKUP(TAB_CS[[#This Row],[ID]],TAB_Offres[],2,FALSE))</f>
        <v>Lot 1</v>
      </c>
      <c r="E99" s="150" t="s">
        <v>5920</v>
      </c>
      <c r="F99" s="154">
        <f>_xlfn.IFNA(IF(ISBLANK(TAB_CS[[#This Row],[Reference]]),"",VLOOKUP(TAB_CS[[#This Row],[Reference]],TAB_Offres[[Reference]:[Modification Request]],COLUMNS(TAB_Offres[[Reference]:[Modification Request]]),FALSE)),)</f>
        <v>0</v>
      </c>
      <c r="G99" s="150" t="str">
        <f>IF(ISBLANK(TAB_CS[[#This Row],[Reference]]),"",INDEX(TAB_Offres[Institution/agency],MATCH(TAB_CS[[#This Row],[Reference]],TAB_Offres[Reference],0)))</f>
        <v>EC</v>
      </c>
      <c r="H99" s="150" t="str">
        <f>IF(ISBLANK(TAB_CS[[#This Row],[Reference]]),"",INDEX(TAB_Offres[DG],MATCH(TAB_CS[[#This Row],[Reference]],TAB_Offres[Reference],0)))</f>
        <v>DIGIT.B.1</v>
      </c>
      <c r="I99" t="str">
        <f>IF(ISBLANK(TAB_CS[[#This Row],[Reference]]),"",INDEX(TAB_Offres[Offer description],MATCH(TAB_CS[[#This Row],[Reference]],TAB_Offres[Reference],0)))</f>
        <v>Full-Stack Developer (FSD)</v>
      </c>
      <c r="J99" s="155">
        <f>_xlfn.IFNA(IF(ISBLANK(TAB_CS[[#This Row],[Ressource]]),,VLOOKUP(TAB_CS[[#This Row],[Reference]],TAB_Offres[[Reference]:[CS signature date]],COLUMNS(TAB_Offres[[Reference]:[CS signature date]]),FALSE)),"")</f>
        <v>0</v>
      </c>
      <c r="K99" s="155">
        <f>_xlfn.IFNA(IF(ISBLANK(TAB_CS[[#This Row],[Ressource]]),,VLOOKUP(TAB_CS[[#This Row],[Reference]],TAB_Offres[[Reference]:[CS start date]],COLUMNS(TAB_Offres[[Reference]:[CS start date]]),FALSE)),"")</f>
        <v>0</v>
      </c>
      <c r="L99" s="155">
        <f>_xlfn.IFNA(IF(ISBLANK(TAB_CS[[#This Row],[Ressource]]),,VLOOKUP(TAB_CS[[#This Row],[Reference]],TAB_Offres[[Reference]:[CS end date]],COLUMNS(TAB_Offres[[Reference]:[CS end date]]),FALSE)),"")</f>
        <v>0</v>
      </c>
      <c r="M99" s="1">
        <f>_xlfn.IFNA(IF(ISBLANK(TAB_CS[[#This Row],[Ressource]]),,VLOOKUP(TAB_CS[[#This Row],[Reference]],TAB_Offres[[Reference]:[CS State]],COLUMNS(TAB_Offres[[Reference]:[CS State]]),FALSE)),"")</f>
        <v>0</v>
      </c>
      <c r="N99" s="154" t="str">
        <f>VLOOKUP(TAB_CS[[#This Row],[Reference]],TAB_Offres[[Reference]:[Ressource 1]],25,FALSE)</f>
        <v>APETRI, Ioana</v>
      </c>
      <c r="O99" s="150" t="str">
        <f>_xlfn.IFNA(IF(ISBLANK(TAB_CS[[#This Row],[Ressource]]),,VLOOKUP(TAB_CS[[#This Row],[Reference]],TAB_Offres[[Reference]:[Company]],COLUMNS(TAB_Offres[[Reference]:[Company]]),FALSE)),"")</f>
        <v>TALAN</v>
      </c>
      <c r="P99" s="1" t="str">
        <f>_xlfn.CONCAT(TAB_CS[[#This Row],[Ressource]],TAB_CS[[#This Row],[Profile in €]])</f>
        <v>APETRI, Ioana443,55</v>
      </c>
      <c r="Q99" s="1" t="str">
        <f>_xlfn.CONCAT(TAB_CS[[#This Row],[Company]],TAB_CS[[#This Row],[Business perimeter]])</f>
        <v>TALANNB</v>
      </c>
      <c r="R99" s="150" t="str">
        <f>_xlfn.IFNA(IF(ISBLANK(TAB_CS[[#This Row],[Ressource]]),"",VLOOKUP(TAB_CS[[#This Row],[Reference]],TAB_Offres[[Reference]:[Profile]],COLUMNS(TAB_Offres[[Reference]:[Profile]]),FALSE)),"")</f>
        <v>Full-stack developer-FAR</v>
      </c>
      <c r="S99" s="150">
        <f>_xlfn.IFNA(IF(ISBLANK(TAB_CS[[#This Row],[Ressource]]),"",VLOOKUP(TAB_CS[[#This Row],[Reference]],TAB_Offres[[Reference]:[Level]],COLUMNS(TAB_Offres[[Reference]:[Level]]),FALSE)),"")</f>
        <v>7</v>
      </c>
      <c r="T99" s="357">
        <v>443.55</v>
      </c>
      <c r="U99" s="151">
        <f>43+43+34</f>
        <v>120</v>
      </c>
      <c r="V99" s="205">
        <f>IF(OR(ISBLANK(TAB_CS[[#This Row],[Commited days]]),TAB_CS[[#This Row],[Commited days]]=0),,TAB_CS[[#This Row],[Commited days]]*TAB_CS[[#This Row],[Profile in €]])</f>
        <v>53226</v>
      </c>
      <c r="W99" s="156">
        <f>SUM(TAB_CS[[#This Row],[F]:[P+1]])-TAB_CS[[#This Row],[P+1]]</f>
        <v>120</v>
      </c>
      <c r="X99" s="205">
        <f>IF(OR(ISBLANK(TAB_CS[[#This Row],[Producted days]]),TAB_CS[[#This Row],[Producted days]]=0),,TAB_CS[[#This Row],[Producted days]]*TAB_CS[[#This Row],[Profile in €]])</f>
        <v>53226</v>
      </c>
      <c r="Y99" s="206">
        <f>TAB_CS[[#This Row],[Commited days]]-TAB_CS[[#This Row],[Producted days]]</f>
        <v>0</v>
      </c>
      <c r="Z99" s="205">
        <f>IF(OR(ISBLANK(TAB_CS[[#This Row],[Remaining days]]),TAB_CS[[#This Row],[Remaining days]]=0),,TAB_CS[[#This Row],[Remaining days]]*TAB_CS[[#This Row],[Profile in €]])</f>
        <v>0</v>
      </c>
      <c r="AA99" s="207">
        <f>SUM(TAB_CS[[#This Row],[P+1]:[FP]])</f>
        <v>0</v>
      </c>
      <c r="AB99" s="208">
        <f>IF(OR(ISBLANK(TAB_CS[[#This Row],[Expected days]]),TAB_CS[[#This Row],[Expected days]]=0),,TAB_CS[[#This Row],[Expected days]]*TAB_CS[[#This Row],[Profile in €]])</f>
        <v>0</v>
      </c>
      <c r="AC99" s="14" t="str">
        <f>CONCATENATE(TAB_CS[[#This Row],[DG]],TAB_CS[[#This Row],[Company]])</f>
        <v>DIGIT.B.1TALAN</v>
      </c>
      <c r="AD99" s="144"/>
      <c r="AE99" s="150"/>
      <c r="AF99" s="151"/>
      <c r="AG99" s="151"/>
      <c r="AH99" s="151"/>
      <c r="AI99" s="150"/>
      <c r="AJ99" s="151"/>
      <c r="AK99" s="156"/>
      <c r="AL99" s="156"/>
      <c r="AM99" s="150"/>
      <c r="AN99" s="150"/>
      <c r="AO99" s="150"/>
      <c r="AP99" s="150"/>
      <c r="AQ99" s="150"/>
      <c r="AR99" s="150"/>
      <c r="AS99" s="150"/>
      <c r="AT99" s="156"/>
      <c r="AU99" s="156"/>
      <c r="AV99" s="171"/>
      <c r="AW99" s="171"/>
      <c r="AX99" s="171"/>
      <c r="AY99" s="352">
        <v>14</v>
      </c>
      <c r="AZ99" s="352">
        <v>18</v>
      </c>
      <c r="BA99" s="352">
        <v>21</v>
      </c>
      <c r="BB99" s="352">
        <v>19</v>
      </c>
      <c r="BC99" s="352">
        <v>21</v>
      </c>
      <c r="BD99" s="352">
        <v>16</v>
      </c>
      <c r="BE99" s="352">
        <v>11</v>
      </c>
      <c r="BF99" s="644"/>
      <c r="BG99" s="644"/>
      <c r="BH99" s="644"/>
      <c r="BI99" s="350"/>
      <c r="BJ99" s="644"/>
      <c r="BK99" s="644"/>
      <c r="BL99" s="644"/>
      <c r="BM99" s="350"/>
      <c r="BN99" s="644"/>
      <c r="BO99" s="644"/>
      <c r="BP99" s="644"/>
      <c r="BQ99" s="644"/>
      <c r="BR99" s="644"/>
      <c r="BS99" s="644"/>
      <c r="BT99" s="644"/>
      <c r="BU99" s="644"/>
      <c r="BV99" s="644"/>
      <c r="BW99" s="644"/>
      <c r="BX99" s="644"/>
      <c r="BY99" s="644"/>
      <c r="BZ99" s="324"/>
    </row>
    <row r="100" spans="1:78" s="4" customFormat="1" ht="14.4" x14ac:dyDescent="0.3">
      <c r="A100" s="1">
        <f>IF(ISBLANK(TAB_CS[[#This Row],[Reference]]),"",INDEX(TAB_Offres[ID],MATCH(TAB_CS[[#This Row],[Reference]],TAB_Offres[Reference],0)))</f>
        <v>98</v>
      </c>
      <c r="B100" s="154" t="s">
        <v>5572</v>
      </c>
      <c r="C100" s="150" t="s">
        <v>5784</v>
      </c>
      <c r="D100" s="150" t="str">
        <f>IF(ISBLANK(TAB_CS[[#This Row],[Reference]]),"",VLOOKUP(TAB_CS[[#This Row],[ID]],TAB_Offres[],2,FALSE))</f>
        <v>Lot 3</v>
      </c>
      <c r="E100" s="1" t="s">
        <v>5920</v>
      </c>
      <c r="F100" s="154">
        <f>_xlfn.IFNA(IF(ISBLANK(TAB_CS[[#This Row],[Reference]]),"",VLOOKUP(TAB_CS[[#This Row],[Reference]],TAB_Offres[[Reference]:[Modification Request]],COLUMNS(TAB_Offres[[Reference]:[Modification Request]]),FALSE)),)</f>
        <v>0</v>
      </c>
      <c r="G100" s="150" t="str">
        <f>IF(ISBLANK(TAB_CS[[#This Row],[Reference]]),"",INDEX(TAB_Offres[Institution/agency],MATCH(TAB_CS[[#This Row],[Reference]],TAB_Offres[Reference],0)))</f>
        <v>EC</v>
      </c>
      <c r="H100" s="150" t="str">
        <f>IF(ISBLANK(TAB_CS[[#This Row],[Reference]]),"",INDEX(TAB_Offres[DG],MATCH(TAB_CS[[#This Row],[Reference]],TAB_Offres[Reference],0)))</f>
        <v>DIGIT.B.3</v>
      </c>
      <c r="I100" s="4" t="str">
        <f>IF(ISBLANK(TAB_CS[[#This Row],[Reference]]),"",INDEX(TAB_Offres[Offer description],MATCH(TAB_CS[[#This Row],[Reference]],TAB_Offres[Reference],0)))</f>
        <v xml:space="preserve">	Onboarding Manager (OM)</v>
      </c>
      <c r="J100" s="204">
        <f>_xlfn.IFNA(IF(ISBLANK(TAB_CS[[#This Row],[Ressource]]),,VLOOKUP(TAB_CS[[#This Row],[Reference]],TAB_Offres[[Reference]:[CS signature date]],COLUMNS(TAB_Offres[[Reference]:[CS signature date]]),FALSE)),"")</f>
        <v>45273</v>
      </c>
      <c r="K100" s="204">
        <f>_xlfn.IFNA(IF(ISBLANK(TAB_CS[[#This Row],[Ressource]]),,VLOOKUP(TAB_CS[[#This Row],[Reference]],TAB_Offres[[Reference]:[CS start date]],COLUMNS(TAB_Offres[[Reference]:[CS start date]]),FALSE)),"")</f>
        <v>45292</v>
      </c>
      <c r="L100" s="204">
        <f>_xlfn.IFNA(IF(ISBLANK(TAB_CS[[#This Row],[Ressource]]),,VLOOKUP(TAB_CS[[#This Row],[Reference]],TAB_Offres[[Reference]:[CS end date]],COLUMNS(TAB_Offres[[Reference]:[CS end date]]),FALSE)),"")</f>
        <v>45930</v>
      </c>
      <c r="M100" s="150">
        <f>_xlfn.IFNA(IF(ISBLANK(TAB_CS[[#This Row],[Ressource]]),,VLOOKUP(TAB_CS[[#This Row],[Reference]],TAB_Offres[[Reference]:[CS State]],COLUMNS(TAB_Offres[[Reference]:[CS State]]),FALSE)),"")</f>
        <v>0</v>
      </c>
      <c r="N100" s="26" t="str">
        <f>VLOOKUP(TAB_CS[[#This Row],[Reference]],TAB_Offres[[Reference]:[Ressource 1]],25,FALSE)</f>
        <v>IERVOLINO, Andrea</v>
      </c>
      <c r="O100" s="150" t="str">
        <f>_xlfn.IFNA(IF(ISBLANK(TAB_CS[[#This Row],[Ressource]]),,VLOOKUP(TAB_CS[[#This Row],[Reference]],TAB_Offres[[Reference]:[Company]],COLUMNS(TAB_Offres[[Reference]:[Company]]),FALSE)),"")</f>
        <v>TALAN</v>
      </c>
      <c r="P100" s="150" t="str">
        <f>_xlfn.CONCAT(TAB_CS[[#This Row],[Ressource]],TAB_CS[[#This Row],[Profile in €]])</f>
        <v>IERVOLINO, Andrea743,64</v>
      </c>
      <c r="Q100" s="150" t="str">
        <f>_xlfn.CONCAT(TAB_CS[[#This Row],[Company]],TAB_CS[[#This Row],[Business perimeter]])</f>
        <v>TALANNB</v>
      </c>
      <c r="R100" s="150" t="str">
        <f>_xlfn.IFNA(IF(ISBLANK(TAB_CS[[#This Row],[Ressource]]),"",VLOOKUP(TAB_CS[[#This Row],[Reference]],TAB_Offres[[Reference]:[Profile]],COLUMNS(TAB_Offres[[Reference]:[Profile]]),FALSE)),"")</f>
        <v>Onboarding manager</v>
      </c>
      <c r="S100" s="150">
        <f>_xlfn.IFNA(IF(ISBLANK(TAB_CS[[#This Row],[Ressource]]),"",VLOOKUP(TAB_CS[[#This Row],[Reference]],TAB_Offres[[Reference]:[Level]],COLUMNS(TAB_Offres[[Reference]:[Level]]),FALSE)),"")</f>
        <v>7</v>
      </c>
      <c r="T100" s="357">
        <v>743.64</v>
      </c>
      <c r="U100" s="151">
        <v>60</v>
      </c>
      <c r="V100" s="205">
        <f>IF(OR(ISBLANK(TAB_CS[[#This Row],[Commited days]]),TAB_CS[[#This Row],[Commited days]]=0),,TAB_CS[[#This Row],[Commited days]]*TAB_CS[[#This Row],[Profile in €]])</f>
        <v>44618.400000000001</v>
      </c>
      <c r="W100" s="156">
        <f>SUM(TAB_CS[[#This Row],[F]:[P+1]])-TAB_CS[[#This Row],[P+1]]</f>
        <v>60</v>
      </c>
      <c r="X100" s="205">
        <f>IF(OR(ISBLANK(TAB_CS[[#This Row],[Producted days]]),TAB_CS[[#This Row],[Producted days]]=0),,TAB_CS[[#This Row],[Producted days]]*TAB_CS[[#This Row],[Profile in €]])</f>
        <v>44618.400000000001</v>
      </c>
      <c r="Y100" s="206">
        <f>TAB_CS[[#This Row],[Commited days]]-TAB_CS[[#This Row],[Producted days]]</f>
        <v>0</v>
      </c>
      <c r="Z100" s="205">
        <f>IF(OR(ISBLANK(TAB_CS[[#This Row],[Remaining days]]),TAB_CS[[#This Row],[Remaining days]]=0),,TAB_CS[[#This Row],[Remaining days]]*TAB_CS[[#This Row],[Profile in €]])</f>
        <v>0</v>
      </c>
      <c r="AA100" s="207">
        <f>SUM(TAB_CS[[#This Row],[P+1]:[FP]])</f>
        <v>0</v>
      </c>
      <c r="AB100" s="208">
        <f>IF(OR(ISBLANK(TAB_CS[[#This Row],[Expected days]]),TAB_CS[[#This Row],[Expected days]]=0),,TAB_CS[[#This Row],[Expected days]]*TAB_CS[[#This Row],[Profile in €]])</f>
        <v>0</v>
      </c>
      <c r="AC100" s="322" t="str">
        <f>CONCATENATE(TAB_CS[[#This Row],[DG]],TAB_CS[[#This Row],[Company]])</f>
        <v>DIGIT.B.3TALAN</v>
      </c>
      <c r="AD100" s="209"/>
      <c r="AE100" s="150"/>
      <c r="AF100" s="151"/>
      <c r="AG100" s="151"/>
      <c r="AH100" s="151"/>
      <c r="AI100" s="150"/>
      <c r="AJ100" s="151"/>
      <c r="AK100" s="156"/>
      <c r="AL100" s="156"/>
      <c r="AM100" s="150"/>
      <c r="AN100" s="150"/>
      <c r="AO100" s="150"/>
      <c r="AP100" s="150"/>
      <c r="AQ100" s="150"/>
      <c r="AR100" s="150"/>
      <c r="AS100" s="150"/>
      <c r="AT100" s="156"/>
      <c r="AU100" s="156"/>
      <c r="AV100" s="321"/>
      <c r="AW100" s="321"/>
      <c r="AX100" s="321"/>
      <c r="AY100" s="321"/>
      <c r="AZ100" s="360">
        <v>2</v>
      </c>
      <c r="BA100" s="360">
        <v>21</v>
      </c>
      <c r="BB100" s="360">
        <v>20</v>
      </c>
      <c r="BC100" s="360">
        <v>17</v>
      </c>
      <c r="BD100" s="642"/>
      <c r="BE100" s="642"/>
      <c r="BF100" s="642"/>
      <c r="BG100" s="642"/>
      <c r="BH100" s="642"/>
      <c r="BI100" s="323"/>
      <c r="BJ100" s="642"/>
      <c r="BK100" s="642"/>
      <c r="BL100" s="642"/>
      <c r="BM100" s="323"/>
      <c r="BN100" s="642"/>
      <c r="BO100" s="642"/>
      <c r="BP100" s="642"/>
      <c r="BQ100" s="642"/>
      <c r="BR100" s="642"/>
      <c r="BS100" s="642"/>
      <c r="BT100" s="642"/>
      <c r="BU100" s="642"/>
      <c r="BV100" s="642"/>
      <c r="BW100" s="642"/>
      <c r="BX100" s="642"/>
      <c r="BY100" s="642"/>
      <c r="BZ100" s="324"/>
    </row>
    <row r="101" spans="1:78" s="4" customFormat="1" ht="14.4" x14ac:dyDescent="0.3">
      <c r="A101" s="150">
        <f>IF(ISBLANK(TAB_CS[[#This Row],[Reference]]),"",INDEX(TAB_Offres[ID],MATCH(TAB_CS[[#This Row],[Reference]],TAB_Offres[Reference],0)))</f>
        <v>99</v>
      </c>
      <c r="B101" s="154" t="s">
        <v>5575</v>
      </c>
      <c r="C101" s="150" t="s">
        <v>5679</v>
      </c>
      <c r="D101" s="150" t="str">
        <f>IF(ISBLANK(TAB_CS[[#This Row],[Reference]]),"",VLOOKUP(TAB_CS[[#This Row],[ID]],TAB_Offres[],2,FALSE))</f>
        <v>Lot 1</v>
      </c>
      <c r="E101" s="150" t="s">
        <v>5920</v>
      </c>
      <c r="F101" s="154">
        <f>_xlfn.IFNA(IF(ISBLANK(TAB_CS[[#This Row],[Reference]]),"",VLOOKUP(TAB_CS[[#This Row],[Reference]],TAB_Offres[[Reference]:[Modification Request]],COLUMNS(TAB_Offres[[Reference]:[Modification Request]]),FALSE)),)</f>
        <v>0</v>
      </c>
      <c r="G101" s="150" t="str">
        <f>IF(ISBLANK(TAB_CS[[#This Row],[Reference]]),"",INDEX(TAB_Offres[Institution/agency],MATCH(TAB_CS[[#This Row],[Reference]],TAB_Offres[Reference],0)))</f>
        <v>EC</v>
      </c>
      <c r="H101" s="150" t="str">
        <f>IF(ISBLANK(TAB_CS[[#This Row],[Reference]]),"",INDEX(TAB_Offres[DG],MATCH(TAB_CS[[#This Row],[Reference]],TAB_Offres[Reference],0)))</f>
        <v>DIGIT.A.3</v>
      </c>
      <c r="I101" s="4" t="str">
        <f>IF(ISBLANK(TAB_CS[[#This Row],[Reference]]),"",INDEX(TAB_Offres[Offer description],MATCH(TAB_CS[[#This Row],[Reference]],TAB_Offres[Reference],0)))</f>
        <v>Back-End Developer (BED)</v>
      </c>
      <c r="J101" s="204">
        <f>_xlfn.IFNA(IF(ISBLANK(TAB_CS[[#This Row],[Ressource]]),,VLOOKUP(TAB_CS[[#This Row],[Reference]],TAB_Offres[[Reference]:[CS signature date]],COLUMNS(TAB_Offres[[Reference]:[CS signature date]]),FALSE)),"")</f>
        <v>45261</v>
      </c>
      <c r="K101" s="204">
        <f>_xlfn.IFNA(IF(ISBLANK(TAB_CS[[#This Row],[Ressource]]),,VLOOKUP(TAB_CS[[#This Row],[Reference]],TAB_Offres[[Reference]:[CS start date]],COLUMNS(TAB_Offres[[Reference]:[CS start date]]),FALSE)),"")</f>
        <v>45265</v>
      </c>
      <c r="L101" s="204">
        <f>_xlfn.IFNA(IF(ISBLANK(TAB_CS[[#This Row],[Ressource]]),,VLOOKUP(TAB_CS[[#This Row],[Reference]],TAB_Offres[[Reference]:[CS end date]],COLUMNS(TAB_Offres[[Reference]:[CS end date]]),FALSE)),"")</f>
        <v>45565</v>
      </c>
      <c r="M101" s="150">
        <f>_xlfn.IFNA(IF(ISBLANK(TAB_CS[[#This Row],[Ressource]]),,VLOOKUP(TAB_CS[[#This Row],[Reference]],TAB_Offres[[Reference]:[CS State]],COLUMNS(TAB_Offres[[Reference]:[CS State]]),FALSE)),"")</f>
        <v>0</v>
      </c>
      <c r="N101" s="154" t="str">
        <f>VLOOKUP(TAB_CS[[#This Row],[Reference]],TAB_Offres[[Reference]:[Ressource 1]],25,FALSE)</f>
        <v>POCHON, Régis</v>
      </c>
      <c r="O101" s="150" t="str">
        <f>_xlfn.IFNA(IF(ISBLANK(TAB_CS[[#This Row],[Ressource]]),,VLOOKUP(TAB_CS[[#This Row],[Reference]],TAB_Offres[[Reference]:[Company]],COLUMNS(TAB_Offres[[Reference]:[Company]]),FALSE)),"")</f>
        <v>EDDA</v>
      </c>
      <c r="P101" s="150" t="str">
        <f>_xlfn.CONCAT(TAB_CS[[#This Row],[Ressource]],TAB_CS[[#This Row],[Profile in €]])</f>
        <v>POCHON, Régis659</v>
      </c>
      <c r="Q101" s="150" t="str">
        <f>_xlfn.CONCAT(TAB_CS[[#This Row],[Company]],TAB_CS[[#This Row],[Business perimeter]])</f>
        <v>EDDANB</v>
      </c>
      <c r="R101" s="150" t="str">
        <f>_xlfn.IFNA(IF(ISBLANK(TAB_CS[[#This Row],[Ressource]]),"",VLOOKUP(TAB_CS[[#This Row],[Reference]],TAB_Offres[[Reference]:[Profile]],COLUMNS(TAB_Offres[[Reference]:[Profile]]),FALSE)),"")</f>
        <v>Back-end developer</v>
      </c>
      <c r="S101" s="150">
        <f>_xlfn.IFNA(IF(ISBLANK(TAB_CS[[#This Row],[Ressource]]),"",VLOOKUP(TAB_CS[[#This Row],[Reference]],TAB_Offres[[Reference]:[Level]],COLUMNS(TAB_Offres[[Reference]:[Level]]),FALSE)),"")</f>
        <v>10</v>
      </c>
      <c r="T101" s="156">
        <f>_xlfn.IFNA(IF(OR(ISBLANK(TAB_CS[[#This Row],[Level]]),TAB_CS[[#This Row],[Level]]=""),,VLOOKUP(TAB_CS[[#This Row],[Profile]],TAB_prix[],2+TAB_CS[[#This Row],[Level]],FALSE)),)</f>
        <v>659</v>
      </c>
      <c r="U101" s="151">
        <f>88+63</f>
        <v>151</v>
      </c>
      <c r="V101" s="205">
        <f>IF(OR(ISBLANK(TAB_CS[[#This Row],[Commited days]]),TAB_CS[[#This Row],[Commited days]]=0),,TAB_CS[[#This Row],[Commited days]]*TAB_CS[[#This Row],[Profile in €]])</f>
        <v>99509</v>
      </c>
      <c r="W101" s="156">
        <f>SUM(TAB_CS[[#This Row],[F]:[P+1]])-TAB_CS[[#This Row],[P+1]]</f>
        <v>151</v>
      </c>
      <c r="X101" s="205">
        <f>IF(OR(ISBLANK(TAB_CS[[#This Row],[Producted days]]),TAB_CS[[#This Row],[Producted days]]=0),,TAB_CS[[#This Row],[Producted days]]*TAB_CS[[#This Row],[Profile in €]])</f>
        <v>99509</v>
      </c>
      <c r="Y101" s="206">
        <f>TAB_CS[[#This Row],[Commited days]]-TAB_CS[[#This Row],[Producted days]]</f>
        <v>0</v>
      </c>
      <c r="Z101" s="205">
        <f>IF(OR(ISBLANK(TAB_CS[[#This Row],[Remaining days]]),TAB_CS[[#This Row],[Remaining days]]=0),,TAB_CS[[#This Row],[Remaining days]]*TAB_CS[[#This Row],[Profile in €]])</f>
        <v>0</v>
      </c>
      <c r="AA101" s="207">
        <f>SUM(TAB_CS[[#This Row],[P+1]:[FP]])</f>
        <v>0</v>
      </c>
      <c r="AB101" s="208">
        <f>IF(OR(ISBLANK(TAB_CS[[#This Row],[Expected days]]),TAB_CS[[#This Row],[Expected days]]=0),,TAB_CS[[#This Row],[Expected days]]*TAB_CS[[#This Row],[Profile in €]])</f>
        <v>0</v>
      </c>
      <c r="AC101" s="322" t="str">
        <f>CONCATENATE(TAB_CS[[#This Row],[DG]],TAB_CS[[#This Row],[Company]])</f>
        <v>DIGIT.A.3EDDA</v>
      </c>
      <c r="AD101" s="209"/>
      <c r="AE101" s="150"/>
      <c r="AF101" s="151"/>
      <c r="AG101" s="151"/>
      <c r="AH101" s="151"/>
      <c r="AI101" s="150"/>
      <c r="AJ101" s="151"/>
      <c r="AK101" s="156"/>
      <c r="AL101" s="156"/>
      <c r="AM101" s="150"/>
      <c r="AN101" s="150"/>
      <c r="AO101" s="150"/>
      <c r="AP101" s="150"/>
      <c r="AQ101" s="150"/>
      <c r="AR101" s="150"/>
      <c r="AS101" s="156"/>
      <c r="AT101" s="156"/>
      <c r="AU101" s="156"/>
      <c r="AV101" s="321"/>
      <c r="AW101" s="321"/>
      <c r="AX101" s="321"/>
      <c r="AY101" s="360">
        <v>6</v>
      </c>
      <c r="AZ101" s="360">
        <v>21</v>
      </c>
      <c r="BA101" s="360">
        <v>20</v>
      </c>
      <c r="BB101" s="360">
        <v>15</v>
      </c>
      <c r="BC101" s="360">
        <v>21</v>
      </c>
      <c r="BD101" s="360">
        <v>17</v>
      </c>
      <c r="BE101" s="360">
        <v>18.5</v>
      </c>
      <c r="BF101" s="360">
        <v>20</v>
      </c>
      <c r="BG101" s="360">
        <v>12.5</v>
      </c>
      <c r="BH101" s="642"/>
      <c r="BI101" s="323"/>
      <c r="BJ101" s="642"/>
      <c r="BK101" s="642"/>
      <c r="BL101" s="642"/>
      <c r="BM101" s="323"/>
      <c r="BN101" s="642"/>
      <c r="BO101" s="642"/>
      <c r="BP101" s="642"/>
      <c r="BQ101" s="642"/>
      <c r="BR101" s="642"/>
      <c r="BS101" s="642"/>
      <c r="BT101" s="642"/>
      <c r="BU101" s="642"/>
      <c r="BV101" s="642"/>
      <c r="BW101" s="642"/>
      <c r="BX101" s="642"/>
      <c r="BY101" s="642"/>
      <c r="BZ101" s="324"/>
    </row>
    <row r="102" spans="1:78" s="4" customFormat="1" ht="14.4" x14ac:dyDescent="0.3">
      <c r="A102" s="1">
        <f>IF(ISBLANK(TAB_CS[[#This Row],[Reference]]),"",INDEX(TAB_Offres[ID],MATCH(TAB_CS[[#This Row],[Reference]],TAB_Offres[Reference],0)))</f>
        <v>100</v>
      </c>
      <c r="B102" s="154" t="s">
        <v>5576</v>
      </c>
      <c r="C102" s="150" t="s">
        <v>5791</v>
      </c>
      <c r="D102" s="150" t="str">
        <f>IF(ISBLANK(TAB_CS[[#This Row],[Reference]]),"",VLOOKUP(TAB_CS[[#This Row],[ID]],TAB_Offres[],2,FALSE))</f>
        <v>Lot 2</v>
      </c>
      <c r="E102" s="1" t="s">
        <v>5920</v>
      </c>
      <c r="F102" s="154">
        <f>_xlfn.IFNA(IF(ISBLANK(TAB_CS[[#This Row],[Reference]]),"",VLOOKUP(TAB_CS[[#This Row],[Reference]],TAB_Offres[[Reference]:[Modification Request]],COLUMNS(TAB_Offres[[Reference]:[Modification Request]]),FALSE)),)</f>
        <v>0</v>
      </c>
      <c r="G102" s="150" t="str">
        <f>IF(ISBLANK(TAB_CS[[#This Row],[Reference]]),"",INDEX(TAB_Offres[Institution/agency],MATCH(TAB_CS[[#This Row],[Reference]],TAB_Offres[Reference],0)))</f>
        <v>EC</v>
      </c>
      <c r="H102" s="150" t="str">
        <f>IF(ISBLANK(TAB_CS[[#This Row],[Reference]]),"",INDEX(TAB_Offres[DG],MATCH(TAB_CS[[#This Row],[Reference]],TAB_Offres[Reference],0)))</f>
        <v>HR.DS</v>
      </c>
      <c r="I102" s="4" t="str">
        <f>IF(ISBLANK(TAB_CS[[#This Row],[Reference]]),"",INDEX(TAB_Offres[Offer description],MATCH(TAB_CS[[#This Row],[Reference]],TAB_Offres[Reference],0)))</f>
        <v>Workplace Security Specialist (WSS)</v>
      </c>
      <c r="J102" s="204">
        <f>_xlfn.IFNA(IF(ISBLANK(TAB_CS[[#This Row],[Ressource]]),,VLOOKUP(TAB_CS[[#This Row],[Reference]],TAB_Offres[[Reference]:[CS signature date]],COLUMNS(TAB_Offres[[Reference]:[CS signature date]]),FALSE)),"")</f>
        <v>0</v>
      </c>
      <c r="K102" s="204">
        <f>_xlfn.IFNA(IF(ISBLANK(TAB_CS[[#This Row],[Ressource]]),,VLOOKUP(TAB_CS[[#This Row],[Reference]],TAB_Offres[[Reference]:[CS start date]],COLUMNS(TAB_Offres[[Reference]:[CS start date]]),FALSE)),"")</f>
        <v>0</v>
      </c>
      <c r="L102" s="204">
        <f>_xlfn.IFNA(IF(ISBLANK(TAB_CS[[#This Row],[Ressource]]),,VLOOKUP(TAB_CS[[#This Row],[Reference]],TAB_Offres[[Reference]:[CS end date]],COLUMNS(TAB_Offres[[Reference]:[CS end date]]),FALSE)),"")</f>
        <v>0</v>
      </c>
      <c r="M102" s="150">
        <f>_xlfn.IFNA(IF(ISBLANK(TAB_CS[[#This Row],[Ressource]]),,VLOOKUP(TAB_CS[[#This Row],[Reference]],TAB_Offres[[Reference]:[CS State]],COLUMNS(TAB_Offres[[Reference]:[CS State]]),FALSE)),"")</f>
        <v>0</v>
      </c>
      <c r="N102" s="26" t="str">
        <f>VLOOKUP(TAB_CS[[#This Row],[Reference]],TAB_Offres[[Reference]:[Ressource 1]],25,FALSE)</f>
        <v>BINTZ, Adrien</v>
      </c>
      <c r="O102" s="150" t="str">
        <f>_xlfn.IFNA(IF(ISBLANK(TAB_CS[[#This Row],[Ressource]]),,VLOOKUP(TAB_CS[[#This Row],[Reference]],TAB_Offres[[Reference]:[Company]],COLUMNS(TAB_Offres[[Reference]:[Company]]),FALSE)),"")</f>
        <v>EDDA</v>
      </c>
      <c r="P102" s="150" t="str">
        <f>_xlfn.CONCAT(TAB_CS[[#This Row],[Ressource]],TAB_CS[[#This Row],[Profile in €]])</f>
        <v>BINTZ, Adrien466,03</v>
      </c>
      <c r="Q102" s="150" t="str">
        <f>_xlfn.CONCAT(TAB_CS[[#This Row],[Company]],TAB_CS[[#This Row],[Business perimeter]])</f>
        <v>EDDANB</v>
      </c>
      <c r="R102" s="150" t="str">
        <f>_xlfn.IFNA(IF(ISBLANK(TAB_CS[[#This Row],[Ressource]]),"",VLOOKUP(TAB_CS[[#This Row],[Reference]],TAB_Offres[[Reference]:[Profile]],COLUMNS(TAB_Offres[[Reference]:[Profile]]),FALSE)),"")</f>
        <v>Workplace security specialist</v>
      </c>
      <c r="S102" s="150">
        <f>_xlfn.IFNA(IF(ISBLANK(TAB_CS[[#This Row],[Ressource]]),"",VLOOKUP(TAB_CS[[#This Row],[Reference]],TAB_Offres[[Reference]:[Level]],COLUMNS(TAB_Offres[[Reference]:[Level]]),FALSE)),"")</f>
        <v>5</v>
      </c>
      <c r="T102" s="357">
        <v>466.03</v>
      </c>
      <c r="U102" s="151">
        <v>200</v>
      </c>
      <c r="V102" s="205">
        <f>IF(OR(ISBLANK(TAB_CS[[#This Row],[Commited days]]),TAB_CS[[#This Row],[Commited days]]=0),,TAB_CS[[#This Row],[Commited days]]*TAB_CS[[#This Row],[Profile in €]])</f>
        <v>93206</v>
      </c>
      <c r="W102" s="156">
        <f>SUM(TAB_CS[[#This Row],[F]:[P+1]])-TAB_CS[[#This Row],[P+1]]</f>
        <v>177</v>
      </c>
      <c r="X102" s="205">
        <f>IF(OR(ISBLANK(TAB_CS[[#This Row],[Producted days]]),TAB_CS[[#This Row],[Producted days]]=0),,TAB_CS[[#This Row],[Producted days]]*TAB_CS[[#This Row],[Profile in €]])</f>
        <v>82487.31</v>
      </c>
      <c r="Y102" s="206">
        <f>TAB_CS[[#This Row],[Commited days]]-TAB_CS[[#This Row],[Producted days]]</f>
        <v>23</v>
      </c>
      <c r="Z102" s="205">
        <f>IF(OR(ISBLANK(TAB_CS[[#This Row],[Remaining days]]),TAB_CS[[#This Row],[Remaining days]]=0),,TAB_CS[[#This Row],[Remaining days]]*TAB_CS[[#This Row],[Profile in €]])</f>
        <v>10718.689999999999</v>
      </c>
      <c r="AA102" s="207">
        <f>SUM(TAB_CS[[#This Row],[P+1]:[FP]])</f>
        <v>23</v>
      </c>
      <c r="AB102" s="208">
        <f>IF(OR(ISBLANK(TAB_CS[[#This Row],[Expected days]]),TAB_CS[[#This Row],[Expected days]]=0),,TAB_CS[[#This Row],[Expected days]]*TAB_CS[[#This Row],[Profile in €]])</f>
        <v>10718.689999999999</v>
      </c>
      <c r="AC102" s="322" t="str">
        <f>CONCATENATE(TAB_CS[[#This Row],[DG]],TAB_CS[[#This Row],[Company]])</f>
        <v>HR.DSEDDA</v>
      </c>
      <c r="AD102" s="209"/>
      <c r="AE102" s="150"/>
      <c r="AF102" s="151"/>
      <c r="AG102" s="151"/>
      <c r="AH102" s="151"/>
      <c r="AI102" s="150"/>
      <c r="AJ102" s="151"/>
      <c r="AK102" s="156"/>
      <c r="AL102" s="156"/>
      <c r="AM102" s="150"/>
      <c r="AN102" s="150"/>
      <c r="AO102" s="150"/>
      <c r="AP102" s="150"/>
      <c r="AQ102" s="150"/>
      <c r="AR102" s="150"/>
      <c r="AS102" s="150"/>
      <c r="AT102" s="156"/>
      <c r="AU102" s="156"/>
      <c r="AV102" s="321"/>
      <c r="AW102" s="321"/>
      <c r="AX102" s="156"/>
      <c r="AY102" s="156"/>
      <c r="AZ102" s="156"/>
      <c r="BA102" s="156"/>
      <c r="BB102" s="351">
        <v>10</v>
      </c>
      <c r="BC102" s="351">
        <v>21</v>
      </c>
      <c r="BD102" s="351">
        <v>19</v>
      </c>
      <c r="BE102" s="351">
        <v>18</v>
      </c>
      <c r="BF102" s="351">
        <v>23</v>
      </c>
      <c r="BG102" s="351">
        <v>11</v>
      </c>
      <c r="BH102" s="351">
        <v>21</v>
      </c>
      <c r="BI102" s="323"/>
      <c r="BJ102" s="156">
        <v>18</v>
      </c>
      <c r="BK102" s="156">
        <v>18</v>
      </c>
      <c r="BL102" s="156">
        <v>18</v>
      </c>
      <c r="BM102" s="323"/>
      <c r="BN102" s="156">
        <v>18</v>
      </c>
      <c r="BO102" s="156">
        <v>5</v>
      </c>
      <c r="BP102" s="156"/>
      <c r="BQ102" s="643"/>
      <c r="BR102" s="643"/>
      <c r="BS102" s="643"/>
      <c r="BT102" s="643"/>
      <c r="BU102" s="643"/>
      <c r="BV102" s="643"/>
      <c r="BW102" s="643"/>
      <c r="BX102" s="643"/>
      <c r="BY102" s="643"/>
      <c r="BZ102" s="324"/>
    </row>
    <row r="103" spans="1:78" s="4" customFormat="1" ht="14.4" x14ac:dyDescent="0.3">
      <c r="A103" s="150">
        <f>IF(ISBLANK(TAB_CS[[#This Row],[Reference]]),"",INDEX(TAB_Offres[ID],MATCH(TAB_CS[[#This Row],[Reference]],TAB_Offres[Reference],0)))</f>
        <v>101</v>
      </c>
      <c r="B103" s="154" t="s">
        <v>5577</v>
      </c>
      <c r="C103" s="150" t="s">
        <v>5789</v>
      </c>
      <c r="D103" s="150" t="str">
        <f>IF(ISBLANK(TAB_CS[[#This Row],[Reference]]),"",VLOOKUP(TAB_CS[[#This Row],[ID]],TAB_Offres[],2,FALSE))</f>
        <v>Lot 1</v>
      </c>
      <c r="E103" s="150" t="s">
        <v>5920</v>
      </c>
      <c r="F103" s="154" t="s">
        <v>5832</v>
      </c>
      <c r="G103" s="294" t="str">
        <f>IF(ISBLANK(TAB_CS[[#This Row],[Reference]]),"",INDEX(TAB_Offres[Institution/agency],MATCH(TAB_CS[[#This Row],[Reference]],TAB_Offres[Reference],0)))</f>
        <v>EC</v>
      </c>
      <c r="H103" s="294" t="str">
        <f>IF(ISBLANK(TAB_CS[[#This Row],[Reference]]),"",INDEX(TAB_Offres[DG],MATCH(TAB_CS[[#This Row],[Reference]],TAB_Offres[Reference],0)))</f>
        <v>RTD</v>
      </c>
      <c r="I103" s="295" t="str">
        <f>IF(ISBLANK(TAB_CS[[#This Row],[Reference]]),"",INDEX(TAB_Offres[Offer description],MATCH(TAB_CS[[#This Row],[Reference]],TAB_Offres[Reference],0)))</f>
        <v xml:space="preserve">	Full-Stack Developer (FSD)</v>
      </c>
      <c r="J103" s="296">
        <f>_xlfn.IFNA(IF(ISBLANK(TAB_CS[[#This Row],[Ressource]]),,VLOOKUP(TAB_CS[[#This Row],[Reference]],TAB_Offres[[Reference]:[CS signature date]],COLUMNS(TAB_Offres[[Reference]:[CS signature date]]),FALSE)),"")</f>
        <v>45274</v>
      </c>
      <c r="K103" s="296">
        <f>_xlfn.IFNA(IF(ISBLANK(TAB_CS[[#This Row],[Ressource]]),,VLOOKUP(TAB_CS[[#This Row],[Reference]],TAB_Offres[[Reference]:[CS start date]],COLUMNS(TAB_Offres[[Reference]:[CS start date]]),FALSE)),"")</f>
        <v>45275</v>
      </c>
      <c r="L103" s="296">
        <f>_xlfn.IFNA(IF(ISBLANK(TAB_CS[[#This Row],[Ressource]]),,VLOOKUP(TAB_CS[[#This Row],[Reference]],TAB_Offres[[Reference]:[CS end date]],COLUMNS(TAB_Offres[[Reference]:[CS end date]]),FALSE)),"")</f>
        <v>45747</v>
      </c>
      <c r="M103" s="294">
        <f>_xlfn.IFNA(IF(ISBLANK(TAB_CS[[#This Row],[Ressource]]),,VLOOKUP(TAB_CS[[#This Row],[Reference]],TAB_Offres[[Reference]:[CS State]],COLUMNS(TAB_Offres[[Reference]:[CS State]]),FALSE)),"")</f>
        <v>0</v>
      </c>
      <c r="N103" s="154" t="str">
        <f>VLOOKUP(TAB_CS[[#This Row],[Reference]],TAB_Offres[[Reference]:[Ressource 1]],25,FALSE)</f>
        <v>DUMITRU, Florin-Gabriel</v>
      </c>
      <c r="O103" s="150" t="str">
        <f>_xlfn.IFNA(IF(ISBLANK(TAB_CS[[#This Row],[Ressource]]),,VLOOKUP(TAB_CS[[#This Row],[Reference]],TAB_Offres[[Reference]:[Company]],COLUMNS(TAB_Offres[[Reference]:[Company]]),FALSE)),"")</f>
        <v>TREMEND</v>
      </c>
      <c r="P103" s="150" t="str">
        <f>_xlfn.CONCAT(TAB_CS[[#This Row],[Ressource]],TAB_CS[[#This Row],[Profile in €]])</f>
        <v>DUMITRU, Florin-Gabriel532,43</v>
      </c>
      <c r="Q103" s="150" t="str">
        <f>_xlfn.CONCAT(TAB_CS[[#This Row],[Company]],TAB_CS[[#This Row],[Business perimeter]])</f>
        <v>TREMENDNB</v>
      </c>
      <c r="R103" s="150" t="str">
        <f>_xlfn.IFNA(IF(ISBLANK(TAB_CS[[#This Row],[Ressource]]),"",VLOOKUP(TAB_CS[[#This Row],[Reference]],TAB_Offres[[Reference]:[Profile]],COLUMNS(TAB_Offres[[Reference]:[Profile]]),FALSE)),"")</f>
        <v>Full-stack developer-FAR</v>
      </c>
      <c r="S103" s="150">
        <f>_xlfn.IFNA(IF(ISBLANK(TAB_CS[[#This Row],[Ressource]]),"",VLOOKUP(TAB_CS[[#This Row],[Reference]],TAB_Offres[[Reference]:[Level]],COLUMNS(TAB_Offres[[Reference]:[Level]]),FALSE)),"")</f>
        <v>9</v>
      </c>
      <c r="T103" s="357">
        <v>532.42999999999995</v>
      </c>
      <c r="U103" s="151">
        <v>217</v>
      </c>
      <c r="V103" s="205">
        <f>IF(OR(ISBLANK(TAB_CS[[#This Row],[Commited days]]),TAB_CS[[#This Row],[Commited days]]=0),,TAB_CS[[#This Row],[Commited days]]*TAB_CS[[#This Row],[Profile in €]])</f>
        <v>115537.30999999998</v>
      </c>
      <c r="W103" s="156">
        <f>SUM(TAB_CS[[#This Row],[F]:[P+1]])-TAB_CS[[#This Row],[P+1]]</f>
        <v>185</v>
      </c>
      <c r="X103" s="205">
        <f>IF(OR(ISBLANK(TAB_CS[[#This Row],[Producted days]]),TAB_CS[[#This Row],[Producted days]]=0),,TAB_CS[[#This Row],[Producted days]]*TAB_CS[[#This Row],[Profile in €]])</f>
        <v>98499.549999999988</v>
      </c>
      <c r="Y103" s="206">
        <f>TAB_CS[[#This Row],[Commited days]]-TAB_CS[[#This Row],[Producted days]]</f>
        <v>32</v>
      </c>
      <c r="Z103" s="205">
        <f>IF(OR(ISBLANK(TAB_CS[[#This Row],[Remaining days]]),TAB_CS[[#This Row],[Remaining days]]=0),,TAB_CS[[#This Row],[Remaining days]]*TAB_CS[[#This Row],[Profile in €]])</f>
        <v>17037.759999999998</v>
      </c>
      <c r="AA103" s="207">
        <f>SUM(TAB_CS[[#This Row],[P+1]:[FP]])</f>
        <v>32</v>
      </c>
      <c r="AB103" s="208">
        <f>IF(OR(ISBLANK(TAB_CS[[#This Row],[Expected days]]),TAB_CS[[#This Row],[Expected days]]=0),,TAB_CS[[#This Row],[Expected days]]*TAB_CS[[#This Row],[Profile in €]])</f>
        <v>17037.759999999998</v>
      </c>
      <c r="AC103" s="322" t="str">
        <f>CONCATENATE(TAB_CS[[#This Row],[DG]],TAB_CS[[#This Row],[Company]])</f>
        <v>RTDTREMEND</v>
      </c>
      <c r="AD103" s="209"/>
      <c r="AE103" s="150"/>
      <c r="AF103" s="151"/>
      <c r="AG103" s="151"/>
      <c r="AH103" s="151"/>
      <c r="AI103" s="150"/>
      <c r="AJ103" s="151"/>
      <c r="AK103" s="156"/>
      <c r="AL103" s="156"/>
      <c r="AM103" s="150"/>
      <c r="AN103" s="150"/>
      <c r="AO103" s="150"/>
      <c r="AP103" s="150"/>
      <c r="AQ103" s="150"/>
      <c r="AR103" s="150"/>
      <c r="AS103" s="150"/>
      <c r="AT103" s="156"/>
      <c r="AU103" s="156"/>
      <c r="AV103" s="321"/>
      <c r="AW103" s="321"/>
      <c r="AX103" s="156"/>
      <c r="AY103" s="156"/>
      <c r="AZ103" s="321"/>
      <c r="BA103" s="156"/>
      <c r="BB103" s="351">
        <v>13</v>
      </c>
      <c r="BC103" s="351">
        <v>21</v>
      </c>
      <c r="BD103" s="351">
        <v>18</v>
      </c>
      <c r="BE103" s="351">
        <v>20</v>
      </c>
      <c r="BF103" s="351">
        <v>23</v>
      </c>
      <c r="BG103" s="351">
        <v>21</v>
      </c>
      <c r="BH103" s="351">
        <v>11</v>
      </c>
      <c r="BI103" s="323"/>
      <c r="BJ103" s="168">
        <v>22</v>
      </c>
      <c r="BK103" s="156">
        <v>18</v>
      </c>
      <c r="BL103" s="156">
        <v>18</v>
      </c>
      <c r="BM103" s="323"/>
      <c r="BN103" s="156">
        <v>18</v>
      </c>
      <c r="BO103" s="156">
        <v>14</v>
      </c>
      <c r="BP103" s="156"/>
      <c r="BQ103" s="643"/>
      <c r="BR103" s="643"/>
      <c r="BS103" s="643"/>
      <c r="BT103" s="643"/>
      <c r="BU103" s="643"/>
      <c r="BV103" s="643"/>
      <c r="BW103" s="643"/>
      <c r="BX103" s="643"/>
      <c r="BY103" s="643"/>
      <c r="BZ103" s="324"/>
    </row>
    <row r="104" spans="1:78" s="4" customFormat="1" ht="14.4" x14ac:dyDescent="0.3">
      <c r="A104" s="150">
        <f>IF(ISBLANK(TAB_CS[[#This Row],[Reference]]),"",INDEX(TAB_Offres[ID],MATCH(TAB_CS[[#This Row],[Reference]],TAB_Offres[Reference],0)))</f>
        <v>102</v>
      </c>
      <c r="B104" s="154" t="s">
        <v>5680</v>
      </c>
      <c r="C104" s="605" t="s">
        <v>5815</v>
      </c>
      <c r="D104" s="150" t="str">
        <f>IF(ISBLANK(TAB_CS[[#This Row],[Reference]]),"",VLOOKUP(TAB_CS[[#This Row],[ID]],TAB_Offres[],2,FALSE))</f>
        <v>Lot 1</v>
      </c>
      <c r="E104" s="150" t="s">
        <v>5918</v>
      </c>
      <c r="F104" s="154">
        <f>_xlfn.IFNA(IF(ISBLANK(TAB_CS[[#This Row],[Reference]]),"",VLOOKUP(TAB_CS[[#This Row],[Reference]],TAB_Offres[[Reference]:[Modification Request]],COLUMNS(TAB_Offres[[Reference]:[Modification Request]]),FALSE)),)</f>
        <v>0</v>
      </c>
      <c r="G104" s="150" t="str">
        <f>IF(ISBLANK(TAB_CS[[#This Row],[Reference]]),"",INDEX(TAB_Offres[Institution/agency],MATCH(TAB_CS[[#This Row],[Reference]],TAB_Offres[Reference],0)))</f>
        <v>EC</v>
      </c>
      <c r="H104" s="150" t="str">
        <f>IF(ISBLANK(TAB_CS[[#This Row],[Reference]]),"",INDEX(TAB_Offres[DG],MATCH(TAB_CS[[#This Row],[Reference]],TAB_Offres[Reference],0)))</f>
        <v>DIGIT.C.2</v>
      </c>
      <c r="I104" s="4" t="str">
        <f>IF(ISBLANK(TAB_CS[[#This Row],[Reference]]),"",INDEX(TAB_Offres[Offer description],MATCH(TAB_CS[[#This Row],[Reference]],TAB_Offres[Reference],0)))</f>
        <v xml:space="preserve">	Full-Stack Developer (FSD)</v>
      </c>
      <c r="J104" s="204">
        <f>_xlfn.IFNA(IF(ISBLANK(TAB_CS[[#This Row],[Ressource]]),,VLOOKUP(TAB_CS[[#This Row],[Reference]],TAB_Offres[[Reference]:[CS signature date]],COLUMNS(TAB_Offres[[Reference]:[CS signature date]]),FALSE)),"")</f>
        <v>45349</v>
      </c>
      <c r="K104" s="204">
        <f>_xlfn.IFNA(IF(ISBLANK(TAB_CS[[#This Row],[Ressource]]),,VLOOKUP(TAB_CS[[#This Row],[Reference]],TAB_Offres[[Reference]:[CS start date]],COLUMNS(TAB_Offres[[Reference]:[CS start date]]),FALSE)),"")</f>
        <v>0</v>
      </c>
      <c r="L104" s="204">
        <f>_xlfn.IFNA(IF(ISBLANK(TAB_CS[[#This Row],[Ressource]]),,VLOOKUP(TAB_CS[[#This Row],[Reference]],TAB_Offres[[Reference]:[CS end date]],COLUMNS(TAB_Offres[[Reference]:[CS end date]]),FALSE)),"")</f>
        <v>45930</v>
      </c>
      <c r="M104" s="150">
        <f>_xlfn.IFNA(IF(ISBLANK(TAB_CS[[#This Row],[Ressource]]),,VLOOKUP(TAB_CS[[#This Row],[Reference]],TAB_Offres[[Reference]:[CS State]],COLUMNS(TAB_Offres[[Reference]:[CS State]]),FALSE)),"")</f>
        <v>0</v>
      </c>
      <c r="N104" s="154" t="str">
        <f>VLOOKUP(TAB_CS[[#This Row],[Reference]],TAB_Offres[[Reference]:[Ressource 1]],25,FALSE)</f>
        <v>ADAM, Nathalie</v>
      </c>
      <c r="O104" s="150" t="str">
        <f>_xlfn.IFNA(IF(ISBLANK(TAB_CS[[#This Row],[Ressource]]),,VLOOKUP(TAB_CS[[#This Row],[Reference]],TAB_Offres[[Reference]:[Company]],COLUMNS(TAB_Offres[[Reference]:[Company]]),FALSE)),"")</f>
        <v>EDDA</v>
      </c>
      <c r="P104" s="150" t="str">
        <f>_xlfn.CONCAT(TAB_CS[[#This Row],[Ressource]],TAB_CS[[#This Row],[Profile in €]])</f>
        <v>ADAM, Nathalie654,04</v>
      </c>
      <c r="Q104" s="150" t="str">
        <f>_xlfn.CONCAT(TAB_CS[[#This Row],[Company]],TAB_CS[[#This Row],[Business perimeter]])</f>
        <v>EDDABL</v>
      </c>
      <c r="R104" s="150" t="str">
        <f>_xlfn.IFNA(IF(ISBLANK(TAB_CS[[#This Row],[Ressource]]),"",VLOOKUP(TAB_CS[[#This Row],[Reference]],TAB_Offres[[Reference]:[Profile]],COLUMNS(TAB_Offres[[Reference]:[Profile]]),FALSE)),"")</f>
        <v>Full-stack developer#R1</v>
      </c>
      <c r="S104" s="150">
        <f>_xlfn.IFNA(IF(ISBLANK(TAB_CS[[#This Row],[Ressource]]),"",VLOOKUP(TAB_CS[[#This Row],[Reference]],TAB_Offres[[Reference]:[Level]],COLUMNS(TAB_Offres[[Reference]:[Level]]),FALSE)),"")</f>
        <v>9</v>
      </c>
      <c r="T104" s="156">
        <f>_xlfn.IFNA(IF(OR(ISBLANK(TAB_CS[[#This Row],[Level]]),TAB_CS[[#This Row],[Level]]=""),,VLOOKUP(TAB_CS[[#This Row],[Profile]],TAB_prix[],2+TAB_CS[[#This Row],[Level]],FALSE)),)</f>
        <v>654.04</v>
      </c>
      <c r="U104" s="151">
        <v>140</v>
      </c>
      <c r="V104" s="205">
        <f>IF(OR(ISBLANK(TAB_CS[[#This Row],[Commited days]]),TAB_CS[[#This Row],[Commited days]]=0),,TAB_CS[[#This Row],[Commited days]]*TAB_CS[[#This Row],[Profile in €]])</f>
        <v>91565.599999999991</v>
      </c>
      <c r="W104" s="156">
        <f>SUM(TAB_CS[[#This Row],[F]:[P+1]])-TAB_CS[[#This Row],[P+1]]</f>
        <v>126.5</v>
      </c>
      <c r="X104" s="205">
        <f>IF(OR(ISBLANK(TAB_CS[[#This Row],[Producted days]]),TAB_CS[[#This Row],[Producted days]]=0),,TAB_CS[[#This Row],[Producted days]]*TAB_CS[[#This Row],[Profile in €]])</f>
        <v>82736.06</v>
      </c>
      <c r="Y104" s="206">
        <f>TAB_CS[[#This Row],[Commited days]]-TAB_CS[[#This Row],[Producted days]]</f>
        <v>13.5</v>
      </c>
      <c r="Z104" s="205">
        <f>IF(OR(ISBLANK(TAB_CS[[#This Row],[Remaining days]]),TAB_CS[[#This Row],[Remaining days]]=0),,TAB_CS[[#This Row],[Remaining days]]*TAB_CS[[#This Row],[Profile in €]])</f>
        <v>8829.5399999999991</v>
      </c>
      <c r="AA104" s="207">
        <f>SUM(TAB_CS[[#This Row],[P+1]:[FP]])</f>
        <v>13.5</v>
      </c>
      <c r="AB104" s="208">
        <f>IF(OR(ISBLANK(TAB_CS[[#This Row],[Expected days]]),TAB_CS[[#This Row],[Expected days]]=0),,TAB_CS[[#This Row],[Expected days]]*TAB_CS[[#This Row],[Profile in €]])</f>
        <v>8829.5399999999991</v>
      </c>
      <c r="AC104" s="322" t="str">
        <f>CONCATENATE(TAB_CS[[#This Row],[DG]],TAB_CS[[#This Row],[Company]])</f>
        <v>DIGIT.C.2EDDA</v>
      </c>
      <c r="AD104" s="209"/>
      <c r="AE104" s="150"/>
      <c r="AF104" s="151"/>
      <c r="AG104" s="151"/>
      <c r="AH104" s="151"/>
      <c r="AI104" s="150"/>
      <c r="AJ104" s="151"/>
      <c r="AK104" s="156"/>
      <c r="AL104" s="156"/>
      <c r="AM104" s="150"/>
      <c r="AN104" s="150"/>
      <c r="AO104" s="150"/>
      <c r="AP104" s="150"/>
      <c r="AQ104" s="150"/>
      <c r="AR104" s="150"/>
      <c r="AS104" s="150"/>
      <c r="AT104" s="156"/>
      <c r="AU104" s="156"/>
      <c r="AV104" s="321"/>
      <c r="AW104" s="321"/>
      <c r="AX104" s="321"/>
      <c r="AY104" s="321"/>
      <c r="AZ104" s="321"/>
      <c r="BA104" s="321"/>
      <c r="BB104" s="321"/>
      <c r="BC104" s="360">
        <v>6</v>
      </c>
      <c r="BD104" s="360">
        <v>15</v>
      </c>
      <c r="BE104" s="360">
        <v>14.5</v>
      </c>
      <c r="BF104" s="360">
        <v>17.5</v>
      </c>
      <c r="BG104" s="360">
        <v>6</v>
      </c>
      <c r="BH104" s="360">
        <v>15</v>
      </c>
      <c r="BI104" s="323"/>
      <c r="BJ104" s="632">
        <v>16.5</v>
      </c>
      <c r="BK104" s="321">
        <v>18</v>
      </c>
      <c r="BL104" s="321">
        <v>18</v>
      </c>
      <c r="BM104" s="323"/>
      <c r="BN104" s="321">
        <v>13.5</v>
      </c>
      <c r="BO104" s="321"/>
      <c r="BP104" s="321"/>
      <c r="BQ104" s="321"/>
      <c r="BR104" s="321"/>
      <c r="BS104" s="321"/>
      <c r="BT104" s="321"/>
      <c r="BU104" s="321"/>
      <c r="BV104" s="321"/>
      <c r="BW104" s="642"/>
      <c r="BX104" s="642"/>
      <c r="BY104" s="642"/>
      <c r="BZ104" s="324"/>
    </row>
    <row r="105" spans="1:78" s="4" customFormat="1" ht="14.4" x14ac:dyDescent="0.3">
      <c r="A105" s="1">
        <f>IF(ISBLANK(TAB_CS[[#This Row],[Reference]]),"",INDEX(TAB_Offres[ID],MATCH(TAB_CS[[#This Row],[Reference]],TAB_Offres[Reference],0)))</f>
        <v>103</v>
      </c>
      <c r="B105" s="154" t="s">
        <v>5766</v>
      </c>
      <c r="C105" s="605" t="s">
        <v>5794</v>
      </c>
      <c r="D105" s="150" t="str">
        <f>IF(ISBLANK(TAB_CS[[#This Row],[Reference]]),"",VLOOKUP(TAB_CS[[#This Row],[ID]],TAB_Offres[],2,FALSE))</f>
        <v>Lot 1</v>
      </c>
      <c r="E105" s="1" t="s">
        <v>5920</v>
      </c>
      <c r="F105" s="154">
        <f>_xlfn.IFNA(IF(ISBLANK(TAB_CS[[#This Row],[Reference]]),"",VLOOKUP(TAB_CS[[#This Row],[Reference]],TAB_Offres[[Reference]:[Modification Request]],COLUMNS(TAB_Offres[[Reference]:[Modification Request]]),FALSE)),)</f>
        <v>0</v>
      </c>
      <c r="G105" s="150"/>
      <c r="H105" s="150"/>
      <c r="J105" s="204"/>
      <c r="K105" s="204"/>
      <c r="L105" s="204"/>
      <c r="M105" s="150"/>
      <c r="N105" s="26" t="str">
        <f>VLOOKUP(TAB_CS[[#This Row],[Reference]],TAB_Offres[[Reference]:[Ressource 1]],25,FALSE)</f>
        <v>SANDOVAL David</v>
      </c>
      <c r="O105" s="150" t="str">
        <f>_xlfn.IFNA(IF(ISBLANK(TAB_CS[[#This Row],[Ressource]]),,VLOOKUP(TAB_CS[[#This Row],[Reference]],TAB_Offres[[Reference]:[Company]],COLUMNS(TAB_Offres[[Reference]:[Company]]),FALSE)),"")</f>
        <v>TALAN</v>
      </c>
      <c r="P105" s="150" t="str">
        <f>_xlfn.CONCAT(TAB_CS[[#This Row],[Ressource]],TAB_CS[[#This Row],[Profile in €]])</f>
        <v>SANDOVAL David699,82</v>
      </c>
      <c r="Q105" s="150" t="str">
        <f>_xlfn.CONCAT(TAB_CS[[#This Row],[Company]],TAB_CS[[#This Row],[Business perimeter]])</f>
        <v>TALANNB</v>
      </c>
      <c r="R105" s="150" t="str">
        <f>_xlfn.IFNA(IF(ISBLANK(TAB_CS[[#This Row],[Ressource]]),"",VLOOKUP(TAB_CS[[#This Row],[Reference]],TAB_Offres[[Reference]:[Profile]],COLUMNS(TAB_Offres[[Reference]:[Profile]]),FALSE)),"")</f>
        <v>Full-stack developer#R1</v>
      </c>
      <c r="S105" s="150">
        <f>_xlfn.IFNA(IF(ISBLANK(TAB_CS[[#This Row],[Ressource]]),"",VLOOKUP(TAB_CS[[#This Row],[Reference]],TAB_Offres[[Reference]:[Level]],COLUMNS(TAB_Offres[[Reference]:[Level]]),FALSE)),"")</f>
        <v>10</v>
      </c>
      <c r="T105" s="156">
        <f>_xlfn.IFNA(IF(OR(ISBLANK(TAB_CS[[#This Row],[Level]]),TAB_CS[[#This Row],[Level]]=""),,VLOOKUP(TAB_CS[[#This Row],[Profile]],TAB_prix[],2+TAB_CS[[#This Row],[Level]],FALSE)),)</f>
        <v>699.82</v>
      </c>
      <c r="U105" s="151">
        <v>116</v>
      </c>
      <c r="V105" s="205">
        <f>IF(OR(ISBLANK(TAB_CS[[#This Row],[Commited days]]),TAB_CS[[#This Row],[Commited days]]=0),,TAB_CS[[#This Row],[Commited days]]*TAB_CS[[#This Row],[Profile in €]])</f>
        <v>81179.12000000001</v>
      </c>
      <c r="W105" s="156">
        <f>SUM(TAB_CS[[#This Row],[F]:[P+1]])-TAB_CS[[#This Row],[P+1]]</f>
        <v>116</v>
      </c>
      <c r="X105" s="205">
        <f>IF(OR(ISBLANK(TAB_CS[[#This Row],[Producted days]]),TAB_CS[[#This Row],[Producted days]]=0),,TAB_CS[[#This Row],[Producted days]]*TAB_CS[[#This Row],[Profile in €]])</f>
        <v>81179.12000000001</v>
      </c>
      <c r="Y105" s="206">
        <f>TAB_CS[[#This Row],[Commited days]]-TAB_CS[[#This Row],[Producted days]]</f>
        <v>0</v>
      </c>
      <c r="Z105" s="205">
        <f>IF(OR(ISBLANK(TAB_CS[[#This Row],[Remaining days]]),TAB_CS[[#This Row],[Remaining days]]=0),,TAB_CS[[#This Row],[Remaining days]]*TAB_CS[[#This Row],[Profile in €]])</f>
        <v>0</v>
      </c>
      <c r="AA105" s="207">
        <f>SUM(TAB_CS[[#This Row],[P+1]:[FP]])</f>
        <v>0</v>
      </c>
      <c r="AB105" s="208">
        <f>IF(OR(ISBLANK(TAB_CS[[#This Row],[Expected days]]),TAB_CS[[#This Row],[Expected days]]=0),,TAB_CS[[#This Row],[Expected days]]*TAB_CS[[#This Row],[Profile in €]])</f>
        <v>0</v>
      </c>
      <c r="AC105" s="322" t="str">
        <f>CONCATENATE(TAB_CS[[#This Row],[DG]],TAB_CS[[#This Row],[Company]])</f>
        <v>TALAN</v>
      </c>
      <c r="AD105" s="209"/>
      <c r="AE105" s="150"/>
      <c r="AF105" s="151"/>
      <c r="AG105" s="151"/>
      <c r="AH105" s="151"/>
      <c r="AI105" s="150"/>
      <c r="AJ105" s="151"/>
      <c r="AK105" s="156"/>
      <c r="AL105" s="156"/>
      <c r="AM105" s="150"/>
      <c r="AN105" s="150"/>
      <c r="AO105" s="150"/>
      <c r="AP105" s="150"/>
      <c r="AQ105" s="150"/>
      <c r="AR105" s="150"/>
      <c r="AS105" s="150"/>
      <c r="AT105" s="156"/>
      <c r="AU105" s="156"/>
      <c r="AV105" s="321"/>
      <c r="AW105" s="321"/>
      <c r="AX105" s="156"/>
      <c r="AY105" s="156"/>
      <c r="AZ105" s="156"/>
      <c r="BA105" s="351">
        <v>4</v>
      </c>
      <c r="BB105" s="351">
        <v>19</v>
      </c>
      <c r="BC105" s="351">
        <v>20.5</v>
      </c>
      <c r="BD105" s="351">
        <v>18</v>
      </c>
      <c r="BE105" s="351">
        <v>15</v>
      </c>
      <c r="BF105" s="351">
        <v>21</v>
      </c>
      <c r="BG105" s="351">
        <v>18.5</v>
      </c>
      <c r="BH105" s="643"/>
      <c r="BI105" s="323"/>
      <c r="BJ105" s="643"/>
      <c r="BK105" s="643"/>
      <c r="BL105" s="643"/>
      <c r="BM105" s="323"/>
      <c r="BN105" s="643"/>
      <c r="BO105" s="643"/>
      <c r="BP105" s="643"/>
      <c r="BQ105" s="643"/>
      <c r="BR105" s="643"/>
      <c r="BS105" s="643"/>
      <c r="BT105" s="643"/>
      <c r="BU105" s="643"/>
      <c r="BV105" s="643"/>
      <c r="BW105" s="643"/>
      <c r="BX105" s="643"/>
      <c r="BY105" s="643"/>
      <c r="BZ105" s="324"/>
    </row>
    <row r="106" spans="1:78" s="4" customFormat="1" ht="14.4" x14ac:dyDescent="0.3">
      <c r="A106" s="150">
        <f>IF(ISBLANK(TAB_CS[[#This Row],[Reference]]),"",INDEX(TAB_Offres[ID],MATCH(TAB_CS[[#This Row],[Reference]],TAB_Offres[Reference],0)))</f>
        <v>104</v>
      </c>
      <c r="B106" s="154" t="s">
        <v>5767</v>
      </c>
      <c r="C106" s="605" t="s">
        <v>5790</v>
      </c>
      <c r="D106" s="150" t="str">
        <f>IF(ISBLANK(TAB_CS[[#This Row],[Reference]]),"",VLOOKUP(TAB_CS[[#This Row],[ID]],TAB_Offres[],2,FALSE))</f>
        <v>Lot 2</v>
      </c>
      <c r="E106" s="150" t="s">
        <v>5920</v>
      </c>
      <c r="F106" s="154">
        <f>_xlfn.IFNA(IF(ISBLANK(TAB_CS[[#This Row],[Reference]]),"",VLOOKUP(TAB_CS[[#This Row],[Reference]],TAB_Offres[[Reference]:[Modification Request]],COLUMNS(TAB_Offres[[Reference]:[Modification Request]]),FALSE)),)</f>
        <v>0</v>
      </c>
      <c r="G106" s="150" t="str">
        <f>IF(ISBLANK(TAB_CS[[#This Row],[Reference]]),"",INDEX(TAB_Offres[Institution/agency],MATCH(TAB_CS[[#This Row],[Reference]],TAB_Offres[Reference],0)))</f>
        <v>EC</v>
      </c>
      <c r="H106" s="150" t="str">
        <f>IF(ISBLANK(TAB_CS[[#This Row],[Reference]]),"",INDEX(TAB_Offres[DG],MATCH(TAB_CS[[#This Row],[Reference]],TAB_Offres[Reference],0)))</f>
        <v>HR.DS</v>
      </c>
      <c r="I106" s="4" t="str">
        <f>IF(ISBLANK(TAB_CS[[#This Row],[Reference]]),"",INDEX(TAB_Offres[Offer description],MATCH(TAB_CS[[#This Row],[Reference]],TAB_Offres[Reference],0)))</f>
        <v>Project Manager</v>
      </c>
      <c r="J106" s="204">
        <f>_xlfn.IFNA(IF(ISBLANK(TAB_CS[[#This Row],[Ressource]]),,VLOOKUP(TAB_CS[[#This Row],[Reference]],TAB_Offres[[Reference]:[CS signature date]],COLUMNS(TAB_Offres[[Reference]:[CS signature date]]),FALSE)),"")</f>
        <v>45314</v>
      </c>
      <c r="K106" s="204">
        <f>_xlfn.IFNA(IF(ISBLANK(TAB_CS[[#This Row],[Ressource]]),,VLOOKUP(TAB_CS[[#This Row],[Reference]],TAB_Offres[[Reference]:[CS start date]],COLUMNS(TAB_Offres[[Reference]:[CS start date]]),FALSE)),"")</f>
        <v>45314</v>
      </c>
      <c r="L106" s="204">
        <f>_xlfn.IFNA(IF(ISBLANK(TAB_CS[[#This Row],[Ressource]]),,VLOOKUP(TAB_CS[[#This Row],[Reference]],TAB_Offres[[Reference]:[CS end date]],COLUMNS(TAB_Offres[[Reference]:[CS end date]]),FALSE)),"")</f>
        <v>45747</v>
      </c>
      <c r="M106" s="150">
        <f>_xlfn.IFNA(IF(ISBLANK(TAB_CS[[#This Row],[Ressource]]),,VLOOKUP(TAB_CS[[#This Row],[Reference]],TAB_Offres[[Reference]:[CS State]],COLUMNS(TAB_Offres[[Reference]:[CS State]]),FALSE)),"")</f>
        <v>0</v>
      </c>
      <c r="N106" s="154" t="str">
        <f>VLOOKUP(TAB_CS[[#This Row],[Reference]],TAB_Offres[[Reference]:[Ressource 1]],25,FALSE)</f>
        <v>FREIRE FERREIRA, Carlos Miguel</v>
      </c>
      <c r="O106" s="150" t="str">
        <f>_xlfn.IFNA(IF(ISBLANK(TAB_CS[[#This Row],[Ressource]]),,VLOOKUP(TAB_CS[[#This Row],[Reference]],TAB_Offres[[Reference]:[Company]],COLUMNS(TAB_Offres[[Reference]:[Company]]),FALSE)),"")</f>
        <v>CGI LUX</v>
      </c>
      <c r="P106" s="150" t="str">
        <f>_xlfn.CONCAT(TAB_CS[[#This Row],[Ressource]],TAB_CS[[#This Row],[Profile in €]])</f>
        <v>FREIRE FERREIRA, Carlos Miguel741,44</v>
      </c>
      <c r="Q106" s="150" t="str">
        <f>_xlfn.CONCAT(TAB_CS[[#This Row],[Company]],TAB_CS[[#This Row],[Business perimeter]])</f>
        <v>CGI LUXNB</v>
      </c>
      <c r="R106" s="150" t="str">
        <f>_xlfn.IFNA(IF(ISBLANK(TAB_CS[[#This Row],[Ressource]]),"",VLOOKUP(TAB_CS[[#This Row],[Reference]],TAB_Offres[[Reference]:[Profile]],COLUMNS(TAB_Offres[[Reference]:[Profile]]),FALSE)),"")</f>
        <v>Project Manager#R1</v>
      </c>
      <c r="S106" s="150">
        <f>_xlfn.IFNA(IF(ISBLANK(TAB_CS[[#This Row],[Ressource]]),"",VLOOKUP(TAB_CS[[#This Row],[Reference]],TAB_Offres[[Reference]:[Level]],COLUMNS(TAB_Offres[[Reference]:[Level]]),FALSE)),"")</f>
        <v>8</v>
      </c>
      <c r="T106" s="156">
        <f>_xlfn.IFNA(IF(OR(ISBLANK(TAB_CS[[#This Row],[Level]]),TAB_CS[[#This Row],[Level]]=""),,VLOOKUP(TAB_CS[[#This Row],[Profile]],TAB_prix[],2+TAB_CS[[#This Row],[Level]],FALSE)),)</f>
        <v>741.44</v>
      </c>
      <c r="U106" s="151">
        <v>200</v>
      </c>
      <c r="V106" s="205">
        <f>IF(OR(ISBLANK(TAB_CS[[#This Row],[Commited days]]),TAB_CS[[#This Row],[Commited days]]=0),,TAB_CS[[#This Row],[Commited days]]*TAB_CS[[#This Row],[Profile in €]])</f>
        <v>148288</v>
      </c>
      <c r="W106" s="156">
        <f>SUM(TAB_CS[[#This Row],[F]:[P+1]])-TAB_CS[[#This Row],[P+1]]</f>
        <v>178</v>
      </c>
      <c r="X106" s="205">
        <f>IF(OR(ISBLANK(TAB_CS[[#This Row],[Producted days]]),TAB_CS[[#This Row],[Producted days]]=0),,TAB_CS[[#This Row],[Producted days]]*TAB_CS[[#This Row],[Profile in €]])</f>
        <v>131976.32000000001</v>
      </c>
      <c r="Y106" s="206">
        <f>TAB_CS[[#This Row],[Commited days]]-TAB_CS[[#This Row],[Producted days]]</f>
        <v>22</v>
      </c>
      <c r="Z106" s="205">
        <f>IF(OR(ISBLANK(TAB_CS[[#This Row],[Remaining days]]),TAB_CS[[#This Row],[Remaining days]]=0),,TAB_CS[[#This Row],[Remaining days]]*TAB_CS[[#This Row],[Profile in €]])</f>
        <v>16311.68</v>
      </c>
      <c r="AA106" s="207">
        <f>SUM(TAB_CS[[#This Row],[P+1]:[FP]])</f>
        <v>22</v>
      </c>
      <c r="AB106" s="208">
        <f>IF(OR(ISBLANK(TAB_CS[[#This Row],[Expected days]]),TAB_CS[[#This Row],[Expected days]]=0),,TAB_CS[[#This Row],[Expected days]]*TAB_CS[[#This Row],[Profile in €]])</f>
        <v>16311.68</v>
      </c>
      <c r="AC106" s="322" t="str">
        <f>CONCATENATE(TAB_CS[[#This Row],[DG]],TAB_CS[[#This Row],[Company]])</f>
        <v>HR.DSCGI LUX</v>
      </c>
      <c r="AD106" s="209"/>
      <c r="AE106" s="150"/>
      <c r="AF106" s="151"/>
      <c r="AG106" s="151"/>
      <c r="AH106" s="151"/>
      <c r="AI106" s="150"/>
      <c r="AJ106" s="151"/>
      <c r="AK106" s="156"/>
      <c r="AL106" s="156"/>
      <c r="AM106" s="150"/>
      <c r="AN106" s="150"/>
      <c r="AO106" s="150"/>
      <c r="AP106" s="150"/>
      <c r="AQ106" s="150"/>
      <c r="AR106" s="150"/>
      <c r="AS106" s="150"/>
      <c r="AT106" s="156"/>
      <c r="AU106" s="156"/>
      <c r="AV106" s="321"/>
      <c r="AW106" s="321"/>
      <c r="AX106" s="321"/>
      <c r="AY106" s="321"/>
      <c r="AZ106" s="321"/>
      <c r="BA106" s="321"/>
      <c r="BB106" s="360">
        <v>12</v>
      </c>
      <c r="BC106" s="360">
        <v>19</v>
      </c>
      <c r="BD106" s="360">
        <v>14</v>
      </c>
      <c r="BE106" s="360">
        <v>20</v>
      </c>
      <c r="BF106" s="360">
        <v>23</v>
      </c>
      <c r="BG106" s="360">
        <v>12</v>
      </c>
      <c r="BH106" s="360">
        <v>20</v>
      </c>
      <c r="BI106" s="323"/>
      <c r="BJ106" s="632">
        <v>22</v>
      </c>
      <c r="BK106" s="321">
        <v>18</v>
      </c>
      <c r="BL106" s="321">
        <v>18</v>
      </c>
      <c r="BM106" s="323"/>
      <c r="BN106" s="321">
        <v>18</v>
      </c>
      <c r="BO106" s="321">
        <v>4</v>
      </c>
      <c r="BP106" s="321"/>
      <c r="BQ106" s="642"/>
      <c r="BR106" s="642"/>
      <c r="BS106" s="642"/>
      <c r="BT106" s="642"/>
      <c r="BU106" s="642"/>
      <c r="BV106" s="642"/>
      <c r="BW106" s="642"/>
      <c r="BX106" s="642"/>
      <c r="BY106" s="642"/>
      <c r="BZ106" s="324"/>
    </row>
    <row r="107" spans="1:78" s="4" customFormat="1" ht="14.4" x14ac:dyDescent="0.3">
      <c r="A107" s="1">
        <f>IF(ISBLANK(TAB_CS[[#This Row],[Reference]]),"",INDEX(TAB_Offres[ID],MATCH(TAB_CS[[#This Row],[Reference]],TAB_Offres[Reference],0)))</f>
        <v>105</v>
      </c>
      <c r="B107" s="154" t="s">
        <v>5768</v>
      </c>
      <c r="C107" s="605" t="s">
        <v>23</v>
      </c>
      <c r="D107" s="150" t="str">
        <f>IF(ISBLANK(TAB_CS[[#This Row],[Reference]]),"",VLOOKUP(TAB_CS[[#This Row],[ID]],TAB_Offres[],2,FALSE))</f>
        <v>Lot 2</v>
      </c>
      <c r="E107" s="1" t="s">
        <v>5920</v>
      </c>
      <c r="F107" s="154">
        <f>_xlfn.IFNA(IF(ISBLANK(TAB_CS[[#This Row],[Reference]]),"",VLOOKUP(TAB_CS[[#This Row],[Reference]],TAB_Offres[[Reference]:[Modification Request]],COLUMNS(TAB_Offres[[Reference]:[Modification Request]]),FALSE)),)</f>
        <v>0</v>
      </c>
      <c r="G107" s="150" t="str">
        <f>IF(ISBLANK(TAB_CS[[#This Row],[Reference]]),"",INDEX(TAB_Offres[Institution/agency],MATCH(TAB_CS[[#This Row],[Reference]],TAB_Offres[Reference],0)))</f>
        <v>EC</v>
      </c>
      <c r="H107" s="150" t="str">
        <f>IF(ISBLANK(TAB_CS[[#This Row],[Reference]]),"",INDEX(TAB_Offres[DG],MATCH(TAB_CS[[#This Row],[Reference]],TAB_Offres[Reference],0)))</f>
        <v>DIGIT.A.4</v>
      </c>
      <c r="I107" s="4" t="str">
        <f>IF(ISBLANK(TAB_CS[[#This Row],[Reference]]),"",INDEX(TAB_Offres[Offer description],MATCH(TAB_CS[[#This Row],[Reference]],TAB_Offres[Reference],0)))</f>
        <v>Test Automation Specialist (TEAS)</v>
      </c>
      <c r="J107" s="204" t="str">
        <f>_xlfn.IFNA(IF(ISBLANK(TAB_CS[[#This Row],[Ressource]]),,VLOOKUP(TAB_CS[[#This Row],[Reference]],TAB_Offres[[Reference]:[CS signature date]],COLUMNS(TAB_Offres[[Reference]:[CS signature date]]),FALSE)),"")</f>
        <v>NOT YET SIGNED</v>
      </c>
      <c r="K107" s="204">
        <f>_xlfn.IFNA(IF(ISBLANK(TAB_CS[[#This Row],[Ressource]]),,VLOOKUP(TAB_CS[[#This Row],[Reference]],TAB_Offres[[Reference]:[CS start date]],COLUMNS(TAB_Offres[[Reference]:[CS start date]]),FALSE)),"")</f>
        <v>0</v>
      </c>
      <c r="L107" s="204">
        <f>_xlfn.IFNA(IF(ISBLANK(TAB_CS[[#This Row],[Ressource]]),,VLOOKUP(TAB_CS[[#This Row],[Reference]],TAB_Offres[[Reference]:[CS end date]],COLUMNS(TAB_Offres[[Reference]:[CS end date]]),FALSE)),"")</f>
        <v>0</v>
      </c>
      <c r="M107" s="150">
        <f>_xlfn.IFNA(IF(ISBLANK(TAB_CS[[#This Row],[Ressource]]),,VLOOKUP(TAB_CS[[#This Row],[Reference]],TAB_Offres[[Reference]:[CS State]],COLUMNS(TAB_Offres[[Reference]:[CS State]]),FALSE)),"")</f>
        <v>0</v>
      </c>
      <c r="N107" s="26" t="str">
        <f>VLOOKUP(TAB_CS[[#This Row],[Reference]],TAB_Offres[[Reference]:[Ressource 1]],25,FALSE)</f>
        <v>URBINI Lorenzo</v>
      </c>
      <c r="O107" s="150" t="str">
        <f>_xlfn.IFNA(IF(ISBLANK(TAB_CS[[#This Row],[Ressource]]),,VLOOKUP(TAB_CS[[#This Row],[Reference]],TAB_Offres[[Reference]:[Company]],COLUMNS(TAB_Offres[[Reference]:[Company]]),FALSE)),"")</f>
        <v>EDDA</v>
      </c>
      <c r="P107" s="150" t="str">
        <f>_xlfn.CONCAT(TAB_CS[[#This Row],[Ressource]],TAB_CS[[#This Row],[Profile in €]])</f>
        <v>URBINI Lorenzo440,86</v>
      </c>
      <c r="Q107" s="150" t="str">
        <f>_xlfn.CONCAT(TAB_CS[[#This Row],[Company]],TAB_CS[[#This Row],[Business perimeter]])</f>
        <v>EDDANB</v>
      </c>
      <c r="R107" s="150" t="str">
        <f>_xlfn.IFNA(IF(ISBLANK(TAB_CS[[#This Row],[Ressource]]),"",VLOOKUP(TAB_CS[[#This Row],[Reference]],TAB_Offres[[Reference]:[Profile]],COLUMNS(TAB_Offres[[Reference]:[Profile]]),FALSE)),"")</f>
        <v>Test automation specialist#R1-FAR</v>
      </c>
      <c r="S107" s="150">
        <f>_xlfn.IFNA(IF(ISBLANK(TAB_CS[[#This Row],[Ressource]]),"",VLOOKUP(TAB_CS[[#This Row],[Reference]],TAB_Offres[[Reference]:[Level]],COLUMNS(TAB_Offres[[Reference]:[Level]]),FALSE)),"")</f>
        <v>10</v>
      </c>
      <c r="T107" s="156">
        <f>_xlfn.IFNA(IF(OR(ISBLANK(TAB_CS[[#This Row],[Level]]),TAB_CS[[#This Row],[Level]]=""),,VLOOKUP(TAB_CS[[#This Row],[Profile]],TAB_prix[],2+TAB_CS[[#This Row],[Level]],FALSE)),)</f>
        <v>440.86</v>
      </c>
      <c r="U107" s="590">
        <v>0</v>
      </c>
      <c r="V107" s="205">
        <f>IF(OR(ISBLANK(TAB_CS[[#This Row],[Commited days]]),TAB_CS[[#This Row],[Commited days]]=0),,TAB_CS[[#This Row],[Commited days]]*TAB_CS[[#This Row],[Profile in €]])</f>
        <v>0</v>
      </c>
      <c r="W107" s="156">
        <f>SUM(TAB_CS[[#This Row],[F]:[P+1]])-TAB_CS[[#This Row],[P+1]]</f>
        <v>0</v>
      </c>
      <c r="X107" s="205">
        <f>IF(OR(ISBLANK(TAB_CS[[#This Row],[Producted days]]),TAB_CS[[#This Row],[Producted days]]=0),,TAB_CS[[#This Row],[Producted days]]*TAB_CS[[#This Row],[Profile in €]])</f>
        <v>0</v>
      </c>
      <c r="Y107" s="206">
        <f>TAB_CS[[#This Row],[Commited days]]-TAB_CS[[#This Row],[Producted days]]</f>
        <v>0</v>
      </c>
      <c r="Z107" s="205">
        <f>IF(OR(ISBLANK(TAB_CS[[#This Row],[Remaining days]]),TAB_CS[[#This Row],[Remaining days]]=0),,TAB_CS[[#This Row],[Remaining days]]*TAB_CS[[#This Row],[Profile in €]])</f>
        <v>0</v>
      </c>
      <c r="AA107" s="207">
        <f>SUM(TAB_CS[[#This Row],[P+1]:[FP]])</f>
        <v>0</v>
      </c>
      <c r="AB107" s="208">
        <f>IF(OR(ISBLANK(TAB_CS[[#This Row],[Expected days]]),TAB_CS[[#This Row],[Expected days]]=0),,TAB_CS[[#This Row],[Expected days]]*TAB_CS[[#This Row],[Profile in €]])</f>
        <v>0</v>
      </c>
      <c r="AC107" s="322" t="str">
        <f>CONCATENATE(TAB_CS[[#This Row],[DG]],TAB_CS[[#This Row],[Company]])</f>
        <v>DIGIT.A.4EDDA</v>
      </c>
      <c r="AD107" s="209"/>
      <c r="AE107" s="646"/>
      <c r="AF107" s="647"/>
      <c r="AG107" s="647"/>
      <c r="AH107" s="647"/>
      <c r="AI107" s="646"/>
      <c r="AJ107" s="647"/>
      <c r="AK107" s="643"/>
      <c r="AL107" s="643"/>
      <c r="AM107" s="646"/>
      <c r="AN107" s="646"/>
      <c r="AO107" s="646"/>
      <c r="AP107" s="646"/>
      <c r="AQ107" s="646"/>
      <c r="AR107" s="646"/>
      <c r="AS107" s="646"/>
      <c r="AT107" s="643"/>
      <c r="AU107" s="643"/>
      <c r="AV107" s="642"/>
      <c r="AW107" s="642"/>
      <c r="AX107" s="642"/>
      <c r="AY107" s="642"/>
      <c r="AZ107" s="642"/>
      <c r="BA107" s="642"/>
      <c r="BB107" s="642"/>
      <c r="BC107" s="642"/>
      <c r="BD107" s="642"/>
      <c r="BE107" s="642"/>
      <c r="BF107" s="642"/>
      <c r="BG107" s="642"/>
      <c r="BH107" s="642"/>
      <c r="BI107" s="323"/>
      <c r="BJ107" s="642"/>
      <c r="BK107" s="642"/>
      <c r="BL107" s="642"/>
      <c r="BM107" s="323"/>
      <c r="BN107" s="642"/>
      <c r="BO107" s="642"/>
      <c r="BP107" s="642"/>
      <c r="BQ107" s="642"/>
      <c r="BR107" s="642"/>
      <c r="BS107" s="642"/>
      <c r="BT107" s="642"/>
      <c r="BU107" s="642"/>
      <c r="BV107" s="642"/>
      <c r="BW107" s="642"/>
      <c r="BX107" s="642"/>
      <c r="BY107" s="642"/>
      <c r="BZ107" s="324"/>
    </row>
    <row r="108" spans="1:78" s="4" customFormat="1" ht="14.4" x14ac:dyDescent="0.3">
      <c r="A108" s="150">
        <f>IF(ISBLANK(TAB_CS[[#This Row],[Reference]]),"",INDEX(TAB_Offres[ID],MATCH(TAB_CS[[#This Row],[Reference]],TAB_Offres[Reference],0)))</f>
        <v>106</v>
      </c>
      <c r="B108" s="154" t="s">
        <v>5769</v>
      </c>
      <c r="C108" s="605" t="s">
        <v>5834</v>
      </c>
      <c r="D108" s="150" t="str">
        <f>IF(ISBLANK(TAB_CS[[#This Row],[Reference]]),"",VLOOKUP(TAB_CS[[#This Row],[ID]],TAB_Offres[],2,FALSE))</f>
        <v>Lot 3</v>
      </c>
      <c r="E108" s="150" t="s">
        <v>5920</v>
      </c>
      <c r="F108" s="154">
        <f>_xlfn.IFNA(IF(ISBLANK(TAB_CS[[#This Row],[Reference]]),"",VLOOKUP(TAB_CS[[#This Row],[Reference]],TAB_Offres[[Reference]:[Modification Request]],COLUMNS(TAB_Offres[[Reference]:[Modification Request]]),FALSE)),)</f>
        <v>0</v>
      </c>
      <c r="G108" s="150" t="str">
        <f>IF(ISBLANK(TAB_CS[[#This Row],[Reference]]),"",INDEX(TAB_Offres[Institution/agency],MATCH(TAB_CS[[#This Row],[Reference]],TAB_Offres[Reference],0)))</f>
        <v>EC</v>
      </c>
      <c r="H108" s="150" t="str">
        <f>IF(ISBLANK(TAB_CS[[#This Row],[Reference]]),"",INDEX(TAB_Offres[DG],MATCH(TAB_CS[[#This Row],[Reference]],TAB_Offres[Reference],0)))</f>
        <v>EMPL</v>
      </c>
      <c r="I108" s="4" t="str">
        <f>IF(ISBLANK(TAB_CS[[#This Row],[Reference]]),"",INDEX(TAB_Offres[Offer description],MATCH(TAB_CS[[#This Row],[Reference]],TAB_Offres[Reference],0)))</f>
        <v>Onboarding Manager (OM)</v>
      </c>
      <c r="J108" s="204">
        <f>_xlfn.IFNA(IF(ISBLANK(TAB_CS[[#This Row],[Ressource]]),,VLOOKUP(TAB_CS[[#This Row],[Reference]],TAB_Offres[[Reference]:[CS signature date]],COLUMNS(TAB_Offres[[Reference]:[CS signature date]]),FALSE)),"")</f>
        <v>45366</v>
      </c>
      <c r="K108" s="204">
        <f>_xlfn.IFNA(IF(ISBLANK(TAB_CS[[#This Row],[Ressource]]),,VLOOKUP(TAB_CS[[#This Row],[Reference]],TAB_Offres[[Reference]:[CS start date]],COLUMNS(TAB_Offres[[Reference]:[CS start date]]),FALSE)),"")</f>
        <v>0</v>
      </c>
      <c r="L108" s="204">
        <f>_xlfn.IFNA(IF(ISBLANK(TAB_CS[[#This Row],[Ressource]]),,VLOOKUP(TAB_CS[[#This Row],[Reference]],TAB_Offres[[Reference]:[CS end date]],COLUMNS(TAB_Offres[[Reference]:[CS end date]]),FALSE)),"")</f>
        <v>45900</v>
      </c>
      <c r="M108" s="150">
        <f>_xlfn.IFNA(IF(ISBLANK(TAB_CS[[#This Row],[Ressource]]),,VLOOKUP(TAB_CS[[#This Row],[Reference]],TAB_Offres[[Reference]:[CS State]],COLUMNS(TAB_Offres[[Reference]:[CS State]]),FALSE)),"")</f>
        <v>0</v>
      </c>
      <c r="N108" s="154" t="str">
        <f>VLOOKUP(TAB_CS[[#This Row],[Reference]],TAB_Offres[[Reference]:[Ressource 1]],25,FALSE)</f>
        <v>COOKE, Justin</v>
      </c>
      <c r="O108" s="150" t="str">
        <f>_xlfn.IFNA(IF(ISBLANK(TAB_CS[[#This Row],[Ressource]]),,VLOOKUP(TAB_CS[[#This Row],[Reference]],TAB_Offres[[Reference]:[Company]],COLUMNS(TAB_Offres[[Reference]:[Company]]),FALSE)),"")</f>
        <v>CGI LUX</v>
      </c>
      <c r="P108" s="150" t="str">
        <f>_xlfn.CONCAT(TAB_CS[[#This Row],[Ressource]],TAB_CS[[#This Row],[Profile in €]])</f>
        <v>COOKE, Justin910,99</v>
      </c>
      <c r="Q108" s="150" t="str">
        <f>_xlfn.CONCAT(TAB_CS[[#This Row],[Company]],TAB_CS[[#This Row],[Business perimeter]])</f>
        <v>CGI LUXNB</v>
      </c>
      <c r="R108" s="150" t="str">
        <f>_xlfn.IFNA(IF(ISBLANK(TAB_CS[[#This Row],[Ressource]]),"",VLOOKUP(TAB_CS[[#This Row],[Reference]],TAB_Offres[[Reference]:[Profile]],COLUMNS(TAB_Offres[[Reference]:[Profile]]),FALSE)),"")</f>
        <v>Onboarding manager#R1</v>
      </c>
      <c r="S108" s="150">
        <f>_xlfn.IFNA(IF(ISBLANK(TAB_CS[[#This Row],[Ressource]]),"",VLOOKUP(TAB_CS[[#This Row],[Reference]],TAB_Offres[[Reference]:[Level]],COLUMNS(TAB_Offres[[Reference]:[Level]]),FALSE)),"")</f>
        <v>10</v>
      </c>
      <c r="T108" s="156">
        <f>_xlfn.IFNA(IF(OR(ISBLANK(TAB_CS[[#This Row],[Level]]),TAB_CS[[#This Row],[Level]]=""),,VLOOKUP(TAB_CS[[#This Row],[Profile]],TAB_prix[],2+TAB_CS[[#This Row],[Level]],FALSE)),)</f>
        <v>910.99</v>
      </c>
      <c r="U108" s="151">
        <v>210</v>
      </c>
      <c r="V108" s="205">
        <f>IF(OR(ISBLANK(TAB_CS[[#This Row],[Commited days]]),TAB_CS[[#This Row],[Commited days]]=0),,TAB_CS[[#This Row],[Commited days]]*TAB_CS[[#This Row],[Profile in €]])</f>
        <v>191307.9</v>
      </c>
      <c r="W108" s="156">
        <f>SUM(TAB_CS[[#This Row],[F]:[P+1]])-TAB_CS[[#This Row],[P+1]]</f>
        <v>150.5</v>
      </c>
      <c r="X108" s="205">
        <f>IF(OR(ISBLANK(TAB_CS[[#This Row],[Producted days]]),TAB_CS[[#This Row],[Producted days]]=0),,TAB_CS[[#This Row],[Producted days]]*TAB_CS[[#This Row],[Profile in €]])</f>
        <v>137103.995</v>
      </c>
      <c r="Y108" s="206">
        <f>TAB_CS[[#This Row],[Commited days]]-TAB_CS[[#This Row],[Producted days]]</f>
        <v>59.5</v>
      </c>
      <c r="Z108" s="205">
        <f>IF(OR(ISBLANK(TAB_CS[[#This Row],[Remaining days]]),TAB_CS[[#This Row],[Remaining days]]=0),,TAB_CS[[#This Row],[Remaining days]]*TAB_CS[[#This Row],[Profile in €]])</f>
        <v>54203.904999999999</v>
      </c>
      <c r="AA108" s="207">
        <f>SUM(TAB_CS[[#This Row],[P+1]:[FP]])</f>
        <v>59.5</v>
      </c>
      <c r="AB108" s="208">
        <f>IF(OR(ISBLANK(TAB_CS[[#This Row],[Expected days]]),TAB_CS[[#This Row],[Expected days]]=0),,TAB_CS[[#This Row],[Expected days]]*TAB_CS[[#This Row],[Profile in €]])</f>
        <v>54203.904999999999</v>
      </c>
      <c r="AC108" s="322" t="str">
        <f>CONCATENATE(TAB_CS[[#This Row],[DG]],TAB_CS[[#This Row],[Company]])</f>
        <v>EMPLCGI LUX</v>
      </c>
      <c r="AD108" s="209"/>
      <c r="AE108" s="150"/>
      <c r="AF108" s="151"/>
      <c r="AG108" s="151"/>
      <c r="AH108" s="151"/>
      <c r="AI108" s="150"/>
      <c r="AJ108" s="151"/>
      <c r="AK108" s="156"/>
      <c r="AL108" s="156"/>
      <c r="AM108" s="150"/>
      <c r="AN108" s="150"/>
      <c r="AO108" s="150"/>
      <c r="AP108" s="150"/>
      <c r="AQ108" s="150"/>
      <c r="AR108" s="150"/>
      <c r="AS108" s="150"/>
      <c r="AT108" s="156"/>
      <c r="AU108" s="156"/>
      <c r="AV108" s="321"/>
      <c r="AW108" s="321"/>
      <c r="AX108" s="321"/>
      <c r="AY108" s="321"/>
      <c r="AZ108" s="321"/>
      <c r="BA108" s="321"/>
      <c r="BB108" s="321"/>
      <c r="BC108" s="360">
        <v>7.5</v>
      </c>
      <c r="BD108" s="360">
        <v>17.5</v>
      </c>
      <c r="BE108" s="360">
        <v>20</v>
      </c>
      <c r="BF108" s="360">
        <v>20</v>
      </c>
      <c r="BG108" s="360">
        <v>9</v>
      </c>
      <c r="BH108" s="360">
        <v>21</v>
      </c>
      <c r="BI108" s="323"/>
      <c r="BJ108" s="632">
        <v>19.5</v>
      </c>
      <c r="BK108" s="321">
        <v>18</v>
      </c>
      <c r="BL108" s="321">
        <v>18</v>
      </c>
      <c r="BM108" s="323"/>
      <c r="BN108" s="321">
        <v>18</v>
      </c>
      <c r="BO108" s="321">
        <v>18</v>
      </c>
      <c r="BP108" s="321">
        <v>18</v>
      </c>
      <c r="BQ108" s="321">
        <v>5.5</v>
      </c>
      <c r="BR108" s="321"/>
      <c r="BS108" s="321"/>
      <c r="BT108" s="321"/>
      <c r="BU108" s="321"/>
      <c r="BV108" s="642"/>
      <c r="BW108" s="642"/>
      <c r="BX108" s="642"/>
      <c r="BY108" s="642"/>
      <c r="BZ108" s="324"/>
    </row>
    <row r="109" spans="1:78" s="4" customFormat="1" ht="14.4" x14ac:dyDescent="0.3">
      <c r="A109" s="150">
        <f>IF(ISBLANK(TAB_CS[[#This Row],[Reference]]),"",INDEX(TAB_Offres[ID],MATCH(TAB_CS[[#This Row],[Reference]],TAB_Offres[Reference],0)))</f>
        <v>107</v>
      </c>
      <c r="B109" s="154" t="s">
        <v>5785</v>
      </c>
      <c r="C109" s="605" t="s">
        <v>5792</v>
      </c>
      <c r="D109" s="150" t="str">
        <f>IF(ISBLANK(TAB_CS[[#This Row],[Reference]]),"",VLOOKUP(TAB_CS[[#This Row],[ID]],TAB_Offres[],2,FALSE))</f>
        <v>Lot 3</v>
      </c>
      <c r="E109" s="150" t="s">
        <v>5920</v>
      </c>
      <c r="F109" s="154">
        <f>_xlfn.IFNA(IF(ISBLANK(TAB_CS[[#This Row],[Reference]]),"",VLOOKUP(TAB_CS[[#This Row],[Reference]],TAB_Offres[[Reference]:[Modification Request]],COLUMNS(TAB_Offres[[Reference]:[Modification Request]]),FALSE)),)</f>
        <v>0</v>
      </c>
      <c r="G109" s="150" t="str">
        <f>IF(ISBLANK(TAB_CS[[#This Row],[Reference]]),"",INDEX(TAB_Offres[Institution/agency],MATCH(TAB_CS[[#This Row],[Reference]],TAB_Offres[Reference],0)))</f>
        <v>EC</v>
      </c>
      <c r="H109" s="150" t="str">
        <f>IF(ISBLANK(TAB_CS[[#This Row],[Reference]]),"",INDEX(TAB_Offres[DG],MATCH(TAB_CS[[#This Row],[Reference]],TAB_Offres[Reference],0)))</f>
        <v>DIGIT.A.4</v>
      </c>
      <c r="I109" s="4" t="str">
        <f>IF(ISBLANK(TAB_CS[[#This Row],[Reference]]),"",INDEX(TAB_Offres[Offer description],MATCH(TAB_CS[[#This Row],[Reference]],TAB_Offres[Reference],0)))</f>
        <v>Enterprise Architect (Ea)</v>
      </c>
      <c r="J109" s="204">
        <f>_xlfn.IFNA(IF(ISBLANK(TAB_CS[[#This Row],[Ressource]]),,VLOOKUP(TAB_CS[[#This Row],[Reference]],TAB_Offres[[Reference]:[CS signature date]],COLUMNS(TAB_Offres[[Reference]:[CS signature date]]),FALSE)),"")</f>
        <v>45355</v>
      </c>
      <c r="K109" s="204">
        <f>_xlfn.IFNA(IF(ISBLANK(TAB_CS[[#This Row],[Ressource]]),,VLOOKUP(TAB_CS[[#This Row],[Reference]],TAB_Offres[[Reference]:[CS start date]],COLUMNS(TAB_Offres[[Reference]:[CS start date]]),FALSE)),"")</f>
        <v>45355</v>
      </c>
      <c r="L109" s="204">
        <f>_xlfn.IFNA(IF(ISBLANK(TAB_CS[[#This Row],[Ressource]]),,VLOOKUP(TAB_CS[[#This Row],[Reference]],TAB_Offres[[Reference]:[CS end date]],COLUMNS(TAB_Offres[[Reference]:[CS end date]]),FALSE)),"")</f>
        <v>45930</v>
      </c>
      <c r="M109" s="150">
        <f>_xlfn.IFNA(IF(ISBLANK(TAB_CS[[#This Row],[Ressource]]),,VLOOKUP(TAB_CS[[#This Row],[Reference]],TAB_Offres[[Reference]:[CS State]],COLUMNS(TAB_Offres[[Reference]:[CS State]]),FALSE)),"")</f>
        <v>0</v>
      </c>
      <c r="N109" s="154" t="str">
        <f>VLOOKUP(TAB_CS[[#This Row],[Reference]],TAB_Offres[[Reference]:[Ressource 1]],25,FALSE)</f>
        <v>ADESIDA, Yemi</v>
      </c>
      <c r="O109" s="150" t="str">
        <f>_xlfn.IFNA(IF(ISBLANK(TAB_CS[[#This Row],[Ressource]]),,VLOOKUP(TAB_CS[[#This Row],[Reference]],TAB_Offres[[Reference]:[Company]],COLUMNS(TAB_Offres[[Reference]:[Company]]),FALSE)),"")</f>
        <v>EDDA</v>
      </c>
      <c r="P109" s="150" t="str">
        <f>_xlfn.CONCAT(TAB_CS[[#This Row],[Ressource]],TAB_CS[[#This Row],[Profile in €]])</f>
        <v>ADESIDA, Yemi765,24</v>
      </c>
      <c r="Q109" s="150" t="str">
        <f>_xlfn.CONCAT(TAB_CS[[#This Row],[Company]],TAB_CS[[#This Row],[Business perimeter]])</f>
        <v>EDDANB</v>
      </c>
      <c r="R109" s="150" t="str">
        <f>_xlfn.IFNA(IF(ISBLANK(TAB_CS[[#This Row],[Ressource]]),"",VLOOKUP(TAB_CS[[#This Row],[Reference]],TAB_Offres[[Reference]:[Profile]],COLUMNS(TAB_Offres[[Reference]:[Profile]]),FALSE)),"")</f>
        <v>Enterprise architect#R1</v>
      </c>
      <c r="S109" s="150">
        <f>_xlfn.IFNA(IF(ISBLANK(TAB_CS[[#This Row],[Ressource]]),"",VLOOKUP(TAB_CS[[#This Row],[Reference]],TAB_Offres[[Reference]:[Level]],COLUMNS(TAB_Offres[[Reference]:[Level]]),FALSE)),"")</f>
        <v>10</v>
      </c>
      <c r="T109" s="156">
        <f>_xlfn.IFNA(IF(OR(ISBLANK(TAB_CS[[#This Row],[Level]]),TAB_CS[[#This Row],[Level]]=""),,VLOOKUP(TAB_CS[[#This Row],[Profile]],TAB_prix[],2+TAB_CS[[#This Row],[Level]],FALSE)),)</f>
        <v>765.24</v>
      </c>
      <c r="U109" s="151">
        <v>60</v>
      </c>
      <c r="V109" s="205">
        <f>IF(OR(ISBLANK(TAB_CS[[#This Row],[Commited days]]),TAB_CS[[#This Row],[Commited days]]=0),,TAB_CS[[#This Row],[Commited days]]*TAB_CS[[#This Row],[Profile in €]])</f>
        <v>45914.400000000001</v>
      </c>
      <c r="W109" s="156">
        <f>SUM(TAB_CS[[#This Row],[F]:[P+1]])-TAB_CS[[#This Row],[P+1]]</f>
        <v>60</v>
      </c>
      <c r="X109" s="205">
        <f>IF(OR(ISBLANK(TAB_CS[[#This Row],[Producted days]]),TAB_CS[[#This Row],[Producted days]]=0),,TAB_CS[[#This Row],[Producted days]]*TAB_CS[[#This Row],[Profile in €]])</f>
        <v>45914.400000000001</v>
      </c>
      <c r="Y109" s="206">
        <f>TAB_CS[[#This Row],[Commited days]]-TAB_CS[[#This Row],[Producted days]]</f>
        <v>0</v>
      </c>
      <c r="Z109" s="205">
        <f>IF(OR(ISBLANK(TAB_CS[[#This Row],[Remaining days]]),TAB_CS[[#This Row],[Remaining days]]=0),,TAB_CS[[#This Row],[Remaining days]]*TAB_CS[[#This Row],[Profile in €]])</f>
        <v>0</v>
      </c>
      <c r="AA109" s="207">
        <f>SUM(TAB_CS[[#This Row],[P+1]:[FP]])</f>
        <v>0</v>
      </c>
      <c r="AB109" s="208">
        <f>IF(OR(ISBLANK(TAB_CS[[#This Row],[Expected days]]),TAB_CS[[#This Row],[Expected days]]=0),,TAB_CS[[#This Row],[Expected days]]*TAB_CS[[#This Row],[Profile in €]])</f>
        <v>0</v>
      </c>
      <c r="AC109" s="322" t="str">
        <f>CONCATENATE(TAB_CS[[#This Row],[DG]],TAB_CS[[#This Row],[Company]])</f>
        <v>DIGIT.A.4EDDA</v>
      </c>
      <c r="AD109" s="209"/>
      <c r="AE109" s="150"/>
      <c r="AF109" s="151"/>
      <c r="AG109" s="151"/>
      <c r="AH109" s="151"/>
      <c r="AI109" s="150"/>
      <c r="AJ109" s="151"/>
      <c r="AK109" s="156"/>
      <c r="AL109" s="156"/>
      <c r="AM109" s="150"/>
      <c r="AN109" s="150"/>
      <c r="AO109" s="150"/>
      <c r="AP109" s="150"/>
      <c r="AQ109" s="150"/>
      <c r="AR109" s="150"/>
      <c r="AS109" s="150"/>
      <c r="AT109" s="156"/>
      <c r="AU109" s="156"/>
      <c r="AV109" s="321"/>
      <c r="AW109" s="321"/>
      <c r="AX109" s="321"/>
      <c r="AY109" s="321"/>
      <c r="AZ109" s="321"/>
      <c r="BA109" s="321"/>
      <c r="BB109" s="360">
        <v>10</v>
      </c>
      <c r="BC109" s="360">
        <v>21</v>
      </c>
      <c r="BD109" s="360">
        <v>20</v>
      </c>
      <c r="BE109" s="360">
        <v>9</v>
      </c>
      <c r="BF109" s="642"/>
      <c r="BG109" s="642"/>
      <c r="BH109" s="642"/>
      <c r="BI109" s="323"/>
      <c r="BJ109" s="642"/>
      <c r="BK109" s="642"/>
      <c r="BL109" s="642"/>
      <c r="BM109" s="323"/>
      <c r="BN109" s="642"/>
      <c r="BO109" s="642"/>
      <c r="BP109" s="642"/>
      <c r="BQ109" s="642"/>
      <c r="BR109" s="642"/>
      <c r="BS109" s="642"/>
      <c r="BT109" s="642"/>
      <c r="BU109" s="642"/>
      <c r="BV109" s="642"/>
      <c r="BW109" s="642"/>
      <c r="BX109" s="642"/>
      <c r="BY109" s="642"/>
      <c r="BZ109" s="324"/>
    </row>
    <row r="110" spans="1:78" s="4" customFormat="1" ht="14.4" x14ac:dyDescent="0.3">
      <c r="A110" s="150">
        <f>IF(ISBLANK(TAB_CS[[#This Row],[Reference]]),"",INDEX(TAB_Offres[ID],MATCH(TAB_CS[[#This Row],[Reference]],TAB_Offres[Reference],0)))</f>
        <v>108</v>
      </c>
      <c r="B110" s="154" t="s">
        <v>5795</v>
      </c>
      <c r="C110" s="605" t="s">
        <v>5837</v>
      </c>
      <c r="D110" s="150" t="str">
        <f>IF(ISBLANK(TAB_CS[[#This Row],[Reference]]),"",VLOOKUP(TAB_CS[[#This Row],[ID]],TAB_Offres[],2,FALSE))</f>
        <v>Lot 2</v>
      </c>
      <c r="E110" s="150" t="s">
        <v>5920</v>
      </c>
      <c r="F110" s="154">
        <f>_xlfn.IFNA(IF(ISBLANK(TAB_CS[[#This Row],[Reference]]),"",VLOOKUP(TAB_CS[[#This Row],[Reference]],TAB_Offres[[Reference]:[Modification Request]],COLUMNS(TAB_Offres[[Reference]:[Modification Request]]),FALSE)),)</f>
        <v>0</v>
      </c>
      <c r="G110" s="150" t="str">
        <f>IF(ISBLANK(TAB_CS[[#This Row],[Reference]]),"",INDEX(TAB_Offres[Institution/agency],MATCH(TAB_CS[[#This Row],[Reference]],TAB_Offres[Reference],0)))</f>
        <v>EC</v>
      </c>
      <c r="H110" s="150" t="str">
        <f>IF(ISBLANK(TAB_CS[[#This Row],[Reference]]),"",INDEX(TAB_Offres[DG],MATCH(TAB_CS[[#This Row],[Reference]],TAB_Offres[Reference],0)))</f>
        <v>SANTE</v>
      </c>
      <c r="I110" s="4" t="str">
        <f>IF(ISBLANK(TAB_CS[[#This Row],[Reference]]),"",INDEX(TAB_Offres[Offer description],MATCH(TAB_CS[[#This Row],[Reference]],TAB_Offres[Reference],0)))</f>
        <v xml:space="preserve">Application/Cloud Architect (ACA)	</v>
      </c>
      <c r="J110" s="204">
        <f>_xlfn.IFNA(IF(ISBLANK(TAB_CS[[#This Row],[Ressource]]),,VLOOKUP(TAB_CS[[#This Row],[Reference]],TAB_Offres[[Reference]:[CS signature date]],COLUMNS(TAB_Offres[[Reference]:[CS signature date]]),FALSE)),"")</f>
        <v>0</v>
      </c>
      <c r="K110" s="204">
        <f>_xlfn.IFNA(IF(ISBLANK(TAB_CS[[#This Row],[Ressource]]),,VLOOKUP(TAB_CS[[#This Row],[Reference]],TAB_Offres[[Reference]:[CS start date]],COLUMNS(TAB_Offres[[Reference]:[CS start date]]),FALSE)),"")</f>
        <v>0</v>
      </c>
      <c r="L110" s="204">
        <f>_xlfn.IFNA(IF(ISBLANK(TAB_CS[[#This Row],[Ressource]]),,VLOOKUP(TAB_CS[[#This Row],[Reference]],TAB_Offres[[Reference]:[CS end date]],COLUMNS(TAB_Offres[[Reference]:[CS end date]]),FALSE)),"")</f>
        <v>45808</v>
      </c>
      <c r="M110" s="150">
        <f>_xlfn.IFNA(IF(ISBLANK(TAB_CS[[#This Row],[Ressource]]),,VLOOKUP(TAB_CS[[#This Row],[Reference]],TAB_Offres[[Reference]:[CS State]],COLUMNS(TAB_Offres[[Reference]:[CS State]]),FALSE)),"")</f>
        <v>0</v>
      </c>
      <c r="N110" s="154" t="str">
        <f>VLOOKUP(TAB_CS[[#This Row],[Reference]],TAB_Offres[[Reference]:[Ressource 1]],25,FALSE)</f>
        <v>KATHAL, Tanisha</v>
      </c>
      <c r="O110" s="150" t="str">
        <f>_xlfn.IFNA(IF(ISBLANK(TAB_CS[[#This Row],[Ressource]]),,VLOOKUP(TAB_CS[[#This Row],[Reference]],TAB_Offres[[Reference]:[Company]],COLUMNS(TAB_Offres[[Reference]:[Company]]),FALSE)),"")</f>
        <v>EDDA</v>
      </c>
      <c r="P110" s="150" t="str">
        <f>_xlfn.CONCAT(TAB_CS[[#This Row],[Ressource]],TAB_CS[[#This Row],[Profile in €]])</f>
        <v>KATHAL, Tanisha533,56</v>
      </c>
      <c r="Q110" s="150" t="str">
        <f>_xlfn.CONCAT(TAB_CS[[#This Row],[Company]],TAB_CS[[#This Row],[Business perimeter]])</f>
        <v>EDDANB</v>
      </c>
      <c r="R110" s="150" t="str">
        <f>_xlfn.IFNA(IF(ISBLANK(TAB_CS[[#This Row],[Ressource]]),"",VLOOKUP(TAB_CS[[#This Row],[Reference]],TAB_Offres[[Reference]:[Profile]],COLUMNS(TAB_Offres[[Reference]:[Profile]]),FALSE)),"")</f>
        <v>Application/Cloud architect#R1</v>
      </c>
      <c r="S110" s="150">
        <f>_xlfn.IFNA(IF(ISBLANK(TAB_CS[[#This Row],[Ressource]]),"",VLOOKUP(TAB_CS[[#This Row],[Reference]],TAB_Offres[[Reference]:[Level]],COLUMNS(TAB_Offres[[Reference]:[Level]]),FALSE)),"")</f>
        <v>7</v>
      </c>
      <c r="T110" s="156">
        <f>_xlfn.IFNA(IF(OR(ISBLANK(TAB_CS[[#This Row],[Level]]),TAB_CS[[#This Row],[Level]]=""),,VLOOKUP(TAB_CS[[#This Row],[Profile]],TAB_prix[],2+TAB_CS[[#This Row],[Level]],FALSE)),)</f>
        <v>533.55999999999995</v>
      </c>
      <c r="U110" s="151">
        <v>220</v>
      </c>
      <c r="V110" s="205">
        <f>IF(OR(ISBLANK(TAB_CS[[#This Row],[Commited days]]),TAB_CS[[#This Row],[Commited days]]=0),,TAB_CS[[#This Row],[Commited days]]*TAB_CS[[#This Row],[Profile in €]])</f>
        <v>117383.19999999998</v>
      </c>
      <c r="W110" s="156">
        <f>SUM(TAB_CS[[#This Row],[F]:[P+1]])-TAB_CS[[#This Row],[P+1]]</f>
        <v>152.5</v>
      </c>
      <c r="X110" s="205">
        <f>IF(OR(ISBLANK(TAB_CS[[#This Row],[Producted days]]),TAB_CS[[#This Row],[Producted days]]=0),,TAB_CS[[#This Row],[Producted days]]*TAB_CS[[#This Row],[Profile in €]])</f>
        <v>81367.899999999994</v>
      </c>
      <c r="Y110" s="206">
        <f>TAB_CS[[#This Row],[Commited days]]-TAB_CS[[#This Row],[Producted days]]</f>
        <v>67.5</v>
      </c>
      <c r="Z110" s="205">
        <f>IF(OR(ISBLANK(TAB_CS[[#This Row],[Remaining days]]),TAB_CS[[#This Row],[Remaining days]]=0),,TAB_CS[[#This Row],[Remaining days]]*TAB_CS[[#This Row],[Profile in €]])</f>
        <v>36015.299999999996</v>
      </c>
      <c r="AA110" s="207">
        <f>SUM(TAB_CS[[#This Row],[P+1]:[FP]])</f>
        <v>67.5</v>
      </c>
      <c r="AB110" s="208">
        <f>IF(OR(ISBLANK(TAB_CS[[#This Row],[Expected days]]),TAB_CS[[#This Row],[Expected days]]=0),,TAB_CS[[#This Row],[Expected days]]*TAB_CS[[#This Row],[Profile in €]])</f>
        <v>36015.299999999996</v>
      </c>
      <c r="AC110" s="322" t="str">
        <f>CONCATENATE(TAB_CS[[#This Row],[DG]],TAB_CS[[#This Row],[Company]])</f>
        <v>SANTEEDDA</v>
      </c>
      <c r="AD110" s="209"/>
      <c r="AE110" s="150"/>
      <c r="AF110" s="151"/>
      <c r="AG110" s="151"/>
      <c r="AH110" s="151"/>
      <c r="AI110" s="150"/>
      <c r="AJ110" s="151"/>
      <c r="AK110" s="156"/>
      <c r="AL110" s="156"/>
      <c r="AM110" s="150"/>
      <c r="AN110" s="150"/>
      <c r="AO110" s="150"/>
      <c r="AP110" s="150"/>
      <c r="AQ110" s="150"/>
      <c r="AR110" s="150"/>
      <c r="AS110" s="150"/>
      <c r="AT110" s="156"/>
      <c r="AU110" s="156"/>
      <c r="AV110" s="321"/>
      <c r="AW110" s="321"/>
      <c r="AX110" s="321"/>
      <c r="AY110" s="321"/>
      <c r="AZ110" s="321"/>
      <c r="BA110" s="321"/>
      <c r="BB110" s="321"/>
      <c r="BC110" s="360">
        <v>7.5</v>
      </c>
      <c r="BD110" s="360">
        <v>16</v>
      </c>
      <c r="BE110" s="360">
        <v>17.5</v>
      </c>
      <c r="BF110" s="360">
        <v>20.5</v>
      </c>
      <c r="BG110" s="360">
        <v>18</v>
      </c>
      <c r="BH110" s="360">
        <v>19</v>
      </c>
      <c r="BI110" s="323"/>
      <c r="BJ110" s="321">
        <v>18</v>
      </c>
      <c r="BK110" s="321">
        <v>18</v>
      </c>
      <c r="BL110" s="321">
        <v>18</v>
      </c>
      <c r="BM110" s="323"/>
      <c r="BN110" s="321">
        <v>18</v>
      </c>
      <c r="BO110" s="321">
        <v>18</v>
      </c>
      <c r="BP110" s="321">
        <v>18</v>
      </c>
      <c r="BQ110" s="321">
        <v>13.5</v>
      </c>
      <c r="BR110" s="321"/>
      <c r="BS110" s="642"/>
      <c r="BT110" s="642"/>
      <c r="BU110" s="642"/>
      <c r="BV110" s="642"/>
      <c r="BW110" s="642"/>
      <c r="BX110" s="642"/>
      <c r="BY110" s="642"/>
      <c r="BZ110" s="324"/>
    </row>
    <row r="111" spans="1:78" s="4" customFormat="1" ht="14.4" x14ac:dyDescent="0.3">
      <c r="A111" s="1">
        <f>IF(ISBLANK(TAB_CS[[#This Row],[Reference]]),"",INDEX(TAB_Offres[ID],MATCH(TAB_CS[[#This Row],[Reference]],TAB_Offres[Reference],0)))</f>
        <v>109</v>
      </c>
      <c r="B111" s="154" t="s">
        <v>5801</v>
      </c>
      <c r="C111" s="605" t="s">
        <v>5836</v>
      </c>
      <c r="D111" s="150" t="str">
        <f>IF(ISBLANK(TAB_CS[[#This Row],[Reference]]),"",VLOOKUP(TAB_CS[[#This Row],[ID]],TAB_Offres[],2,FALSE))</f>
        <v>Lot 1</v>
      </c>
      <c r="E111" s="150" t="s">
        <v>5920</v>
      </c>
      <c r="F111" s="154">
        <f>_xlfn.IFNA(IF(ISBLANK(TAB_CS[[#This Row],[Reference]]),"",VLOOKUP(TAB_CS[[#This Row],[Reference]],TAB_Offres[[Reference]:[Modification Request]],COLUMNS(TAB_Offres[[Reference]:[Modification Request]]),FALSE)),)</f>
        <v>0</v>
      </c>
      <c r="G111" s="150" t="str">
        <f>IF(ISBLANK(TAB_CS[[#This Row],[Reference]]),"",INDEX(TAB_Offres[Institution/agency],MATCH(TAB_CS[[#This Row],[Reference]],TAB_Offres[Reference],0)))</f>
        <v>REA</v>
      </c>
      <c r="H111" s="150" t="str">
        <f>IF(ISBLANK(TAB_CS[[#This Row],[Reference]]),"",INDEX(TAB_Offres[DG],MATCH(TAB_CS[[#This Row],[Reference]],TAB_Offres[Reference],0)))</f>
        <v>REA</v>
      </c>
      <c r="I111" s="4" t="str">
        <f>IF(ISBLANK(TAB_CS[[#This Row],[Reference]]),"",INDEX(TAB_Offres[Offer description],MATCH(TAB_CS[[#This Row],[Reference]],TAB_Offres[Reference],0)))</f>
        <v>Full-Stack Developer (FSD)</v>
      </c>
      <c r="J111" s="204">
        <f>_xlfn.IFNA(IF(ISBLANK(TAB_CS[[#This Row],[Ressource]]),,VLOOKUP(TAB_CS[[#This Row],[Reference]],TAB_Offres[[Reference]:[CS signature date]],COLUMNS(TAB_Offres[[Reference]:[CS signature date]]),FALSE)),"")</f>
        <v>45376</v>
      </c>
      <c r="K111" s="204">
        <f>_xlfn.IFNA(IF(ISBLANK(TAB_CS[[#This Row],[Ressource]]),,VLOOKUP(TAB_CS[[#This Row],[Reference]],TAB_Offres[[Reference]:[CS start date]],COLUMNS(TAB_Offres[[Reference]:[CS start date]]),FALSE)),"")</f>
        <v>45376</v>
      </c>
      <c r="L111" s="204">
        <f>_xlfn.IFNA(IF(ISBLANK(TAB_CS[[#This Row],[Ressource]]),,VLOOKUP(TAB_CS[[#This Row],[Reference]],TAB_Offres[[Reference]:[CS end date]],COLUMNS(TAB_Offres[[Reference]:[CS end date]]),FALSE)),"")</f>
        <v>45838</v>
      </c>
      <c r="M111" s="150">
        <f>_xlfn.IFNA(IF(ISBLANK(TAB_CS[[#This Row],[Ressource]]),,VLOOKUP(TAB_CS[[#This Row],[Reference]],TAB_Offres[[Reference]:[CS State]],COLUMNS(TAB_Offres[[Reference]:[CS State]]),FALSE)),"")</f>
        <v>0</v>
      </c>
      <c r="N111" s="26" t="str">
        <f>VLOOKUP(TAB_CS[[#This Row],[Reference]],TAB_Offres[[Reference]:[Ressource 1]],25,FALSE)</f>
        <v>SARBU, Cornelia</v>
      </c>
      <c r="O111" s="150" t="str">
        <f>_xlfn.IFNA(IF(ISBLANK(TAB_CS[[#This Row],[Ressource]]),,VLOOKUP(TAB_CS[[#This Row],[Reference]],TAB_Offres[[Reference]:[Company]],COLUMNS(TAB_Offres[[Reference]:[Company]]),FALSE)),"")</f>
        <v>EDDA</v>
      </c>
      <c r="P111" s="150" t="str">
        <f>_xlfn.CONCAT(TAB_CS[[#This Row],[Ressource]],TAB_CS[[#This Row],[Profile in €]])</f>
        <v>SARBU, Cornelia611,25</v>
      </c>
      <c r="Q111" s="150" t="str">
        <f>_xlfn.CONCAT(TAB_CS[[#This Row],[Company]],TAB_CS[[#This Row],[Business perimeter]])</f>
        <v>EDDANB</v>
      </c>
      <c r="R111" s="150" t="str">
        <f>_xlfn.IFNA(IF(ISBLANK(TAB_CS[[#This Row],[Ressource]]),"",VLOOKUP(TAB_CS[[#This Row],[Reference]],TAB_Offres[[Reference]:[Profile]],COLUMNS(TAB_Offres[[Reference]:[Profile]]),FALSE)),"")</f>
        <v>Full-stack developer#R1</v>
      </c>
      <c r="S111" s="150">
        <f>_xlfn.IFNA(IF(ISBLANK(TAB_CS[[#This Row],[Ressource]]),"",VLOOKUP(TAB_CS[[#This Row],[Reference]],TAB_Offres[[Reference]:[Level]],COLUMNS(TAB_Offres[[Reference]:[Level]]),FALSE)),"")</f>
        <v>8</v>
      </c>
      <c r="T111" s="156">
        <f>_xlfn.IFNA(IF(OR(ISBLANK(TAB_CS[[#This Row],[Level]]),TAB_CS[[#This Row],[Level]]=""),,VLOOKUP(TAB_CS[[#This Row],[Profile]],TAB_prix[],2+TAB_CS[[#This Row],[Level]],FALSE)),)</f>
        <v>611.25</v>
      </c>
      <c r="U111" s="151">
        <v>220</v>
      </c>
      <c r="V111" s="205">
        <f>IF(OR(ISBLANK(TAB_CS[[#This Row],[Commited days]]),TAB_CS[[#This Row],[Commited days]]=0),,TAB_CS[[#This Row],[Commited days]]*TAB_CS[[#This Row],[Profile in €]])</f>
        <v>134475</v>
      </c>
      <c r="W111" s="156">
        <f>SUM(TAB_CS[[#This Row],[F]:[P+1]])-TAB_CS[[#This Row],[P+1]]</f>
        <v>166.5</v>
      </c>
      <c r="X111" s="205">
        <f>IF(OR(ISBLANK(TAB_CS[[#This Row],[Producted days]]),TAB_CS[[#This Row],[Producted days]]=0),,TAB_CS[[#This Row],[Producted days]]*TAB_CS[[#This Row],[Profile in €]])</f>
        <v>101773.125</v>
      </c>
      <c r="Y111" s="206">
        <f>TAB_CS[[#This Row],[Commited days]]-TAB_CS[[#This Row],[Producted days]]</f>
        <v>53.5</v>
      </c>
      <c r="Z111" s="205">
        <f>IF(OR(ISBLANK(TAB_CS[[#This Row],[Remaining days]]),TAB_CS[[#This Row],[Remaining days]]=0),,TAB_CS[[#This Row],[Remaining days]]*TAB_CS[[#This Row],[Profile in €]])</f>
        <v>32701.875</v>
      </c>
      <c r="AA111" s="207">
        <f>SUM(TAB_CS[[#This Row],[P+1]:[FP]])</f>
        <v>53.5</v>
      </c>
      <c r="AB111" s="208">
        <f>IF(OR(ISBLANK(TAB_CS[[#This Row],[Expected days]]),TAB_CS[[#This Row],[Expected days]]=0),,TAB_CS[[#This Row],[Expected days]]*TAB_CS[[#This Row],[Profile in €]])</f>
        <v>32701.875</v>
      </c>
      <c r="AC111" s="322" t="str">
        <f>CONCATENATE(TAB_CS[[#This Row],[DG]],TAB_CS[[#This Row],[Company]])</f>
        <v>REAEDDA</v>
      </c>
      <c r="AD111" s="209"/>
      <c r="AE111" s="150"/>
      <c r="AF111" s="151"/>
      <c r="AG111" s="151"/>
      <c r="AH111" s="151"/>
      <c r="AI111" s="150"/>
      <c r="AJ111" s="151"/>
      <c r="AK111" s="156"/>
      <c r="AL111" s="156"/>
      <c r="AM111" s="150"/>
      <c r="AN111" s="150"/>
      <c r="AO111" s="150"/>
      <c r="AP111" s="150"/>
      <c r="AQ111" s="150"/>
      <c r="AR111" s="150"/>
      <c r="AS111" s="150"/>
      <c r="AT111" s="156"/>
      <c r="AU111" s="156"/>
      <c r="AV111" s="171"/>
      <c r="AW111" s="171"/>
      <c r="AX111" s="171"/>
      <c r="AY111" s="171"/>
      <c r="AZ111" s="171"/>
      <c r="BA111" s="171"/>
      <c r="BB111" s="171"/>
      <c r="BC111" s="352">
        <v>16.5</v>
      </c>
      <c r="BD111" s="352">
        <v>19</v>
      </c>
      <c r="BE111" s="352">
        <v>17.5</v>
      </c>
      <c r="BF111" s="352">
        <v>20</v>
      </c>
      <c r="BG111" s="352">
        <v>18.5</v>
      </c>
      <c r="BH111" s="352">
        <v>21</v>
      </c>
      <c r="BI111" s="323"/>
      <c r="BJ111" s="171">
        <v>18</v>
      </c>
      <c r="BK111" s="171">
        <v>18</v>
      </c>
      <c r="BL111" s="171">
        <v>18</v>
      </c>
      <c r="BM111" s="323"/>
      <c r="BN111" s="171">
        <v>18</v>
      </c>
      <c r="BO111" s="171">
        <v>18</v>
      </c>
      <c r="BP111" s="171">
        <v>17.5</v>
      </c>
      <c r="BQ111" s="171"/>
      <c r="BR111" s="171"/>
      <c r="BS111" s="171"/>
      <c r="BT111" s="644"/>
      <c r="BU111" s="644"/>
      <c r="BV111" s="644"/>
      <c r="BW111" s="644"/>
      <c r="BX111" s="644"/>
      <c r="BY111" s="644"/>
      <c r="BZ111" s="324"/>
    </row>
    <row r="112" spans="1:78" s="4" customFormat="1" ht="14.4" x14ac:dyDescent="0.3">
      <c r="A112" s="1">
        <f>IF(ISBLANK(TAB_CS[[#This Row],[Reference]]),"",INDEX(TAB_Offres[ID],MATCH(TAB_CS[[#This Row],[Reference]],TAB_Offres[Reference],0)))</f>
        <v>110</v>
      </c>
      <c r="B112" s="154" t="s">
        <v>5803</v>
      </c>
      <c r="C112" s="605" t="s">
        <v>5975</v>
      </c>
      <c r="D112" s="150" t="str">
        <f>IF(ISBLANK(TAB_CS[[#This Row],[Reference]]),"",VLOOKUP(TAB_CS[[#This Row],[ID]],TAB_Offres[],2,FALSE))</f>
        <v>Lot 2</v>
      </c>
      <c r="E112" s="150" t="s">
        <v>5920</v>
      </c>
      <c r="F112" s="154">
        <f>_xlfn.IFNA(IF(ISBLANK(TAB_CS[[#This Row],[Reference]]),"",VLOOKUP(TAB_CS[[#This Row],[Reference]],TAB_Offres[[Reference]:[Modification Request]],COLUMNS(TAB_Offres[[Reference]:[Modification Request]]),FALSE)),)</f>
        <v>0</v>
      </c>
      <c r="G112" s="150" t="str">
        <f>IF(ISBLANK(TAB_CS[[#This Row],[Reference]]),"",INDEX(TAB_Offres[Institution/agency],MATCH(TAB_CS[[#This Row],[Reference]],TAB_Offres[Reference],0)))</f>
        <v>EC</v>
      </c>
      <c r="H112" s="150" t="str">
        <f>IF(ISBLANK(TAB_CS[[#This Row],[Reference]]),"",INDEX(TAB_Offres[DG],MATCH(TAB_CS[[#This Row],[Reference]],TAB_Offres[Reference],0)))</f>
        <v>REGIO</v>
      </c>
      <c r="I112" s="4" t="str">
        <f>IF(ISBLANK(TAB_CS[[#This Row],[Reference]]),"",INDEX(TAB_Offres[Offer description],MATCH(TAB_CS[[#This Row],[Reference]],TAB_Offres[Reference],0)))</f>
        <v>Data Warehouse and Reporting Developer (DWRD)</v>
      </c>
      <c r="J112" s="204">
        <f>_xlfn.IFNA(IF(ISBLANK(TAB_CS[[#This Row],[Ressource]]),,VLOOKUP(TAB_CS[[#This Row],[Reference]],TAB_Offres[[Reference]:[CS signature date]],COLUMNS(TAB_Offres[[Reference]:[CS signature date]]),FALSE)),"")</f>
        <v>0</v>
      </c>
      <c r="K112" s="204">
        <f>_xlfn.IFNA(IF(ISBLANK(TAB_CS[[#This Row],[Ressource]]),,VLOOKUP(TAB_CS[[#This Row],[Reference]],TAB_Offres[[Reference]:[CS start date]],COLUMNS(TAB_Offres[[Reference]:[CS start date]]),FALSE)),"")</f>
        <v>0</v>
      </c>
      <c r="L112" s="204">
        <f>_xlfn.IFNA(IF(ISBLANK(TAB_CS[[#This Row],[Ressource]]),,VLOOKUP(TAB_CS[[#This Row],[Reference]],TAB_Offres[[Reference]:[CS end date]],COLUMNS(TAB_Offres[[Reference]:[CS end date]]),FALSE)),"")</f>
        <v>45838</v>
      </c>
      <c r="M112" s="150">
        <f>_xlfn.IFNA(IF(ISBLANK(TAB_CS[[#This Row],[Ressource]]),,VLOOKUP(TAB_CS[[#This Row],[Reference]],TAB_Offres[[Reference]:[CS State]],COLUMNS(TAB_Offres[[Reference]:[CS State]]),FALSE)),"")</f>
        <v>0</v>
      </c>
      <c r="N112" s="26" t="str">
        <f>VLOOKUP(TAB_CS[[#This Row],[Reference]],TAB_Offres[[Reference]:[Ressource 1]],25,FALSE)</f>
        <v>MASTRANDREA, Barbara Maria</v>
      </c>
      <c r="O112" s="150" t="str">
        <f>_xlfn.IFNA(IF(ISBLANK(TAB_CS[[#This Row],[Ressource]]),,VLOOKUP(TAB_CS[[#This Row],[Reference]],TAB_Offres[[Reference]:[Company]],COLUMNS(TAB_Offres[[Reference]:[Company]]),FALSE)),"")</f>
        <v>TALAN</v>
      </c>
      <c r="P112" s="150" t="str">
        <f>_xlfn.CONCAT(TAB_CS[[#This Row],[Ressource]],TAB_CS[[#This Row],[Profile in €]])</f>
        <v>MASTRANDREA, Barbara Maria493,68</v>
      </c>
      <c r="Q112" s="150" t="str">
        <f>_xlfn.CONCAT(TAB_CS[[#This Row],[Company]],TAB_CS[[#This Row],[Business perimeter]])</f>
        <v>TALANNB</v>
      </c>
      <c r="R112" s="150" t="str">
        <f>_xlfn.IFNA(IF(ISBLANK(TAB_CS[[#This Row],[Ressource]]),"",VLOOKUP(TAB_CS[[#This Row],[Reference]],TAB_Offres[[Reference]:[Profile]],COLUMNS(TAB_Offres[[Reference]:[Profile]]),FALSE)),"")</f>
        <v>Data warehouse and reporting developer#R1-FAR</v>
      </c>
      <c r="S112" s="150">
        <f>_xlfn.IFNA(IF(ISBLANK(TAB_CS[[#This Row],[Ressource]]),"",VLOOKUP(TAB_CS[[#This Row],[Reference]],TAB_Offres[[Reference]:[Level]],COLUMNS(TAB_Offres[[Reference]:[Level]]),FALSE)),"")</f>
        <v>8</v>
      </c>
      <c r="T112" s="156">
        <f>_xlfn.IFNA(IF(OR(ISBLANK(TAB_CS[[#This Row],[Level]]),TAB_CS[[#This Row],[Level]]=""),,VLOOKUP(TAB_CS[[#This Row],[Profile]],TAB_prix[],2+TAB_CS[[#This Row],[Level]],FALSE)),)</f>
        <v>493.68</v>
      </c>
      <c r="U112" s="151">
        <v>220</v>
      </c>
      <c r="V112" s="205">
        <f>IF(OR(ISBLANK(TAB_CS[[#This Row],[Commited days]]),TAB_CS[[#This Row],[Commited days]]=0),,TAB_CS[[#This Row],[Commited days]]*TAB_CS[[#This Row],[Profile in €]])</f>
        <v>108609.60000000001</v>
      </c>
      <c r="W112" s="156">
        <f>SUM(TAB_CS[[#This Row],[F]:[P+1]])-TAB_CS[[#This Row],[P+1]]</f>
        <v>125.5</v>
      </c>
      <c r="X112" s="205">
        <f>IF(OR(ISBLANK(TAB_CS[[#This Row],[Producted days]]),TAB_CS[[#This Row],[Producted days]]=0),,TAB_CS[[#This Row],[Producted days]]*TAB_CS[[#This Row],[Profile in €]])</f>
        <v>61956.840000000004</v>
      </c>
      <c r="Y112" s="206">
        <f>TAB_CS[[#This Row],[Commited days]]-TAB_CS[[#This Row],[Producted days]]</f>
        <v>94.5</v>
      </c>
      <c r="Z112" s="205">
        <f>IF(OR(ISBLANK(TAB_CS[[#This Row],[Remaining days]]),TAB_CS[[#This Row],[Remaining days]]=0),,TAB_CS[[#This Row],[Remaining days]]*TAB_CS[[#This Row],[Profile in €]])</f>
        <v>46652.76</v>
      </c>
      <c r="AA112" s="207">
        <f>SUM(TAB_CS[[#This Row],[P+1]:[FP]])</f>
        <v>94.5</v>
      </c>
      <c r="AB112" s="208">
        <f>IF(OR(ISBLANK(TAB_CS[[#This Row],[Expected days]]),TAB_CS[[#This Row],[Expected days]]=0),,TAB_CS[[#This Row],[Expected days]]*TAB_CS[[#This Row],[Profile in €]])</f>
        <v>46652.76</v>
      </c>
      <c r="AC112" s="322" t="str">
        <f>CONCATENATE(TAB_CS[[#This Row],[DG]],TAB_CS[[#This Row],[Company]])</f>
        <v>REGIOTALAN</v>
      </c>
      <c r="AD112" s="209"/>
      <c r="AE112" s="150"/>
      <c r="AF112" s="151"/>
      <c r="AG112" s="151"/>
      <c r="AH112" s="151"/>
      <c r="AI112" s="150"/>
      <c r="AJ112" s="151"/>
      <c r="AK112" s="156"/>
      <c r="AL112" s="156"/>
      <c r="AM112" s="150"/>
      <c r="AN112" s="150"/>
      <c r="AO112" s="150"/>
      <c r="AP112" s="150"/>
      <c r="AQ112" s="150"/>
      <c r="AR112" s="150"/>
      <c r="AS112" s="150"/>
      <c r="AT112" s="156"/>
      <c r="AU112" s="156"/>
      <c r="AV112" s="171"/>
      <c r="AW112" s="171"/>
      <c r="AX112" s="171"/>
      <c r="AY112" s="171"/>
      <c r="AZ112" s="171"/>
      <c r="BA112" s="171"/>
      <c r="BB112" s="171"/>
      <c r="BC112" s="171"/>
      <c r="BD112" s="352">
        <v>0.5</v>
      </c>
      <c r="BE112" s="352">
        <v>19.5</v>
      </c>
      <c r="BF112" s="352">
        <v>21</v>
      </c>
      <c r="BG112" s="352">
        <v>14.5</v>
      </c>
      <c r="BH112" s="352">
        <v>16</v>
      </c>
      <c r="BI112" s="323"/>
      <c r="BJ112" s="171">
        <v>18</v>
      </c>
      <c r="BK112" s="171">
        <v>18</v>
      </c>
      <c r="BL112" s="171">
        <v>18</v>
      </c>
      <c r="BM112" s="323"/>
      <c r="BN112" s="171">
        <v>18</v>
      </c>
      <c r="BO112" s="171">
        <v>18</v>
      </c>
      <c r="BP112" s="171">
        <v>18</v>
      </c>
      <c r="BQ112" s="171">
        <v>18</v>
      </c>
      <c r="BR112" s="171">
        <v>18</v>
      </c>
      <c r="BS112" s="171">
        <v>4.5</v>
      </c>
      <c r="BT112" s="644"/>
      <c r="BU112" s="644"/>
      <c r="BV112" s="644"/>
      <c r="BW112" s="644"/>
      <c r="BX112" s="644"/>
      <c r="BY112" s="644"/>
      <c r="BZ112" s="324"/>
    </row>
    <row r="113" spans="1:78" s="4" customFormat="1" ht="14.4" x14ac:dyDescent="0.3">
      <c r="A113" s="150">
        <f>IF(ISBLANK(TAB_CS[[#This Row],[Reference]]),"",INDEX(TAB_Offres[ID],MATCH(TAB_CS[[#This Row],[Reference]],TAB_Offres[Reference],0)))</f>
        <v>111</v>
      </c>
      <c r="B113" s="154" t="s">
        <v>5804</v>
      </c>
      <c r="C113" s="605" t="s">
        <v>5816</v>
      </c>
      <c r="D113" s="150" t="str">
        <f>IF(ISBLANK(TAB_CS[[#This Row],[Reference]]),"",VLOOKUP(TAB_CS[[#This Row],[ID]],TAB_Offres[],2,FALSE))</f>
        <v>Lot 2</v>
      </c>
      <c r="E113" s="150" t="s">
        <v>5920</v>
      </c>
      <c r="F113" s="154">
        <f>_xlfn.IFNA(IF(ISBLANK(TAB_CS[[#This Row],[Reference]]),"",VLOOKUP(TAB_CS[[#This Row],[Reference]],TAB_Offres[[Reference]:[Modification Request]],COLUMNS(TAB_Offres[[Reference]:[Modification Request]]),FALSE)),)</f>
        <v>0</v>
      </c>
      <c r="G113" s="150" t="str">
        <f>IF(ISBLANK(TAB_CS[[#This Row],[Reference]]),"",INDEX(TAB_Offres[Institution/agency],MATCH(TAB_CS[[#This Row],[Reference]],TAB_Offres[Reference],0)))</f>
        <v>EC</v>
      </c>
      <c r="H113" s="150" t="str">
        <f>IF(ISBLANK(TAB_CS[[#This Row],[Reference]]),"",INDEX(TAB_Offres[DG],MATCH(TAB_CS[[#This Row],[Reference]],TAB_Offres[Reference],0)))</f>
        <v>DIGIT.A.2</v>
      </c>
      <c r="I113" s="4" t="str">
        <f>IF(ISBLANK(TAB_CS[[#This Row],[Reference]]),"",INDEX(TAB_Offres[Offer description],MATCH(TAB_CS[[#This Row],[Reference]],TAB_Offres[Reference],0)))</f>
        <v>Project Manager</v>
      </c>
      <c r="J113" s="204">
        <f>_xlfn.IFNA(IF(ISBLANK(TAB_CS[[#This Row],[Ressource]]),,VLOOKUP(TAB_CS[[#This Row],[Reference]],TAB_Offres[[Reference]:[CS signature date]],COLUMNS(TAB_Offres[[Reference]:[CS signature date]]),FALSE)),"")</f>
        <v>0</v>
      </c>
      <c r="K113" s="204">
        <f>_xlfn.IFNA(IF(ISBLANK(TAB_CS[[#This Row],[Ressource]]),,VLOOKUP(TAB_CS[[#This Row],[Reference]],TAB_Offres[[Reference]:[CS start date]],COLUMNS(TAB_Offres[[Reference]:[CS start date]]),FALSE)),"")</f>
        <v>0</v>
      </c>
      <c r="L113" s="204">
        <f>_xlfn.IFNA(IF(ISBLANK(TAB_CS[[#This Row],[Ressource]]),,VLOOKUP(TAB_CS[[#This Row],[Reference]],TAB_Offres[[Reference]:[CS end date]],COLUMNS(TAB_Offres[[Reference]:[CS end date]]),FALSE)),"")</f>
        <v>45930</v>
      </c>
      <c r="M113" s="150">
        <f>_xlfn.IFNA(IF(ISBLANK(TAB_CS[[#This Row],[Ressource]]),,VLOOKUP(TAB_CS[[#This Row],[Reference]],TAB_Offres[[Reference]:[CS State]],COLUMNS(TAB_Offres[[Reference]:[CS State]]),FALSE)),"")</f>
        <v>0</v>
      </c>
      <c r="N113" s="154" t="str">
        <f>VLOOKUP(TAB_CS[[#This Row],[Reference]],TAB_Offres[[Reference]:[Ressource 1]],25,FALSE)</f>
        <v>OLLINGER, Yannick</v>
      </c>
      <c r="O113" s="150" t="str">
        <f>_xlfn.IFNA(IF(ISBLANK(TAB_CS[[#This Row],[Ressource]]),,VLOOKUP(TAB_CS[[#This Row],[Reference]],TAB_Offres[[Reference]:[Company]],COLUMNS(TAB_Offres[[Reference]:[Company]]),FALSE)),"")</f>
        <v>CGI LUX</v>
      </c>
      <c r="P113" s="150" t="str">
        <f>_xlfn.CONCAT(TAB_CS[[#This Row],[Ressource]],TAB_CS[[#This Row],[Profile in €]])</f>
        <v>OLLINGER, Yannick793,34</v>
      </c>
      <c r="Q113" s="150" t="str">
        <f>_xlfn.CONCAT(TAB_CS[[#This Row],[Company]],TAB_CS[[#This Row],[Business perimeter]])</f>
        <v>CGI LUXNB</v>
      </c>
      <c r="R113" s="150" t="str">
        <f>_xlfn.IFNA(IF(ISBLANK(TAB_CS[[#This Row],[Ressource]]),"",VLOOKUP(TAB_CS[[#This Row],[Reference]],TAB_Offres[[Reference]:[Profile]],COLUMNS(TAB_Offres[[Reference]:[Profile]]),FALSE)),"")</f>
        <v>Project Manager#R1</v>
      </c>
      <c r="S113" s="150">
        <f>_xlfn.IFNA(IF(ISBLANK(TAB_CS[[#This Row],[Ressource]]),"",VLOOKUP(TAB_CS[[#This Row],[Reference]],TAB_Offres[[Reference]:[Level]],COLUMNS(TAB_Offres[[Reference]:[Level]]),FALSE)),"")</f>
        <v>9</v>
      </c>
      <c r="T113" s="156">
        <f>_xlfn.IFNA(IF(OR(ISBLANK(TAB_CS[[#This Row],[Level]]),TAB_CS[[#This Row],[Level]]=""),,VLOOKUP(TAB_CS[[#This Row],[Profile]],TAB_prix[],2+TAB_CS[[#This Row],[Level]],FALSE)),)</f>
        <v>793.34</v>
      </c>
      <c r="U113" s="151">
        <v>120</v>
      </c>
      <c r="V113" s="205">
        <f>IF(OR(ISBLANK(TAB_CS[[#This Row],[Commited days]]),TAB_CS[[#This Row],[Commited days]]=0),,TAB_CS[[#This Row],[Commited days]]*TAB_CS[[#This Row],[Profile in €]])</f>
        <v>95200.8</v>
      </c>
      <c r="W113" s="156">
        <f>SUM(TAB_CS[[#This Row],[F]:[P+1]])-TAB_CS[[#This Row],[P+1]]</f>
        <v>120</v>
      </c>
      <c r="X113" s="205">
        <f>IF(OR(ISBLANK(TAB_CS[[#This Row],[Producted days]]),TAB_CS[[#This Row],[Producted days]]=0),,TAB_CS[[#This Row],[Producted days]]*TAB_CS[[#This Row],[Profile in €]])</f>
        <v>95200.8</v>
      </c>
      <c r="Y113" s="206">
        <f>TAB_CS[[#This Row],[Commited days]]-TAB_CS[[#This Row],[Producted days]]</f>
        <v>0</v>
      </c>
      <c r="Z113" s="205">
        <f>IF(OR(ISBLANK(TAB_CS[[#This Row],[Remaining days]]),TAB_CS[[#This Row],[Remaining days]]=0),,TAB_CS[[#This Row],[Remaining days]]*TAB_CS[[#This Row],[Profile in €]])</f>
        <v>0</v>
      </c>
      <c r="AA113" s="207">
        <f>SUM(TAB_CS[[#This Row],[P+1]:[FP]])</f>
        <v>0</v>
      </c>
      <c r="AB113" s="208">
        <f>IF(OR(ISBLANK(TAB_CS[[#This Row],[Expected days]]),TAB_CS[[#This Row],[Expected days]]=0),,TAB_CS[[#This Row],[Expected days]]*TAB_CS[[#This Row],[Profile in €]])</f>
        <v>0</v>
      </c>
      <c r="AC113" s="322" t="str">
        <f>CONCATENATE(TAB_CS[[#This Row],[DG]],TAB_CS[[#This Row],[Company]])</f>
        <v>DIGIT.A.2CGI LUX</v>
      </c>
      <c r="AD113" s="209"/>
      <c r="AE113" s="150"/>
      <c r="AF113" s="151"/>
      <c r="AG113" s="151"/>
      <c r="AH113" s="151"/>
      <c r="AI113" s="150"/>
      <c r="AJ113" s="151"/>
      <c r="AK113" s="156"/>
      <c r="AL113" s="156"/>
      <c r="AM113" s="150"/>
      <c r="AN113" s="150"/>
      <c r="AO113" s="150"/>
      <c r="AP113" s="150"/>
      <c r="AQ113" s="150"/>
      <c r="AR113" s="150"/>
      <c r="AS113" s="150"/>
      <c r="AT113" s="156"/>
      <c r="AU113" s="156"/>
      <c r="AV113" s="171"/>
      <c r="AW113" s="171"/>
      <c r="AX113" s="171"/>
      <c r="AY113" s="171"/>
      <c r="AZ113" s="171"/>
      <c r="BA113" s="171"/>
      <c r="BB113" s="171"/>
      <c r="BC113" s="352">
        <v>10.5</v>
      </c>
      <c r="BD113" s="352">
        <v>20</v>
      </c>
      <c r="BE113" s="352">
        <v>20</v>
      </c>
      <c r="BF113" s="352">
        <v>12</v>
      </c>
      <c r="BG113" s="352">
        <v>19</v>
      </c>
      <c r="BH113" s="352">
        <v>21</v>
      </c>
      <c r="BI113" s="323"/>
      <c r="BJ113" s="633">
        <v>17.5</v>
      </c>
      <c r="BK113" s="644"/>
      <c r="BL113" s="644"/>
      <c r="BM113" s="323"/>
      <c r="BN113" s="644"/>
      <c r="BO113" s="644"/>
      <c r="BP113" s="644"/>
      <c r="BQ113" s="644"/>
      <c r="BR113" s="644"/>
      <c r="BS113" s="644"/>
      <c r="BT113" s="644"/>
      <c r="BU113" s="644"/>
      <c r="BV113" s="644"/>
      <c r="BW113" s="644"/>
      <c r="BX113" s="644"/>
      <c r="BY113" s="644"/>
      <c r="BZ113" s="324"/>
    </row>
    <row r="114" spans="1:78" s="4" customFormat="1" ht="14.4" x14ac:dyDescent="0.3">
      <c r="A114" s="1">
        <f>IF(ISBLANK(TAB_CS[[#This Row],[Reference]]),"",INDEX(TAB_Offres[ID],MATCH(TAB_CS[[#This Row],[Reference]],TAB_Offres[Reference],0)))</f>
        <v>112</v>
      </c>
      <c r="B114" s="154" t="s">
        <v>5805</v>
      </c>
      <c r="C114" s="605" t="s">
        <v>5995</v>
      </c>
      <c r="D114" s="150" t="str">
        <f>IF(ISBLANK(TAB_CS[[#This Row],[Reference]]),"",VLOOKUP(TAB_CS[[#This Row],[ID]],TAB_Offres[],2,FALSE))</f>
        <v>Lot 3</v>
      </c>
      <c r="E114" s="150" t="s">
        <v>5920</v>
      </c>
      <c r="F114" s="154">
        <f>_xlfn.IFNA(IF(ISBLANK(TAB_CS[[#This Row],[Reference]]),"",VLOOKUP(TAB_CS[[#This Row],[Reference]],TAB_Offres[[Reference]:[Modification Request]],COLUMNS(TAB_Offres[[Reference]:[Modification Request]]),FALSE)),)</f>
        <v>0</v>
      </c>
      <c r="G114" s="150" t="str">
        <f>IF(ISBLANK(TAB_CS[[#This Row],[Reference]]),"",INDEX(TAB_Offres[Institution/agency],MATCH(TAB_CS[[#This Row],[Reference]],TAB_Offres[Reference],0)))</f>
        <v>EC</v>
      </c>
      <c r="H114" s="150" t="str">
        <f>IF(ISBLANK(TAB_CS[[#This Row],[Reference]]),"",INDEX(TAB_Offres[DG],MATCH(TAB_CS[[#This Row],[Reference]],TAB_Offres[Reference],0)))</f>
        <v>RTD</v>
      </c>
      <c r="I114" s="4" t="str">
        <f>IF(ISBLANK(TAB_CS[[#This Row],[Reference]]),"",INDEX(TAB_Offres[Offer description],MATCH(TAB_CS[[#This Row],[Reference]],TAB_Offres[Reference],0)))</f>
        <v>Business Intelligence Expert (BIE)</v>
      </c>
      <c r="J114" s="204">
        <f>_xlfn.IFNA(IF(ISBLANK(TAB_CS[[#This Row],[Ressource]]),,VLOOKUP(TAB_CS[[#This Row],[Reference]],TAB_Offres[[Reference]:[CS signature date]],COLUMNS(TAB_Offres[[Reference]:[CS signature date]]),FALSE)),"")</f>
        <v>0</v>
      </c>
      <c r="K114" s="204">
        <f>_xlfn.IFNA(IF(ISBLANK(TAB_CS[[#This Row],[Ressource]]),,VLOOKUP(TAB_CS[[#This Row],[Reference]],TAB_Offres[[Reference]:[CS start date]],COLUMNS(TAB_Offres[[Reference]:[CS start date]]),FALSE)),"")</f>
        <v>0</v>
      </c>
      <c r="L114" s="204">
        <f>_xlfn.IFNA(IF(ISBLANK(TAB_CS[[#This Row],[Ressource]]),,VLOOKUP(TAB_CS[[#This Row],[Reference]],TAB_Offres[[Reference]:[CS end date]],COLUMNS(TAB_Offres[[Reference]:[CS end date]]),FALSE)),"")</f>
        <v>45961</v>
      </c>
      <c r="M114" s="150">
        <f>_xlfn.IFNA(IF(ISBLANK(TAB_CS[[#This Row],[Ressource]]),,VLOOKUP(TAB_CS[[#This Row],[Reference]],TAB_Offres[[Reference]:[CS State]],COLUMNS(TAB_Offres[[Reference]:[CS State]]),FALSE)),"")</f>
        <v>0</v>
      </c>
      <c r="N114" s="26" t="str">
        <f>VLOOKUP(TAB_CS[[#This Row],[Reference]],TAB_Offres[[Reference]:[Ressource 1]],25,FALSE)</f>
        <v>CHATTERJEE, Pallavi</v>
      </c>
      <c r="O114" s="150" t="str">
        <f>_xlfn.IFNA(IF(ISBLANK(TAB_CS[[#This Row],[Ressource]]),,VLOOKUP(TAB_CS[[#This Row],[Reference]],TAB_Offres[[Reference]:[Company]],COLUMNS(TAB_Offres[[Reference]:[Company]]),FALSE)),"")</f>
        <v>EDDA</v>
      </c>
      <c r="P114" s="150" t="str">
        <f>_xlfn.CONCAT(TAB_CS[[#This Row],[Ressource]],TAB_CS[[#This Row],[Profile in €]])</f>
        <v>CHATTERJEE, Pallavi590,47</v>
      </c>
      <c r="Q114" s="150" t="str">
        <f>_xlfn.CONCAT(TAB_CS[[#This Row],[Company]],TAB_CS[[#This Row],[Business perimeter]])</f>
        <v>EDDANB</v>
      </c>
      <c r="R114" s="150" t="str">
        <f>_xlfn.IFNA(IF(ISBLANK(TAB_CS[[#This Row],[Ressource]]),"",VLOOKUP(TAB_CS[[#This Row],[Reference]],TAB_Offres[[Reference]:[Profile]],COLUMNS(TAB_Offres[[Reference]:[Profile]]),FALSE)),"")</f>
        <v>Business Intelligence expert#R1</v>
      </c>
      <c r="S114" s="150">
        <f>_xlfn.IFNA(IF(ISBLANK(TAB_CS[[#This Row],[Ressource]]),"",VLOOKUP(TAB_CS[[#This Row],[Reference]],TAB_Offres[[Reference]:[Level]],COLUMNS(TAB_Offres[[Reference]:[Level]]),FALSE)),"")</f>
        <v>5</v>
      </c>
      <c r="T114" s="156">
        <f>_xlfn.IFNA(IF(OR(ISBLANK(TAB_CS[[#This Row],[Level]]),TAB_CS[[#This Row],[Level]]=""),,VLOOKUP(TAB_CS[[#This Row],[Profile]],TAB_prix[],2+TAB_CS[[#This Row],[Level]],FALSE)),)</f>
        <v>590.47</v>
      </c>
      <c r="U114" s="151">
        <v>200</v>
      </c>
      <c r="V114" s="205">
        <f>IF(OR(ISBLANK(TAB_CS[[#This Row],[Commited days]]),TAB_CS[[#This Row],[Commited days]]=0),,TAB_CS[[#This Row],[Commited days]]*TAB_CS[[#This Row],[Profile in €]])</f>
        <v>118094</v>
      </c>
      <c r="W114" s="156">
        <f>SUM(TAB_CS[[#This Row],[F]:[P+1]])-TAB_CS[[#This Row],[P+1]]</f>
        <v>105.5</v>
      </c>
      <c r="X114" s="205">
        <f>IF(OR(ISBLANK(TAB_CS[[#This Row],[Producted days]]),TAB_CS[[#This Row],[Producted days]]=0),,TAB_CS[[#This Row],[Producted days]]*TAB_CS[[#This Row],[Profile in €]])</f>
        <v>62294.585000000006</v>
      </c>
      <c r="Y114" s="206">
        <f>TAB_CS[[#This Row],[Commited days]]-TAB_CS[[#This Row],[Producted days]]</f>
        <v>94.5</v>
      </c>
      <c r="Z114" s="205">
        <f>IF(OR(ISBLANK(TAB_CS[[#This Row],[Remaining days]]),TAB_CS[[#This Row],[Remaining days]]=0),,TAB_CS[[#This Row],[Remaining days]]*TAB_CS[[#This Row],[Profile in €]])</f>
        <v>55799.415000000001</v>
      </c>
      <c r="AA114" s="207">
        <f>SUM(TAB_CS[[#This Row],[P+1]:[FP]])</f>
        <v>94.5</v>
      </c>
      <c r="AB114" s="208">
        <f>IF(OR(ISBLANK(TAB_CS[[#This Row],[Expected days]]),TAB_CS[[#This Row],[Expected days]]=0),,TAB_CS[[#This Row],[Expected days]]*TAB_CS[[#This Row],[Profile in €]])</f>
        <v>55799.415000000001</v>
      </c>
      <c r="AC114" s="322" t="str">
        <f>CONCATENATE(TAB_CS[[#This Row],[DG]],TAB_CS[[#This Row],[Company]])</f>
        <v>RTDEDDA</v>
      </c>
      <c r="AD114" s="209"/>
      <c r="AE114" s="150"/>
      <c r="AF114" s="151"/>
      <c r="AG114" s="151"/>
      <c r="AH114" s="151"/>
      <c r="AI114" s="150"/>
      <c r="AJ114" s="151"/>
      <c r="AK114" s="156"/>
      <c r="AL114" s="156"/>
      <c r="AM114" s="150"/>
      <c r="AN114" s="150"/>
      <c r="AO114" s="150"/>
      <c r="AP114" s="150"/>
      <c r="AQ114" s="150"/>
      <c r="AR114" s="150"/>
      <c r="AS114" s="150"/>
      <c r="AT114" s="156"/>
      <c r="AU114" s="156"/>
      <c r="AV114" s="171"/>
      <c r="AW114" s="171"/>
      <c r="AX114" s="171"/>
      <c r="AY114" s="171"/>
      <c r="AZ114" s="171"/>
      <c r="BA114" s="171"/>
      <c r="BB114" s="171"/>
      <c r="BC114" s="171"/>
      <c r="BD114" s="171"/>
      <c r="BE114" s="352">
        <v>5</v>
      </c>
      <c r="BF114" s="343">
        <v>18</v>
      </c>
      <c r="BG114" s="343">
        <v>18</v>
      </c>
      <c r="BH114" s="171">
        <v>18</v>
      </c>
      <c r="BI114" s="323"/>
      <c r="BJ114" s="291">
        <v>10.5</v>
      </c>
      <c r="BK114" s="171">
        <v>18</v>
      </c>
      <c r="BL114" s="171">
        <v>18</v>
      </c>
      <c r="BM114" s="323"/>
      <c r="BN114" s="171">
        <v>18</v>
      </c>
      <c r="BO114" s="171">
        <v>18</v>
      </c>
      <c r="BP114" s="171">
        <v>18</v>
      </c>
      <c r="BQ114" s="171">
        <v>18</v>
      </c>
      <c r="BR114" s="171">
        <v>18</v>
      </c>
      <c r="BS114" s="171">
        <v>4.5</v>
      </c>
      <c r="BT114" s="171"/>
      <c r="BU114" s="171"/>
      <c r="BV114" s="171"/>
      <c r="BW114" s="171"/>
      <c r="BX114" s="644"/>
      <c r="BY114" s="644"/>
      <c r="BZ114" s="224"/>
    </row>
    <row r="115" spans="1:78" s="4" customFormat="1" ht="14.4" x14ac:dyDescent="0.3">
      <c r="A115" s="1">
        <f>IF(ISBLANK(TAB_CS[[#This Row],[Reference]]),"",INDEX(TAB_Offres[ID],MATCH(TAB_CS[[#This Row],[Reference]],TAB_Offres[Reference],0)))</f>
        <v>113</v>
      </c>
      <c r="B115" s="154" t="s">
        <v>5806</v>
      </c>
      <c r="C115" s="605" t="s">
        <v>6056</v>
      </c>
      <c r="D115" s="150" t="str">
        <f>IF(ISBLANK(TAB_CS[[#This Row],[Reference]]),"",VLOOKUP(TAB_CS[[#This Row],[ID]],TAB_Offres[],2,FALSE))</f>
        <v>Lot 2</v>
      </c>
      <c r="E115" s="150" t="s">
        <v>5920</v>
      </c>
      <c r="F115" s="154">
        <f>_xlfn.IFNA(IF(ISBLANK(TAB_CS[[#This Row],[Reference]]),"",VLOOKUP(TAB_CS[[#This Row],[Reference]],TAB_Offres[[Reference]:[Modification Request]],COLUMNS(TAB_Offres[[Reference]:[Modification Request]]),FALSE)),)</f>
        <v>0</v>
      </c>
      <c r="G115" s="150" t="str">
        <f>IF(ISBLANK(TAB_CS[[#This Row],[Reference]]),"",INDEX(TAB_Offres[Institution/agency],MATCH(TAB_CS[[#This Row],[Reference]],TAB_Offres[Reference],0)))</f>
        <v>EC</v>
      </c>
      <c r="H115" s="150" t="str">
        <f>IF(ISBLANK(TAB_CS[[#This Row],[Reference]]),"",INDEX(TAB_Offres[DG],MATCH(TAB_CS[[#This Row],[Reference]],TAB_Offres[Reference],0)))</f>
        <v>SANTE</v>
      </c>
      <c r="I115" s="4" t="str">
        <f>IF(ISBLANK(TAB_CS[[#This Row],[Reference]]),"",INDEX(TAB_Offres[Offer description],MATCH(TAB_CS[[#This Row],[Reference]],TAB_Offres[Reference],0)))</f>
        <v>Application/Cloud Architect (ACA)</v>
      </c>
      <c r="J115" s="204">
        <f>_xlfn.IFNA(IF(ISBLANK(TAB_CS[[#This Row],[Ressource]]),,VLOOKUP(TAB_CS[[#This Row],[Reference]],TAB_Offres[[Reference]:[CS signature date]],COLUMNS(TAB_Offres[[Reference]:[CS signature date]]),FALSE)),"")</f>
        <v>0</v>
      </c>
      <c r="K115" s="204">
        <f>_xlfn.IFNA(IF(ISBLANK(TAB_CS[[#This Row],[Ressource]]),,VLOOKUP(TAB_CS[[#This Row],[Reference]],TAB_Offres[[Reference]:[CS start date]],COLUMNS(TAB_Offres[[Reference]:[CS start date]]),FALSE)),"")</f>
        <v>0</v>
      </c>
      <c r="L115" s="204">
        <f>_xlfn.IFNA(IF(ISBLANK(TAB_CS[[#This Row],[Ressource]]),,VLOOKUP(TAB_CS[[#This Row],[Reference]],TAB_Offres[[Reference]:[CS end date]],COLUMNS(TAB_Offres[[Reference]:[CS end date]]),FALSE)),"")</f>
        <v>45412</v>
      </c>
      <c r="M115" s="150">
        <f>_xlfn.IFNA(IF(ISBLANK(TAB_CS[[#This Row],[Ressource]]),,VLOOKUP(TAB_CS[[#This Row],[Reference]],TAB_Offres[[Reference]:[CS State]],COLUMNS(TAB_Offres[[Reference]:[CS State]]),FALSE)),"")</f>
        <v>0</v>
      </c>
      <c r="N115" s="26" t="str">
        <f>VLOOKUP(TAB_CS[[#This Row],[Reference]],TAB_Offres[[Reference]:[Ressource 1]],25,FALSE)</f>
        <v>KATHAL, Tanisha</v>
      </c>
      <c r="O115" s="150" t="str">
        <f>_xlfn.IFNA(IF(ISBLANK(TAB_CS[[#This Row],[Ressource]]),,VLOOKUP(TAB_CS[[#This Row],[Reference]],TAB_Offres[[Reference]:[Company]],COLUMNS(TAB_Offres[[Reference]:[Company]]),FALSE)),"")</f>
        <v>EDDA</v>
      </c>
      <c r="P115" s="150" t="str">
        <f>_xlfn.CONCAT(TAB_CS[[#This Row],[Ressource]],TAB_CS[[#This Row],[Profile in €]])</f>
        <v>KATHAL, Tanisha533,56</v>
      </c>
      <c r="Q115" s="150" t="str">
        <f>_xlfn.CONCAT(TAB_CS[[#This Row],[Company]],TAB_CS[[#This Row],[Business perimeter]])</f>
        <v>EDDANB</v>
      </c>
      <c r="R115" s="150" t="str">
        <f>_xlfn.IFNA(IF(ISBLANK(TAB_CS[[#This Row],[Ressource]]),"",VLOOKUP(TAB_CS[[#This Row],[Reference]],TAB_Offres[[Reference]:[Profile]],COLUMNS(TAB_Offres[[Reference]:[Profile]]),FALSE)),"")</f>
        <v>Application/Cloud architect#R1</v>
      </c>
      <c r="S115" s="150">
        <f>_xlfn.IFNA(IF(ISBLANK(TAB_CS[[#This Row],[Ressource]]),"",VLOOKUP(TAB_CS[[#This Row],[Reference]],TAB_Offres[[Reference]:[Level]],COLUMNS(TAB_Offres[[Reference]:[Level]]),FALSE)),"")</f>
        <v>7</v>
      </c>
      <c r="T115" s="156">
        <f>_xlfn.IFNA(IF(OR(ISBLANK(TAB_CS[[#This Row],[Level]]),TAB_CS[[#This Row],[Level]]=""),,VLOOKUP(TAB_CS[[#This Row],[Profile]],TAB_prix[],2+TAB_CS[[#This Row],[Level]],FALSE)),)</f>
        <v>533.55999999999995</v>
      </c>
      <c r="U115" s="151">
        <v>50</v>
      </c>
      <c r="V115" s="205">
        <f>IF(OR(ISBLANK(TAB_CS[[#This Row],[Commited days]]),TAB_CS[[#This Row],[Commited days]]=0),,TAB_CS[[#This Row],[Commited days]]*TAB_CS[[#This Row],[Profile in €]])</f>
        <v>26677.999999999996</v>
      </c>
      <c r="W115" s="156">
        <f>SUM(TAB_CS[[#This Row],[F]:[P+1]])-TAB_CS[[#This Row],[P+1]]</f>
        <v>0</v>
      </c>
      <c r="X115" s="205">
        <f>IF(OR(ISBLANK(TAB_CS[[#This Row],[Producted days]]),TAB_CS[[#This Row],[Producted days]]=0),,TAB_CS[[#This Row],[Producted days]]*TAB_CS[[#This Row],[Profile in €]])</f>
        <v>0</v>
      </c>
      <c r="Y115" s="206">
        <f>TAB_CS[[#This Row],[Commited days]]-TAB_CS[[#This Row],[Producted days]]</f>
        <v>50</v>
      </c>
      <c r="Z115" s="205">
        <f>IF(OR(ISBLANK(TAB_CS[[#This Row],[Remaining days]]),TAB_CS[[#This Row],[Remaining days]]=0),,TAB_CS[[#This Row],[Remaining days]]*TAB_CS[[#This Row],[Profile in €]])</f>
        <v>26677.999999999996</v>
      </c>
      <c r="AA115" s="207">
        <f>SUM(TAB_CS[[#This Row],[P+1]:[FP]])</f>
        <v>0</v>
      </c>
      <c r="AB115" s="208">
        <f>IF(OR(ISBLANK(TAB_CS[[#This Row],[Expected days]]),TAB_CS[[#This Row],[Expected days]]=0),,TAB_CS[[#This Row],[Expected days]]*TAB_CS[[#This Row],[Profile in €]])</f>
        <v>0</v>
      </c>
      <c r="AC115" s="322" t="str">
        <f>CONCATENATE(TAB_CS[[#This Row],[DG]],TAB_CS[[#This Row],[Company]])</f>
        <v>SANTEEDDA</v>
      </c>
      <c r="AD115" s="209"/>
      <c r="AE115" s="150"/>
      <c r="AF115" s="151"/>
      <c r="AG115" s="151"/>
      <c r="AH115" s="151"/>
      <c r="AI115" s="150"/>
      <c r="AJ115" s="151"/>
      <c r="AK115" s="156"/>
      <c r="AL115" s="156"/>
      <c r="AM115" s="150"/>
      <c r="AN115" s="150"/>
      <c r="AO115" s="150"/>
      <c r="AP115" s="150"/>
      <c r="AQ115" s="150"/>
      <c r="AR115" s="150"/>
      <c r="AS115" s="150"/>
      <c r="AT115" s="156"/>
      <c r="AU115" s="156"/>
      <c r="AV115" s="171"/>
      <c r="AW115" s="171"/>
      <c r="AX115" s="171"/>
      <c r="AY115" s="171"/>
      <c r="AZ115" s="171"/>
      <c r="BA115" s="171"/>
      <c r="BB115" s="171"/>
      <c r="BC115" s="171"/>
      <c r="BD115" s="644"/>
      <c r="BE115" s="644"/>
      <c r="BF115" s="644"/>
      <c r="BG115" s="644"/>
      <c r="BH115" s="644"/>
      <c r="BI115" s="323"/>
      <c r="BJ115" s="644"/>
      <c r="BK115" s="644"/>
      <c r="BL115" s="644"/>
      <c r="BM115" s="323"/>
      <c r="BN115" s="644"/>
      <c r="BO115" s="644"/>
      <c r="BP115" s="644"/>
      <c r="BQ115" s="644"/>
      <c r="BR115" s="644"/>
      <c r="BS115" s="644"/>
      <c r="BT115" s="644"/>
      <c r="BU115" s="644"/>
      <c r="BV115" s="644"/>
      <c r="BW115" s="644"/>
      <c r="BX115" s="644"/>
      <c r="BY115" s="644"/>
      <c r="BZ115" s="224"/>
    </row>
    <row r="116" spans="1:78" s="4" customFormat="1" ht="14.4" x14ac:dyDescent="0.3">
      <c r="A116" s="150">
        <f>IF(ISBLANK(TAB_CS[[#This Row],[Reference]]),"",INDEX(TAB_Offres[ID],MATCH(TAB_CS[[#This Row],[Reference]],TAB_Offres[Reference],0)))</f>
        <v>114</v>
      </c>
      <c r="B116" s="154" t="s">
        <v>5807</v>
      </c>
      <c r="C116" s="605" t="s">
        <v>5835</v>
      </c>
      <c r="D116" s="150" t="str">
        <f>IF(ISBLANK(TAB_CS[[#This Row],[Reference]]),"",VLOOKUP(TAB_CS[[#This Row],[ID]],TAB_Offres[],2,FALSE))</f>
        <v>Lot 1</v>
      </c>
      <c r="E116" s="150" t="s">
        <v>5920</v>
      </c>
      <c r="F116" s="154">
        <f>_xlfn.IFNA(IF(ISBLANK(TAB_CS[[#This Row],[Reference]]),"",VLOOKUP(TAB_CS[[#This Row],[Reference]],TAB_Offres[[Reference]:[Modification Request]],COLUMNS(TAB_Offres[[Reference]:[Modification Request]]),FALSE)),)</f>
        <v>0</v>
      </c>
      <c r="G116" s="150" t="str">
        <f>IF(ISBLANK(TAB_CS[[#This Row],[Reference]]),"",INDEX(TAB_Offres[Institution/agency],MATCH(TAB_CS[[#This Row],[Reference]],TAB_Offres[Reference],0)))</f>
        <v>REA</v>
      </c>
      <c r="H116" s="150" t="str">
        <f>IF(ISBLANK(TAB_CS[[#This Row],[Reference]]),"",INDEX(TAB_Offres[DG],MATCH(TAB_CS[[#This Row],[Reference]],TAB_Offres[Reference],0)))</f>
        <v>REA</v>
      </c>
      <c r="I116" s="4" t="str">
        <f>IF(ISBLANK(TAB_CS[[#This Row],[Reference]]),"",INDEX(TAB_Offres[Offer description],MATCH(TAB_CS[[#This Row],[Reference]],TAB_Offres[Reference],0)))</f>
        <v>Back-End Developer (BED)</v>
      </c>
      <c r="J116" s="204">
        <f>_xlfn.IFNA(IF(ISBLANK(TAB_CS[[#This Row],[Ressource]]),,VLOOKUP(TAB_CS[[#This Row],[Reference]],TAB_Offres[[Reference]:[CS signature date]],COLUMNS(TAB_Offres[[Reference]:[CS signature date]]),FALSE)),"")</f>
        <v>45390</v>
      </c>
      <c r="K116" s="204">
        <f>_xlfn.IFNA(IF(ISBLANK(TAB_CS[[#This Row],[Ressource]]),,VLOOKUP(TAB_CS[[#This Row],[Reference]],TAB_Offres[[Reference]:[CS start date]],COLUMNS(TAB_Offres[[Reference]:[CS start date]]),FALSE)),"")</f>
        <v>45392</v>
      </c>
      <c r="L116" s="204">
        <f>_xlfn.IFNA(IF(ISBLANK(TAB_CS[[#This Row],[Ressource]]),,VLOOKUP(TAB_CS[[#This Row],[Reference]],TAB_Offres[[Reference]:[CS end date]],COLUMNS(TAB_Offres[[Reference]:[CS end date]]),FALSE)),"")</f>
        <v>45626</v>
      </c>
      <c r="M116" s="150">
        <f>_xlfn.IFNA(IF(ISBLANK(TAB_CS[[#This Row],[Ressource]]),,VLOOKUP(TAB_CS[[#This Row],[Reference]],TAB_Offres[[Reference]:[CS State]],COLUMNS(TAB_Offres[[Reference]:[CS State]]),FALSE)),"")</f>
        <v>0</v>
      </c>
      <c r="N116" s="154" t="str">
        <f>VLOOKUP(TAB_CS[[#This Row],[Reference]],TAB_Offres[[Reference]:[Ressource 1]],25,FALSE)</f>
        <v>SAYTEE, Meatau Larry</v>
      </c>
      <c r="O116" s="150" t="str">
        <f>_xlfn.IFNA(IF(ISBLANK(TAB_CS[[#This Row],[Ressource]]),,VLOOKUP(TAB_CS[[#This Row],[Reference]],TAB_Offres[[Reference]:[Company]],COLUMNS(TAB_Offres[[Reference]:[Company]]),FALSE)),"")</f>
        <v>EDDA</v>
      </c>
      <c r="P116" s="150" t="str">
        <f>_xlfn.CONCAT(TAB_CS[[#This Row],[Ressource]],TAB_CS[[#This Row],[Profile in €]])</f>
        <v>SAYTEE, Meatau Larry605,82</v>
      </c>
      <c r="Q116" s="150" t="str">
        <f>_xlfn.CONCAT(TAB_CS[[#This Row],[Company]],TAB_CS[[#This Row],[Business perimeter]])</f>
        <v>EDDANB</v>
      </c>
      <c r="R116" s="150" t="str">
        <f>_xlfn.IFNA(IF(ISBLANK(TAB_CS[[#This Row],[Ressource]]),"",VLOOKUP(TAB_CS[[#This Row],[Reference]],TAB_Offres[[Reference]:[Profile]],COLUMNS(TAB_Offres[[Reference]:[Profile]]),FALSE)),"")</f>
        <v>Back-end developer#R1</v>
      </c>
      <c r="S116" s="150">
        <f>_xlfn.IFNA(IF(ISBLANK(TAB_CS[[#This Row],[Ressource]]),"",VLOOKUP(TAB_CS[[#This Row],[Reference]],TAB_Offres[[Reference]:[Level]],COLUMNS(TAB_Offres[[Reference]:[Level]]),FALSE)),"")</f>
        <v>8</v>
      </c>
      <c r="T116" s="156">
        <f>_xlfn.IFNA(IF(OR(ISBLANK(TAB_CS[[#This Row],[Level]]),TAB_CS[[#This Row],[Level]]=""),,VLOOKUP(TAB_CS[[#This Row],[Profile]],TAB_prix[],2+TAB_CS[[#This Row],[Level]],FALSE)),)</f>
        <v>605.82000000000005</v>
      </c>
      <c r="U116" s="151">
        <v>110</v>
      </c>
      <c r="V116" s="205">
        <f>IF(OR(ISBLANK(TAB_CS[[#This Row],[Commited days]]),TAB_CS[[#This Row],[Commited days]]=0),,TAB_CS[[#This Row],[Commited days]]*TAB_CS[[#This Row],[Profile in €]])</f>
        <v>66640.200000000012</v>
      </c>
      <c r="W116" s="156">
        <f>SUM(TAB_CS[[#This Row],[F]:[P+1]])-TAB_CS[[#This Row],[P+1]]</f>
        <v>110</v>
      </c>
      <c r="X116" s="205">
        <f>IF(OR(ISBLANK(TAB_CS[[#This Row],[Producted days]]),TAB_CS[[#This Row],[Producted days]]=0),,TAB_CS[[#This Row],[Producted days]]*TAB_CS[[#This Row],[Profile in €]])</f>
        <v>66640.200000000012</v>
      </c>
      <c r="Y116" s="206">
        <f>TAB_CS[[#This Row],[Commited days]]-TAB_CS[[#This Row],[Producted days]]</f>
        <v>0</v>
      </c>
      <c r="Z116" s="205">
        <f>IF(OR(ISBLANK(TAB_CS[[#This Row],[Remaining days]]),TAB_CS[[#This Row],[Remaining days]]=0),,TAB_CS[[#This Row],[Remaining days]]*TAB_CS[[#This Row],[Profile in €]])</f>
        <v>0</v>
      </c>
      <c r="AA116" s="207">
        <f>SUM(TAB_CS[[#This Row],[P+1]:[FP]])</f>
        <v>0</v>
      </c>
      <c r="AB116" s="208">
        <f>IF(OR(ISBLANK(TAB_CS[[#This Row],[Expected days]]),TAB_CS[[#This Row],[Expected days]]=0),,TAB_CS[[#This Row],[Expected days]]*TAB_CS[[#This Row],[Profile in €]])</f>
        <v>0</v>
      </c>
      <c r="AC116" s="322" t="str">
        <f>CONCATENATE(TAB_CS[[#This Row],[DG]],TAB_CS[[#This Row],[Company]])</f>
        <v>REAEDDA</v>
      </c>
      <c r="AD116" s="209"/>
      <c r="AE116" s="150"/>
      <c r="AF116" s="151"/>
      <c r="AG116" s="151"/>
      <c r="AH116" s="151"/>
      <c r="AI116" s="150"/>
      <c r="AJ116" s="151"/>
      <c r="AK116" s="156"/>
      <c r="AL116" s="156"/>
      <c r="AM116" s="150"/>
      <c r="AN116" s="150"/>
      <c r="AO116" s="150"/>
      <c r="AP116" s="150"/>
      <c r="AQ116" s="150"/>
      <c r="AR116" s="150"/>
      <c r="AS116" s="150"/>
      <c r="AT116" s="156"/>
      <c r="AU116" s="156"/>
      <c r="AV116" s="171"/>
      <c r="AW116" s="171"/>
      <c r="AX116" s="171"/>
      <c r="AY116" s="171"/>
      <c r="AZ116" s="171"/>
      <c r="BA116" s="171"/>
      <c r="BB116" s="171"/>
      <c r="BC116" s="352">
        <v>9</v>
      </c>
      <c r="BD116" s="352">
        <v>19</v>
      </c>
      <c r="BE116" s="352">
        <v>20</v>
      </c>
      <c r="BF116" s="352">
        <v>22.5</v>
      </c>
      <c r="BG116" s="352">
        <v>21</v>
      </c>
      <c r="BH116" s="352">
        <v>17.5</v>
      </c>
      <c r="BI116" s="323"/>
      <c r="BJ116" s="633">
        <v>1</v>
      </c>
      <c r="BK116" s="644"/>
      <c r="BL116" s="644"/>
      <c r="BM116" s="323"/>
      <c r="BN116" s="644"/>
      <c r="BO116" s="644"/>
      <c r="BP116" s="644"/>
      <c r="BQ116" s="644"/>
      <c r="BR116" s="644"/>
      <c r="BS116" s="644"/>
      <c r="BT116" s="644"/>
      <c r="BU116" s="644"/>
      <c r="BV116" s="644"/>
      <c r="BW116" s="644"/>
      <c r="BX116" s="644"/>
      <c r="BY116" s="644"/>
      <c r="BZ116" s="324"/>
    </row>
    <row r="117" spans="1:78" s="4" customFormat="1" ht="14.4" x14ac:dyDescent="0.3">
      <c r="A117" s="150">
        <f>IF(ISBLANK(TAB_CS[[#This Row],[Reference]]),"",INDEX(TAB_Offres[ID],MATCH(TAB_CS[[#This Row],[Reference]],TAB_Offres[Reference],0)))</f>
        <v>115</v>
      </c>
      <c r="B117" s="154" t="s">
        <v>5808</v>
      </c>
      <c r="C117" s="605" t="s">
        <v>5817</v>
      </c>
      <c r="D117" s="150" t="str">
        <f>IF(ISBLANK(TAB_CS[[#This Row],[Reference]]),"",VLOOKUP(TAB_CS[[#This Row],[ID]],TAB_Offres[],2,FALSE))</f>
        <v>Lot 1</v>
      </c>
      <c r="E117" s="150" t="s">
        <v>5920</v>
      </c>
      <c r="F117" s="154">
        <f>_xlfn.IFNA(IF(ISBLANK(TAB_CS[[#This Row],[Reference]]),"",VLOOKUP(TAB_CS[[#This Row],[Reference]],TAB_Offres[[Reference]:[Modification Request]],COLUMNS(TAB_Offres[[Reference]:[Modification Request]]),FALSE)),)</f>
        <v>0</v>
      </c>
      <c r="G117" s="150" t="str">
        <f>IF(ISBLANK(TAB_CS[[#This Row],[Reference]]),"",INDEX(TAB_Offres[Institution/agency],MATCH(TAB_CS[[#This Row],[Reference]],TAB_Offres[Reference],0)))</f>
        <v>EC</v>
      </c>
      <c r="H117" s="150" t="str">
        <f>IF(ISBLANK(TAB_CS[[#This Row],[Reference]]),"",INDEX(TAB_Offres[DG],MATCH(TAB_CS[[#This Row],[Reference]],TAB_Offres[Reference],0)))</f>
        <v>DIGIT.A.3</v>
      </c>
      <c r="I117" s="4" t="str">
        <f>IF(ISBLANK(TAB_CS[[#This Row],[Reference]]),"",INDEX(TAB_Offres[Offer description],MATCH(TAB_CS[[#This Row],[Reference]],TAB_Offres[Reference],0)))</f>
        <v>Full-Stack Developer (FSD)</v>
      </c>
      <c r="J117" s="204">
        <f>_xlfn.IFNA(IF(ISBLANK(TAB_CS[[#This Row],[Ressource]]),,VLOOKUP(TAB_CS[[#This Row],[Reference]],TAB_Offres[[Reference]:[CS signature date]],COLUMNS(TAB_Offres[[Reference]:[CS signature date]]),FALSE)),"")</f>
        <v>0</v>
      </c>
      <c r="K117" s="204">
        <f>_xlfn.IFNA(IF(ISBLANK(TAB_CS[[#This Row],[Ressource]]),,VLOOKUP(TAB_CS[[#This Row],[Reference]],TAB_Offres[[Reference]:[CS start date]],COLUMNS(TAB_Offres[[Reference]:[CS start date]]),FALSE)),"")</f>
        <v>0</v>
      </c>
      <c r="L117" s="204">
        <f>_xlfn.IFNA(IF(ISBLANK(TAB_CS[[#This Row],[Ressource]]),,VLOOKUP(TAB_CS[[#This Row],[Reference]],TAB_Offres[[Reference]:[CS end date]],COLUMNS(TAB_Offres[[Reference]:[CS end date]]),FALSE)),"")</f>
        <v>45930</v>
      </c>
      <c r="M117" s="150">
        <f>_xlfn.IFNA(IF(ISBLANK(TAB_CS[[#This Row],[Ressource]]),,VLOOKUP(TAB_CS[[#This Row],[Reference]],TAB_Offres[[Reference]:[CS State]],COLUMNS(TAB_Offres[[Reference]:[CS State]]),FALSE)),"")</f>
        <v>0</v>
      </c>
      <c r="N117" s="154" t="str">
        <f>VLOOKUP(TAB_CS[[#This Row],[Reference]],TAB_Offres[[Reference]:[Ressource 1]],25,FALSE)</f>
        <v>MEDAN, Andrei</v>
      </c>
      <c r="O117" s="150" t="str">
        <f>_xlfn.IFNA(IF(ISBLANK(TAB_CS[[#This Row],[Ressource]]),,VLOOKUP(TAB_CS[[#This Row],[Reference]],TAB_Offres[[Reference]:[Company]],COLUMNS(TAB_Offres[[Reference]:[Company]]),FALSE)),"")</f>
        <v>EDDA</v>
      </c>
      <c r="P117" s="150" t="str">
        <f>_xlfn.CONCAT(TAB_CS[[#This Row],[Ressource]],TAB_CS[[#This Row],[Profile in €]])</f>
        <v>MEDAN, Andrei522,43</v>
      </c>
      <c r="Q117" s="150" t="str">
        <f>_xlfn.CONCAT(TAB_CS[[#This Row],[Company]],TAB_CS[[#This Row],[Business perimeter]])</f>
        <v>EDDANB</v>
      </c>
      <c r="R117" s="150" t="str">
        <f>_xlfn.IFNA(IF(ISBLANK(TAB_CS[[#This Row],[Ressource]]),"",VLOOKUP(TAB_CS[[#This Row],[Reference]],TAB_Offres[[Reference]:[Profile]],COLUMNS(TAB_Offres[[Reference]:[Profile]]),FALSE)),"")</f>
        <v>Full-stack developer#R1-FAR</v>
      </c>
      <c r="S117" s="150">
        <f>_xlfn.IFNA(IF(ISBLANK(TAB_CS[[#This Row],[Ressource]]),"",VLOOKUP(TAB_CS[[#This Row],[Reference]],TAB_Offres[[Reference]:[Level]],COLUMNS(TAB_Offres[[Reference]:[Level]]),FALSE)),"")</f>
        <v>9</v>
      </c>
      <c r="T117" s="156">
        <f>_xlfn.IFNA(IF(OR(ISBLANK(TAB_CS[[#This Row],[Level]]),TAB_CS[[#This Row],[Level]]=""),,VLOOKUP(TAB_CS[[#This Row],[Profile]],TAB_prix[],2+TAB_CS[[#This Row],[Level]],FALSE)),)</f>
        <v>522.42999999999995</v>
      </c>
      <c r="U117" s="151">
        <v>140</v>
      </c>
      <c r="V117" s="205">
        <f>IF(OR(ISBLANK(TAB_CS[[#This Row],[Commited days]]),TAB_CS[[#This Row],[Commited days]]=0),,TAB_CS[[#This Row],[Commited days]]*TAB_CS[[#This Row],[Profile in €]])</f>
        <v>73140.2</v>
      </c>
      <c r="W117" s="156">
        <f>SUM(TAB_CS[[#This Row],[F]:[P+1]])-TAB_CS[[#This Row],[P+1]]</f>
        <v>140</v>
      </c>
      <c r="X117" s="205">
        <f>IF(OR(ISBLANK(TAB_CS[[#This Row],[Producted days]]),TAB_CS[[#This Row],[Producted days]]=0),,TAB_CS[[#This Row],[Producted days]]*TAB_CS[[#This Row],[Profile in €]])</f>
        <v>73140.2</v>
      </c>
      <c r="Y117" s="206">
        <f>TAB_CS[[#This Row],[Commited days]]-TAB_CS[[#This Row],[Producted days]]</f>
        <v>0</v>
      </c>
      <c r="Z117" s="205">
        <f>IF(OR(ISBLANK(TAB_CS[[#This Row],[Remaining days]]),TAB_CS[[#This Row],[Remaining days]]=0),,TAB_CS[[#This Row],[Remaining days]]*TAB_CS[[#This Row],[Profile in €]])</f>
        <v>0</v>
      </c>
      <c r="AA117" s="207">
        <f>SUM(TAB_CS[[#This Row],[P+1]:[FP]])</f>
        <v>0</v>
      </c>
      <c r="AB117" s="208">
        <f>IF(OR(ISBLANK(TAB_CS[[#This Row],[Expected days]]),TAB_CS[[#This Row],[Expected days]]=0),,TAB_CS[[#This Row],[Expected days]]*TAB_CS[[#This Row],[Profile in €]])</f>
        <v>0</v>
      </c>
      <c r="AC117" s="322" t="str">
        <f>CONCATENATE(TAB_CS[[#This Row],[DG]],TAB_CS[[#This Row],[Company]])</f>
        <v>DIGIT.A.3EDDA</v>
      </c>
      <c r="AD117" s="209"/>
      <c r="AE117" s="150"/>
      <c r="AF117" s="151"/>
      <c r="AG117" s="151"/>
      <c r="AH117" s="151"/>
      <c r="AI117" s="150"/>
      <c r="AJ117" s="151"/>
      <c r="AK117" s="156"/>
      <c r="AL117" s="156"/>
      <c r="AM117" s="150"/>
      <c r="AN117" s="150"/>
      <c r="AO117" s="150"/>
      <c r="AP117" s="150"/>
      <c r="AQ117" s="150"/>
      <c r="AR117" s="150"/>
      <c r="AS117" s="150"/>
      <c r="AT117" s="156"/>
      <c r="AU117" s="156"/>
      <c r="AV117" s="171"/>
      <c r="AW117" s="171"/>
      <c r="AX117" s="171"/>
      <c r="AY117" s="171"/>
      <c r="AZ117" s="171"/>
      <c r="BA117" s="171"/>
      <c r="BB117" s="171"/>
      <c r="BC117" s="352">
        <v>20</v>
      </c>
      <c r="BD117" s="352">
        <v>20</v>
      </c>
      <c r="BE117" s="352">
        <v>19.5</v>
      </c>
      <c r="BF117" s="352">
        <v>21.5</v>
      </c>
      <c r="BG117" s="352">
        <v>21</v>
      </c>
      <c r="BH117" s="352">
        <v>13</v>
      </c>
      <c r="BI117" s="323"/>
      <c r="BJ117" s="291">
        <v>23</v>
      </c>
      <c r="BK117" s="171">
        <v>2</v>
      </c>
      <c r="BL117" s="171"/>
      <c r="BM117" s="323"/>
      <c r="BN117" s="171"/>
      <c r="BO117" s="171"/>
      <c r="BP117" s="171"/>
      <c r="BQ117" s="171"/>
      <c r="BR117" s="171"/>
      <c r="BS117" s="171"/>
      <c r="BT117" s="171"/>
      <c r="BU117" s="171"/>
      <c r="BV117" s="171"/>
      <c r="BW117" s="644"/>
      <c r="BX117" s="644"/>
      <c r="BY117" s="644"/>
      <c r="BZ117" s="324"/>
    </row>
    <row r="118" spans="1:78" s="4" customFormat="1" ht="14.4" x14ac:dyDescent="0.3">
      <c r="A118" s="150">
        <f>IF(ISBLANK(TAB_CS[[#This Row],[Reference]]),"",INDEX(TAB_Offres[ID],MATCH(TAB_CS[[#This Row],[Reference]],TAB_Offres[Reference],0)))</f>
        <v>116</v>
      </c>
      <c r="B118" s="154" t="s">
        <v>5813</v>
      </c>
      <c r="C118" s="605" t="s">
        <v>5818</v>
      </c>
      <c r="D118" s="150" t="str">
        <f>IF(ISBLANK(TAB_CS[[#This Row],[Reference]]),"",VLOOKUP(TAB_CS[[#This Row],[ID]],TAB_Offres[],2,FALSE))</f>
        <v>Lot 3</v>
      </c>
      <c r="E118" s="150" t="s">
        <v>5920</v>
      </c>
      <c r="F118" s="154">
        <f>_xlfn.IFNA(IF(ISBLANK(TAB_CS[[#This Row],[Reference]]),"",VLOOKUP(TAB_CS[[#This Row],[Reference]],TAB_Offres[[Reference]:[Modification Request]],COLUMNS(TAB_Offres[[Reference]:[Modification Request]]),FALSE)),)</f>
        <v>0</v>
      </c>
      <c r="G118" s="150" t="str">
        <f>IF(ISBLANK(TAB_CS[[#This Row],[Reference]]),"",INDEX(TAB_Offres[Institution/agency],MATCH(TAB_CS[[#This Row],[Reference]],TAB_Offres[Reference],0)))</f>
        <v>EC</v>
      </c>
      <c r="H118" s="150" t="str">
        <f>IF(ISBLANK(TAB_CS[[#This Row],[Reference]]),"",INDEX(TAB_Offres[DG],MATCH(TAB_CS[[#This Row],[Reference]],TAB_Offres[Reference],0)))</f>
        <v>DIGIT.B.3</v>
      </c>
      <c r="I118" s="4" t="str">
        <f>IF(ISBLANK(TAB_CS[[#This Row],[Reference]]),"",INDEX(TAB_Offres[Offer description],MATCH(TAB_CS[[#This Row],[Reference]],TAB_Offres[Reference],0)))</f>
        <v>Onboarding Manager (OM)</v>
      </c>
      <c r="J118" s="204">
        <f>_xlfn.IFNA(IF(ISBLANK(TAB_CS[[#This Row],[Ressource]]),,VLOOKUP(TAB_CS[[#This Row],[Reference]],TAB_Offres[[Reference]:[CS signature date]],COLUMNS(TAB_Offres[[Reference]:[CS signature date]]),FALSE)),"")</f>
        <v>0</v>
      </c>
      <c r="K118" s="204">
        <f>_xlfn.IFNA(IF(ISBLANK(TAB_CS[[#This Row],[Ressource]]),,VLOOKUP(TAB_CS[[#This Row],[Reference]],TAB_Offres[[Reference]:[CS start date]],COLUMNS(TAB_Offres[[Reference]:[CS start date]]),FALSE)),"")</f>
        <v>45399</v>
      </c>
      <c r="L118" s="204">
        <f>_xlfn.IFNA(IF(ISBLANK(TAB_CS[[#This Row],[Ressource]]),,VLOOKUP(TAB_CS[[#This Row],[Reference]],TAB_Offres[[Reference]:[CS end date]],COLUMNS(TAB_Offres[[Reference]:[CS end date]]),FALSE)),"")</f>
        <v>45930</v>
      </c>
      <c r="M118" s="150">
        <f>_xlfn.IFNA(IF(ISBLANK(TAB_CS[[#This Row],[Ressource]]),,VLOOKUP(TAB_CS[[#This Row],[Reference]],TAB_Offres[[Reference]:[CS State]],COLUMNS(TAB_Offres[[Reference]:[CS State]]),FALSE)),"")</f>
        <v>0</v>
      </c>
      <c r="N118" s="154" t="str">
        <f>VLOOKUP(TAB_CS[[#This Row],[Reference]],TAB_Offres[[Reference]:[Ressource 1]],25,FALSE)</f>
        <v>IERVOLINO, Andrea</v>
      </c>
      <c r="O118" s="150" t="str">
        <f>_xlfn.IFNA(IF(ISBLANK(TAB_CS[[#This Row],[Ressource]]),,VLOOKUP(TAB_CS[[#This Row],[Reference]],TAB_Offres[[Reference]:[Company]],COLUMNS(TAB_Offres[[Reference]:[Company]]),FALSE)),"")</f>
        <v>TALAN</v>
      </c>
      <c r="P118" s="150" t="str">
        <f>_xlfn.CONCAT(TAB_CS[[#This Row],[Ressource]],TAB_CS[[#This Row],[Profile in €]])</f>
        <v>IERVOLINO, Andrea743,64</v>
      </c>
      <c r="Q118" s="150" t="str">
        <f>_xlfn.CONCAT(TAB_CS[[#This Row],[Company]],TAB_CS[[#This Row],[Business perimeter]])</f>
        <v>TALANNB</v>
      </c>
      <c r="R118" s="150" t="str">
        <f>_xlfn.IFNA(IF(ISBLANK(TAB_CS[[#This Row],[Ressource]]),"",VLOOKUP(TAB_CS[[#This Row],[Reference]],TAB_Offres[[Reference]:[Profile]],COLUMNS(TAB_Offres[[Reference]:[Profile]]),FALSE)),"")</f>
        <v>Onboarding manager#R1</v>
      </c>
      <c r="S118" s="150">
        <f>_xlfn.IFNA(IF(ISBLANK(TAB_CS[[#This Row],[Ressource]]),"",VLOOKUP(TAB_CS[[#This Row],[Reference]],TAB_Offres[[Reference]:[Level]],COLUMNS(TAB_Offres[[Reference]:[Level]]),FALSE)),"")</f>
        <v>7</v>
      </c>
      <c r="T118" s="156">
        <f>_xlfn.IFNA(IF(OR(ISBLANK(TAB_CS[[#This Row],[Level]]),TAB_CS[[#This Row],[Level]]=""),,VLOOKUP(TAB_CS[[#This Row],[Profile]],TAB_prix[],2+TAB_CS[[#This Row],[Level]],FALSE)),)</f>
        <v>743.64</v>
      </c>
      <c r="U118" s="151">
        <v>180</v>
      </c>
      <c r="V118" s="205">
        <f>IF(OR(ISBLANK(TAB_CS[[#This Row],[Commited days]]),TAB_CS[[#This Row],[Commited days]]=0),,TAB_CS[[#This Row],[Commited days]]*TAB_CS[[#This Row],[Profile in €]])</f>
        <v>133855.20000000001</v>
      </c>
      <c r="W118" s="156">
        <f>SUM(TAB_CS[[#This Row],[F]:[P+1]])-TAB_CS[[#This Row],[P+1]]</f>
        <v>161</v>
      </c>
      <c r="X118" s="205">
        <f>IF(OR(ISBLANK(TAB_CS[[#This Row],[Producted days]]),TAB_CS[[#This Row],[Producted days]]=0),,TAB_CS[[#This Row],[Producted days]]*TAB_CS[[#This Row],[Profile in €]])</f>
        <v>119726.04</v>
      </c>
      <c r="Y118" s="206">
        <f>TAB_CS[[#This Row],[Commited days]]-TAB_CS[[#This Row],[Producted days]]</f>
        <v>19</v>
      </c>
      <c r="Z118" s="205">
        <f>IF(OR(ISBLANK(TAB_CS[[#This Row],[Remaining days]]),TAB_CS[[#This Row],[Remaining days]]=0),,TAB_CS[[#This Row],[Remaining days]]*TAB_CS[[#This Row],[Profile in €]])</f>
        <v>14129.16</v>
      </c>
      <c r="AA118" s="207">
        <f>SUM(TAB_CS[[#This Row],[P+1]:[FP]])</f>
        <v>19</v>
      </c>
      <c r="AB118" s="208">
        <f>IF(OR(ISBLANK(TAB_CS[[#This Row],[Expected days]]),TAB_CS[[#This Row],[Expected days]]=0),,TAB_CS[[#This Row],[Expected days]]*TAB_CS[[#This Row],[Profile in €]])</f>
        <v>14129.16</v>
      </c>
      <c r="AC118" s="322" t="str">
        <f>CONCATENATE(TAB_CS[[#This Row],[DG]],TAB_CS[[#This Row],[Company]])</f>
        <v>DIGIT.B.3TALAN</v>
      </c>
      <c r="AD118" s="209"/>
      <c r="AE118" s="150"/>
      <c r="AF118" s="151"/>
      <c r="AG118" s="151"/>
      <c r="AH118" s="151"/>
      <c r="AI118" s="150"/>
      <c r="AJ118" s="151"/>
      <c r="AK118" s="156"/>
      <c r="AL118" s="156"/>
      <c r="AM118" s="150"/>
      <c r="AN118" s="150"/>
      <c r="AO118" s="150"/>
      <c r="AP118" s="150"/>
      <c r="AQ118" s="150"/>
      <c r="AR118" s="150"/>
      <c r="AS118" s="150"/>
      <c r="AT118" s="156"/>
      <c r="AU118" s="156"/>
      <c r="AV118" s="171"/>
      <c r="AW118" s="171"/>
      <c r="AX118" s="171"/>
      <c r="AY118" s="171"/>
      <c r="AZ118" s="171"/>
      <c r="BA118" s="171"/>
      <c r="BB118" s="171"/>
      <c r="BC118" s="352">
        <v>3</v>
      </c>
      <c r="BD118" s="352">
        <v>19</v>
      </c>
      <c r="BE118" s="352">
        <v>20</v>
      </c>
      <c r="BF118" s="352">
        <v>18</v>
      </c>
      <c r="BG118" s="352">
        <v>21</v>
      </c>
      <c r="BH118" s="352">
        <v>21</v>
      </c>
      <c r="BI118" s="323"/>
      <c r="BJ118" s="291">
        <v>23</v>
      </c>
      <c r="BK118" s="171">
        <v>18</v>
      </c>
      <c r="BL118" s="171">
        <v>18</v>
      </c>
      <c r="BM118" s="323"/>
      <c r="BN118" s="171">
        <v>18</v>
      </c>
      <c r="BO118" s="171">
        <v>1</v>
      </c>
      <c r="BP118" s="171"/>
      <c r="BQ118" s="171"/>
      <c r="BR118" s="171"/>
      <c r="BS118" s="171"/>
      <c r="BT118" s="171"/>
      <c r="BU118" s="171"/>
      <c r="BV118" s="171"/>
      <c r="BW118" s="644"/>
      <c r="BX118" s="644"/>
      <c r="BY118" s="644"/>
      <c r="BZ118" s="324"/>
    </row>
    <row r="119" spans="1:78" s="4" customFormat="1" ht="14.4" x14ac:dyDescent="0.3">
      <c r="A119" s="150">
        <f>IF(ISBLANK(TAB_CS[[#This Row],[Reference]]),"",INDEX(TAB_Offres[ID],MATCH(TAB_CS[[#This Row],[Reference]],TAB_Offres[Reference],0)))</f>
        <v>117</v>
      </c>
      <c r="B119" s="154" t="s">
        <v>5814</v>
      </c>
      <c r="C119" s="605" t="s">
        <v>5819</v>
      </c>
      <c r="D119" s="150" t="str">
        <f>IF(ISBLANK(TAB_CS[[#This Row],[Reference]]),"",VLOOKUP(TAB_CS[[#This Row],[ID]],TAB_Offres[],2,FALSE))</f>
        <v>Lot 2</v>
      </c>
      <c r="E119" s="150" t="s">
        <v>5920</v>
      </c>
      <c r="F119" s="154">
        <f>_xlfn.IFNA(IF(ISBLANK(TAB_CS[[#This Row],[Reference]]),"",VLOOKUP(TAB_CS[[#This Row],[Reference]],TAB_Offres[[Reference]:[Modification Request]],COLUMNS(TAB_Offres[[Reference]:[Modification Request]]),FALSE)),)</f>
        <v>0</v>
      </c>
      <c r="G119" s="150" t="str">
        <f>IF(ISBLANK(TAB_CS[[#This Row],[Reference]]),"",INDEX(TAB_Offres[Institution/agency],MATCH(TAB_CS[[#This Row],[Reference]],TAB_Offres[Reference],0)))</f>
        <v>EC</v>
      </c>
      <c r="H119" s="150" t="str">
        <f>IF(ISBLANK(TAB_CS[[#This Row],[Reference]]),"",INDEX(TAB_Offres[DG],MATCH(TAB_CS[[#This Row],[Reference]],TAB_Offres[Reference],0)))</f>
        <v>DIGIT.A.2</v>
      </c>
      <c r="I119" s="4" t="str">
        <f>IF(ISBLANK(TAB_CS[[#This Row],[Reference]]),"",INDEX(TAB_Offres[Offer description],MATCH(TAB_CS[[#This Row],[Reference]],TAB_Offres[Reference],0)))</f>
        <v>Project Manager</v>
      </c>
      <c r="J119" s="204">
        <f>_xlfn.IFNA(IF(ISBLANK(TAB_CS[[#This Row],[Ressource]]),,VLOOKUP(TAB_CS[[#This Row],[Reference]],TAB_Offres[[Reference]:[CS signature date]],COLUMNS(TAB_Offres[[Reference]:[CS signature date]]),FALSE)),"")</f>
        <v>0</v>
      </c>
      <c r="K119" s="204">
        <f>_xlfn.IFNA(IF(ISBLANK(TAB_CS[[#This Row],[Ressource]]),,VLOOKUP(TAB_CS[[#This Row],[Reference]],TAB_Offres[[Reference]:[CS start date]],COLUMNS(TAB_Offres[[Reference]:[CS start date]]),FALSE)),"")</f>
        <v>45406</v>
      </c>
      <c r="L119" s="204">
        <f>_xlfn.IFNA(IF(ISBLANK(TAB_CS[[#This Row],[Ressource]]),,VLOOKUP(TAB_CS[[#This Row],[Reference]],TAB_Offres[[Reference]:[CS end date]],COLUMNS(TAB_Offres[[Reference]:[CS end date]]),FALSE)),"")</f>
        <v>45930</v>
      </c>
      <c r="M119" s="150">
        <f>_xlfn.IFNA(IF(ISBLANK(TAB_CS[[#This Row],[Ressource]]),,VLOOKUP(TAB_CS[[#This Row],[Reference]],TAB_Offres[[Reference]:[CS State]],COLUMNS(TAB_Offres[[Reference]:[CS State]]),FALSE)),"")</f>
        <v>0</v>
      </c>
      <c r="N119" s="154" t="str">
        <f>VLOOKUP(TAB_CS[[#This Row],[Reference]],TAB_Offres[[Reference]:[Ressource 1]],25,FALSE)</f>
        <v xml:space="preserve">TURCITU, Mihai-Alexandru </v>
      </c>
      <c r="O119" s="150" t="str">
        <f>_xlfn.IFNA(IF(ISBLANK(TAB_CS[[#This Row],[Ressource]]),,VLOOKUP(TAB_CS[[#This Row],[Reference]],TAB_Offres[[Reference]:[Company]],COLUMNS(TAB_Offres[[Reference]:[Company]]),FALSE)),"")</f>
        <v>CGI LUX</v>
      </c>
      <c r="P119" s="150" t="str">
        <f>_xlfn.CONCAT(TAB_CS[[#This Row],[Ressource]],TAB_CS[[#This Row],[Profile in €]])</f>
        <v>TURCITU, Mihai-Alexandru 494,06</v>
      </c>
      <c r="Q119" s="150" t="str">
        <f>_xlfn.CONCAT(TAB_CS[[#This Row],[Company]],TAB_CS[[#This Row],[Business perimeter]])</f>
        <v>CGI LUXNB</v>
      </c>
      <c r="R119" s="150" t="str">
        <f>_xlfn.IFNA(IF(ISBLANK(TAB_CS[[#This Row],[Ressource]]),"",VLOOKUP(TAB_CS[[#This Row],[Reference]],TAB_Offres[[Reference]:[Profile]],COLUMNS(TAB_Offres[[Reference]:[Profile]]),FALSE)),"")</f>
        <v>Project Manager#R1</v>
      </c>
      <c r="S119" s="150">
        <f>_xlfn.IFNA(IF(ISBLANK(TAB_CS[[#This Row],[Ressource]]),"",VLOOKUP(TAB_CS[[#This Row],[Reference]],TAB_Offres[[Reference]:[Level]],COLUMNS(TAB_Offres[[Reference]:[Level]]),FALSE)),"")</f>
        <v>2</v>
      </c>
      <c r="T119" s="156">
        <f>_xlfn.IFNA(IF(OR(ISBLANK(TAB_CS[[#This Row],[Level]]),TAB_CS[[#This Row],[Level]]=""),,VLOOKUP(TAB_CS[[#This Row],[Profile]],TAB_prix[],2+TAB_CS[[#This Row],[Level]],FALSE)),)</f>
        <v>494.06</v>
      </c>
      <c r="U119" s="151">
        <v>110</v>
      </c>
      <c r="V119" s="205">
        <f>IF(OR(ISBLANK(TAB_CS[[#This Row],[Commited days]]),TAB_CS[[#This Row],[Commited days]]=0),,TAB_CS[[#This Row],[Commited days]]*TAB_CS[[#This Row],[Profile in €]])</f>
        <v>54346.6</v>
      </c>
      <c r="W119" s="156">
        <f>SUM(TAB_CS[[#This Row],[F]:[P+1]])-TAB_CS[[#This Row],[P+1]]</f>
        <v>110</v>
      </c>
      <c r="X119" s="205">
        <f>IF(OR(ISBLANK(TAB_CS[[#This Row],[Producted days]]),TAB_CS[[#This Row],[Producted days]]=0),,TAB_CS[[#This Row],[Producted days]]*TAB_CS[[#This Row],[Profile in €]])</f>
        <v>54346.6</v>
      </c>
      <c r="Y119" s="206">
        <f>TAB_CS[[#This Row],[Commited days]]-TAB_CS[[#This Row],[Producted days]]</f>
        <v>0</v>
      </c>
      <c r="Z119" s="205">
        <f>IF(OR(ISBLANK(TAB_CS[[#This Row],[Remaining days]]),TAB_CS[[#This Row],[Remaining days]]=0),,TAB_CS[[#This Row],[Remaining days]]*TAB_CS[[#This Row],[Profile in €]])</f>
        <v>0</v>
      </c>
      <c r="AA119" s="207">
        <f>SUM(TAB_CS[[#This Row],[P+1]:[FP]])</f>
        <v>0</v>
      </c>
      <c r="AB119" s="208">
        <f>IF(OR(ISBLANK(TAB_CS[[#This Row],[Expected days]]),TAB_CS[[#This Row],[Expected days]]=0),,TAB_CS[[#This Row],[Expected days]]*TAB_CS[[#This Row],[Profile in €]])</f>
        <v>0</v>
      </c>
      <c r="AC119" s="322" t="str">
        <f>CONCATENATE(TAB_CS[[#This Row],[DG]],TAB_CS[[#This Row],[Company]])</f>
        <v>DIGIT.A.2CGI LUX</v>
      </c>
      <c r="AD119" s="209"/>
      <c r="AE119" s="150"/>
      <c r="AF119" s="151"/>
      <c r="AG119" s="151"/>
      <c r="AH119" s="151"/>
      <c r="AI119" s="150"/>
      <c r="AJ119" s="151"/>
      <c r="AK119" s="156"/>
      <c r="AL119" s="156"/>
      <c r="AM119" s="150"/>
      <c r="AN119" s="150"/>
      <c r="AO119" s="150"/>
      <c r="AP119" s="150"/>
      <c r="AQ119" s="150"/>
      <c r="AR119" s="150"/>
      <c r="AS119" s="150"/>
      <c r="AT119" s="156"/>
      <c r="AU119" s="156"/>
      <c r="AV119" s="171"/>
      <c r="AW119" s="171"/>
      <c r="AX119" s="171"/>
      <c r="AY119" s="171"/>
      <c r="AZ119" s="171"/>
      <c r="BA119" s="171"/>
      <c r="BB119" s="171"/>
      <c r="BC119" s="352">
        <v>0.5</v>
      </c>
      <c r="BD119" s="352">
        <v>17.5</v>
      </c>
      <c r="BE119" s="352">
        <v>18.5</v>
      </c>
      <c r="BF119" s="352">
        <v>22.5</v>
      </c>
      <c r="BG119" s="352">
        <v>20.5</v>
      </c>
      <c r="BH119" s="352">
        <v>16</v>
      </c>
      <c r="BI119" s="323"/>
      <c r="BJ119" s="633">
        <v>14.5</v>
      </c>
      <c r="BK119" s="644"/>
      <c r="BL119" s="644"/>
      <c r="BM119" s="323"/>
      <c r="BN119" s="644"/>
      <c r="BO119" s="644"/>
      <c r="BP119" s="644"/>
      <c r="BQ119" s="644"/>
      <c r="BR119" s="644"/>
      <c r="BS119" s="644"/>
      <c r="BT119" s="644"/>
      <c r="BU119" s="644"/>
      <c r="BV119" s="644"/>
      <c r="BW119" s="644"/>
      <c r="BX119" s="644"/>
      <c r="BY119" s="644"/>
      <c r="BZ119" s="324"/>
    </row>
    <row r="120" spans="1:78" s="4" customFormat="1" ht="14.4" x14ac:dyDescent="0.3">
      <c r="A120" s="1">
        <f>IF(ISBLANK(TAB_CS[[#This Row],[Reference]]),"",INDEX(TAB_Offres[ID],MATCH(TAB_CS[[#This Row],[Reference]],TAB_Offres[Reference],0)))</f>
        <v>118</v>
      </c>
      <c r="B120" s="154" t="s">
        <v>5822</v>
      </c>
      <c r="C120" s="606" t="s">
        <v>23</v>
      </c>
      <c r="D120" s="150" t="str">
        <f>IF(ISBLANK(TAB_CS[[#This Row],[Reference]]),"",VLOOKUP(TAB_CS[[#This Row],[ID]],TAB_Offres[],2,FALSE))</f>
        <v>Lot 1</v>
      </c>
      <c r="E120" s="150" t="s">
        <v>5920</v>
      </c>
      <c r="F120" s="154">
        <f>_xlfn.IFNA(IF(ISBLANK(TAB_CS[[#This Row],[Reference]]),"",VLOOKUP(TAB_CS[[#This Row],[Reference]],TAB_Offres[[Reference]:[Modification Request]],COLUMNS(TAB_Offres[[Reference]:[Modification Request]]),FALSE)),)</f>
        <v>0</v>
      </c>
      <c r="G120" s="150" t="str">
        <f>IF(ISBLANK(TAB_CS[[#This Row],[Reference]]),"",INDEX(TAB_Offres[Institution/agency],MATCH(TAB_CS[[#This Row],[Reference]],TAB_Offres[Reference],0)))</f>
        <v>EC</v>
      </c>
      <c r="H120" s="150" t="str">
        <f>IF(ISBLANK(TAB_CS[[#This Row],[Reference]]),"",INDEX(TAB_Offres[DG],MATCH(TAB_CS[[#This Row],[Reference]],TAB_Offres[Reference],0)))</f>
        <v>DIGIT.A.4</v>
      </c>
      <c r="I120" s="4" t="str">
        <f>IF(ISBLANK(TAB_CS[[#This Row],[Reference]]),"",INDEX(TAB_Offres[Offer description],MATCH(TAB_CS[[#This Row],[Reference]],TAB_Offres[Reference],0)))</f>
        <v>Full-Stack Developer (FSD)</v>
      </c>
      <c r="J120" s="204">
        <f>_xlfn.IFNA(IF(ISBLANK(TAB_CS[[#This Row],[Ressource]]),,VLOOKUP(TAB_CS[[#This Row],[Reference]],TAB_Offres[[Reference]:[CS signature date]],COLUMNS(TAB_Offres[[Reference]:[CS signature date]]),FALSE)),"")</f>
        <v>0</v>
      </c>
      <c r="K120" s="204">
        <f>_xlfn.IFNA(IF(ISBLANK(TAB_CS[[#This Row],[Ressource]]),,VLOOKUP(TAB_CS[[#This Row],[Reference]],TAB_Offres[[Reference]:[CS start date]],COLUMNS(TAB_Offres[[Reference]:[CS start date]]),FALSE)),"")</f>
        <v>45182</v>
      </c>
      <c r="L120" s="204">
        <f>_xlfn.IFNA(IF(ISBLANK(TAB_CS[[#This Row],[Ressource]]),,VLOOKUP(TAB_CS[[#This Row],[Reference]],TAB_Offres[[Reference]:[CS end date]],COLUMNS(TAB_Offres[[Reference]:[CS end date]]),FALSE)),"")</f>
        <v>45565</v>
      </c>
      <c r="M120" s="150">
        <f>_xlfn.IFNA(IF(ISBLANK(TAB_CS[[#This Row],[Ressource]]),,VLOOKUP(TAB_CS[[#This Row],[Reference]],TAB_Offres[[Reference]:[CS State]],COLUMNS(TAB_Offres[[Reference]:[CS State]]),FALSE)),"")</f>
        <v>0</v>
      </c>
      <c r="N120" s="26" t="str">
        <f>VLOOKUP(TAB_CS[[#This Row],[Reference]],TAB_Offres[[Reference]:[Ressource 1]],25,FALSE)</f>
        <v>MEDAN, Andrei</v>
      </c>
      <c r="O120" s="150" t="str">
        <f>_xlfn.IFNA(IF(ISBLANK(TAB_CS[[#This Row],[Ressource]]),,VLOOKUP(TAB_CS[[#This Row],[Reference]],TAB_Offres[[Reference]:[Company]],COLUMNS(TAB_Offres[[Reference]:[Company]]),FALSE)),"")</f>
        <v>EDDA</v>
      </c>
      <c r="P120" s="150" t="str">
        <f>_xlfn.CONCAT(TAB_CS[[#This Row],[Ressource]],TAB_CS[[#This Row],[Profile in €]])</f>
        <v>MEDAN, Andrei463,9</v>
      </c>
      <c r="Q120" s="150" t="str">
        <f>_xlfn.CONCAT(TAB_CS[[#This Row],[Company]],TAB_CS[[#This Row],[Business perimeter]])</f>
        <v>EDDANB</v>
      </c>
      <c r="R120" s="150" t="str">
        <f>_xlfn.IFNA(IF(ISBLANK(TAB_CS[[#This Row],[Ressource]]),"",VLOOKUP(TAB_CS[[#This Row],[Reference]],TAB_Offres[[Reference]:[Profile]],COLUMNS(TAB_Offres[[Reference]:[Profile]]),FALSE)),"")</f>
        <v>Full-stack developer-FAR</v>
      </c>
      <c r="S120" s="150">
        <f>_xlfn.IFNA(IF(ISBLANK(TAB_CS[[#This Row],[Ressource]]),"",VLOOKUP(TAB_CS[[#This Row],[Reference]],TAB_Offres[[Reference]:[Level]],COLUMNS(TAB_Offres[[Reference]:[Level]]),FALSE)),"")</f>
        <v>8</v>
      </c>
      <c r="T120" s="156">
        <f>_xlfn.IFNA(IF(OR(ISBLANK(TAB_CS[[#This Row],[Level]]),TAB_CS[[#This Row],[Level]]=""),,VLOOKUP(TAB_CS[[#This Row],[Profile]],TAB_prix[],2+TAB_CS[[#This Row],[Level]],FALSE)),)</f>
        <v>463.9</v>
      </c>
      <c r="U120" s="590">
        <v>0</v>
      </c>
      <c r="V120" s="205">
        <f>IF(OR(ISBLANK(TAB_CS[[#This Row],[Commited days]]),TAB_CS[[#This Row],[Commited days]]=0),,TAB_CS[[#This Row],[Commited days]]*TAB_CS[[#This Row],[Profile in €]])</f>
        <v>0</v>
      </c>
      <c r="W120" s="156">
        <f>SUM(TAB_CS[[#This Row],[F]:[P+1]])-TAB_CS[[#This Row],[P+1]]</f>
        <v>0</v>
      </c>
      <c r="X120" s="205">
        <f>IF(OR(ISBLANK(TAB_CS[[#This Row],[Producted days]]),TAB_CS[[#This Row],[Producted days]]=0),,TAB_CS[[#This Row],[Producted days]]*TAB_CS[[#This Row],[Profile in €]])</f>
        <v>0</v>
      </c>
      <c r="Y120" s="206">
        <f>TAB_CS[[#This Row],[Commited days]]-TAB_CS[[#This Row],[Producted days]]</f>
        <v>0</v>
      </c>
      <c r="Z120" s="205">
        <f>IF(OR(ISBLANK(TAB_CS[[#This Row],[Remaining days]]),TAB_CS[[#This Row],[Remaining days]]=0),,TAB_CS[[#This Row],[Remaining days]]*TAB_CS[[#This Row],[Profile in €]])</f>
        <v>0</v>
      </c>
      <c r="AA120" s="207">
        <f>SUM(TAB_CS[[#This Row],[P+1]:[FP]])</f>
        <v>0</v>
      </c>
      <c r="AB120" s="208">
        <f>IF(OR(ISBLANK(TAB_CS[[#This Row],[Expected days]]),TAB_CS[[#This Row],[Expected days]]=0),,TAB_CS[[#This Row],[Expected days]]*TAB_CS[[#This Row],[Profile in €]])</f>
        <v>0</v>
      </c>
      <c r="AC120" s="322" t="str">
        <f>CONCATENATE(TAB_CS[[#This Row],[DG]],TAB_CS[[#This Row],[Company]])</f>
        <v>DIGIT.A.4EDDA</v>
      </c>
      <c r="AD120" s="209"/>
      <c r="AE120" s="646"/>
      <c r="AF120" s="647"/>
      <c r="AG120" s="647"/>
      <c r="AH120" s="647"/>
      <c r="AI120" s="646"/>
      <c r="AJ120" s="647"/>
      <c r="AK120" s="643"/>
      <c r="AL120" s="643"/>
      <c r="AM120" s="646"/>
      <c r="AN120" s="646"/>
      <c r="AO120" s="646"/>
      <c r="AP120" s="646"/>
      <c r="AQ120" s="646"/>
      <c r="AR120" s="646"/>
      <c r="AS120" s="646"/>
      <c r="AT120" s="643"/>
      <c r="AU120" s="643"/>
      <c r="AV120" s="644"/>
      <c r="AW120" s="644"/>
      <c r="AX120" s="644"/>
      <c r="AY120" s="644"/>
      <c r="AZ120" s="644"/>
      <c r="BA120" s="644"/>
      <c r="BB120" s="644"/>
      <c r="BC120" s="644"/>
      <c r="BD120" s="644"/>
      <c r="BE120" s="644"/>
      <c r="BF120" s="644"/>
      <c r="BG120" s="644"/>
      <c r="BH120" s="644"/>
      <c r="BI120" s="323"/>
      <c r="BJ120" s="644"/>
      <c r="BK120" s="644"/>
      <c r="BL120" s="644"/>
      <c r="BM120" s="323"/>
      <c r="BN120" s="644"/>
      <c r="BO120" s="644"/>
      <c r="BP120" s="644"/>
      <c r="BQ120" s="644"/>
      <c r="BR120" s="644"/>
      <c r="BS120" s="644"/>
      <c r="BT120" s="644"/>
      <c r="BU120" s="644"/>
      <c r="BV120" s="644"/>
      <c r="BW120" s="644"/>
      <c r="BX120" s="644"/>
      <c r="BY120" s="644"/>
      <c r="BZ120" s="224"/>
    </row>
    <row r="121" spans="1:78" s="4" customFormat="1" ht="14.4" x14ac:dyDescent="0.3">
      <c r="A121" s="150">
        <f>IF(ISBLANK(TAB_CS[[#This Row],[Reference]]),"",INDEX(TAB_Offres[ID],MATCH(TAB_CS[[#This Row],[Reference]],TAB_Offres[Reference],0)))</f>
        <v>119</v>
      </c>
      <c r="B121" s="154" t="s">
        <v>5820</v>
      </c>
      <c r="C121" s="605" t="s">
        <v>5974</v>
      </c>
      <c r="D121" s="150" t="str">
        <f>IF(ISBLANK(TAB_CS[[#This Row],[Reference]]),"",VLOOKUP(TAB_CS[[#This Row],[ID]],TAB_Offres[],2,FALSE))</f>
        <v>Lot 2</v>
      </c>
      <c r="E121" s="150" t="s">
        <v>5920</v>
      </c>
      <c r="F121" s="154">
        <f>_xlfn.IFNA(IF(ISBLANK(TAB_CS[[#This Row],[Reference]]),"",VLOOKUP(TAB_CS[[#This Row],[Reference]],TAB_Offres[[Reference]:[Modification Request]],COLUMNS(TAB_Offres[[Reference]:[Modification Request]]),FALSE)),)</f>
        <v>0</v>
      </c>
      <c r="G121" s="150" t="str">
        <f>IF(ISBLANK(TAB_CS[[#This Row],[Reference]]),"",INDEX(TAB_Offres[Institution/agency],MATCH(TAB_CS[[#This Row],[Reference]],TAB_Offres[Reference],0)))</f>
        <v>EC</v>
      </c>
      <c r="H121" s="150" t="str">
        <f>IF(ISBLANK(TAB_CS[[#This Row],[Reference]]),"",INDEX(TAB_Offres[DG],MATCH(TAB_CS[[#This Row],[Reference]],TAB_Offres[Reference],0)))</f>
        <v>GROW</v>
      </c>
      <c r="I121" s="4" t="str">
        <f>IF(ISBLANK(TAB_CS[[#This Row],[Reference]]),"",INDEX(TAB_Offres[Offer description],MATCH(TAB_CS[[#This Row],[Reference]],TAB_Offres[Reference],0)))</f>
        <v>Application/Cloud Architect (ACA)</v>
      </c>
      <c r="J121" s="204">
        <f>_xlfn.IFNA(IF(ISBLANK(TAB_CS[[#This Row],[Ressource]]),,VLOOKUP(TAB_CS[[#This Row],[Reference]],TAB_Offres[[Reference]:[CS signature date]],COLUMNS(TAB_Offres[[Reference]:[CS signature date]]),FALSE)),"")</f>
        <v>0</v>
      </c>
      <c r="K121" s="204">
        <f>_xlfn.IFNA(IF(ISBLANK(TAB_CS[[#This Row],[Ressource]]),,VLOOKUP(TAB_CS[[#This Row],[Reference]],TAB_Offres[[Reference]:[CS start date]],COLUMNS(TAB_Offres[[Reference]:[CS start date]]),FALSE)),"")</f>
        <v>45397</v>
      </c>
      <c r="L121" s="204">
        <f>_xlfn.IFNA(IF(ISBLANK(TAB_CS[[#This Row],[Ressource]]),,VLOOKUP(TAB_CS[[#This Row],[Reference]],TAB_Offres[[Reference]:[CS end date]],COLUMNS(TAB_Offres[[Reference]:[CS end date]]),FALSE)),"")</f>
        <v>45717</v>
      </c>
      <c r="M121" s="150">
        <f>_xlfn.IFNA(IF(ISBLANK(TAB_CS[[#This Row],[Ressource]]),,VLOOKUP(TAB_CS[[#This Row],[Reference]],TAB_Offres[[Reference]:[CS State]],COLUMNS(TAB_Offres[[Reference]:[CS State]]),FALSE)),"")</f>
        <v>0</v>
      </c>
      <c r="N121" s="154" t="str">
        <f>VLOOKUP(TAB_CS[[#This Row],[Reference]],TAB_Offres[[Reference]:[Ressource 1]],25,FALSE)</f>
        <v>DECANINI, Barbara</v>
      </c>
      <c r="O121" s="150" t="str">
        <f>_xlfn.IFNA(IF(ISBLANK(TAB_CS[[#This Row],[Ressource]]),,VLOOKUP(TAB_CS[[#This Row],[Reference]],TAB_Offres[[Reference]:[Company]],COLUMNS(TAB_Offres[[Reference]:[Company]]),FALSE)),"")</f>
        <v>EDDA</v>
      </c>
      <c r="P121" s="150" t="str">
        <f>_xlfn.CONCAT(TAB_CS[[#This Row],[Ressource]],TAB_CS[[#This Row],[Profile in €]])</f>
        <v>DECANINI, Barbara653,63</v>
      </c>
      <c r="Q121" s="150" t="str">
        <f>_xlfn.CONCAT(TAB_CS[[#This Row],[Company]],TAB_CS[[#This Row],[Business perimeter]])</f>
        <v>EDDANB</v>
      </c>
      <c r="R121" s="150" t="str">
        <f>_xlfn.IFNA(IF(ISBLANK(TAB_CS[[#This Row],[Ressource]]),"",VLOOKUP(TAB_CS[[#This Row],[Reference]],TAB_Offres[[Reference]:[Profile]],COLUMNS(TAB_Offres[[Reference]:[Profile]]),FALSE)),"")</f>
        <v>Application/Cloud architect#R1</v>
      </c>
      <c r="S121" s="150">
        <f>_xlfn.IFNA(IF(ISBLANK(TAB_CS[[#This Row],[Ressource]]),"",VLOOKUP(TAB_CS[[#This Row],[Reference]],TAB_Offres[[Reference]:[Level]],COLUMNS(TAB_Offres[[Reference]:[Level]]),FALSE)),"")</f>
        <v>10</v>
      </c>
      <c r="T121" s="156">
        <f>_xlfn.IFNA(IF(OR(ISBLANK(TAB_CS[[#This Row],[Level]]),TAB_CS[[#This Row],[Level]]=""),,VLOOKUP(TAB_CS[[#This Row],[Profile]],TAB_prix[],2+TAB_CS[[#This Row],[Level]],FALSE)),)</f>
        <v>653.63</v>
      </c>
      <c r="U121" s="151">
        <v>120</v>
      </c>
      <c r="V121" s="205">
        <f>IF(OR(ISBLANK(TAB_CS[[#This Row],[Commited days]]),TAB_CS[[#This Row],[Commited days]]=0),,TAB_CS[[#This Row],[Commited days]]*TAB_CS[[#This Row],[Profile in €]])</f>
        <v>78435.600000000006</v>
      </c>
      <c r="W121" s="156">
        <f>SUM(TAB_CS[[#This Row],[F]:[P+1]])-TAB_CS[[#This Row],[P+1]]</f>
        <v>120</v>
      </c>
      <c r="X121" s="205">
        <f>IF(OR(ISBLANK(TAB_CS[[#This Row],[Producted days]]),TAB_CS[[#This Row],[Producted days]]=0),,TAB_CS[[#This Row],[Producted days]]*TAB_CS[[#This Row],[Profile in €]])</f>
        <v>78435.600000000006</v>
      </c>
      <c r="Y121" s="206">
        <f>TAB_CS[[#This Row],[Commited days]]-TAB_CS[[#This Row],[Producted days]]</f>
        <v>0</v>
      </c>
      <c r="Z121" s="205">
        <f>IF(OR(ISBLANK(TAB_CS[[#This Row],[Remaining days]]),TAB_CS[[#This Row],[Remaining days]]=0),,TAB_CS[[#This Row],[Remaining days]]*TAB_CS[[#This Row],[Profile in €]])</f>
        <v>0</v>
      </c>
      <c r="AA121" s="207">
        <f>SUM(TAB_CS[[#This Row],[P+1]:[FP]])</f>
        <v>0</v>
      </c>
      <c r="AB121" s="208">
        <f>IF(OR(ISBLANK(TAB_CS[[#This Row],[Expected days]]),TAB_CS[[#This Row],[Expected days]]=0),,TAB_CS[[#This Row],[Expected days]]*TAB_CS[[#This Row],[Profile in €]])</f>
        <v>0</v>
      </c>
      <c r="AC121" s="322" t="str">
        <f>CONCATENATE(TAB_CS[[#This Row],[DG]],TAB_CS[[#This Row],[Company]])</f>
        <v>GROWEDDA</v>
      </c>
      <c r="AD121" s="209"/>
      <c r="AE121" s="150"/>
      <c r="AF121" s="151"/>
      <c r="AG121" s="151"/>
      <c r="AH121" s="151"/>
      <c r="AI121" s="150"/>
      <c r="AJ121" s="151"/>
      <c r="AK121" s="156"/>
      <c r="AL121" s="156"/>
      <c r="AM121" s="150"/>
      <c r="AN121" s="150"/>
      <c r="AO121" s="150"/>
      <c r="AP121" s="150"/>
      <c r="AQ121" s="150"/>
      <c r="AR121" s="150"/>
      <c r="AS121" s="150"/>
      <c r="AT121" s="156"/>
      <c r="AU121" s="156"/>
      <c r="AV121" s="171"/>
      <c r="AW121" s="171"/>
      <c r="AX121" s="171"/>
      <c r="AY121" s="171"/>
      <c r="AZ121" s="171"/>
      <c r="BA121" s="171"/>
      <c r="BB121" s="171"/>
      <c r="BC121" s="171"/>
      <c r="BD121" s="352">
        <v>14</v>
      </c>
      <c r="BE121" s="352">
        <v>20</v>
      </c>
      <c r="BF121" s="352">
        <v>22</v>
      </c>
      <c r="BG121" s="352">
        <v>13</v>
      </c>
      <c r="BH121" s="352">
        <v>15</v>
      </c>
      <c r="BI121" s="323"/>
      <c r="BJ121" s="291">
        <v>23</v>
      </c>
      <c r="BK121" s="171">
        <v>13</v>
      </c>
      <c r="BL121" s="171"/>
      <c r="BM121" s="323"/>
      <c r="BN121" s="171"/>
      <c r="BO121" s="171"/>
      <c r="BP121" s="644"/>
      <c r="BQ121" s="644"/>
      <c r="BR121" s="644"/>
      <c r="BS121" s="644"/>
      <c r="BT121" s="644"/>
      <c r="BU121" s="644"/>
      <c r="BV121" s="644"/>
      <c r="BW121" s="644"/>
      <c r="BX121" s="644"/>
      <c r="BY121" s="644"/>
      <c r="BZ121" s="324"/>
    </row>
    <row r="122" spans="1:78" s="4" customFormat="1" ht="14.4" x14ac:dyDescent="0.3">
      <c r="A122" s="150">
        <f>IF(ISBLANK(TAB_CS[[#This Row],[Reference]]),"",INDEX(TAB_Offres[ID],MATCH(TAB_CS[[#This Row],[Reference]],TAB_Offres[Reference],0)))</f>
        <v>120</v>
      </c>
      <c r="B122" s="154" t="s">
        <v>5823</v>
      </c>
      <c r="C122" s="150" t="s">
        <v>5991</v>
      </c>
      <c r="D122" s="150" t="str">
        <f>IF(ISBLANK(TAB_CS[[#This Row],[Reference]]),"",VLOOKUP(TAB_CS[[#This Row],[ID]],TAB_Offres[],2,FALSE))</f>
        <v>Lot 1</v>
      </c>
      <c r="E122" s="150" t="s">
        <v>5920</v>
      </c>
      <c r="F122" s="154">
        <f>_xlfn.IFNA(IF(ISBLANK(TAB_CS[[#This Row],[Reference]]),"",VLOOKUP(TAB_CS[[#This Row],[Reference]],TAB_Offres[[Reference]:[Modification Request]],COLUMNS(TAB_Offres[[Reference]:[Modification Request]]),FALSE)),)</f>
        <v>0</v>
      </c>
      <c r="G122" s="1" t="str">
        <f>IF(ISBLANK(TAB_CS[[#This Row],[Reference]]),"",INDEX(TAB_Offres[Institution/agency],MATCH(TAB_CS[[#This Row],[Reference]],TAB_Offres[Reference],0)))</f>
        <v>EC</v>
      </c>
      <c r="H122" s="1" t="str">
        <f>IF(ISBLANK(TAB_CS[[#This Row],[Reference]]),"",INDEX(TAB_Offres[DG],MATCH(TAB_CS[[#This Row],[Reference]],TAB_Offres[Reference],0)))</f>
        <v>RTD</v>
      </c>
      <c r="I122" s="4" t="str">
        <f>IF(ISBLANK(TAB_CS[[#This Row],[Reference]]),"",INDEX(TAB_Offres[Offer description],MATCH(TAB_CS[[#This Row],[Reference]],TAB_Offres[Reference],0)))</f>
        <v>Full-Stack Developer (FSD)</v>
      </c>
      <c r="J122" s="204">
        <f>_xlfn.IFNA(IF(ISBLANK(TAB_CS[[#This Row],[Ressource]]),,VLOOKUP(TAB_CS[[#This Row],[Reference]],TAB_Offres[[Reference]:[CS signature date]],COLUMNS(TAB_Offres[[Reference]:[CS signature date]]),FALSE)),"")</f>
        <v>0</v>
      </c>
      <c r="K122" s="204">
        <f>_xlfn.IFNA(IF(ISBLANK(TAB_CS[[#This Row],[Ressource]]),,VLOOKUP(TAB_CS[[#This Row],[Reference]],TAB_Offres[[Reference]:[CS start date]],COLUMNS(TAB_Offres[[Reference]:[CS start date]]),FALSE)),"")</f>
        <v>45400</v>
      </c>
      <c r="L122" s="204">
        <f>_xlfn.IFNA(IF(ISBLANK(TAB_CS[[#This Row],[Ressource]]),,VLOOKUP(TAB_CS[[#This Row],[Reference]],TAB_Offres[[Reference]:[CS end date]],COLUMNS(TAB_Offres[[Reference]:[CS end date]]),FALSE)),"")</f>
        <v>45961</v>
      </c>
      <c r="M122" s="150">
        <f>_xlfn.IFNA(IF(ISBLANK(TAB_CS[[#This Row],[Ressource]]),,VLOOKUP(TAB_CS[[#This Row],[Reference]],TAB_Offres[[Reference]:[CS State]],COLUMNS(TAB_Offres[[Reference]:[CS State]]),FALSE)),"")</f>
        <v>0</v>
      </c>
      <c r="N122" s="154" t="str">
        <f>VLOOKUP(TAB_CS[[#This Row],[Reference]],TAB_Offres[[Reference]:[Ressource 1]],25,FALSE)</f>
        <v>MEJRI, Mohamed</v>
      </c>
      <c r="O122" s="150" t="str">
        <f>_xlfn.IFNA(IF(ISBLANK(TAB_CS[[#This Row],[Ressource]]),,VLOOKUP(TAB_CS[[#This Row],[Reference]],TAB_Offres[[Reference]:[Company]],COLUMNS(TAB_Offres[[Reference]:[Company]]),FALSE)),"")</f>
        <v>EDDA</v>
      </c>
      <c r="P122" s="150" t="str">
        <f>_xlfn.CONCAT(TAB_CS[[#This Row],[Ressource]],TAB_CS[[#This Row],[Profile in €]])</f>
        <v>MEJRI, Mohamed654,04</v>
      </c>
      <c r="Q122" s="150" t="str">
        <f>_xlfn.CONCAT(TAB_CS[[#This Row],[Company]],TAB_CS[[#This Row],[Business perimeter]])</f>
        <v>EDDANB</v>
      </c>
      <c r="R122" s="150" t="str">
        <f>_xlfn.IFNA(IF(ISBLANK(TAB_CS[[#This Row],[Ressource]]),"",VLOOKUP(TAB_CS[[#This Row],[Reference]],TAB_Offres[[Reference]:[Profile]],COLUMNS(TAB_Offres[[Reference]:[Profile]]),FALSE)),"")</f>
        <v>Full-stack developer#R1</v>
      </c>
      <c r="S122" s="150">
        <f>_xlfn.IFNA(IF(ISBLANK(TAB_CS[[#This Row],[Ressource]]),"",VLOOKUP(TAB_CS[[#This Row],[Reference]],TAB_Offres[[Reference]:[Level]],COLUMNS(TAB_Offres[[Reference]:[Level]]),FALSE)),"")</f>
        <v>9</v>
      </c>
      <c r="T122" s="156">
        <f>_xlfn.IFNA(IF(OR(ISBLANK(TAB_CS[[#This Row],[Level]]),TAB_CS[[#This Row],[Level]]=""),,VLOOKUP(TAB_CS[[#This Row],[Profile]],TAB_prix[],2+TAB_CS[[#This Row],[Level]],FALSE)),)</f>
        <v>654.04</v>
      </c>
      <c r="U122" s="151">
        <v>200</v>
      </c>
      <c r="V122" s="205">
        <f>IF(OR(ISBLANK(TAB_CS[[#This Row],[Commited days]]),TAB_CS[[#This Row],[Commited days]]=0),,TAB_CS[[#This Row],[Commited days]]*TAB_CS[[#This Row],[Profile in €]])</f>
        <v>130808</v>
      </c>
      <c r="W122" s="156">
        <f>SUM(TAB_CS[[#This Row],[F]:[P+1]])-TAB_CS[[#This Row],[P+1]]</f>
        <v>115.5</v>
      </c>
      <c r="X122" s="205">
        <f>IF(OR(ISBLANK(TAB_CS[[#This Row],[Producted days]]),TAB_CS[[#This Row],[Producted days]]=0),,TAB_CS[[#This Row],[Producted days]]*TAB_CS[[#This Row],[Profile in €]])</f>
        <v>75541.62</v>
      </c>
      <c r="Y122" s="206">
        <f>TAB_CS[[#This Row],[Commited days]]-TAB_CS[[#This Row],[Producted days]]</f>
        <v>84.5</v>
      </c>
      <c r="Z122" s="205">
        <f>IF(OR(ISBLANK(TAB_CS[[#This Row],[Remaining days]]),TAB_CS[[#This Row],[Remaining days]]=0),,TAB_CS[[#This Row],[Remaining days]]*TAB_CS[[#This Row],[Profile in €]])</f>
        <v>55266.38</v>
      </c>
      <c r="AA122" s="207">
        <f>SUM(TAB_CS[[#This Row],[P+1]:[FP]])</f>
        <v>84.5</v>
      </c>
      <c r="AB122" s="208">
        <f>IF(OR(ISBLANK(TAB_CS[[#This Row],[Expected days]]),TAB_CS[[#This Row],[Expected days]]=0),,TAB_CS[[#This Row],[Expected days]]*TAB_CS[[#This Row],[Profile in €]])</f>
        <v>55266.38</v>
      </c>
      <c r="AC122" s="322" t="str">
        <f>CONCATENATE(TAB_CS[[#This Row],[DG]],TAB_CS[[#This Row],[Company]])</f>
        <v>RTDEDDA</v>
      </c>
      <c r="AD122" s="209"/>
      <c r="AE122" s="150"/>
      <c r="AF122" s="151"/>
      <c r="AG122" s="151"/>
      <c r="AH122" s="151"/>
      <c r="AI122" s="150"/>
      <c r="AJ122" s="151"/>
      <c r="AK122" s="156"/>
      <c r="AL122" s="156"/>
      <c r="AM122" s="150"/>
      <c r="AN122" s="150"/>
      <c r="AO122" s="150"/>
      <c r="AP122" s="150"/>
      <c r="AQ122" s="150"/>
      <c r="AR122" s="150"/>
      <c r="AS122" s="150"/>
      <c r="AT122" s="156"/>
      <c r="AU122" s="156"/>
      <c r="AV122" s="171"/>
      <c r="AW122" s="171"/>
      <c r="AX122" s="171"/>
      <c r="AY122" s="171"/>
      <c r="AZ122" s="171"/>
      <c r="BA122" s="171"/>
      <c r="BB122" s="171"/>
      <c r="BC122" s="171"/>
      <c r="BD122" s="171"/>
      <c r="BE122" s="352">
        <v>9</v>
      </c>
      <c r="BF122" s="352">
        <v>10</v>
      </c>
      <c r="BG122" s="352">
        <v>20.5</v>
      </c>
      <c r="BH122" s="352">
        <v>18</v>
      </c>
      <c r="BI122" s="323"/>
      <c r="BJ122" s="291">
        <v>22</v>
      </c>
      <c r="BK122" s="171">
        <v>18</v>
      </c>
      <c r="BL122" s="171">
        <v>18</v>
      </c>
      <c r="BM122" s="323"/>
      <c r="BN122" s="171">
        <v>18</v>
      </c>
      <c r="BO122" s="171">
        <v>18</v>
      </c>
      <c r="BP122" s="171">
        <v>18</v>
      </c>
      <c r="BQ122" s="171">
        <v>18</v>
      </c>
      <c r="BR122" s="171">
        <v>12.5</v>
      </c>
      <c r="BS122" s="171"/>
      <c r="BT122" s="171"/>
      <c r="BU122" s="171"/>
      <c r="BV122" s="171"/>
      <c r="BW122" s="171"/>
      <c r="BX122" s="644"/>
      <c r="BY122" s="644"/>
      <c r="BZ122" s="324"/>
    </row>
    <row r="123" spans="1:78" s="4" customFormat="1" ht="14.4" x14ac:dyDescent="0.3">
      <c r="A123" s="1">
        <f>IF(ISBLANK(TAB_CS[[#This Row],[Reference]]),"",INDEX(TAB_Offres[ID],MATCH(TAB_CS[[#This Row],[Reference]],TAB_Offres[Reference],0)))</f>
        <v>121</v>
      </c>
      <c r="B123" s="154" t="s">
        <v>5824</v>
      </c>
      <c r="C123" s="150" t="s">
        <v>5996</v>
      </c>
      <c r="D123" s="150" t="str">
        <f>IF(ISBLANK(TAB_CS[[#This Row],[Reference]]),"",VLOOKUP(TAB_CS[[#This Row],[ID]],TAB_Offres[],2,FALSE))</f>
        <v>Lot 3</v>
      </c>
      <c r="E123" s="150" t="s">
        <v>5920</v>
      </c>
      <c r="F123" s="154">
        <f>_xlfn.IFNA(IF(ISBLANK(TAB_CS[[#This Row],[Reference]]),"",VLOOKUP(TAB_CS[[#This Row],[Reference]],TAB_Offres[[Reference]:[Modification Request]],COLUMNS(TAB_Offres[[Reference]:[Modification Request]]),FALSE)),)</f>
        <v>0</v>
      </c>
      <c r="G123" s="1" t="str">
        <f>IF(ISBLANK(TAB_CS[[#This Row],[Reference]]),"",INDEX(TAB_Offres[Institution/agency],MATCH(TAB_CS[[#This Row],[Reference]],TAB_Offres[Reference],0)))</f>
        <v>REA</v>
      </c>
      <c r="H123" s="1" t="str">
        <f>IF(ISBLANK(TAB_CS[[#This Row],[Reference]]),"",INDEX(TAB_Offres[DG],MATCH(TAB_CS[[#This Row],[Reference]],TAB_Offres[Reference],0)))</f>
        <v>REA</v>
      </c>
      <c r="I123" s="4" t="str">
        <f>IF(ISBLANK(TAB_CS[[#This Row],[Reference]]),"",INDEX(TAB_Offres[Offer description],MATCH(TAB_CS[[#This Row],[Reference]],TAB_Offres[Reference],0)))</f>
        <v>Business Intelligence Expert (BIE)</v>
      </c>
      <c r="J123" s="204">
        <f>_xlfn.IFNA(IF(ISBLANK(TAB_CS[[#This Row],[Ressource]]),,VLOOKUP(TAB_CS[[#This Row],[Reference]],TAB_Offres[[Reference]:[CS signature date]],COLUMNS(TAB_Offres[[Reference]:[CS signature date]]),FALSE)),"")</f>
        <v>45407</v>
      </c>
      <c r="K123" s="204">
        <f>_xlfn.IFNA(IF(ISBLANK(TAB_CS[[#This Row],[Ressource]]),,VLOOKUP(TAB_CS[[#This Row],[Reference]],TAB_Offres[[Reference]:[CS start date]],COLUMNS(TAB_Offres[[Reference]:[CS start date]]),FALSE)),"")</f>
        <v>45419</v>
      </c>
      <c r="L123" s="204">
        <f>_xlfn.IFNA(IF(ISBLANK(TAB_CS[[#This Row],[Ressource]]),,VLOOKUP(TAB_CS[[#This Row],[Reference]],TAB_Offres[[Reference]:[CS end date]],COLUMNS(TAB_Offres[[Reference]:[CS end date]]),FALSE)),"")</f>
        <v>45869</v>
      </c>
      <c r="M123" s="150">
        <f>_xlfn.IFNA(IF(ISBLANK(TAB_CS[[#This Row],[Ressource]]),,VLOOKUP(TAB_CS[[#This Row],[Reference]],TAB_Offres[[Reference]:[CS State]],COLUMNS(TAB_Offres[[Reference]:[CS State]]),FALSE)),"")</f>
        <v>0</v>
      </c>
      <c r="N123" s="26" t="str">
        <f>VLOOKUP(TAB_CS[[#This Row],[Reference]],TAB_Offres[[Reference]:[Ressource 1]],25,FALSE)</f>
        <v>VASILIKIOTIS, Themistoklis</v>
      </c>
      <c r="O123" s="150" t="str">
        <f>_xlfn.IFNA(IF(ISBLANK(TAB_CS[[#This Row],[Ressource]]),,VLOOKUP(TAB_CS[[#This Row],[Reference]],TAB_Offres[[Reference]:[Company]],COLUMNS(TAB_Offres[[Reference]:[Company]]),FALSE)),"")</f>
        <v>EDDA</v>
      </c>
      <c r="P123" s="150" t="str">
        <f>_xlfn.CONCAT(TAB_CS[[#This Row],[Ressource]],TAB_CS[[#This Row],[Profile in €]])</f>
        <v>VASILIKIOTIS, Themistoklis542,52</v>
      </c>
      <c r="Q123" s="150" t="str">
        <f>_xlfn.CONCAT(TAB_CS[[#This Row],[Company]],TAB_CS[[#This Row],[Business perimeter]])</f>
        <v>EDDANB</v>
      </c>
      <c r="R123" s="150" t="str">
        <f>_xlfn.IFNA(IF(ISBLANK(TAB_CS[[#This Row],[Ressource]]),"",VLOOKUP(TAB_CS[[#This Row],[Reference]],TAB_Offres[[Reference]:[Profile]],COLUMNS(TAB_Offres[[Reference]:[Profile]]),FALSE)),"")</f>
        <v>Business Intelligence expert#R1-FAR</v>
      </c>
      <c r="S123" s="1">
        <f>_xlfn.IFNA(IF(ISBLANK(TAB_CS[[#This Row],[Ressource]]),"",VLOOKUP(TAB_CS[[#This Row],[Reference]],TAB_Offres[[Reference]:[Level]],COLUMNS(TAB_Offres[[Reference]:[Level]]),FALSE)),"")</f>
        <v>8</v>
      </c>
      <c r="T123" s="156">
        <f>_xlfn.IFNA(IF(OR(ISBLANK(TAB_CS[[#This Row],[Level]]),TAB_CS[[#This Row],[Level]]=""),,VLOOKUP(TAB_CS[[#This Row],[Profile]],TAB_prix[],2+TAB_CS[[#This Row],[Level]],FALSE)),)</f>
        <v>542.52</v>
      </c>
      <c r="U123" s="151">
        <v>220</v>
      </c>
      <c r="V123" s="205">
        <f>IF(OR(ISBLANK(TAB_CS[[#This Row],[Commited days]]),TAB_CS[[#This Row],[Commited days]]=0),,TAB_CS[[#This Row],[Commited days]]*TAB_CS[[#This Row],[Profile in €]])</f>
        <v>119354.4</v>
      </c>
      <c r="W123" s="156">
        <f>SUM(TAB_CS[[#This Row],[F]:[P+1]])-TAB_CS[[#This Row],[P+1]]</f>
        <v>136</v>
      </c>
      <c r="X123" s="205">
        <f>IF(OR(ISBLANK(TAB_CS[[#This Row],[Producted days]]),TAB_CS[[#This Row],[Producted days]]=0),,TAB_CS[[#This Row],[Producted days]]*TAB_CS[[#This Row],[Profile in €]])</f>
        <v>73782.720000000001</v>
      </c>
      <c r="Y123" s="206">
        <f>TAB_CS[[#This Row],[Commited days]]-TAB_CS[[#This Row],[Producted days]]</f>
        <v>84</v>
      </c>
      <c r="Z123" s="205">
        <f>IF(OR(ISBLANK(TAB_CS[[#This Row],[Remaining days]]),TAB_CS[[#This Row],[Remaining days]]=0),,TAB_CS[[#This Row],[Remaining days]]*TAB_CS[[#This Row],[Profile in €]])</f>
        <v>45571.68</v>
      </c>
      <c r="AA123" s="207">
        <f>SUM(TAB_CS[[#This Row],[P+1]:[FP]])</f>
        <v>84</v>
      </c>
      <c r="AB123" s="208">
        <f>IF(OR(ISBLANK(TAB_CS[[#This Row],[Expected days]]),TAB_CS[[#This Row],[Expected days]]=0),,TAB_CS[[#This Row],[Expected days]]*TAB_CS[[#This Row],[Profile in €]])</f>
        <v>45571.68</v>
      </c>
      <c r="AC123" s="322" t="str">
        <f>CONCATENATE(TAB_CS[[#This Row],[DG]],TAB_CS[[#This Row],[Company]])</f>
        <v>REAEDDA</v>
      </c>
      <c r="AD123" s="209"/>
      <c r="AE123" s="150"/>
      <c r="AF123" s="151"/>
      <c r="AG123" s="151"/>
      <c r="AH123" s="13"/>
      <c r="AI123" s="1"/>
      <c r="AJ123" s="13"/>
      <c r="AK123" s="127"/>
      <c r="AL123" s="127"/>
      <c r="AM123" s="1"/>
      <c r="AN123" s="1"/>
      <c r="AO123" s="1"/>
      <c r="AP123" s="1"/>
      <c r="AQ123" s="1"/>
      <c r="AR123" s="1"/>
      <c r="AS123" s="1"/>
      <c r="AT123" s="127"/>
      <c r="AU123" s="127"/>
      <c r="AV123" s="368"/>
      <c r="AW123" s="368"/>
      <c r="AX123" s="368"/>
      <c r="AY123" s="368"/>
      <c r="AZ123" s="368"/>
      <c r="BA123" s="171"/>
      <c r="BB123" s="171"/>
      <c r="BC123" s="171"/>
      <c r="BD123" s="352">
        <v>9</v>
      </c>
      <c r="BE123" s="352">
        <v>20</v>
      </c>
      <c r="BF123" s="352">
        <v>20</v>
      </c>
      <c r="BG123" s="352">
        <v>14</v>
      </c>
      <c r="BH123" s="352">
        <v>19</v>
      </c>
      <c r="BI123" s="323"/>
      <c r="BJ123" s="171">
        <v>18</v>
      </c>
      <c r="BK123" s="171">
        <v>18</v>
      </c>
      <c r="BL123" s="171">
        <v>18</v>
      </c>
      <c r="BM123" s="323"/>
      <c r="BN123" s="171">
        <v>18</v>
      </c>
      <c r="BO123" s="171">
        <v>18</v>
      </c>
      <c r="BP123" s="171">
        <v>18</v>
      </c>
      <c r="BQ123" s="171">
        <v>18</v>
      </c>
      <c r="BR123" s="171">
        <v>12</v>
      </c>
      <c r="BS123" s="171"/>
      <c r="BT123" s="171"/>
      <c r="BU123" s="644"/>
      <c r="BV123" s="644"/>
      <c r="BW123" s="644"/>
      <c r="BX123" s="644"/>
      <c r="BY123" s="644"/>
      <c r="BZ123" s="224"/>
    </row>
    <row r="124" spans="1:78" s="4" customFormat="1" ht="14.4" x14ac:dyDescent="0.3">
      <c r="A124" s="150">
        <f>IF(ISBLANK(TAB_CS[[#This Row],[Reference]]),"",INDEX(TAB_Offres[ID],MATCH(TAB_CS[[#This Row],[Reference]],TAB_Offres[Reference],0)))</f>
        <v>122</v>
      </c>
      <c r="B124" s="154" t="s">
        <v>5825</v>
      </c>
      <c r="C124" s="150" t="s">
        <v>5961</v>
      </c>
      <c r="D124" s="150" t="str">
        <f>IF(ISBLANK(TAB_CS[[#This Row],[Reference]]),"",VLOOKUP(TAB_CS[[#This Row],[ID]],TAB_Offres[],2,FALSE))</f>
        <v>Lot 2</v>
      </c>
      <c r="E124" s="150" t="s">
        <v>5920</v>
      </c>
      <c r="F124" s="154">
        <f>_xlfn.IFNA(IF(ISBLANK(TAB_CS[[#This Row],[Reference]]),"",VLOOKUP(TAB_CS[[#This Row],[Reference]],TAB_Offres[[Reference]:[Modification Request]],COLUMNS(TAB_Offres[[Reference]:[Modification Request]]),FALSE)),)</f>
        <v>0</v>
      </c>
      <c r="G124" s="1" t="str">
        <f>IF(ISBLANK(TAB_CS[[#This Row],[Reference]]),"",INDEX(TAB_Offres[Institution/agency],MATCH(TAB_CS[[#This Row],[Reference]],TAB_Offres[Reference],0)))</f>
        <v>EC</v>
      </c>
      <c r="H124" s="1" t="str">
        <f>IF(ISBLANK(TAB_CS[[#This Row],[Reference]]),"",INDEX(TAB_Offres[DG],MATCH(TAB_CS[[#This Row],[Reference]],TAB_Offres[Reference],0)))</f>
        <v>DIGIT.A.2</v>
      </c>
      <c r="I124" s="4" t="str">
        <f>IF(ISBLANK(TAB_CS[[#This Row],[Reference]]),"",INDEX(TAB_Offres[Offer description],MATCH(TAB_CS[[#This Row],[Reference]],TAB_Offres[Reference],0)))</f>
        <v>Project Manager</v>
      </c>
      <c r="J124" s="204">
        <f>_xlfn.IFNA(IF(ISBLANK(TAB_CS[[#This Row],[Ressource]]),,VLOOKUP(TAB_CS[[#This Row],[Reference]],TAB_Offres[[Reference]:[CS signature date]],COLUMNS(TAB_Offres[[Reference]:[CS signature date]]),FALSE)),"")</f>
        <v>45414</v>
      </c>
      <c r="K124" s="204">
        <f>_xlfn.IFNA(IF(ISBLANK(TAB_CS[[#This Row],[Ressource]]),,VLOOKUP(TAB_CS[[#This Row],[Reference]],TAB_Offres[[Reference]:[CS start date]],COLUMNS(TAB_Offres[[Reference]:[CS start date]]),FALSE)),"")</f>
        <v>45415</v>
      </c>
      <c r="L124" s="204">
        <f>_xlfn.IFNA(IF(ISBLANK(TAB_CS[[#This Row],[Ressource]]),,VLOOKUP(TAB_CS[[#This Row],[Reference]],TAB_Offres[[Reference]:[CS end date]],COLUMNS(TAB_Offres[[Reference]:[CS end date]]),FALSE)),"")</f>
        <v>45930</v>
      </c>
      <c r="M124" s="150">
        <f>_xlfn.IFNA(IF(ISBLANK(TAB_CS[[#This Row],[Ressource]]),,VLOOKUP(TAB_CS[[#This Row],[Reference]],TAB_Offres[[Reference]:[CS State]],COLUMNS(TAB_Offres[[Reference]:[CS State]]),FALSE)),"")</f>
        <v>0</v>
      </c>
      <c r="N124" s="154" t="str">
        <f>VLOOKUP(TAB_CS[[#This Row],[Reference]],TAB_Offres[[Reference]:[Ressource 1]],25,FALSE)</f>
        <v>DE ANDRES DEL CASTILLO, David</v>
      </c>
      <c r="O124" s="150" t="str">
        <f>_xlfn.IFNA(IF(ISBLANK(TAB_CS[[#This Row],[Ressource]]),,VLOOKUP(TAB_CS[[#This Row],[Reference]],TAB_Offres[[Reference]:[Company]],COLUMNS(TAB_Offres[[Reference]:[Company]]),FALSE)),"")</f>
        <v>CGI LUX</v>
      </c>
      <c r="P124" s="150" t="str">
        <f>_xlfn.CONCAT(TAB_CS[[#This Row],[Ressource]],TAB_CS[[#This Row],[Profile in €]])</f>
        <v>DE ANDRES DEL CASTILLO, David793,34</v>
      </c>
      <c r="Q124" s="150" t="str">
        <f>_xlfn.CONCAT(TAB_CS[[#This Row],[Company]],TAB_CS[[#This Row],[Business perimeter]])</f>
        <v>CGI LUXNB</v>
      </c>
      <c r="R124" s="150" t="str">
        <f>_xlfn.IFNA(IF(ISBLANK(TAB_CS[[#This Row],[Ressource]]),"",VLOOKUP(TAB_CS[[#This Row],[Reference]],TAB_Offres[[Reference]:[Profile]],COLUMNS(TAB_Offres[[Reference]:[Profile]]),FALSE)),"")</f>
        <v>Project Manager#R1</v>
      </c>
      <c r="S124" s="150">
        <f>_xlfn.IFNA(IF(ISBLANK(TAB_CS[[#This Row],[Ressource]]),"",VLOOKUP(TAB_CS[[#This Row],[Reference]],TAB_Offres[[Reference]:[Level]],COLUMNS(TAB_Offres[[Reference]:[Level]]),FALSE)),"")</f>
        <v>9</v>
      </c>
      <c r="T124" s="156">
        <f>_xlfn.IFNA(IF(OR(ISBLANK(TAB_CS[[#This Row],[Level]]),TAB_CS[[#This Row],[Level]]=""),,VLOOKUP(TAB_CS[[#This Row],[Profile]],TAB_prix[],2+TAB_CS[[#This Row],[Level]],FALSE)),)</f>
        <v>793.34</v>
      </c>
      <c r="U124" s="151">
        <v>110</v>
      </c>
      <c r="V124" s="205">
        <f>IF(OR(ISBLANK(TAB_CS[[#This Row],[Commited days]]),TAB_CS[[#This Row],[Commited days]]=0),,TAB_CS[[#This Row],[Commited days]]*TAB_CS[[#This Row],[Profile in €]])</f>
        <v>87267.400000000009</v>
      </c>
      <c r="W124" s="156">
        <f>SUM(TAB_CS[[#This Row],[F]:[P+1]])-TAB_CS[[#This Row],[P+1]]</f>
        <v>110</v>
      </c>
      <c r="X124" s="205">
        <f>IF(OR(ISBLANK(TAB_CS[[#This Row],[Producted days]]),TAB_CS[[#This Row],[Producted days]]=0),,TAB_CS[[#This Row],[Producted days]]*TAB_CS[[#This Row],[Profile in €]])</f>
        <v>87267.400000000009</v>
      </c>
      <c r="Y124" s="206">
        <f>TAB_CS[[#This Row],[Commited days]]-TAB_CS[[#This Row],[Producted days]]</f>
        <v>0</v>
      </c>
      <c r="Z124" s="205">
        <f>IF(OR(ISBLANK(TAB_CS[[#This Row],[Remaining days]]),TAB_CS[[#This Row],[Remaining days]]=0),,TAB_CS[[#This Row],[Remaining days]]*TAB_CS[[#This Row],[Profile in €]])</f>
        <v>0</v>
      </c>
      <c r="AA124" s="207">
        <f>SUM(TAB_CS[[#This Row],[P+1]:[FP]])</f>
        <v>0</v>
      </c>
      <c r="AB124" s="208">
        <f>IF(OR(ISBLANK(TAB_CS[[#This Row],[Expected days]]),TAB_CS[[#This Row],[Expected days]]=0),,TAB_CS[[#This Row],[Expected days]]*TAB_CS[[#This Row],[Profile in €]])</f>
        <v>0</v>
      </c>
      <c r="AC124" s="322" t="str">
        <f>CONCATENATE(TAB_CS[[#This Row],[DG]],TAB_CS[[#This Row],[Company]])</f>
        <v>DIGIT.A.2CGI LUX</v>
      </c>
      <c r="AD124" s="209"/>
      <c r="AE124" s="150"/>
      <c r="AF124" s="151"/>
      <c r="AG124" s="151"/>
      <c r="AH124" s="151"/>
      <c r="AI124" s="150"/>
      <c r="AJ124" s="151"/>
      <c r="AK124" s="156"/>
      <c r="AL124" s="156"/>
      <c r="AM124" s="150"/>
      <c r="AN124" s="150"/>
      <c r="AO124" s="150"/>
      <c r="AP124" s="150"/>
      <c r="AQ124" s="150"/>
      <c r="AR124" s="150"/>
      <c r="AS124" s="150"/>
      <c r="AT124" s="156"/>
      <c r="AU124" s="156"/>
      <c r="AV124" s="171"/>
      <c r="AW124" s="171"/>
      <c r="AX124" s="171"/>
      <c r="AY124" s="171"/>
      <c r="AZ124" s="171"/>
      <c r="BA124" s="171"/>
      <c r="BB124" s="171"/>
      <c r="BC124" s="171"/>
      <c r="BD124" s="352">
        <v>7</v>
      </c>
      <c r="BE124" s="352">
        <v>13</v>
      </c>
      <c r="BF124" s="352">
        <v>19</v>
      </c>
      <c r="BG124" s="352">
        <v>16</v>
      </c>
      <c r="BH124" s="352">
        <v>18.5</v>
      </c>
      <c r="BI124" s="323"/>
      <c r="BJ124" s="171">
        <v>18</v>
      </c>
      <c r="BK124" s="171">
        <v>18</v>
      </c>
      <c r="BL124" s="171">
        <v>0.5</v>
      </c>
      <c r="BM124" s="323"/>
      <c r="BN124" s="171"/>
      <c r="BO124" s="171"/>
      <c r="BP124" s="171"/>
      <c r="BQ124" s="171"/>
      <c r="BR124" s="171"/>
      <c r="BS124" s="171"/>
      <c r="BT124" s="171"/>
      <c r="BU124" s="171"/>
      <c r="BV124" s="171"/>
      <c r="BW124" s="644"/>
      <c r="BX124" s="644"/>
      <c r="BY124" s="644"/>
      <c r="BZ124" s="324"/>
    </row>
    <row r="125" spans="1:78" s="4" customFormat="1" ht="14.4" x14ac:dyDescent="0.3">
      <c r="A125" s="150">
        <f>IF(ISBLANK(TAB_CS[[#This Row],[Reference]]),"",INDEX(TAB_Offres[ID],MATCH(TAB_CS[[#This Row],[Reference]],TAB_Offres[Reference],0)))</f>
        <v>123</v>
      </c>
      <c r="B125" s="154" t="s">
        <v>5826</v>
      </c>
      <c r="C125" s="150" t="s">
        <v>5962</v>
      </c>
      <c r="D125" s="150" t="str">
        <f>IF(ISBLANK(TAB_CS[[#This Row],[Reference]]),"",VLOOKUP(TAB_CS[[#This Row],[ID]],TAB_Offres[],2,FALSE))</f>
        <v>Lot 2</v>
      </c>
      <c r="E125" s="150" t="s">
        <v>5918</v>
      </c>
      <c r="F125" s="154">
        <f>_xlfn.IFNA(IF(ISBLANK(TAB_CS[[#This Row],[Reference]]),"",VLOOKUP(TAB_CS[[#This Row],[Reference]],TAB_Offres[[Reference]:[Modification Request]],COLUMNS(TAB_Offres[[Reference]:[Modification Request]]),FALSE)),)</f>
        <v>0</v>
      </c>
      <c r="G125" s="1" t="str">
        <f>IF(ISBLANK(TAB_CS[[#This Row],[Reference]]),"",INDEX(TAB_Offres[Institution/agency],MATCH(TAB_CS[[#This Row],[Reference]],TAB_Offres[Reference],0)))</f>
        <v>EC</v>
      </c>
      <c r="H125" s="1" t="str">
        <f>IF(ISBLANK(TAB_CS[[#This Row],[Reference]]),"",INDEX(TAB_Offres[DG],MATCH(TAB_CS[[#This Row],[Reference]],TAB_Offres[Reference],0)))</f>
        <v>DIGIT.A.2</v>
      </c>
      <c r="I125" s="4" t="str">
        <f>IF(ISBLANK(TAB_CS[[#This Row],[Reference]]),"",INDEX(TAB_Offres[Offer description],MATCH(TAB_CS[[#This Row],[Reference]],TAB_Offres[Reference],0)))</f>
        <v>Project Manager</v>
      </c>
      <c r="J125" s="204">
        <f>_xlfn.IFNA(IF(ISBLANK(TAB_CS[[#This Row],[Ressource]]),,VLOOKUP(TAB_CS[[#This Row],[Reference]],TAB_Offres[[Reference]:[CS signature date]],COLUMNS(TAB_Offres[[Reference]:[CS signature date]]),FALSE)),"")</f>
        <v>45414</v>
      </c>
      <c r="K125" s="204">
        <f>_xlfn.IFNA(IF(ISBLANK(TAB_CS[[#This Row],[Ressource]]),,VLOOKUP(TAB_CS[[#This Row],[Reference]],TAB_Offres[[Reference]:[CS start date]],COLUMNS(TAB_Offres[[Reference]:[CS start date]]),FALSE)),"")</f>
        <v>45415</v>
      </c>
      <c r="L125" s="204">
        <f>_xlfn.IFNA(IF(ISBLANK(TAB_CS[[#This Row],[Ressource]]),,VLOOKUP(TAB_CS[[#This Row],[Reference]],TAB_Offres[[Reference]:[CS end date]],COLUMNS(TAB_Offres[[Reference]:[CS end date]]),FALSE)),"")</f>
        <v>45930</v>
      </c>
      <c r="M125" s="150">
        <f>_xlfn.IFNA(IF(ISBLANK(TAB_CS[[#This Row],[Ressource]]),,VLOOKUP(TAB_CS[[#This Row],[Reference]],TAB_Offres[[Reference]:[CS State]],COLUMNS(TAB_Offres[[Reference]:[CS State]]),FALSE)),"")</f>
        <v>0</v>
      </c>
      <c r="N125" s="154" t="str">
        <f>VLOOKUP(TAB_CS[[#This Row],[Reference]],TAB_Offres[[Reference]:[Ressource 1]],25,FALSE)</f>
        <v>WHYE, Gregory</v>
      </c>
      <c r="O125" s="150" t="str">
        <f>_xlfn.IFNA(IF(ISBLANK(TAB_CS[[#This Row],[Ressource]]),,VLOOKUP(TAB_CS[[#This Row],[Reference]],TAB_Offres[[Reference]:[Company]],COLUMNS(TAB_Offres[[Reference]:[Company]]),FALSE)),"")</f>
        <v>CGI LUX</v>
      </c>
      <c r="P125" s="150" t="str">
        <f>_xlfn.CONCAT(TAB_CS[[#This Row],[Ressource]],TAB_CS[[#This Row],[Profile in €]])</f>
        <v>WHYE, Gregory793,34</v>
      </c>
      <c r="Q125" s="150" t="str">
        <f>_xlfn.CONCAT(TAB_CS[[#This Row],[Company]],TAB_CS[[#This Row],[Business perimeter]])</f>
        <v>CGI LUXBL</v>
      </c>
      <c r="R125" s="150" t="str">
        <f>_xlfn.IFNA(IF(ISBLANK(TAB_CS[[#This Row],[Ressource]]),"",VLOOKUP(TAB_CS[[#This Row],[Reference]],TAB_Offres[[Reference]:[Profile]],COLUMNS(TAB_Offres[[Reference]:[Profile]]),FALSE)),"")</f>
        <v>Project Manager#R1</v>
      </c>
      <c r="S125" s="150">
        <f>_xlfn.IFNA(IF(ISBLANK(TAB_CS[[#This Row],[Ressource]]),"",VLOOKUP(TAB_CS[[#This Row],[Reference]],TAB_Offres[[Reference]:[Level]],COLUMNS(TAB_Offres[[Reference]:[Level]]),FALSE)),"")</f>
        <v>9</v>
      </c>
      <c r="T125" s="156">
        <f>_xlfn.IFNA(IF(OR(ISBLANK(TAB_CS[[#This Row],[Level]]),TAB_CS[[#This Row],[Level]]=""),,VLOOKUP(TAB_CS[[#This Row],[Profile]],TAB_prix[],2+TAB_CS[[#This Row],[Level]],FALSE)),)</f>
        <v>793.34</v>
      </c>
      <c r="U125" s="151">
        <v>110</v>
      </c>
      <c r="V125" s="205">
        <f>IF(OR(ISBLANK(TAB_CS[[#This Row],[Commited days]]),TAB_CS[[#This Row],[Commited days]]=0),,TAB_CS[[#This Row],[Commited days]]*TAB_CS[[#This Row],[Profile in €]])</f>
        <v>87267.400000000009</v>
      </c>
      <c r="W125" s="156">
        <f>SUM(TAB_CS[[#This Row],[F]:[P+1]])-TAB_CS[[#This Row],[P+1]]</f>
        <v>110</v>
      </c>
      <c r="X125" s="205">
        <f>IF(OR(ISBLANK(TAB_CS[[#This Row],[Producted days]]),TAB_CS[[#This Row],[Producted days]]=0),,TAB_CS[[#This Row],[Producted days]]*TAB_CS[[#This Row],[Profile in €]])</f>
        <v>87267.400000000009</v>
      </c>
      <c r="Y125" s="206">
        <f>TAB_CS[[#This Row],[Commited days]]-TAB_CS[[#This Row],[Producted days]]</f>
        <v>0</v>
      </c>
      <c r="Z125" s="205">
        <f>IF(OR(ISBLANK(TAB_CS[[#This Row],[Remaining days]]),TAB_CS[[#This Row],[Remaining days]]=0),,TAB_CS[[#This Row],[Remaining days]]*TAB_CS[[#This Row],[Profile in €]])</f>
        <v>0</v>
      </c>
      <c r="AA125" s="207">
        <f>SUM(TAB_CS[[#This Row],[P+1]:[FP]])</f>
        <v>0</v>
      </c>
      <c r="AB125" s="208">
        <f>IF(OR(ISBLANK(TAB_CS[[#This Row],[Expected days]]),TAB_CS[[#This Row],[Expected days]]=0),,TAB_CS[[#This Row],[Expected days]]*TAB_CS[[#This Row],[Profile in €]])</f>
        <v>0</v>
      </c>
      <c r="AC125" s="322" t="str">
        <f>CONCATENATE(TAB_CS[[#This Row],[DG]],TAB_CS[[#This Row],[Company]])</f>
        <v>DIGIT.A.2CGI LUX</v>
      </c>
      <c r="AD125" s="209"/>
      <c r="AE125" s="150"/>
      <c r="AF125" s="151"/>
      <c r="AG125" s="151"/>
      <c r="AH125" s="151"/>
      <c r="AI125" s="150"/>
      <c r="AJ125" s="151"/>
      <c r="AK125" s="156"/>
      <c r="AL125" s="156"/>
      <c r="AM125" s="150"/>
      <c r="AN125" s="150"/>
      <c r="AO125" s="150"/>
      <c r="AP125" s="150"/>
      <c r="AQ125" s="150"/>
      <c r="AR125" s="150"/>
      <c r="AS125" s="150"/>
      <c r="AT125" s="156"/>
      <c r="AU125" s="156"/>
      <c r="AV125" s="171"/>
      <c r="AW125" s="171"/>
      <c r="AX125" s="171"/>
      <c r="AY125" s="171"/>
      <c r="AZ125" s="171"/>
      <c r="BA125" s="171"/>
      <c r="BB125" s="171"/>
      <c r="BC125" s="171"/>
      <c r="BD125" s="352">
        <v>16.5</v>
      </c>
      <c r="BE125" s="352">
        <v>19</v>
      </c>
      <c r="BF125" s="352">
        <v>20</v>
      </c>
      <c r="BG125" s="352">
        <v>21</v>
      </c>
      <c r="BH125" s="352">
        <v>21</v>
      </c>
      <c r="BI125" s="323"/>
      <c r="BJ125" s="633">
        <v>12.5</v>
      </c>
      <c r="BK125" s="644"/>
      <c r="BL125" s="644"/>
      <c r="BM125" s="323"/>
      <c r="BN125" s="644"/>
      <c r="BO125" s="644"/>
      <c r="BP125" s="644"/>
      <c r="BQ125" s="644"/>
      <c r="BR125" s="644"/>
      <c r="BS125" s="644"/>
      <c r="BT125" s="644"/>
      <c r="BU125" s="644"/>
      <c r="BV125" s="644"/>
      <c r="BW125" s="644"/>
      <c r="BX125" s="644"/>
      <c r="BY125" s="644"/>
      <c r="BZ125" s="324"/>
    </row>
    <row r="126" spans="1:78" s="4" customFormat="1" ht="14.4" x14ac:dyDescent="0.3">
      <c r="A126" s="1">
        <f>IF(ISBLANK(TAB_CS[[#This Row],[Reference]]),"",INDEX(TAB_Offres[ID],MATCH(TAB_CS[[#This Row],[Reference]],TAB_Offres[Reference],0)))</f>
        <v>124</v>
      </c>
      <c r="B126" s="154" t="s">
        <v>5827</v>
      </c>
      <c r="C126" s="1" t="s">
        <v>5987</v>
      </c>
      <c r="D126" s="150" t="str">
        <f>IF(ISBLANK(TAB_CS[[#This Row],[Reference]]),"",VLOOKUP(TAB_CS[[#This Row],[ID]],TAB_Offres[],2,FALSE))</f>
        <v>Lot 1</v>
      </c>
      <c r="E126" s="1" t="s">
        <v>5920</v>
      </c>
      <c r="F126" s="154">
        <f>_xlfn.IFNA(IF(ISBLANK(TAB_CS[[#This Row],[Reference]]),"",VLOOKUP(TAB_CS[[#This Row],[Reference]],TAB_Offres[[Reference]:[Modification Request]],COLUMNS(TAB_Offres[[Reference]:[Modification Request]]),FALSE)),)</f>
        <v>0</v>
      </c>
      <c r="G126" s="1" t="str">
        <f>IF(ISBLANK(TAB_CS[[#This Row],[Reference]]),"",INDEX(TAB_Offres[Institution/agency],MATCH(TAB_CS[[#This Row],[Reference]],TAB_Offres[Reference],0)))</f>
        <v>EC</v>
      </c>
      <c r="H126" s="1" t="str">
        <f>IF(ISBLANK(TAB_CS[[#This Row],[Reference]]),"",INDEX(TAB_Offres[DG],MATCH(TAB_CS[[#This Row],[Reference]],TAB_Offres[Reference],0)))</f>
        <v>DIGIT.A.4</v>
      </c>
      <c r="I126" s="4" t="str">
        <f>IF(ISBLANK(TAB_CS[[#This Row],[Reference]]),"",INDEX(TAB_Offres[Offer description],MATCH(TAB_CS[[#This Row],[Reference]],TAB_Offres[Reference],0)))</f>
        <v>Full-Stack Developer (FSD)</v>
      </c>
      <c r="J126" s="204">
        <f>_xlfn.IFNA(IF(ISBLANK(TAB_CS[[#This Row],[Ressource]]),,VLOOKUP(TAB_CS[[#This Row],[Reference]],TAB_Offres[[Reference]:[CS signature date]],COLUMNS(TAB_Offres[[Reference]:[CS signature date]]),FALSE)),"")</f>
        <v>45425</v>
      </c>
      <c r="K126" s="204">
        <f>_xlfn.IFNA(IF(ISBLANK(TAB_CS[[#This Row],[Ressource]]),,VLOOKUP(TAB_CS[[#This Row],[Reference]],TAB_Offres[[Reference]:[CS start date]],COLUMNS(TAB_Offres[[Reference]:[CS start date]]),FALSE)),"")</f>
        <v>45425</v>
      </c>
      <c r="L126" s="204">
        <f>_xlfn.IFNA(IF(ISBLANK(TAB_CS[[#This Row],[Ressource]]),,VLOOKUP(TAB_CS[[#This Row],[Reference]],TAB_Offres[[Reference]:[CS end date]],COLUMNS(TAB_Offres[[Reference]:[CS end date]]),FALSE)),"")</f>
        <v>45930</v>
      </c>
      <c r="M126" s="150">
        <f>_xlfn.IFNA(IF(ISBLANK(TAB_CS[[#This Row],[Ressource]]),,VLOOKUP(TAB_CS[[#This Row],[Reference]],TAB_Offres[[Reference]:[CS State]],COLUMNS(TAB_Offres[[Reference]:[CS State]]),FALSE)),"")</f>
        <v>0</v>
      </c>
      <c r="N126" s="26" t="str">
        <f>VLOOKUP(TAB_CS[[#This Row],[Reference]],TAB_Offres[[Reference]:[Ressource 1]],25,FALSE)</f>
        <v>COLLING, Fabiano</v>
      </c>
      <c r="O126" s="150" t="str">
        <f>_xlfn.IFNA(IF(ISBLANK(TAB_CS[[#This Row],[Ressource]]),,VLOOKUP(TAB_CS[[#This Row],[Reference]],TAB_Offres[[Reference]:[Company]],COLUMNS(TAB_Offres[[Reference]:[Company]]),FALSE)),"")</f>
        <v>TALAN</v>
      </c>
      <c r="P126" s="150" t="str">
        <f>_xlfn.CONCAT(TAB_CS[[#This Row],[Ressource]],TAB_CS[[#This Row],[Profile in €]])</f>
        <v>COLLING, Fabiano611,25</v>
      </c>
      <c r="Q126" s="150" t="str">
        <f>_xlfn.CONCAT(TAB_CS[[#This Row],[Company]],TAB_CS[[#This Row],[Business perimeter]])</f>
        <v>TALANNB</v>
      </c>
      <c r="R126" s="150" t="str">
        <f>_xlfn.IFNA(IF(ISBLANK(TAB_CS[[#This Row],[Ressource]]),"",VLOOKUP(TAB_CS[[#This Row],[Reference]],TAB_Offres[[Reference]:[Profile]],COLUMNS(TAB_Offres[[Reference]:[Profile]]),FALSE)),"")</f>
        <v>Full-stack developer#R1</v>
      </c>
      <c r="S126" s="1">
        <f>_xlfn.IFNA(IF(ISBLANK(TAB_CS[[#This Row],[Ressource]]),"",VLOOKUP(TAB_CS[[#This Row],[Reference]],TAB_Offres[[Reference]:[Level]],COLUMNS(TAB_Offres[[Reference]:[Level]]),FALSE)),"")</f>
        <v>8</v>
      </c>
      <c r="T126" s="156">
        <f>_xlfn.IFNA(IF(OR(ISBLANK(TAB_CS[[#This Row],[Level]]),TAB_CS[[#This Row],[Level]]=""),,VLOOKUP(TAB_CS[[#This Row],[Profile]],TAB_prix[],2+TAB_CS[[#This Row],[Level]],FALSE)),)</f>
        <v>611.25</v>
      </c>
      <c r="U126" s="151">
        <v>90</v>
      </c>
      <c r="V126" s="205">
        <f>IF(OR(ISBLANK(TAB_CS[[#This Row],[Commited days]]),TAB_CS[[#This Row],[Commited days]]=0),,TAB_CS[[#This Row],[Commited days]]*TAB_CS[[#This Row],[Profile in €]])</f>
        <v>55012.5</v>
      </c>
      <c r="W126" s="156">
        <f>SUM(TAB_CS[[#This Row],[F]:[P+1]])-TAB_CS[[#This Row],[P+1]]</f>
        <v>90</v>
      </c>
      <c r="X126" s="205">
        <f>IF(OR(ISBLANK(TAB_CS[[#This Row],[Producted days]]),TAB_CS[[#This Row],[Producted days]]=0),,TAB_CS[[#This Row],[Producted days]]*TAB_CS[[#This Row],[Profile in €]])</f>
        <v>55012.5</v>
      </c>
      <c r="Y126" s="206">
        <f>TAB_CS[[#This Row],[Commited days]]-TAB_CS[[#This Row],[Producted days]]</f>
        <v>0</v>
      </c>
      <c r="Z126" s="205">
        <f>IF(OR(ISBLANK(TAB_CS[[#This Row],[Remaining days]]),TAB_CS[[#This Row],[Remaining days]]=0),,TAB_CS[[#This Row],[Remaining days]]*TAB_CS[[#This Row],[Profile in €]])</f>
        <v>0</v>
      </c>
      <c r="AA126" s="207">
        <f>SUM(TAB_CS[[#This Row],[P+1]:[FP]])</f>
        <v>0</v>
      </c>
      <c r="AB126" s="208">
        <f>IF(OR(ISBLANK(TAB_CS[[#This Row],[Expected days]]),TAB_CS[[#This Row],[Expected days]]=0),,TAB_CS[[#This Row],[Expected days]]*TAB_CS[[#This Row],[Profile in €]])</f>
        <v>0</v>
      </c>
      <c r="AC126" s="322" t="str">
        <f>CONCATENATE(TAB_CS[[#This Row],[DG]],TAB_CS[[#This Row],[Company]])</f>
        <v>DIGIT.A.4TALAN</v>
      </c>
      <c r="AD126" s="209"/>
      <c r="AE126" s="150"/>
      <c r="AF126" s="151"/>
      <c r="AG126" s="151"/>
      <c r="AH126" s="13"/>
      <c r="AI126" s="1"/>
      <c r="AJ126" s="13"/>
      <c r="AK126" s="127"/>
      <c r="AL126" s="127"/>
      <c r="AM126" s="1"/>
      <c r="AN126" s="1"/>
      <c r="AO126" s="1"/>
      <c r="AP126" s="1"/>
      <c r="AQ126" s="1"/>
      <c r="AR126" s="1"/>
      <c r="AS126" s="1"/>
      <c r="AT126" s="127"/>
      <c r="AU126" s="127"/>
      <c r="AV126" s="368"/>
      <c r="AW126" s="368"/>
      <c r="AX126" s="368"/>
      <c r="AY126" s="368"/>
      <c r="AZ126" s="368"/>
      <c r="BA126" s="171"/>
      <c r="BB126" s="171"/>
      <c r="BC126" s="171"/>
      <c r="BD126" s="171"/>
      <c r="BE126" s="352">
        <v>8</v>
      </c>
      <c r="BF126" s="289">
        <v>23</v>
      </c>
      <c r="BG126" s="289">
        <v>16</v>
      </c>
      <c r="BH126" s="289">
        <v>21</v>
      </c>
      <c r="BI126" s="323"/>
      <c r="BJ126" s="633">
        <v>22</v>
      </c>
      <c r="BK126" s="644"/>
      <c r="BL126" s="644"/>
      <c r="BM126" s="323"/>
      <c r="BN126" s="644"/>
      <c r="BO126" s="644"/>
      <c r="BP126" s="644"/>
      <c r="BQ126" s="644"/>
      <c r="BR126" s="644"/>
      <c r="BS126" s="644"/>
      <c r="BT126" s="644"/>
      <c r="BU126" s="644"/>
      <c r="BV126" s="644"/>
      <c r="BW126" s="644"/>
      <c r="BX126" s="644"/>
      <c r="BY126" s="644"/>
      <c r="BZ126" s="224"/>
    </row>
    <row r="127" spans="1:78" s="4" customFormat="1" ht="14.4" x14ac:dyDescent="0.3">
      <c r="A127" s="150">
        <f>IF(ISBLANK(TAB_CS[[#This Row],[Reference]]),"",INDEX(TAB_Offres[ID],MATCH(TAB_CS[[#This Row],[Reference]],TAB_Offres[Reference],0)))</f>
        <v>125</v>
      </c>
      <c r="B127" s="154" t="s">
        <v>5828</v>
      </c>
      <c r="C127" s="150" t="s">
        <v>5990</v>
      </c>
      <c r="D127" s="150" t="str">
        <f>IF(ISBLANK(TAB_CS[[#This Row],[Reference]]),"",VLOOKUP(TAB_CS[[#This Row],[ID]],TAB_Offres[],2,FALSE))</f>
        <v>Lot 1</v>
      </c>
      <c r="E127" s="150" t="s">
        <v>5920</v>
      </c>
      <c r="F127" s="154">
        <f>_xlfn.IFNA(IF(ISBLANK(TAB_CS[[#This Row],[Reference]]),"",VLOOKUP(TAB_CS[[#This Row],[Reference]],TAB_Offres[[Reference]:[Modification Request]],COLUMNS(TAB_Offres[[Reference]:[Modification Request]]),FALSE)),)</f>
        <v>0</v>
      </c>
      <c r="G127" s="1" t="str">
        <f>IF(ISBLANK(TAB_CS[[#This Row],[Reference]]),"",INDEX(TAB_Offres[Institution/agency],MATCH(TAB_CS[[#This Row],[Reference]],TAB_Offres[Reference],0)))</f>
        <v>EC</v>
      </c>
      <c r="H127" s="1" t="str">
        <f>IF(ISBLANK(TAB_CS[[#This Row],[Reference]]),"",INDEX(TAB_Offres[DG],MATCH(TAB_CS[[#This Row],[Reference]],TAB_Offres[Reference],0)))</f>
        <v>DIGIT.B.1</v>
      </c>
      <c r="I127" s="4" t="str">
        <f>IF(ISBLANK(TAB_CS[[#This Row],[Reference]]),"",INDEX(TAB_Offres[Offer description],MATCH(TAB_CS[[#This Row],[Reference]],TAB_Offres[Reference],0)))</f>
        <v>Full-Stack Developer (FSD)</v>
      </c>
      <c r="J127" s="204">
        <f>_xlfn.IFNA(IF(ISBLANK(TAB_CS[[#This Row],[Ressource]]),,VLOOKUP(TAB_CS[[#This Row],[Reference]],TAB_Offres[[Reference]:[CS signature date]],COLUMNS(TAB_Offres[[Reference]:[CS signature date]]),FALSE)),"")</f>
        <v>45418</v>
      </c>
      <c r="K127" s="204">
        <f>_xlfn.IFNA(IF(ISBLANK(TAB_CS[[#This Row],[Ressource]]),,VLOOKUP(TAB_CS[[#This Row],[Reference]],TAB_Offres[[Reference]:[CS start date]],COLUMNS(TAB_Offres[[Reference]:[CS start date]]),FALSE)),"")</f>
        <v>45419</v>
      </c>
      <c r="L127" s="204">
        <f>_xlfn.IFNA(IF(ISBLANK(TAB_CS[[#This Row],[Ressource]]),,VLOOKUP(TAB_CS[[#This Row],[Reference]],TAB_Offres[[Reference]:[CS end date]],COLUMNS(TAB_Offres[[Reference]:[CS end date]]),FALSE)),"")</f>
        <v>45930</v>
      </c>
      <c r="M127" s="150">
        <f>_xlfn.IFNA(IF(ISBLANK(TAB_CS[[#This Row],[Ressource]]),,VLOOKUP(TAB_CS[[#This Row],[Reference]],TAB_Offres[[Reference]:[CS State]],COLUMNS(TAB_Offres[[Reference]:[CS State]]),FALSE)),"")</f>
        <v>0</v>
      </c>
      <c r="N127" s="154" t="str">
        <f>VLOOKUP(TAB_CS[[#This Row],[Reference]],TAB_Offres[[Reference]:[Ressource 1]],25,FALSE)</f>
        <v>APETRI, Ioana</v>
      </c>
      <c r="O127" s="150" t="str">
        <f>_xlfn.IFNA(IF(ISBLANK(TAB_CS[[#This Row],[Ressource]]),,VLOOKUP(TAB_CS[[#This Row],[Reference]],TAB_Offres[[Reference]:[Company]],COLUMNS(TAB_Offres[[Reference]:[Company]]),FALSE)),"")</f>
        <v>TALAN</v>
      </c>
      <c r="P127" s="150" t="str">
        <f>_xlfn.CONCAT(TAB_CS[[#This Row],[Ressource]],TAB_CS[[#This Row],[Profile in €]])</f>
        <v>APETRI, Ioana466,31</v>
      </c>
      <c r="Q127" s="150" t="str">
        <f>_xlfn.CONCAT(TAB_CS[[#This Row],[Company]],TAB_CS[[#This Row],[Business perimeter]])</f>
        <v>TALANNB</v>
      </c>
      <c r="R127" s="150" t="str">
        <f>_xlfn.IFNA(IF(ISBLANK(TAB_CS[[#This Row],[Ressource]]),"",VLOOKUP(TAB_CS[[#This Row],[Reference]],TAB_Offres[[Reference]:[Profile]],COLUMNS(TAB_Offres[[Reference]:[Profile]]),FALSE)),"")</f>
        <v>Full-stack developer#R1-FAR</v>
      </c>
      <c r="S127" s="150">
        <f>_xlfn.IFNA(IF(ISBLANK(TAB_CS[[#This Row],[Ressource]]),"",VLOOKUP(TAB_CS[[#This Row],[Reference]],TAB_Offres[[Reference]:[Level]],COLUMNS(TAB_Offres[[Reference]:[Level]]),FALSE)),"")</f>
        <v>7</v>
      </c>
      <c r="T127" s="357">
        <v>466.31</v>
      </c>
      <c r="U127" s="151">
        <v>220</v>
      </c>
      <c r="V127" s="205">
        <f>IF(OR(ISBLANK(TAB_CS[[#This Row],[Commited days]]),TAB_CS[[#This Row],[Commited days]]=0),,TAB_CS[[#This Row],[Commited days]]*TAB_CS[[#This Row],[Profile in €]])</f>
        <v>102588.2</v>
      </c>
      <c r="W127" s="156">
        <f>SUM(TAB_CS[[#This Row],[F]:[P+1]])-TAB_CS[[#This Row],[P+1]]</f>
        <v>113</v>
      </c>
      <c r="X127" s="205">
        <f>IF(OR(ISBLANK(TAB_CS[[#This Row],[Producted days]]),TAB_CS[[#This Row],[Producted days]]=0),,TAB_CS[[#This Row],[Producted days]]*TAB_CS[[#This Row],[Profile in €]])</f>
        <v>52693.03</v>
      </c>
      <c r="Y127" s="206">
        <f>TAB_CS[[#This Row],[Commited days]]-TAB_CS[[#This Row],[Producted days]]</f>
        <v>107</v>
      </c>
      <c r="Z127" s="205">
        <f>IF(OR(ISBLANK(TAB_CS[[#This Row],[Remaining days]]),TAB_CS[[#This Row],[Remaining days]]=0),,TAB_CS[[#This Row],[Remaining days]]*TAB_CS[[#This Row],[Profile in €]])</f>
        <v>49895.17</v>
      </c>
      <c r="AA127" s="207">
        <f>SUM(TAB_CS[[#This Row],[P+1]:[FP]])</f>
        <v>107</v>
      </c>
      <c r="AB127" s="208">
        <f>IF(OR(ISBLANK(TAB_CS[[#This Row],[Expected days]]),TAB_CS[[#This Row],[Expected days]]=0),,TAB_CS[[#This Row],[Expected days]]*TAB_CS[[#This Row],[Profile in €]])</f>
        <v>49895.17</v>
      </c>
      <c r="AC127" s="322" t="str">
        <f>CONCATENATE(TAB_CS[[#This Row],[DG]],TAB_CS[[#This Row],[Company]])</f>
        <v>DIGIT.B.1TALAN</v>
      </c>
      <c r="AD127" s="209"/>
      <c r="AE127" s="150"/>
      <c r="AF127" s="151"/>
      <c r="AG127" s="151"/>
      <c r="AH127" s="151"/>
      <c r="AI127" s="150"/>
      <c r="AJ127" s="151"/>
      <c r="AK127" s="156"/>
      <c r="AL127" s="156"/>
      <c r="AM127" s="150"/>
      <c r="AN127" s="150"/>
      <c r="AO127" s="150"/>
      <c r="AP127" s="150"/>
      <c r="AQ127" s="150"/>
      <c r="AR127" s="150"/>
      <c r="AS127" s="150"/>
      <c r="AT127" s="156"/>
      <c r="AU127" s="156"/>
      <c r="AV127" s="171"/>
      <c r="AW127" s="171"/>
      <c r="AX127" s="171"/>
      <c r="AY127" s="171"/>
      <c r="AZ127" s="171"/>
      <c r="BA127" s="171"/>
      <c r="BB127" s="171"/>
      <c r="BC127" s="171"/>
      <c r="BD127" s="171"/>
      <c r="BE127" s="352">
        <v>7</v>
      </c>
      <c r="BF127" s="352">
        <v>13</v>
      </c>
      <c r="BG127" s="352">
        <v>15</v>
      </c>
      <c r="BH127" s="352">
        <v>21</v>
      </c>
      <c r="BI127" s="323"/>
      <c r="BJ127" s="291">
        <v>21</v>
      </c>
      <c r="BK127" s="171">
        <v>18</v>
      </c>
      <c r="BL127" s="171">
        <v>18</v>
      </c>
      <c r="BM127" s="323"/>
      <c r="BN127" s="171">
        <v>18</v>
      </c>
      <c r="BO127" s="171">
        <v>18</v>
      </c>
      <c r="BP127" s="171">
        <v>18</v>
      </c>
      <c r="BQ127" s="171">
        <v>18</v>
      </c>
      <c r="BR127" s="171">
        <v>18</v>
      </c>
      <c r="BS127" s="171">
        <v>17</v>
      </c>
      <c r="BT127" s="171"/>
      <c r="BU127" s="171"/>
      <c r="BV127" s="171"/>
      <c r="BW127" s="644"/>
      <c r="BX127" s="644"/>
      <c r="BY127" s="644"/>
      <c r="BZ127" s="324"/>
    </row>
    <row r="128" spans="1:78" s="4" customFormat="1" ht="14.4" x14ac:dyDescent="0.3">
      <c r="A128" s="150">
        <f>IF(ISBLANK(TAB_CS[[#This Row],[Reference]]),"",INDEX(TAB_Offres[ID],MATCH(TAB_CS[[#This Row],[Reference]],TAB_Offres[Reference],0)))</f>
        <v>126</v>
      </c>
      <c r="B128" s="154" t="s">
        <v>5829</v>
      </c>
      <c r="C128" s="150" t="s">
        <v>5989</v>
      </c>
      <c r="D128" s="150" t="str">
        <f>IF(ISBLANK(TAB_CS[[#This Row],[Reference]]),"",VLOOKUP(TAB_CS[[#This Row],[ID]],TAB_Offres[],2,FALSE))</f>
        <v>Lot 3</v>
      </c>
      <c r="E128" s="150" t="s">
        <v>5920</v>
      </c>
      <c r="F128" s="154">
        <f>_xlfn.IFNA(IF(ISBLANK(TAB_CS[[#This Row],[Reference]]),"",VLOOKUP(TAB_CS[[#This Row],[Reference]],TAB_Offres[[Reference]:[Modification Request]],COLUMNS(TAB_Offres[[Reference]:[Modification Request]]),FALSE)),)</f>
        <v>0</v>
      </c>
      <c r="G128" s="1" t="str">
        <f>IF(ISBLANK(TAB_CS[[#This Row],[Reference]]),"",INDEX(TAB_Offres[Institution/agency],MATCH(TAB_CS[[#This Row],[Reference]],TAB_Offres[Reference],0)))</f>
        <v>EC</v>
      </c>
      <c r="H128" s="1" t="str">
        <f>IF(ISBLANK(TAB_CS[[#This Row],[Reference]]),"",INDEX(TAB_Offres[DG],MATCH(TAB_CS[[#This Row],[Reference]],TAB_Offres[Reference],0)))</f>
        <v>DIGIT.C.4</v>
      </c>
      <c r="I128" s="4" t="str">
        <f>IF(ISBLANK(TAB_CS[[#This Row],[Reference]]),"",INDEX(TAB_Offres[Offer description],MATCH(TAB_CS[[#This Row],[Reference]],TAB_Offres[Reference],0)))</f>
        <v>Onboarding Manager (OM)</v>
      </c>
      <c r="J128" s="204">
        <f>_xlfn.IFNA(IF(ISBLANK(TAB_CS[[#This Row],[Ressource]]),,VLOOKUP(TAB_CS[[#This Row],[Reference]],TAB_Offres[[Reference]:[CS signature date]],COLUMNS(TAB_Offres[[Reference]:[CS signature date]]),FALSE)),"")</f>
        <v>45419</v>
      </c>
      <c r="K128" s="204">
        <f>_xlfn.IFNA(IF(ISBLANK(TAB_CS[[#This Row],[Ressource]]),,VLOOKUP(TAB_CS[[#This Row],[Reference]],TAB_Offres[[Reference]:[CS start date]],COLUMNS(TAB_Offres[[Reference]:[CS start date]]),FALSE)),"")</f>
        <v>45425</v>
      </c>
      <c r="L128" s="204">
        <f>_xlfn.IFNA(IF(ISBLANK(TAB_CS[[#This Row],[Ressource]]),,VLOOKUP(TAB_CS[[#This Row],[Reference]],TAB_Offres[[Reference]:[CS end date]],COLUMNS(TAB_Offres[[Reference]:[CS end date]]),FALSE)),"")</f>
        <v>45930</v>
      </c>
      <c r="M128" s="150">
        <f>_xlfn.IFNA(IF(ISBLANK(TAB_CS[[#This Row],[Ressource]]),,VLOOKUP(TAB_CS[[#This Row],[Reference]],TAB_Offres[[Reference]:[CS State]],COLUMNS(TAB_Offres[[Reference]:[CS State]]),FALSE)),"")</f>
        <v>0</v>
      </c>
      <c r="N128" s="154" t="str">
        <f>VLOOKUP(TAB_CS[[#This Row],[Reference]],TAB_Offres[[Reference]:[Ressource 1]],25,FALSE)</f>
        <v>DEVLEESCHOUWER, Sophie</v>
      </c>
      <c r="O128" s="150" t="str">
        <f>_xlfn.IFNA(IF(ISBLANK(TAB_CS[[#This Row],[Ressource]]),,VLOOKUP(TAB_CS[[#This Row],[Reference]],TAB_Offres[[Reference]:[Company]],COLUMNS(TAB_Offres[[Reference]:[Company]]),FALSE)),"")</f>
        <v>CGI LUX</v>
      </c>
      <c r="P128" s="150" t="str">
        <f>_xlfn.CONCAT(TAB_CS[[#This Row],[Ressource]],TAB_CS[[#This Row],[Profile in €]])</f>
        <v>DEVLEESCHOUWER, Sophie851,39</v>
      </c>
      <c r="Q128" s="150" t="str">
        <f>_xlfn.CONCAT(TAB_CS[[#This Row],[Company]],TAB_CS[[#This Row],[Business perimeter]])</f>
        <v>CGI LUXNB</v>
      </c>
      <c r="R128" s="150" t="str">
        <f>_xlfn.IFNA(IF(ISBLANK(TAB_CS[[#This Row],[Ressource]]),"",VLOOKUP(TAB_CS[[#This Row],[Reference]],TAB_Offres[[Reference]:[Profile]],COLUMNS(TAB_Offres[[Reference]:[Profile]]),FALSE)),"")</f>
        <v>Onboarding manager#R1</v>
      </c>
      <c r="S128" s="150">
        <f>_xlfn.IFNA(IF(ISBLANK(TAB_CS[[#This Row],[Ressource]]),"",VLOOKUP(TAB_CS[[#This Row],[Reference]],TAB_Offres[[Reference]:[Level]],COLUMNS(TAB_Offres[[Reference]:[Level]]),FALSE)),"")</f>
        <v>9</v>
      </c>
      <c r="T128" s="156">
        <f>_xlfn.IFNA(IF(OR(ISBLANK(TAB_CS[[#This Row],[Level]]),TAB_CS[[#This Row],[Level]]=""),,VLOOKUP(TAB_CS[[#This Row],[Profile]],TAB_prix[],2+TAB_CS[[#This Row],[Level]],FALSE)),)</f>
        <v>851.39</v>
      </c>
      <c r="U128" s="151">
        <v>110</v>
      </c>
      <c r="V128" s="205">
        <f>IF(OR(ISBLANK(TAB_CS[[#This Row],[Commited days]]),TAB_CS[[#This Row],[Commited days]]=0),,TAB_CS[[#This Row],[Commited days]]*TAB_CS[[#This Row],[Profile in €]])</f>
        <v>93652.9</v>
      </c>
      <c r="W128" s="156">
        <f>SUM(TAB_CS[[#This Row],[F]:[P+1]])-TAB_CS[[#This Row],[P+1]]</f>
        <v>110</v>
      </c>
      <c r="X128" s="205">
        <f>IF(OR(ISBLANK(TAB_CS[[#This Row],[Producted days]]),TAB_CS[[#This Row],[Producted days]]=0),,TAB_CS[[#This Row],[Producted days]]*TAB_CS[[#This Row],[Profile in €]])</f>
        <v>93652.9</v>
      </c>
      <c r="Y128" s="206">
        <f>TAB_CS[[#This Row],[Commited days]]-TAB_CS[[#This Row],[Producted days]]</f>
        <v>0</v>
      </c>
      <c r="Z128" s="205">
        <f>IF(OR(ISBLANK(TAB_CS[[#This Row],[Remaining days]]),TAB_CS[[#This Row],[Remaining days]]=0),,TAB_CS[[#This Row],[Remaining days]]*TAB_CS[[#This Row],[Profile in €]])</f>
        <v>0</v>
      </c>
      <c r="AA128" s="207">
        <f>SUM(TAB_CS[[#This Row],[P+1]:[FP]])</f>
        <v>0</v>
      </c>
      <c r="AB128" s="208">
        <f>IF(OR(ISBLANK(TAB_CS[[#This Row],[Expected days]]),TAB_CS[[#This Row],[Expected days]]=0),,TAB_CS[[#This Row],[Expected days]]*TAB_CS[[#This Row],[Profile in €]])</f>
        <v>0</v>
      </c>
      <c r="AC128" s="322" t="str">
        <f>CONCATENATE(TAB_CS[[#This Row],[DG]],TAB_CS[[#This Row],[Company]])</f>
        <v>DIGIT.C.4CGI LUX</v>
      </c>
      <c r="AD128" s="209"/>
      <c r="AE128" s="150"/>
      <c r="AF128" s="151"/>
      <c r="AG128" s="151"/>
      <c r="AH128" s="151"/>
      <c r="AI128" s="150"/>
      <c r="AJ128" s="151"/>
      <c r="AK128" s="156"/>
      <c r="AL128" s="156"/>
      <c r="AM128" s="150"/>
      <c r="AN128" s="150"/>
      <c r="AO128" s="150"/>
      <c r="AP128" s="150"/>
      <c r="AQ128" s="150"/>
      <c r="AR128" s="150"/>
      <c r="AS128" s="150"/>
      <c r="AT128" s="156"/>
      <c r="AU128" s="156"/>
      <c r="AV128" s="171"/>
      <c r="AW128" s="171"/>
      <c r="AX128" s="171"/>
      <c r="AY128" s="171"/>
      <c r="AZ128" s="171"/>
      <c r="BA128" s="171"/>
      <c r="BB128" s="171"/>
      <c r="BC128" s="171"/>
      <c r="BD128" s="352">
        <v>3</v>
      </c>
      <c r="BE128" s="352">
        <v>18.5</v>
      </c>
      <c r="BF128" s="352">
        <v>12</v>
      </c>
      <c r="BG128" s="352">
        <v>10</v>
      </c>
      <c r="BH128" s="352">
        <v>19.5</v>
      </c>
      <c r="BI128" s="323"/>
      <c r="BJ128" s="291">
        <v>14</v>
      </c>
      <c r="BK128" s="171">
        <v>18</v>
      </c>
      <c r="BL128" s="171">
        <v>15</v>
      </c>
      <c r="BM128" s="323"/>
      <c r="BN128" s="171"/>
      <c r="BO128" s="171"/>
      <c r="BP128" s="171"/>
      <c r="BQ128" s="171"/>
      <c r="BR128" s="171"/>
      <c r="BS128" s="171"/>
      <c r="BT128" s="171"/>
      <c r="BU128" s="171"/>
      <c r="BV128" s="171"/>
      <c r="BW128" s="644"/>
      <c r="BX128" s="644"/>
      <c r="BY128" s="644"/>
      <c r="BZ128" s="324"/>
    </row>
    <row r="129" spans="1:78" s="4" customFormat="1" ht="14.4" x14ac:dyDescent="0.3">
      <c r="A129" s="150">
        <f>IF(ISBLANK(TAB_CS[[#This Row],[Reference]]),"",INDEX(TAB_Offres[ID],MATCH(TAB_CS[[#This Row],[Reference]],TAB_Offres[Reference],0)))</f>
        <v>127</v>
      </c>
      <c r="B129" s="154" t="s">
        <v>5830</v>
      </c>
      <c r="C129" s="150" t="s">
        <v>5992</v>
      </c>
      <c r="D129" s="150" t="str">
        <f>IF(ISBLANK(TAB_CS[[#This Row],[Reference]]),"",VLOOKUP(TAB_CS[[#This Row],[ID]],TAB_Offres[],2,FALSE))</f>
        <v>Lot 2</v>
      </c>
      <c r="E129" s="150" t="s">
        <v>5920</v>
      </c>
      <c r="F129" s="154">
        <f>_xlfn.IFNA(IF(ISBLANK(TAB_CS[[#This Row],[Reference]]),"",VLOOKUP(TAB_CS[[#This Row],[Reference]],TAB_Offres[[Reference]:[Modification Request]],COLUMNS(TAB_Offres[[Reference]:[Modification Request]]),FALSE)),)</f>
        <v>0</v>
      </c>
      <c r="G129" s="1" t="str">
        <f>IF(ISBLANK(TAB_CS[[#This Row],[Reference]]),"",INDEX(TAB_Offres[Institution/agency],MATCH(TAB_CS[[#This Row],[Reference]],TAB_Offres[Reference],0)))</f>
        <v>EC</v>
      </c>
      <c r="H129" s="1" t="str">
        <f>IF(ISBLANK(TAB_CS[[#This Row],[Reference]]),"",INDEX(TAB_Offres[DG],MATCH(TAB_CS[[#This Row],[Reference]],TAB_Offres[Reference],0)))</f>
        <v>DIGIT.C.4</v>
      </c>
      <c r="I129" s="4" t="str">
        <f>IF(ISBLANK(TAB_CS[[#This Row],[Reference]]),"",INDEX(TAB_Offres[Offer description],MATCH(TAB_CS[[#This Row],[Reference]],TAB_Offres[Reference],0)))</f>
        <v>Project Manager</v>
      </c>
      <c r="J129" s="204">
        <f>_xlfn.IFNA(IF(ISBLANK(TAB_CS[[#This Row],[Ressource]]),,VLOOKUP(TAB_CS[[#This Row],[Reference]],TAB_Offres[[Reference]:[CS signature date]],COLUMNS(TAB_Offres[[Reference]:[CS signature date]]),FALSE)),"")</f>
        <v>45419</v>
      </c>
      <c r="K129" s="204">
        <f>_xlfn.IFNA(IF(ISBLANK(TAB_CS[[#This Row],[Ressource]]),,VLOOKUP(TAB_CS[[#This Row],[Reference]],TAB_Offres[[Reference]:[CS start date]],COLUMNS(TAB_Offres[[Reference]:[CS start date]]),FALSE)),"")</f>
        <v>45425</v>
      </c>
      <c r="L129" s="204">
        <f>_xlfn.IFNA(IF(ISBLANK(TAB_CS[[#This Row],[Ressource]]),,VLOOKUP(TAB_CS[[#This Row],[Reference]],TAB_Offres[[Reference]:[CS end date]],COLUMNS(TAB_Offres[[Reference]:[CS end date]]),FALSE)),"")</f>
        <v>45930</v>
      </c>
      <c r="M129" s="150">
        <f>_xlfn.IFNA(IF(ISBLANK(TAB_CS[[#This Row],[Ressource]]),,VLOOKUP(TAB_CS[[#This Row],[Reference]],TAB_Offres[[Reference]:[CS State]],COLUMNS(TAB_Offres[[Reference]:[CS State]]),FALSE)),"")</f>
        <v>0</v>
      </c>
      <c r="N129" s="154" t="str">
        <f>VLOOKUP(TAB_CS[[#This Row],[Reference]],TAB_Offres[[Reference]:[Ressource 1]],25,FALSE)</f>
        <v>GAGO CABEZAS, Irma</v>
      </c>
      <c r="O129" s="150" t="str">
        <f>_xlfn.IFNA(IF(ISBLANK(TAB_CS[[#This Row],[Ressource]]),,VLOOKUP(TAB_CS[[#This Row],[Reference]],TAB_Offres[[Reference]:[Company]],COLUMNS(TAB_Offres[[Reference]:[Company]]),FALSE)),"")</f>
        <v>CGI LUX</v>
      </c>
      <c r="P129" s="150" t="str">
        <f>_xlfn.CONCAT(TAB_CS[[#This Row],[Ressource]],TAB_CS[[#This Row],[Profile in €]])</f>
        <v>GAGO CABEZAS, Irma848,87</v>
      </c>
      <c r="Q129" s="150" t="str">
        <f>_xlfn.CONCAT(TAB_CS[[#This Row],[Company]],TAB_CS[[#This Row],[Business perimeter]])</f>
        <v>CGI LUXNB</v>
      </c>
      <c r="R129" s="150" t="str">
        <f>_xlfn.IFNA(IF(ISBLANK(TAB_CS[[#This Row],[Ressource]]),"",VLOOKUP(TAB_CS[[#This Row],[Reference]],TAB_Offres[[Reference]:[Profile]],COLUMNS(TAB_Offres[[Reference]:[Profile]]),FALSE)),"")</f>
        <v>Project Manager#R1</v>
      </c>
      <c r="S129" s="150">
        <f>_xlfn.IFNA(IF(ISBLANK(TAB_CS[[#This Row],[Ressource]]),"",VLOOKUP(TAB_CS[[#This Row],[Reference]],TAB_Offres[[Reference]:[Level]],COLUMNS(TAB_Offres[[Reference]:[Level]]),FALSE)),"")</f>
        <v>10</v>
      </c>
      <c r="T129" s="156">
        <f>_xlfn.IFNA(IF(OR(ISBLANK(TAB_CS[[#This Row],[Level]]),TAB_CS[[#This Row],[Level]]=""),,VLOOKUP(TAB_CS[[#This Row],[Profile]],TAB_prix[],2+TAB_CS[[#This Row],[Level]],FALSE)),)</f>
        <v>848.87</v>
      </c>
      <c r="U129" s="151">
        <v>110</v>
      </c>
      <c r="V129" s="205">
        <f>IF(OR(ISBLANK(TAB_CS[[#This Row],[Commited days]]),TAB_CS[[#This Row],[Commited days]]=0),,TAB_CS[[#This Row],[Commited days]]*TAB_CS[[#This Row],[Profile in €]])</f>
        <v>93375.7</v>
      </c>
      <c r="W129" s="156">
        <f>SUM(TAB_CS[[#This Row],[F]:[P+1]])-TAB_CS[[#This Row],[P+1]]</f>
        <v>110</v>
      </c>
      <c r="X129" s="205">
        <f>IF(OR(ISBLANK(TAB_CS[[#This Row],[Producted days]]),TAB_CS[[#This Row],[Producted days]]=0),,TAB_CS[[#This Row],[Producted days]]*TAB_CS[[#This Row],[Profile in €]])</f>
        <v>93375.7</v>
      </c>
      <c r="Y129" s="206">
        <f>TAB_CS[[#This Row],[Commited days]]-TAB_CS[[#This Row],[Producted days]]</f>
        <v>0</v>
      </c>
      <c r="Z129" s="205">
        <f>IF(OR(ISBLANK(TAB_CS[[#This Row],[Remaining days]]),TAB_CS[[#This Row],[Remaining days]]=0),,TAB_CS[[#This Row],[Remaining days]]*TAB_CS[[#This Row],[Profile in €]])</f>
        <v>0</v>
      </c>
      <c r="AA129" s="207">
        <f>SUM(TAB_CS[[#This Row],[P+1]:[FP]])</f>
        <v>0</v>
      </c>
      <c r="AB129" s="208">
        <f>IF(OR(ISBLANK(TAB_CS[[#This Row],[Expected days]]),TAB_CS[[#This Row],[Expected days]]=0),,TAB_CS[[#This Row],[Expected days]]*TAB_CS[[#This Row],[Profile in €]])</f>
        <v>0</v>
      </c>
      <c r="AC129" s="322" t="str">
        <f>CONCATENATE(TAB_CS[[#This Row],[DG]],TAB_CS[[#This Row],[Company]])</f>
        <v>DIGIT.C.4CGI LUX</v>
      </c>
      <c r="AD129" s="209"/>
      <c r="AE129" s="150"/>
      <c r="AF129" s="151"/>
      <c r="AG129" s="151"/>
      <c r="AH129" s="151"/>
      <c r="AI129" s="150"/>
      <c r="AJ129" s="151"/>
      <c r="AK129" s="156"/>
      <c r="AL129" s="156"/>
      <c r="AM129" s="150"/>
      <c r="AN129" s="150"/>
      <c r="AO129" s="150"/>
      <c r="AP129" s="150"/>
      <c r="AQ129" s="150"/>
      <c r="AR129" s="150"/>
      <c r="AS129" s="150"/>
      <c r="AT129" s="156"/>
      <c r="AU129" s="156"/>
      <c r="AV129" s="321"/>
      <c r="AW129" s="321"/>
      <c r="AX129" s="321"/>
      <c r="AY129" s="321"/>
      <c r="AZ129" s="321"/>
      <c r="BA129" s="321"/>
      <c r="BB129" s="321"/>
      <c r="BC129" s="321"/>
      <c r="BD129" s="321"/>
      <c r="BE129" s="360">
        <v>19</v>
      </c>
      <c r="BF129" s="360">
        <v>16.5</v>
      </c>
      <c r="BG129" s="360">
        <v>8</v>
      </c>
      <c r="BH129" s="360">
        <v>20</v>
      </c>
      <c r="BI129" s="323"/>
      <c r="BJ129" s="632">
        <v>14</v>
      </c>
      <c r="BK129" s="321">
        <v>18</v>
      </c>
      <c r="BL129" s="321">
        <v>14.5</v>
      </c>
      <c r="BM129" s="323"/>
      <c r="BN129" s="321"/>
      <c r="BO129" s="321"/>
      <c r="BP129" s="321"/>
      <c r="BQ129" s="321"/>
      <c r="BR129" s="321"/>
      <c r="BS129" s="321"/>
      <c r="BT129" s="321"/>
      <c r="BU129" s="321"/>
      <c r="BV129" s="321"/>
      <c r="BW129" s="642"/>
      <c r="BX129" s="642"/>
      <c r="BY129" s="642"/>
      <c r="BZ129" s="324"/>
    </row>
    <row r="130" spans="1:78" s="4" customFormat="1" ht="14.4" x14ac:dyDescent="0.3">
      <c r="A130" s="150">
        <f>IF(ISBLANK(TAB_CS[[#This Row],[Reference]]),"",INDEX(TAB_Offres[ID],MATCH(TAB_CS[[#This Row],[Reference]],TAB_Offres[Reference],0)))</f>
        <v>128</v>
      </c>
      <c r="B130" s="154" t="s">
        <v>5831</v>
      </c>
      <c r="C130" s="150" t="s">
        <v>5993</v>
      </c>
      <c r="D130" s="150" t="str">
        <f>IF(ISBLANK(TAB_CS[[#This Row],[Reference]]),"",VLOOKUP(TAB_CS[[#This Row],[ID]],TAB_Offres[],2,FALSE))</f>
        <v>Lot 1</v>
      </c>
      <c r="E130" s="150" t="s">
        <v>5920</v>
      </c>
      <c r="F130" s="154">
        <f>_xlfn.IFNA(IF(ISBLANK(TAB_CS[[#This Row],[Reference]]),"",VLOOKUP(TAB_CS[[#This Row],[Reference]],TAB_Offres[[Reference]:[Modification Request]],COLUMNS(TAB_Offres[[Reference]:[Modification Request]]),FALSE)),)</f>
        <v>0</v>
      </c>
      <c r="G130" s="1" t="str">
        <f>IF(ISBLANK(TAB_CS[[#This Row],[Reference]]),"",INDEX(TAB_Offres[Institution/agency],MATCH(TAB_CS[[#This Row],[Reference]],TAB_Offres[Reference],0)))</f>
        <v>REA</v>
      </c>
      <c r="H130" s="1" t="str">
        <f>IF(ISBLANK(TAB_CS[[#This Row],[Reference]]),"",INDEX(TAB_Offres[DG],MATCH(TAB_CS[[#This Row],[Reference]],TAB_Offres[Reference],0)))</f>
        <v>REA</v>
      </c>
      <c r="I130" s="4" t="str">
        <f>IF(ISBLANK(TAB_CS[[#This Row],[Reference]]),"",INDEX(TAB_Offres[Offer description],MATCH(TAB_CS[[#This Row],[Reference]],TAB_Offres[Reference],0)))</f>
        <v>Full-Stack Developer (FSD)</v>
      </c>
      <c r="J130" s="204">
        <f>_xlfn.IFNA(IF(ISBLANK(TAB_CS[[#This Row],[Ressource]]),,VLOOKUP(TAB_CS[[#This Row],[Reference]],TAB_Offres[[Reference]:[CS signature date]],COLUMNS(TAB_Offres[[Reference]:[CS signature date]]),FALSE)),"")</f>
        <v>45441</v>
      </c>
      <c r="K130" s="204">
        <f>_xlfn.IFNA(IF(ISBLANK(TAB_CS[[#This Row],[Ressource]]),,VLOOKUP(TAB_CS[[#This Row],[Reference]],TAB_Offres[[Reference]:[CS start date]],COLUMNS(TAB_Offres[[Reference]:[CS start date]]),FALSE)),"")</f>
        <v>45427</v>
      </c>
      <c r="L130" s="204">
        <f>_xlfn.IFNA(IF(ISBLANK(TAB_CS[[#This Row],[Ressource]]),,VLOOKUP(TAB_CS[[#This Row],[Reference]],TAB_Offres[[Reference]:[CS end date]],COLUMNS(TAB_Offres[[Reference]:[CS end date]]),FALSE)),"")</f>
        <v>45838</v>
      </c>
      <c r="M130" s="150">
        <f>_xlfn.IFNA(IF(ISBLANK(TAB_CS[[#This Row],[Ressource]]),,VLOOKUP(TAB_CS[[#This Row],[Reference]],TAB_Offres[[Reference]:[CS State]],COLUMNS(TAB_Offres[[Reference]:[CS State]]),FALSE)),"")</f>
        <v>0</v>
      </c>
      <c r="N130" s="154" t="str">
        <f>VLOOKUP(TAB_CS[[#This Row],[Reference]],TAB_Offres[[Reference]:[Ressource 1]],25,FALSE)</f>
        <v>DIAZ MUNOZ, Jaime</v>
      </c>
      <c r="O130" s="150" t="str">
        <f>_xlfn.IFNA(IF(ISBLANK(TAB_CS[[#This Row],[Ressource]]),,VLOOKUP(TAB_CS[[#This Row],[Reference]],TAB_Offres[[Reference]:[Company]],COLUMNS(TAB_Offres[[Reference]:[Company]]),FALSE)),"")</f>
        <v>EDDA</v>
      </c>
      <c r="P130" s="150" t="str">
        <f>_xlfn.CONCAT(TAB_CS[[#This Row],[Ressource]],TAB_CS[[#This Row],[Profile in €]])</f>
        <v>DIAZ MUNOZ, Jaime654,04</v>
      </c>
      <c r="Q130" s="150" t="str">
        <f>_xlfn.CONCAT(TAB_CS[[#This Row],[Company]],TAB_CS[[#This Row],[Business perimeter]])</f>
        <v>EDDANB</v>
      </c>
      <c r="R130" s="150" t="str">
        <f>_xlfn.IFNA(IF(ISBLANK(TAB_CS[[#This Row],[Ressource]]),"",VLOOKUP(TAB_CS[[#This Row],[Reference]],TAB_Offres[[Reference]:[Profile]],COLUMNS(TAB_Offres[[Reference]:[Profile]]),FALSE)),"")</f>
        <v>Full-stack developer#R1</v>
      </c>
      <c r="S130" s="150">
        <f>_xlfn.IFNA(IF(ISBLANK(TAB_CS[[#This Row],[Ressource]]),"",VLOOKUP(TAB_CS[[#This Row],[Reference]],TAB_Offres[[Reference]:[Level]],COLUMNS(TAB_Offres[[Reference]:[Level]]),FALSE)),"")</f>
        <v>9</v>
      </c>
      <c r="T130" s="156">
        <f>_xlfn.IFNA(IF(OR(ISBLANK(TAB_CS[[#This Row],[Level]]),TAB_CS[[#This Row],[Level]]=""),,VLOOKUP(TAB_CS[[#This Row],[Profile]],TAB_prix[],2+TAB_CS[[#This Row],[Level]],FALSE)),)</f>
        <v>654.04</v>
      </c>
      <c r="U130" s="151">
        <v>205</v>
      </c>
      <c r="V130" s="205">
        <f>IF(OR(ISBLANK(TAB_CS[[#This Row],[Commited days]]),TAB_CS[[#This Row],[Commited days]]=0),,TAB_CS[[#This Row],[Commited days]]*TAB_CS[[#This Row],[Profile in €]])</f>
        <v>134078.19999999998</v>
      </c>
      <c r="W130" s="156">
        <f>SUM(TAB_CS[[#This Row],[F]:[P+1]])-TAB_CS[[#This Row],[P+1]]</f>
        <v>120</v>
      </c>
      <c r="X130" s="205">
        <f>IF(OR(ISBLANK(TAB_CS[[#This Row],[Producted days]]),TAB_CS[[#This Row],[Producted days]]=0),,TAB_CS[[#This Row],[Producted days]]*TAB_CS[[#This Row],[Profile in €]])</f>
        <v>78484.799999999988</v>
      </c>
      <c r="Y130" s="206">
        <f>TAB_CS[[#This Row],[Commited days]]-TAB_CS[[#This Row],[Producted days]]</f>
        <v>85</v>
      </c>
      <c r="Z130" s="205">
        <f>IF(OR(ISBLANK(TAB_CS[[#This Row],[Remaining days]]),TAB_CS[[#This Row],[Remaining days]]=0),,TAB_CS[[#This Row],[Remaining days]]*TAB_CS[[#This Row],[Profile in €]])</f>
        <v>55593.399999999994</v>
      </c>
      <c r="AA130" s="207">
        <f>SUM(TAB_CS[[#This Row],[P+1]:[FP]])</f>
        <v>85</v>
      </c>
      <c r="AB130" s="208">
        <f>IF(OR(ISBLANK(TAB_CS[[#This Row],[Expected days]]),TAB_CS[[#This Row],[Expected days]]=0),,TAB_CS[[#This Row],[Expected days]]*TAB_CS[[#This Row],[Profile in €]])</f>
        <v>55593.399999999994</v>
      </c>
      <c r="AC130" s="322" t="str">
        <f>CONCATENATE(TAB_CS[[#This Row],[DG]],TAB_CS[[#This Row],[Company]])</f>
        <v>REAEDDA</v>
      </c>
      <c r="AD130" s="209"/>
      <c r="AE130" s="150"/>
      <c r="AF130" s="151"/>
      <c r="AG130" s="151"/>
      <c r="AH130" s="151"/>
      <c r="AI130" s="150"/>
      <c r="AJ130" s="151"/>
      <c r="AK130" s="156"/>
      <c r="AL130" s="156"/>
      <c r="AM130" s="150"/>
      <c r="AN130" s="150"/>
      <c r="AO130" s="150"/>
      <c r="AP130" s="150"/>
      <c r="AQ130" s="150"/>
      <c r="AR130" s="150"/>
      <c r="AS130" s="150"/>
      <c r="AT130" s="156"/>
      <c r="AU130" s="156"/>
      <c r="AV130" s="171"/>
      <c r="AW130" s="171"/>
      <c r="AX130" s="171"/>
      <c r="AY130" s="171"/>
      <c r="AZ130" s="171"/>
      <c r="BA130" s="171"/>
      <c r="BB130" s="171"/>
      <c r="BC130" s="171"/>
      <c r="BD130" s="171"/>
      <c r="BE130" s="352">
        <v>20</v>
      </c>
      <c r="BF130" s="352">
        <v>8</v>
      </c>
      <c r="BG130" s="352">
        <v>17</v>
      </c>
      <c r="BH130" s="352">
        <v>21</v>
      </c>
      <c r="BI130" s="323"/>
      <c r="BJ130" s="171">
        <v>18</v>
      </c>
      <c r="BK130" s="171">
        <v>18</v>
      </c>
      <c r="BL130" s="171">
        <v>18</v>
      </c>
      <c r="BM130" s="323"/>
      <c r="BN130" s="171">
        <v>18</v>
      </c>
      <c r="BO130" s="171">
        <v>18</v>
      </c>
      <c r="BP130" s="171">
        <v>18</v>
      </c>
      <c r="BQ130" s="171">
        <v>18</v>
      </c>
      <c r="BR130" s="171">
        <v>13</v>
      </c>
      <c r="BS130" s="171"/>
      <c r="BT130" s="644"/>
      <c r="BU130" s="644"/>
      <c r="BV130" s="644"/>
      <c r="BW130" s="644"/>
      <c r="BX130" s="644"/>
      <c r="BY130" s="644"/>
      <c r="BZ130" s="324"/>
    </row>
    <row r="131" spans="1:78" s="4" customFormat="1" ht="14.4" x14ac:dyDescent="0.3">
      <c r="A131" s="150">
        <f>IF(ISBLANK(TAB_CS[[#This Row],[Reference]]),"",INDEX(TAB_Offres[ID],MATCH(TAB_CS[[#This Row],[Reference]],TAB_Offres[Reference],0)))</f>
        <v>129</v>
      </c>
      <c r="B131" s="154" t="s">
        <v>5888</v>
      </c>
      <c r="C131" s="150" t="s">
        <v>5988</v>
      </c>
      <c r="D131" s="150" t="str">
        <f>IF(ISBLANK(TAB_CS[[#This Row],[Reference]]),"",VLOOKUP(TAB_CS[[#This Row],[ID]],TAB_Offres[],2,FALSE))</f>
        <v>Lot 3</v>
      </c>
      <c r="E131" s="150" t="s">
        <v>5920</v>
      </c>
      <c r="F131" s="154">
        <f>_xlfn.IFNA(IF(ISBLANK(TAB_CS[[#This Row],[Reference]]),"",VLOOKUP(TAB_CS[[#This Row],[Reference]],TAB_Offres[[Reference]:[Modification Request]],COLUMNS(TAB_Offres[[Reference]:[Modification Request]]),FALSE)),)</f>
        <v>0</v>
      </c>
      <c r="G131" s="1" t="str">
        <f>IF(ISBLANK(TAB_CS[[#This Row],[Reference]]),"",INDEX(TAB_Offres[Institution/agency],MATCH(TAB_CS[[#This Row],[Reference]],TAB_Offres[Reference],0)))</f>
        <v>EC</v>
      </c>
      <c r="H131" s="1" t="str">
        <f>IF(ISBLANK(TAB_CS[[#This Row],[Reference]]),"",INDEX(TAB_Offres[DG],MATCH(TAB_CS[[#This Row],[Reference]],TAB_Offres[Reference],0)))</f>
        <v>DIGIT.A.3</v>
      </c>
      <c r="I131" s="4" t="str">
        <f>IF(ISBLANK(TAB_CS[[#This Row],[Reference]]),"",INDEX(TAB_Offres[Offer description],MATCH(TAB_CS[[#This Row],[Reference]],TAB_Offres[Reference],0)))</f>
        <v>Enterprise Architect (EA)</v>
      </c>
      <c r="J131" s="204">
        <f>_xlfn.IFNA(IF(ISBLANK(TAB_CS[[#This Row],[Ressource]]),,VLOOKUP(TAB_CS[[#This Row],[Reference]],TAB_Offres[[Reference]:[CS signature date]],COLUMNS(TAB_Offres[[Reference]:[CS signature date]]),FALSE)),"")</f>
        <v>45439</v>
      </c>
      <c r="K131" s="204">
        <f>_xlfn.IFNA(IF(ISBLANK(TAB_CS[[#This Row],[Ressource]]),,VLOOKUP(TAB_CS[[#This Row],[Reference]],TAB_Offres[[Reference]:[CS start date]],COLUMNS(TAB_Offres[[Reference]:[CS start date]]),FALSE)),"")</f>
        <v>45439</v>
      </c>
      <c r="L131" s="204">
        <f>_xlfn.IFNA(IF(ISBLANK(TAB_CS[[#This Row],[Ressource]]),,VLOOKUP(TAB_CS[[#This Row],[Reference]],TAB_Offres[[Reference]:[CS end date]],COLUMNS(TAB_Offres[[Reference]:[CS end date]]),FALSE)),"")</f>
        <v>45930</v>
      </c>
      <c r="M131" s="150">
        <f>_xlfn.IFNA(IF(ISBLANK(TAB_CS[[#This Row],[Ressource]]),,VLOOKUP(TAB_CS[[#This Row],[Reference]],TAB_Offres[[Reference]:[CS State]],COLUMNS(TAB_Offres[[Reference]:[CS State]]),FALSE)),"")</f>
        <v>0</v>
      </c>
      <c r="N131" s="154" t="str">
        <f>VLOOKUP(TAB_CS[[#This Row],[Reference]],TAB_Offres[[Reference]:[Ressource 1]],25,FALSE)</f>
        <v>GOSMAN, Andrei</v>
      </c>
      <c r="O131" s="150" t="str">
        <f>_xlfn.IFNA(IF(ISBLANK(TAB_CS[[#This Row],[Ressource]]),,VLOOKUP(TAB_CS[[#This Row],[Reference]],TAB_Offres[[Reference]:[Company]],COLUMNS(TAB_Offres[[Reference]:[Company]]),FALSE)),"")</f>
        <v>TREMEND</v>
      </c>
      <c r="P131" s="150" t="str">
        <f>_xlfn.CONCAT(TAB_CS[[#This Row],[Ressource]],TAB_CS[[#This Row],[Profile in €]])</f>
        <v>GOSMAN, Andrei528,24</v>
      </c>
      <c r="Q131" s="150" t="str">
        <f>_xlfn.CONCAT(TAB_CS[[#This Row],[Company]],TAB_CS[[#This Row],[Business perimeter]])</f>
        <v>TREMENDNB</v>
      </c>
      <c r="R131" s="150" t="str">
        <f>_xlfn.IFNA(IF(ISBLANK(TAB_CS[[#This Row],[Ressource]]),"",VLOOKUP(TAB_CS[[#This Row],[Reference]],TAB_Offres[[Reference]:[Profile]],COLUMNS(TAB_Offres[[Reference]:[Profile]]),FALSE)),"")</f>
        <v>Enterprise architect#R1-FAR</v>
      </c>
      <c r="S131" s="150">
        <f>_xlfn.IFNA(IF(ISBLANK(TAB_CS[[#This Row],[Ressource]]),"",VLOOKUP(TAB_CS[[#This Row],[Reference]],TAB_Offres[[Reference]:[Level]],COLUMNS(TAB_Offres[[Reference]:[Level]]),FALSE)),"")</f>
        <v>9</v>
      </c>
      <c r="T131" s="156">
        <f>_xlfn.IFNA(IF(OR(ISBLANK(TAB_CS[[#This Row],[Level]]),TAB_CS[[#This Row],[Level]]=""),,VLOOKUP(TAB_CS[[#This Row],[Profile]],TAB_prix[],2+TAB_CS[[#This Row],[Level]],FALSE)),)</f>
        <v>528.24</v>
      </c>
      <c r="U131" s="151">
        <v>60</v>
      </c>
      <c r="V131" s="205">
        <f>IF(OR(ISBLANK(TAB_CS[[#This Row],[Commited days]]),TAB_CS[[#This Row],[Commited days]]=0),,TAB_CS[[#This Row],[Commited days]]*TAB_CS[[#This Row],[Profile in €]])</f>
        <v>31694.400000000001</v>
      </c>
      <c r="W131" s="156">
        <f>SUM(TAB_CS[[#This Row],[F]:[P+1]])-TAB_CS[[#This Row],[P+1]]</f>
        <v>60</v>
      </c>
      <c r="X131" s="205">
        <f>IF(OR(ISBLANK(TAB_CS[[#This Row],[Producted days]]),TAB_CS[[#This Row],[Producted days]]=0),,TAB_CS[[#This Row],[Producted days]]*TAB_CS[[#This Row],[Profile in €]])</f>
        <v>31694.400000000001</v>
      </c>
      <c r="Y131" s="206">
        <f>TAB_CS[[#This Row],[Commited days]]-TAB_CS[[#This Row],[Producted days]]</f>
        <v>0</v>
      </c>
      <c r="Z131" s="205">
        <f>IF(OR(ISBLANK(TAB_CS[[#This Row],[Remaining days]]),TAB_CS[[#This Row],[Remaining days]]=0),,TAB_CS[[#This Row],[Remaining days]]*TAB_CS[[#This Row],[Profile in €]])</f>
        <v>0</v>
      </c>
      <c r="AA131" s="207">
        <f>SUM(TAB_CS[[#This Row],[P+1]:[FP]])</f>
        <v>0</v>
      </c>
      <c r="AB131" s="208">
        <f>IF(OR(ISBLANK(TAB_CS[[#This Row],[Expected days]]),TAB_CS[[#This Row],[Expected days]]=0),,TAB_CS[[#This Row],[Expected days]]*TAB_CS[[#This Row],[Profile in €]])</f>
        <v>0</v>
      </c>
      <c r="AC131" s="322" t="str">
        <f>CONCATENATE(TAB_CS[[#This Row],[DG]],TAB_CS[[#This Row],[Company]])</f>
        <v>DIGIT.A.3TREMEND</v>
      </c>
      <c r="AD131" s="209"/>
      <c r="AE131" s="150"/>
      <c r="AF131" s="151"/>
      <c r="AG131" s="151"/>
      <c r="AH131" s="151"/>
      <c r="AI131" s="150"/>
      <c r="AJ131" s="151"/>
      <c r="AK131" s="156"/>
      <c r="AL131" s="156"/>
      <c r="AM131" s="150"/>
      <c r="AN131" s="150"/>
      <c r="AO131" s="150"/>
      <c r="AP131" s="150"/>
      <c r="AQ131" s="150"/>
      <c r="AR131" s="150"/>
      <c r="AS131" s="150"/>
      <c r="AT131" s="156"/>
      <c r="AU131" s="156"/>
      <c r="AV131" s="321"/>
      <c r="AW131" s="321"/>
      <c r="AX131" s="321"/>
      <c r="AY131" s="321"/>
      <c r="AZ131" s="321"/>
      <c r="BA131" s="321"/>
      <c r="BB131" s="321"/>
      <c r="BC131" s="321"/>
      <c r="BD131" s="321"/>
      <c r="BE131" s="360">
        <v>14.5</v>
      </c>
      <c r="BF131" s="360">
        <v>16</v>
      </c>
      <c r="BG131" s="360">
        <v>20</v>
      </c>
      <c r="BH131" s="360">
        <v>9.5</v>
      </c>
      <c r="BI131" s="323"/>
      <c r="BJ131" s="321"/>
      <c r="BK131" s="321"/>
      <c r="BL131" s="321"/>
      <c r="BM131" s="323"/>
      <c r="BN131" s="321"/>
      <c r="BO131" s="321"/>
      <c r="BP131" s="321"/>
      <c r="BQ131" s="321"/>
      <c r="BR131" s="321"/>
      <c r="BS131" s="321"/>
      <c r="BT131" s="321"/>
      <c r="BU131" s="321"/>
      <c r="BV131" s="321"/>
      <c r="BW131" s="642"/>
      <c r="BX131" s="642"/>
      <c r="BY131" s="642"/>
      <c r="BZ131" s="324"/>
    </row>
    <row r="132" spans="1:78" s="4" customFormat="1" ht="14.4" x14ac:dyDescent="0.3">
      <c r="A132" s="1">
        <f>IF(ISBLANK(TAB_CS[[#This Row],[Reference]]),"",INDEX(TAB_Offres[ID],MATCH(TAB_CS[[#This Row],[Reference]],TAB_Offres[Reference],0)))</f>
        <v>130</v>
      </c>
      <c r="B132" s="154" t="s">
        <v>5889</v>
      </c>
      <c r="C132" s="1" t="s">
        <v>5997</v>
      </c>
      <c r="D132" s="150" t="str">
        <f>IF(ISBLANK(TAB_CS[[#This Row],[Reference]]),"",VLOOKUP(TAB_CS[[#This Row],[ID]],TAB_Offres[],2,FALSE))</f>
        <v>Lot 2</v>
      </c>
      <c r="E132" s="1" t="s">
        <v>5920</v>
      </c>
      <c r="F132" s="154">
        <f>_xlfn.IFNA(IF(ISBLANK(TAB_CS[[#This Row],[Reference]]),"",VLOOKUP(TAB_CS[[#This Row],[Reference]],TAB_Offres[[Reference]:[Modification Request]],COLUMNS(TAB_Offres[[Reference]:[Modification Request]]),FALSE)),)</f>
        <v>0</v>
      </c>
      <c r="G132" s="1" t="str">
        <f>IF(ISBLANK(TAB_CS[[#This Row],[Reference]]),"",INDEX(TAB_Offres[Institution/agency],MATCH(TAB_CS[[#This Row],[Reference]],TAB_Offres[Reference],0)))</f>
        <v>EC</v>
      </c>
      <c r="H132" s="1" t="str">
        <f>IF(ISBLANK(TAB_CS[[#This Row],[Reference]]),"",INDEX(TAB_Offres[DG],MATCH(TAB_CS[[#This Row],[Reference]],TAB_Offres[Reference],0)))</f>
        <v>DIGIT.R.2</v>
      </c>
      <c r="I132" s="4" t="str">
        <f>IF(ISBLANK(TAB_CS[[#This Row],[Reference]]),"",INDEX(TAB_Offres[Offer description],MATCH(TAB_CS[[#This Row],[Reference]],TAB_Offres[Reference],0)))</f>
        <v>Project Manager</v>
      </c>
      <c r="J132" s="204">
        <f>_xlfn.IFNA(IF(ISBLANK(TAB_CS[[#This Row],[Ressource]]),,VLOOKUP(TAB_CS[[#This Row],[Reference]],TAB_Offres[[Reference]:[CS signature date]],COLUMNS(TAB_Offres[[Reference]:[CS signature date]]),FALSE)),"")</f>
        <v>45439</v>
      </c>
      <c r="K132" s="204">
        <f>_xlfn.IFNA(IF(ISBLANK(TAB_CS[[#This Row],[Ressource]]),,VLOOKUP(TAB_CS[[#This Row],[Reference]],TAB_Offres[[Reference]:[CS start date]],COLUMNS(TAB_Offres[[Reference]:[CS start date]]),FALSE)),"")</f>
        <v>45439</v>
      </c>
      <c r="L132" s="204">
        <f>_xlfn.IFNA(IF(ISBLANK(TAB_CS[[#This Row],[Ressource]]),,VLOOKUP(TAB_CS[[#This Row],[Reference]],TAB_Offres[[Reference]:[CS end date]],COLUMNS(TAB_Offres[[Reference]:[CS end date]]),FALSE)),"")</f>
        <v>45930</v>
      </c>
      <c r="M132" s="150">
        <f>_xlfn.IFNA(IF(ISBLANK(TAB_CS[[#This Row],[Ressource]]),,VLOOKUP(TAB_CS[[#This Row],[Reference]],TAB_Offres[[Reference]:[CS State]],COLUMNS(TAB_Offres[[Reference]:[CS State]]),FALSE)),"")</f>
        <v>0</v>
      </c>
      <c r="N132" s="26" t="str">
        <f>VLOOKUP(TAB_CS[[#This Row],[Reference]],TAB_Offres[[Reference]:[Ressource 1]],25,FALSE)</f>
        <v>SABĂU, Răzvan-Eugen</v>
      </c>
      <c r="O132" s="150" t="str">
        <f>_xlfn.IFNA(IF(ISBLANK(TAB_CS[[#This Row],[Ressource]]),,VLOOKUP(TAB_CS[[#This Row],[Reference]],TAB_Offres[[Reference]:[Company]],COLUMNS(TAB_Offres[[Reference]:[Company]]),FALSE)),"")</f>
        <v>TREMEND</v>
      </c>
      <c r="P132" s="150" t="str">
        <f>_xlfn.CONCAT(TAB_CS[[#This Row],[Ressource]],TAB_CS[[#This Row],[Profile in €]])</f>
        <v>SABĂU, Răzvan-Eugen793,34</v>
      </c>
      <c r="Q132" s="150" t="str">
        <f>_xlfn.CONCAT(TAB_CS[[#This Row],[Company]],TAB_CS[[#This Row],[Business perimeter]])</f>
        <v>TREMENDNB</v>
      </c>
      <c r="R132" s="150" t="str">
        <f>_xlfn.IFNA(IF(ISBLANK(TAB_CS[[#This Row],[Ressource]]),"",VLOOKUP(TAB_CS[[#This Row],[Reference]],TAB_Offres[[Reference]:[Profile]],COLUMNS(TAB_Offres[[Reference]:[Profile]]),FALSE)),"")</f>
        <v>Project Manager#R1</v>
      </c>
      <c r="S132" s="1">
        <f>_xlfn.IFNA(IF(ISBLANK(TAB_CS[[#This Row],[Ressource]]),"",VLOOKUP(TAB_CS[[#This Row],[Reference]],TAB_Offres[[Reference]:[Level]],COLUMNS(TAB_Offres[[Reference]:[Level]]),FALSE)),"")</f>
        <v>9</v>
      </c>
      <c r="T132" s="156">
        <f>_xlfn.IFNA(IF(OR(ISBLANK(TAB_CS[[#This Row],[Level]]),TAB_CS[[#This Row],[Level]]=""),,VLOOKUP(TAB_CS[[#This Row],[Profile]],TAB_prix[],2+TAB_CS[[#This Row],[Level]],FALSE)),)</f>
        <v>793.34</v>
      </c>
      <c r="U132" s="151">
        <v>220</v>
      </c>
      <c r="V132" s="205">
        <f>IF(OR(ISBLANK(TAB_CS[[#This Row],[Commited days]]),TAB_CS[[#This Row],[Commited days]]=0),,TAB_CS[[#This Row],[Commited days]]*TAB_CS[[#This Row],[Profile in €]])</f>
        <v>174534.80000000002</v>
      </c>
      <c r="W132" s="156">
        <f>SUM(TAB_CS[[#This Row],[F]:[P+1]])-TAB_CS[[#This Row],[P+1]]</f>
        <v>90.5</v>
      </c>
      <c r="X132" s="205">
        <f>IF(OR(ISBLANK(TAB_CS[[#This Row],[Producted days]]),TAB_CS[[#This Row],[Producted days]]=0),,TAB_CS[[#This Row],[Producted days]]*TAB_CS[[#This Row],[Profile in €]])</f>
        <v>71797.27</v>
      </c>
      <c r="Y132" s="206">
        <f>TAB_CS[[#This Row],[Commited days]]-TAB_CS[[#This Row],[Producted days]]</f>
        <v>129.5</v>
      </c>
      <c r="Z132" s="205">
        <f>IF(OR(ISBLANK(TAB_CS[[#This Row],[Remaining days]]),TAB_CS[[#This Row],[Remaining days]]=0),,TAB_CS[[#This Row],[Remaining days]]*TAB_CS[[#This Row],[Profile in €]])</f>
        <v>102737.53</v>
      </c>
      <c r="AA132" s="207">
        <f>SUM(TAB_CS[[#This Row],[P+1]:[FP]])</f>
        <v>129.5</v>
      </c>
      <c r="AB132" s="208">
        <f>IF(OR(ISBLANK(TAB_CS[[#This Row],[Expected days]]),TAB_CS[[#This Row],[Expected days]]=0),,TAB_CS[[#This Row],[Expected days]]*TAB_CS[[#This Row],[Profile in €]])</f>
        <v>102737.53</v>
      </c>
      <c r="AC132" s="322" t="str">
        <f>CONCATENATE(TAB_CS[[#This Row],[DG]],TAB_CS[[#This Row],[Company]])</f>
        <v>DIGIT.R.2TREMEND</v>
      </c>
      <c r="AD132" s="209"/>
      <c r="AE132" s="150"/>
      <c r="AF132" s="151"/>
      <c r="AG132" s="151"/>
      <c r="AH132" s="13"/>
      <c r="AI132" s="1"/>
      <c r="AJ132" s="13"/>
      <c r="AK132" s="127"/>
      <c r="AL132" s="127"/>
      <c r="AM132" s="1"/>
      <c r="AN132" s="1"/>
      <c r="AO132" s="1"/>
      <c r="AP132" s="1"/>
      <c r="AQ132" s="1"/>
      <c r="AR132" s="1"/>
      <c r="AS132" s="1"/>
      <c r="AT132" s="127"/>
      <c r="AU132" s="127"/>
      <c r="AV132" s="368"/>
      <c r="AW132" s="368"/>
      <c r="AX132" s="368"/>
      <c r="AY132" s="368"/>
      <c r="AZ132" s="368"/>
      <c r="BA132" s="171"/>
      <c r="BB132" s="171"/>
      <c r="BC132" s="171"/>
      <c r="BD132" s="171"/>
      <c r="BE132" s="171"/>
      <c r="BF132" s="352">
        <v>4.5</v>
      </c>
      <c r="BG132" s="352">
        <v>17</v>
      </c>
      <c r="BH132" s="352">
        <v>11</v>
      </c>
      <c r="BI132" s="323"/>
      <c r="BJ132" s="291">
        <v>22</v>
      </c>
      <c r="BK132" s="171">
        <v>18</v>
      </c>
      <c r="BL132" s="171">
        <v>18</v>
      </c>
      <c r="BM132" s="323"/>
      <c r="BN132" s="171">
        <v>18</v>
      </c>
      <c r="BO132" s="171">
        <v>18</v>
      </c>
      <c r="BP132" s="171">
        <v>18</v>
      </c>
      <c r="BQ132" s="171">
        <v>18</v>
      </c>
      <c r="BR132" s="171">
        <v>18</v>
      </c>
      <c r="BS132" s="171">
        <v>18</v>
      </c>
      <c r="BT132" s="171">
        <v>18</v>
      </c>
      <c r="BU132" s="171">
        <v>3.5</v>
      </c>
      <c r="BV132" s="171"/>
      <c r="BW132" s="644"/>
      <c r="BX132" s="644"/>
      <c r="BY132" s="644"/>
      <c r="BZ132" s="224"/>
    </row>
    <row r="133" spans="1:78" s="4" customFormat="1" ht="14.4" x14ac:dyDescent="0.3">
      <c r="A133" s="1">
        <f>IF(ISBLANK(TAB_CS[[#This Row],[Reference]]),"",INDEX(TAB_Offres[ID],MATCH(TAB_CS[[#This Row],[Reference]],TAB_Offres[Reference],0)))</f>
        <v>131</v>
      </c>
      <c r="B133" s="154" t="s">
        <v>5902</v>
      </c>
      <c r="C133" s="1" t="s">
        <v>5998</v>
      </c>
      <c r="D133" s="150" t="str">
        <f>IF(ISBLANK(TAB_CS[[#This Row],[Reference]]),"",VLOOKUP(TAB_CS[[#This Row],[ID]],TAB_Offres[],2,FALSE))</f>
        <v>Lot 2</v>
      </c>
      <c r="E133" s="1" t="s">
        <v>5920</v>
      </c>
      <c r="F133" s="154">
        <f>_xlfn.IFNA(IF(ISBLANK(TAB_CS[[#This Row],[Reference]]),"",VLOOKUP(TAB_CS[[#This Row],[Reference]],TAB_Offres[[Reference]:[Modification Request]],COLUMNS(TAB_Offres[[Reference]:[Modification Request]]),FALSE)),)</f>
        <v>0</v>
      </c>
      <c r="G133" s="150" t="str">
        <f>IF(ISBLANK(TAB_CS[[#This Row],[Reference]]),"",INDEX(TAB_Offres[Institution/agency],MATCH(TAB_CS[[#This Row],[Reference]],TAB_Offres[Reference],0)))</f>
        <v>EC</v>
      </c>
      <c r="H133" s="150" t="str">
        <f>IF(ISBLANK(TAB_CS[[#This Row],[Reference]]),"",INDEX(TAB_Offres[DG],MATCH(TAB_CS[[#This Row],[Reference]],TAB_Offres[Reference],0)))</f>
        <v>DIGIT.A.2</v>
      </c>
      <c r="I133" s="4" t="str">
        <f>IF(ISBLANK(TAB_CS[[#This Row],[Reference]]),"",INDEX(TAB_Offres[Offer description],MATCH(TAB_CS[[#This Row],[Reference]],TAB_Offres[Reference],0)))</f>
        <v>Project Manager</v>
      </c>
      <c r="J133" s="204">
        <f>_xlfn.IFNA(IF(ISBLANK(TAB_CS[[#This Row],[Ressource]]),,VLOOKUP(TAB_CS[[#This Row],[Reference]],TAB_Offres[[Reference]:[CS signature date]],COLUMNS(TAB_Offres[[Reference]:[CS signature date]]),FALSE)),"")</f>
        <v>45442</v>
      </c>
      <c r="K133" s="204">
        <f>_xlfn.IFNA(IF(ISBLANK(TAB_CS[[#This Row],[Ressource]]),,VLOOKUP(TAB_CS[[#This Row],[Reference]],TAB_Offres[[Reference]:[CS start date]],COLUMNS(TAB_Offres[[Reference]:[CS start date]]),FALSE)),"")</f>
        <v>45442</v>
      </c>
      <c r="L133" s="204">
        <f>_xlfn.IFNA(IF(ISBLANK(TAB_CS[[#This Row],[Ressource]]),,VLOOKUP(TAB_CS[[#This Row],[Reference]],TAB_Offres[[Reference]:[CS end date]],COLUMNS(TAB_Offres[[Reference]:[CS end date]]),FALSE)),"")</f>
        <v>45930</v>
      </c>
      <c r="M133" s="150">
        <f>_xlfn.IFNA(IF(ISBLANK(TAB_CS[[#This Row],[Ressource]]),,VLOOKUP(TAB_CS[[#This Row],[Reference]],TAB_Offres[[Reference]:[CS State]],COLUMNS(TAB_Offres[[Reference]:[CS State]]),FALSE)),"")</f>
        <v>0</v>
      </c>
      <c r="N133" s="26" t="str">
        <f>VLOOKUP(TAB_CS[[#This Row],[Reference]],TAB_Offres[[Reference]:[Ressource 1]],25,FALSE)</f>
        <v>LEFTER, Diana</v>
      </c>
      <c r="O133" s="150" t="str">
        <f>_xlfn.IFNA(IF(ISBLANK(TAB_CS[[#This Row],[Ressource]]),,VLOOKUP(TAB_CS[[#This Row],[Reference]],TAB_Offres[[Reference]:[Company]],COLUMNS(TAB_Offres[[Reference]:[Company]]),FALSE)),"")</f>
        <v>EDDA</v>
      </c>
      <c r="P133" s="150" t="str">
        <f>_xlfn.CONCAT(TAB_CS[[#This Row],[Ressource]],TAB_CS[[#This Row],[Profile in €]])</f>
        <v>LEFTER, Diana741,44</v>
      </c>
      <c r="Q133" s="150" t="str">
        <f>_xlfn.CONCAT(TAB_CS[[#This Row],[Company]],TAB_CS[[#This Row],[Business perimeter]])</f>
        <v>EDDANB</v>
      </c>
      <c r="R133" s="150" t="str">
        <f>_xlfn.IFNA(IF(ISBLANK(TAB_CS[[#This Row],[Ressource]]),"",VLOOKUP(TAB_CS[[#This Row],[Reference]],TAB_Offres[[Reference]:[Profile]],COLUMNS(TAB_Offres[[Reference]:[Profile]]),FALSE)),"")</f>
        <v>Project Manager#R1</v>
      </c>
      <c r="S133" s="150">
        <f>_xlfn.IFNA(IF(ISBLANK(TAB_CS[[#This Row],[Ressource]]),"",VLOOKUP(TAB_CS[[#This Row],[Reference]],TAB_Offres[[Reference]:[Level]],COLUMNS(TAB_Offres[[Reference]:[Level]]),FALSE)),"")</f>
        <v>8</v>
      </c>
      <c r="T133" s="156">
        <f>_xlfn.IFNA(IF(OR(ISBLANK(TAB_CS[[#This Row],[Level]]),TAB_CS[[#This Row],[Level]]=""),,VLOOKUP(TAB_CS[[#This Row],[Profile]],TAB_prix[],2+TAB_CS[[#This Row],[Level]],FALSE)),)</f>
        <v>741.44</v>
      </c>
      <c r="U133" s="151">
        <v>90</v>
      </c>
      <c r="V133" s="205">
        <f>IF(OR(ISBLANK(TAB_CS[[#This Row],[Commited days]]),TAB_CS[[#This Row],[Commited days]]=0),,TAB_CS[[#This Row],[Commited days]]*TAB_CS[[#This Row],[Profile in €]])</f>
        <v>66729.600000000006</v>
      </c>
      <c r="W133" s="156">
        <f>SUM(TAB_CS[[#This Row],[F]:[P+1]])-TAB_CS[[#This Row],[P+1]]</f>
        <v>90</v>
      </c>
      <c r="X133" s="205">
        <f>IF(OR(ISBLANK(TAB_CS[[#This Row],[Producted days]]),TAB_CS[[#This Row],[Producted days]]=0),,TAB_CS[[#This Row],[Producted days]]*TAB_CS[[#This Row],[Profile in €]])</f>
        <v>66729.600000000006</v>
      </c>
      <c r="Y133" s="206">
        <f>TAB_CS[[#This Row],[Commited days]]-TAB_CS[[#This Row],[Producted days]]</f>
        <v>0</v>
      </c>
      <c r="Z133" s="205">
        <f>IF(OR(ISBLANK(TAB_CS[[#This Row],[Remaining days]]),TAB_CS[[#This Row],[Remaining days]]=0),,TAB_CS[[#This Row],[Remaining days]]*TAB_CS[[#This Row],[Profile in €]])</f>
        <v>0</v>
      </c>
      <c r="AA133" s="207">
        <f>SUM(TAB_CS[[#This Row],[P+1]:[FP]])</f>
        <v>0</v>
      </c>
      <c r="AB133" s="208">
        <f>IF(OR(ISBLANK(TAB_CS[[#This Row],[Expected days]]),TAB_CS[[#This Row],[Expected days]]=0),,TAB_CS[[#This Row],[Expected days]]*TAB_CS[[#This Row],[Profile in €]])</f>
        <v>0</v>
      </c>
      <c r="AC133" s="322" t="str">
        <f>CONCATENATE(TAB_CS[[#This Row],[DG]],TAB_CS[[#This Row],[Company]])</f>
        <v>DIGIT.A.2EDDA</v>
      </c>
      <c r="AD133" s="209"/>
      <c r="AE133" s="150"/>
      <c r="AF133" s="151"/>
      <c r="AG133" s="151"/>
      <c r="AH133" s="151"/>
      <c r="AI133" s="150"/>
      <c r="AJ133" s="151"/>
      <c r="AK133" s="156"/>
      <c r="AL133" s="156"/>
      <c r="AM133" s="150"/>
      <c r="AN133" s="150"/>
      <c r="AO133" s="150"/>
      <c r="AP133" s="150"/>
      <c r="AQ133" s="150"/>
      <c r="AR133" s="150"/>
      <c r="AS133" s="150"/>
      <c r="AT133" s="156"/>
      <c r="AU133" s="156"/>
      <c r="AV133" s="171"/>
      <c r="AW133" s="171"/>
      <c r="AX133" s="171"/>
      <c r="AY133" s="171"/>
      <c r="AZ133" s="171"/>
      <c r="BA133" s="171"/>
      <c r="BB133" s="171"/>
      <c r="BC133" s="171"/>
      <c r="BD133" s="171"/>
      <c r="BE133" s="171"/>
      <c r="BF133" s="352">
        <v>6.5</v>
      </c>
      <c r="BG133" s="352">
        <v>17</v>
      </c>
      <c r="BH133" s="352">
        <v>16</v>
      </c>
      <c r="BI133" s="323"/>
      <c r="BJ133" s="291">
        <v>23</v>
      </c>
      <c r="BK133" s="171">
        <v>18</v>
      </c>
      <c r="BL133" s="171">
        <v>9.5</v>
      </c>
      <c r="BM133" s="323"/>
      <c r="BN133" s="171"/>
      <c r="BO133" s="171"/>
      <c r="BP133" s="171"/>
      <c r="BQ133" s="171"/>
      <c r="BR133" s="171"/>
      <c r="BS133" s="171"/>
      <c r="BT133" s="171"/>
      <c r="BU133" s="171"/>
      <c r="BV133" s="171"/>
      <c r="BW133" s="644"/>
      <c r="BX133" s="644"/>
      <c r="BY133" s="644"/>
      <c r="BZ133" s="224"/>
    </row>
    <row r="134" spans="1:78" s="4" customFormat="1" ht="14.4" x14ac:dyDescent="0.3">
      <c r="A134" s="150">
        <f>IF(ISBLANK(TAB_CS[[#This Row],[Reference]]),"",INDEX(TAB_Offres[ID],MATCH(TAB_CS[[#This Row],[Reference]],TAB_Offres[Reference],0)))</f>
        <v>132</v>
      </c>
      <c r="B134" s="154" t="s">
        <v>5903</v>
      </c>
      <c r="C134" s="150" t="s">
        <v>5985</v>
      </c>
      <c r="D134" s="150" t="str">
        <f>IF(ISBLANK(TAB_CS[[#This Row],[Reference]]),"",VLOOKUP(TAB_CS[[#This Row],[ID]],TAB_Offres[],2,FALSE))</f>
        <v>Lot 1</v>
      </c>
      <c r="E134" s="150" t="s">
        <v>5920</v>
      </c>
      <c r="F134" s="154">
        <f>_xlfn.IFNA(IF(ISBLANK(TAB_CS[[#This Row],[Reference]]),"",VLOOKUP(TAB_CS[[#This Row],[Reference]],TAB_Offres[[Reference]:[Modification Request]],COLUMNS(TAB_Offres[[Reference]:[Modification Request]]),FALSE)),)</f>
        <v>0</v>
      </c>
      <c r="G134" s="150" t="str">
        <f>IF(ISBLANK(TAB_CS[[#This Row],[Reference]]),"",INDEX(TAB_Offres[Institution/agency],MATCH(TAB_CS[[#This Row],[Reference]],TAB_Offres[Reference],0)))</f>
        <v>EC</v>
      </c>
      <c r="H134" s="150" t="str">
        <f>IF(ISBLANK(TAB_CS[[#This Row],[Reference]]),"",INDEX(TAB_Offres[DG],MATCH(TAB_CS[[#This Row],[Reference]],TAB_Offres[Reference],0)))</f>
        <v>DIGIT.B.3</v>
      </c>
      <c r="I134" s="4" t="str">
        <f>IF(ISBLANK(TAB_CS[[#This Row],[Reference]]),"",INDEX(TAB_Offres[Offer description],MATCH(TAB_CS[[#This Row],[Reference]],TAB_Offres[Reference],0)))</f>
        <v>Full-Stack Developer (FSD)</v>
      </c>
      <c r="J134" s="204">
        <f>_xlfn.IFNA(IF(ISBLANK(TAB_CS[[#This Row],[Ressource]]),,VLOOKUP(TAB_CS[[#This Row],[Reference]],TAB_Offres[[Reference]:[CS signature date]],COLUMNS(TAB_Offres[[Reference]:[CS signature date]]),FALSE)),"")</f>
        <v>45443</v>
      </c>
      <c r="K134" s="204">
        <f>_xlfn.IFNA(IF(ISBLANK(TAB_CS[[#This Row],[Ressource]]),,VLOOKUP(TAB_CS[[#This Row],[Reference]],TAB_Offres[[Reference]:[CS start date]],COLUMNS(TAB_Offres[[Reference]:[CS start date]]),FALSE)),"")</f>
        <v>45443</v>
      </c>
      <c r="L134" s="204">
        <f>_xlfn.IFNA(IF(ISBLANK(TAB_CS[[#This Row],[Ressource]]),,VLOOKUP(TAB_CS[[#This Row],[Reference]],TAB_Offres[[Reference]:[CS end date]],COLUMNS(TAB_Offres[[Reference]:[CS end date]]),FALSE)),"")</f>
        <v>45930</v>
      </c>
      <c r="M134" s="150">
        <f>_xlfn.IFNA(IF(ISBLANK(TAB_CS[[#This Row],[Ressource]]),,VLOOKUP(TAB_CS[[#This Row],[Reference]],TAB_Offres[[Reference]:[CS State]],COLUMNS(TAB_Offres[[Reference]:[CS State]]),FALSE)),"")</f>
        <v>0</v>
      </c>
      <c r="N134" s="154" t="str">
        <f>VLOOKUP(TAB_CS[[#This Row],[Reference]],TAB_Offres[[Reference]:[Ressource 1]],25,FALSE)</f>
        <v>ESCRIBANO, Ruben</v>
      </c>
      <c r="O134" s="150" t="str">
        <f>_xlfn.IFNA(IF(ISBLANK(TAB_CS[[#This Row],[Ressource]]),,VLOOKUP(TAB_CS[[#This Row],[Reference]],TAB_Offres[[Reference]:[Company]],COLUMNS(TAB_Offres[[Reference]:[Company]]),FALSE)),"")</f>
        <v>EDDA</v>
      </c>
      <c r="P134" s="150" t="str">
        <f>_xlfn.CONCAT(TAB_CS[[#This Row],[Ressource]],TAB_CS[[#This Row],[Profile in €]])</f>
        <v>ESCRIBANO, Ruben498,96</v>
      </c>
      <c r="Q134" s="150" t="str">
        <f>_xlfn.CONCAT(TAB_CS[[#This Row],[Company]],TAB_CS[[#This Row],[Business perimeter]])</f>
        <v>EDDANB</v>
      </c>
      <c r="R134" s="150" t="str">
        <f>_xlfn.IFNA(IF(ISBLANK(TAB_CS[[#This Row],[Ressource]]),"",VLOOKUP(TAB_CS[[#This Row],[Reference]],TAB_Offres[[Reference]:[Profile]],COLUMNS(TAB_Offres[[Reference]:[Profile]]),FALSE)),"")</f>
        <v>Full-stack developer#R1</v>
      </c>
      <c r="S134" s="150">
        <f>_xlfn.IFNA(IF(ISBLANK(TAB_CS[[#This Row],[Ressource]]),"",VLOOKUP(TAB_CS[[#This Row],[Reference]],TAB_Offres[[Reference]:[Level]],COLUMNS(TAB_Offres[[Reference]:[Level]]),FALSE)),"")</f>
        <v>5</v>
      </c>
      <c r="T134" s="156">
        <f>_xlfn.IFNA(IF(OR(ISBLANK(TAB_CS[[#This Row],[Level]]),TAB_CS[[#This Row],[Level]]=""),,VLOOKUP(TAB_CS[[#This Row],[Profile]],TAB_prix[],2+TAB_CS[[#This Row],[Level]],FALSE)),)</f>
        <v>498.96</v>
      </c>
      <c r="U134" s="151">
        <v>125</v>
      </c>
      <c r="V134" s="205">
        <f>IF(OR(ISBLANK(TAB_CS[[#This Row],[Commited days]]),TAB_CS[[#This Row],[Commited days]]=0),,TAB_CS[[#This Row],[Commited days]]*TAB_CS[[#This Row],[Profile in €]])</f>
        <v>62370</v>
      </c>
      <c r="W134" s="156">
        <f>SUM(TAB_CS[[#This Row],[F]:[P+1]])-TAB_CS[[#This Row],[P+1]]</f>
        <v>117</v>
      </c>
      <c r="X134" s="205">
        <f>IF(OR(ISBLANK(TAB_CS[[#This Row],[Producted days]]),TAB_CS[[#This Row],[Producted days]]=0),,TAB_CS[[#This Row],[Producted days]]*TAB_CS[[#This Row],[Profile in €]])</f>
        <v>58378.32</v>
      </c>
      <c r="Y134" s="206">
        <f>TAB_CS[[#This Row],[Commited days]]-TAB_CS[[#This Row],[Producted days]]</f>
        <v>8</v>
      </c>
      <c r="Z134" s="205">
        <f>IF(OR(ISBLANK(TAB_CS[[#This Row],[Remaining days]]),TAB_CS[[#This Row],[Remaining days]]=0),,TAB_CS[[#This Row],[Remaining days]]*TAB_CS[[#This Row],[Profile in €]])</f>
        <v>3991.68</v>
      </c>
      <c r="AA134" s="207">
        <f>SUM(TAB_CS[[#This Row],[P+1]:[FP]])</f>
        <v>8</v>
      </c>
      <c r="AB134" s="208">
        <f>IF(OR(ISBLANK(TAB_CS[[#This Row],[Expected days]]),TAB_CS[[#This Row],[Expected days]]=0),,TAB_CS[[#This Row],[Expected days]]*TAB_CS[[#This Row],[Profile in €]])</f>
        <v>3991.68</v>
      </c>
      <c r="AC134" s="322" t="str">
        <f>CONCATENATE(TAB_CS[[#This Row],[DG]],TAB_CS[[#This Row],[Company]])</f>
        <v>DIGIT.B.3EDDA</v>
      </c>
      <c r="AD134" s="209"/>
      <c r="AE134" s="150"/>
      <c r="AF134" s="151"/>
      <c r="AG134" s="151"/>
      <c r="AH134" s="151"/>
      <c r="AI134" s="150"/>
      <c r="AJ134" s="151"/>
      <c r="AK134" s="156"/>
      <c r="AL134" s="156"/>
      <c r="AM134" s="150"/>
      <c r="AN134" s="150"/>
      <c r="AO134" s="150"/>
      <c r="AP134" s="150"/>
      <c r="AQ134" s="150"/>
      <c r="AR134" s="150"/>
      <c r="AS134" s="150"/>
      <c r="AT134" s="156"/>
      <c r="AU134" s="156"/>
      <c r="AV134" s="171"/>
      <c r="AW134" s="171"/>
      <c r="AX134" s="171"/>
      <c r="AY134" s="171"/>
      <c r="AZ134" s="171"/>
      <c r="BA134" s="171"/>
      <c r="BB134" s="171"/>
      <c r="BC134" s="171"/>
      <c r="BD134" s="171"/>
      <c r="BE134" s="352">
        <v>4.5</v>
      </c>
      <c r="BF134" s="352">
        <v>16.5</v>
      </c>
      <c r="BG134" s="352">
        <v>20</v>
      </c>
      <c r="BH134" s="352">
        <v>17</v>
      </c>
      <c r="BI134" s="323"/>
      <c r="BJ134" s="291">
        <v>23</v>
      </c>
      <c r="BK134" s="171">
        <v>18</v>
      </c>
      <c r="BL134" s="171">
        <v>18</v>
      </c>
      <c r="BM134" s="323"/>
      <c r="BN134" s="171">
        <v>8</v>
      </c>
      <c r="BO134" s="171"/>
      <c r="BP134" s="171"/>
      <c r="BQ134" s="171"/>
      <c r="BR134" s="171"/>
      <c r="BS134" s="171"/>
      <c r="BT134" s="171"/>
      <c r="BU134" s="171"/>
      <c r="BV134" s="171"/>
      <c r="BW134" s="644"/>
      <c r="BX134" s="644"/>
      <c r="BY134" s="644"/>
      <c r="BZ134" s="324"/>
    </row>
    <row r="135" spans="1:78" s="4" customFormat="1" ht="14.4" x14ac:dyDescent="0.3">
      <c r="A135" s="1">
        <f>IF(ISBLANK(TAB_CS[[#This Row],[Reference]]),"",INDEX(TAB_Offres[ID],MATCH(TAB_CS[[#This Row],[Reference]],TAB_Offres[Reference],0)))</f>
        <v>133</v>
      </c>
      <c r="B135" s="154" t="s">
        <v>5960</v>
      </c>
      <c r="C135" s="1" t="s">
        <v>6026</v>
      </c>
      <c r="D135" s="150" t="str">
        <f>IF(ISBLANK(TAB_CS[[#This Row],[Reference]]),"",VLOOKUP(TAB_CS[[#This Row],[ID]],TAB_Offres[],2,FALSE))</f>
        <v>Lot 1</v>
      </c>
      <c r="E135" s="150" t="s">
        <v>5920</v>
      </c>
      <c r="F135" s="154">
        <f>_xlfn.IFNA(IF(ISBLANK(TAB_CS[[#This Row],[Reference]]),"",VLOOKUP(TAB_CS[[#This Row],[Reference]],TAB_Offres[[Reference]:[Modification Request]],COLUMNS(TAB_Offres[[Reference]:[Modification Request]]),FALSE)),)</f>
        <v>0</v>
      </c>
      <c r="G135" s="150" t="str">
        <f>IF(ISBLANK(TAB_CS[[#This Row],[Reference]]),"",INDEX(TAB_Offres[Institution/agency],MATCH(TAB_CS[[#This Row],[Reference]],TAB_Offres[Reference],0)))</f>
        <v>EC</v>
      </c>
      <c r="H135" s="150" t="str">
        <f>IF(ISBLANK(TAB_CS[[#This Row],[Reference]]),"",INDEX(TAB_Offres[DG],MATCH(TAB_CS[[#This Row],[Reference]],TAB_Offres[Reference],0)))</f>
        <v>EMPL</v>
      </c>
      <c r="I135" s="4" t="str">
        <f>IF(ISBLANK(TAB_CS[[#This Row],[Reference]]),"",INDEX(TAB_Offres[Offer description],MATCH(TAB_CS[[#This Row],[Reference]],TAB_Offres[Reference],0)))</f>
        <v>Full-Stack Developer (FSD)</v>
      </c>
      <c r="J135" s="204">
        <f>_xlfn.IFNA(IF(ISBLANK(TAB_CS[[#This Row],[Ressource]]),,VLOOKUP(TAB_CS[[#This Row],[Reference]],TAB_Offres[[Reference]:[CS signature date]],COLUMNS(TAB_Offres[[Reference]:[CS signature date]]),FALSE)),"")</f>
        <v>45448</v>
      </c>
      <c r="K135" s="204">
        <f>_xlfn.IFNA(IF(ISBLANK(TAB_CS[[#This Row],[Ressource]]),,VLOOKUP(TAB_CS[[#This Row],[Reference]],TAB_Offres[[Reference]:[CS start date]],COLUMNS(TAB_Offres[[Reference]:[CS start date]]),FALSE)),"")</f>
        <v>45819</v>
      </c>
      <c r="L135" s="204">
        <f>_xlfn.IFNA(IF(ISBLANK(TAB_CS[[#This Row],[Ressource]]),,VLOOKUP(TAB_CS[[#This Row],[Reference]],TAB_Offres[[Reference]:[CS end date]],COLUMNS(TAB_Offres[[Reference]:[CS end date]]),FALSE)),"")</f>
        <v>45930</v>
      </c>
      <c r="M135" s="150">
        <f>_xlfn.IFNA(IF(ISBLANK(TAB_CS[[#This Row],[Ressource]]),,VLOOKUP(TAB_CS[[#This Row],[Reference]],TAB_Offres[[Reference]:[CS State]],COLUMNS(TAB_Offres[[Reference]:[CS State]]),FALSE)),"")</f>
        <v>0</v>
      </c>
      <c r="N135" s="26" t="str">
        <f>VLOOKUP(TAB_CS[[#This Row],[Reference]],TAB_Offres[[Reference]:[Ressource 1]],25,FALSE)</f>
        <v>FERNANDEZ GUERRERO, Ivan</v>
      </c>
      <c r="O135" s="150" t="str">
        <f>_xlfn.IFNA(IF(ISBLANK(TAB_CS[[#This Row],[Ressource]]),,VLOOKUP(TAB_CS[[#This Row],[Reference]],TAB_Offres[[Reference]:[Company]],COLUMNS(TAB_Offres[[Reference]:[Company]]),FALSE)),"")</f>
        <v>EDDA</v>
      </c>
      <c r="P135" s="150" t="str">
        <f>_xlfn.CONCAT(TAB_CS[[#This Row],[Ressource]],TAB_CS[[#This Row],[Profile in €]])</f>
        <v>FERNANDEZ GUERRERO, Ivan611,25</v>
      </c>
      <c r="Q135" s="150" t="str">
        <f>_xlfn.CONCAT(TAB_CS[[#This Row],[Company]],TAB_CS[[#This Row],[Business perimeter]])</f>
        <v>EDDANB</v>
      </c>
      <c r="R135" s="150" t="str">
        <f>_xlfn.IFNA(IF(ISBLANK(TAB_CS[[#This Row],[Ressource]]),"",VLOOKUP(TAB_CS[[#This Row],[Reference]],TAB_Offres[[Reference]:[Profile]],COLUMNS(TAB_Offres[[Reference]:[Profile]]),FALSE)),"")</f>
        <v>Full-stack developer#R1</v>
      </c>
      <c r="S135" s="150">
        <f>_xlfn.IFNA(IF(ISBLANK(TAB_CS[[#This Row],[Ressource]]),"",VLOOKUP(TAB_CS[[#This Row],[Reference]],TAB_Offres[[Reference]:[Level]],COLUMNS(TAB_Offres[[Reference]:[Level]]),FALSE)),"")</f>
        <v>8</v>
      </c>
      <c r="T135" s="156">
        <f>_xlfn.IFNA(IF(OR(ISBLANK(TAB_CS[[#This Row],[Level]]),TAB_CS[[#This Row],[Level]]=""),,VLOOKUP(TAB_CS[[#This Row],[Profile]],TAB_prix[],2+TAB_CS[[#This Row],[Level]],FALSE)),)</f>
        <v>611.25</v>
      </c>
      <c r="U135" s="151">
        <v>180</v>
      </c>
      <c r="V135" s="205">
        <f>IF(OR(ISBLANK(TAB_CS[[#This Row],[Commited days]]),TAB_CS[[#This Row],[Commited days]]=0),,TAB_CS[[#This Row],[Commited days]]*TAB_CS[[#This Row],[Profile in €]])</f>
        <v>110025</v>
      </c>
      <c r="W135" s="156">
        <f>SUM(TAB_CS[[#This Row],[F]:[P+1]])-TAB_CS[[#This Row],[P+1]]</f>
        <v>46.5</v>
      </c>
      <c r="X135" s="205">
        <f>IF(OR(ISBLANK(TAB_CS[[#This Row],[Producted days]]),TAB_CS[[#This Row],[Producted days]]=0),,TAB_CS[[#This Row],[Producted days]]*TAB_CS[[#This Row],[Profile in €]])</f>
        <v>28423.125</v>
      </c>
      <c r="Y135" s="206">
        <f>TAB_CS[[#This Row],[Commited days]]-TAB_CS[[#This Row],[Producted days]]</f>
        <v>133.5</v>
      </c>
      <c r="Z135" s="205">
        <f>IF(OR(ISBLANK(TAB_CS[[#This Row],[Remaining days]]),TAB_CS[[#This Row],[Remaining days]]=0),,TAB_CS[[#This Row],[Remaining days]]*TAB_CS[[#This Row],[Profile in €]])</f>
        <v>81601.875</v>
      </c>
      <c r="AA135" s="207">
        <f>SUM(TAB_CS[[#This Row],[P+1]:[FP]])</f>
        <v>133.5</v>
      </c>
      <c r="AB135" s="208">
        <f>IF(OR(ISBLANK(TAB_CS[[#This Row],[Expected days]]),TAB_CS[[#This Row],[Expected days]]=0),,TAB_CS[[#This Row],[Expected days]]*TAB_CS[[#This Row],[Profile in €]])</f>
        <v>81601.875</v>
      </c>
      <c r="AC135" s="322" t="str">
        <f>CONCATENATE(TAB_CS[[#This Row],[DG]],TAB_CS[[#This Row],[Company]])</f>
        <v>EMPLEDDA</v>
      </c>
      <c r="AD135" s="209"/>
      <c r="AE135" s="150"/>
      <c r="AF135" s="151"/>
      <c r="AG135" s="151"/>
      <c r="AH135" s="151"/>
      <c r="AI135" s="150"/>
      <c r="AJ135" s="151"/>
      <c r="AK135" s="156"/>
      <c r="AL135" s="156"/>
      <c r="AM135" s="150"/>
      <c r="AN135" s="150"/>
      <c r="AO135" s="150"/>
      <c r="AP135" s="150"/>
      <c r="AQ135" s="150"/>
      <c r="AR135" s="150"/>
      <c r="AS135" s="150"/>
      <c r="AT135" s="156"/>
      <c r="AU135" s="156"/>
      <c r="AV135" s="171"/>
      <c r="AW135" s="171"/>
      <c r="AX135" s="171"/>
      <c r="AY135" s="171"/>
      <c r="AZ135" s="171"/>
      <c r="BA135" s="171"/>
      <c r="BB135" s="171"/>
      <c r="BC135" s="171"/>
      <c r="BD135" s="171"/>
      <c r="BE135" s="171"/>
      <c r="BF135" s="171"/>
      <c r="BG135" s="171"/>
      <c r="BH135" s="171"/>
      <c r="BI135" s="323"/>
      <c r="BJ135" s="171">
        <v>10.5</v>
      </c>
      <c r="BK135" s="171">
        <v>18</v>
      </c>
      <c r="BL135" s="171">
        <v>18</v>
      </c>
      <c r="BM135" s="323"/>
      <c r="BN135" s="171">
        <v>18</v>
      </c>
      <c r="BO135" s="171">
        <v>18</v>
      </c>
      <c r="BP135" s="171">
        <v>18</v>
      </c>
      <c r="BQ135" s="171">
        <v>18</v>
      </c>
      <c r="BR135" s="171">
        <v>18</v>
      </c>
      <c r="BS135" s="171">
        <v>18</v>
      </c>
      <c r="BT135" s="171">
        <v>18</v>
      </c>
      <c r="BU135" s="171">
        <v>7.5</v>
      </c>
      <c r="BV135" s="171"/>
      <c r="BW135" s="644"/>
      <c r="BX135" s="644"/>
      <c r="BY135" s="644"/>
      <c r="BZ135" s="224"/>
    </row>
    <row r="136" spans="1:78" s="4" customFormat="1" ht="14.4" x14ac:dyDescent="0.3">
      <c r="A136" s="150">
        <f>IF(ISBLANK(TAB_CS[[#This Row],[Reference]]),"",INDEX(TAB_Offres[ID],MATCH(TAB_CS[[#This Row],[Reference]],TAB_Offres[Reference],0)))</f>
        <v>134</v>
      </c>
      <c r="B136" s="154" t="s">
        <v>5963</v>
      </c>
      <c r="C136" s="1" t="s">
        <v>5999</v>
      </c>
      <c r="D136" s="150" t="str">
        <f>IF(ISBLANK(TAB_CS[[#This Row],[Reference]]),"",VLOOKUP(TAB_CS[[#This Row],[ID]],TAB_Offres[],2,FALSE))</f>
        <v>Lot 1</v>
      </c>
      <c r="E136" s="150" t="s">
        <v>5920</v>
      </c>
      <c r="F136" s="154">
        <f>_xlfn.IFNA(IF(ISBLANK(TAB_CS[[#This Row],[Reference]]),"",VLOOKUP(TAB_CS[[#This Row],[Reference]],TAB_Offres[[Reference]:[Modification Request]],COLUMNS(TAB_Offres[[Reference]:[Modification Request]]),FALSE)),)</f>
        <v>0</v>
      </c>
      <c r="G136" s="150" t="str">
        <f>IF(ISBLANK(TAB_CS[[#This Row],[Reference]]),"",INDEX(TAB_Offres[Institution/agency],MATCH(TAB_CS[[#This Row],[Reference]],TAB_Offres[Reference],0)))</f>
        <v>EC</v>
      </c>
      <c r="H136" s="150" t="str">
        <f>IF(ISBLANK(TAB_CS[[#This Row],[Reference]]),"",INDEX(TAB_Offres[DG],MATCH(TAB_CS[[#This Row],[Reference]],TAB_Offres[Reference],0)))</f>
        <v>SANTE</v>
      </c>
      <c r="I136" s="4" t="str">
        <f>IF(ISBLANK(TAB_CS[[#This Row],[Reference]]),"",INDEX(TAB_Offres[Offer description],MATCH(TAB_CS[[#This Row],[Reference]],TAB_Offres[Reference],0)))</f>
        <v>Back-End Developer (BED)</v>
      </c>
      <c r="J136" s="204">
        <f>_xlfn.IFNA(IF(ISBLANK(TAB_CS[[#This Row],[Ressource]]),,VLOOKUP(TAB_CS[[#This Row],[Reference]],TAB_Offres[[Reference]:[CS signature date]],COLUMNS(TAB_Offres[[Reference]:[CS signature date]]),FALSE)),"")</f>
        <v>45460</v>
      </c>
      <c r="K136" s="204">
        <f>_xlfn.IFNA(IF(ISBLANK(TAB_CS[[#This Row],[Ressource]]),,VLOOKUP(TAB_CS[[#This Row],[Reference]],TAB_Offres[[Reference]:[CS start date]],COLUMNS(TAB_Offres[[Reference]:[CS start date]]),FALSE)),"")</f>
        <v>45461</v>
      </c>
      <c r="L136" s="204">
        <f>_xlfn.IFNA(IF(ISBLANK(TAB_CS[[#This Row],[Ressource]]),,VLOOKUP(TAB_CS[[#This Row],[Reference]],TAB_Offres[[Reference]:[CS end date]],COLUMNS(TAB_Offres[[Reference]:[CS end date]]),FALSE)),"")</f>
        <v>45900</v>
      </c>
      <c r="M136" s="150">
        <f>_xlfn.IFNA(IF(ISBLANK(TAB_CS[[#This Row],[Ressource]]),,VLOOKUP(TAB_CS[[#This Row],[Reference]],TAB_Offres[[Reference]:[CS State]],COLUMNS(TAB_Offres[[Reference]:[CS State]]),FALSE)),"")</f>
        <v>0</v>
      </c>
      <c r="N136" s="26" t="str">
        <f>VLOOKUP(TAB_CS[[#This Row],[Reference]],TAB_Offres[[Reference]:[Ressource 1]],25,FALSE)</f>
        <v>CHOUAIECH, Mohamed</v>
      </c>
      <c r="O136" s="150" t="str">
        <f>_xlfn.IFNA(IF(ISBLANK(TAB_CS[[#This Row],[Ressource]]),,VLOOKUP(TAB_CS[[#This Row],[Reference]],TAB_Offres[[Reference]:[Company]],COLUMNS(TAB_Offres[[Reference]:[Company]]),FALSE)),"")</f>
        <v>EDDA</v>
      </c>
      <c r="P136" s="150" t="str">
        <f>_xlfn.CONCAT(TAB_CS[[#This Row],[Ressource]],TAB_CS[[#This Row],[Profile in €]])</f>
        <v>CHOUAIECH, Mohamed648,23</v>
      </c>
      <c r="Q136" s="150" t="str">
        <f>_xlfn.CONCAT(TAB_CS[[#This Row],[Company]],TAB_CS[[#This Row],[Business perimeter]])</f>
        <v>EDDANB</v>
      </c>
      <c r="R136" s="150" t="str">
        <f>_xlfn.IFNA(IF(ISBLANK(TAB_CS[[#This Row],[Ressource]]),"",VLOOKUP(TAB_CS[[#This Row],[Reference]],TAB_Offres[[Reference]:[Profile]],COLUMNS(TAB_Offres[[Reference]:[Profile]]),FALSE)),"")</f>
        <v>Back-end developer#R1</v>
      </c>
      <c r="S136" s="150">
        <f>_xlfn.IFNA(IF(ISBLANK(TAB_CS[[#This Row],[Ressource]]),"",VLOOKUP(TAB_CS[[#This Row],[Reference]],TAB_Offres[[Reference]:[Level]],COLUMNS(TAB_Offres[[Reference]:[Level]]),FALSE)),"")</f>
        <v>9</v>
      </c>
      <c r="T136" s="156">
        <f>_xlfn.IFNA(IF(OR(ISBLANK(TAB_CS[[#This Row],[Level]]),TAB_CS[[#This Row],[Level]]=""),,VLOOKUP(TAB_CS[[#This Row],[Profile]],TAB_prix[],2+TAB_CS[[#This Row],[Level]],FALSE)),)</f>
        <v>648.23</v>
      </c>
      <c r="U136" s="151">
        <v>220</v>
      </c>
      <c r="V136" s="205">
        <f>IF(OR(ISBLANK(TAB_CS[[#This Row],[Commited days]]),TAB_CS[[#This Row],[Commited days]]=0),,TAB_CS[[#This Row],[Commited days]]*TAB_CS[[#This Row],[Profile in €]])</f>
        <v>142610.6</v>
      </c>
      <c r="W136" s="156">
        <f>SUM(TAB_CS[[#This Row],[F]:[P+1]])-TAB_CS[[#This Row],[P+1]]</f>
        <v>114</v>
      </c>
      <c r="X136" s="205">
        <f>IF(OR(ISBLANK(TAB_CS[[#This Row],[Producted days]]),TAB_CS[[#This Row],[Producted days]]=0),,TAB_CS[[#This Row],[Producted days]]*TAB_CS[[#This Row],[Profile in €]])</f>
        <v>73898.22</v>
      </c>
      <c r="Y136" s="206">
        <f>TAB_CS[[#This Row],[Commited days]]-TAB_CS[[#This Row],[Producted days]]</f>
        <v>106</v>
      </c>
      <c r="Z136" s="205">
        <f>IF(OR(ISBLANK(TAB_CS[[#This Row],[Remaining days]]),TAB_CS[[#This Row],[Remaining days]]=0),,TAB_CS[[#This Row],[Remaining days]]*TAB_CS[[#This Row],[Profile in €]])</f>
        <v>68712.38</v>
      </c>
      <c r="AA136" s="207">
        <f>SUM(TAB_CS[[#This Row],[P+1]:[FP]])</f>
        <v>106</v>
      </c>
      <c r="AB136" s="208">
        <f>IF(OR(ISBLANK(TAB_CS[[#This Row],[Expected days]]),TAB_CS[[#This Row],[Expected days]]=0),,TAB_CS[[#This Row],[Expected days]]*TAB_CS[[#This Row],[Profile in €]])</f>
        <v>68712.38</v>
      </c>
      <c r="AC136" s="322" t="str">
        <f>CONCATENATE(TAB_CS[[#This Row],[DG]],TAB_CS[[#This Row],[Company]])</f>
        <v>SANTEEDDA</v>
      </c>
      <c r="AD136" s="209"/>
      <c r="AE136" s="150"/>
      <c r="AF136" s="151"/>
      <c r="AG136" s="151"/>
      <c r="AH136" s="151"/>
      <c r="AI136" s="150"/>
      <c r="AJ136" s="151"/>
      <c r="AK136" s="156"/>
      <c r="AL136" s="156"/>
      <c r="AM136" s="150"/>
      <c r="AN136" s="150"/>
      <c r="AO136" s="150"/>
      <c r="AP136" s="150"/>
      <c r="AQ136" s="150"/>
      <c r="AR136" s="150"/>
      <c r="AS136" s="150"/>
      <c r="AT136" s="156"/>
      <c r="AU136" s="156"/>
      <c r="AV136" s="171"/>
      <c r="AW136" s="171"/>
      <c r="AX136" s="171"/>
      <c r="AY136" s="171"/>
      <c r="AZ136" s="171"/>
      <c r="BA136" s="171"/>
      <c r="BB136" s="171"/>
      <c r="BC136" s="171"/>
      <c r="BD136" s="171"/>
      <c r="BE136" s="171"/>
      <c r="BF136" s="352">
        <v>23</v>
      </c>
      <c r="BG136" s="352">
        <v>11</v>
      </c>
      <c r="BH136" s="352">
        <v>21</v>
      </c>
      <c r="BI136" s="323"/>
      <c r="BJ136" s="291">
        <v>23</v>
      </c>
      <c r="BK136" s="171">
        <v>18</v>
      </c>
      <c r="BL136" s="171">
        <v>18</v>
      </c>
      <c r="BM136" s="323"/>
      <c r="BN136" s="171">
        <v>18</v>
      </c>
      <c r="BO136" s="171">
        <v>18</v>
      </c>
      <c r="BP136" s="171">
        <v>18</v>
      </c>
      <c r="BQ136" s="171">
        <v>18</v>
      </c>
      <c r="BR136" s="171">
        <v>18</v>
      </c>
      <c r="BS136" s="171">
        <v>16</v>
      </c>
      <c r="BT136" s="171"/>
      <c r="BU136" s="171"/>
      <c r="BV136" s="644"/>
      <c r="BW136" s="644"/>
      <c r="BX136" s="644"/>
      <c r="BY136" s="644"/>
      <c r="BZ136" s="224"/>
    </row>
    <row r="137" spans="1:78" s="4" customFormat="1" ht="14.4" x14ac:dyDescent="0.3">
      <c r="A137" s="150">
        <f>IF(ISBLANK(TAB_CS[[#This Row],[Reference]]),"",INDEX(TAB_Offres[ID],MATCH(TAB_CS[[#This Row],[Reference]],TAB_Offres[Reference],0)))</f>
        <v>136</v>
      </c>
      <c r="B137" s="154" t="s">
        <v>5965</v>
      </c>
      <c r="C137" s="1" t="s">
        <v>6000</v>
      </c>
      <c r="D137" s="150" t="str">
        <f>IF(ISBLANK(TAB_CS[[#This Row],[Reference]]),"",VLOOKUP(TAB_CS[[#This Row],[ID]],TAB_Offres[],2,FALSE))</f>
        <v>Lot 1</v>
      </c>
      <c r="E137" s="150" t="s">
        <v>5920</v>
      </c>
      <c r="F137" s="154">
        <f>_xlfn.IFNA(IF(ISBLANK(TAB_CS[[#This Row],[Reference]]),"",VLOOKUP(TAB_CS[[#This Row],[Reference]],TAB_Offres[[Reference]:[Modification Request]],COLUMNS(TAB_Offres[[Reference]:[Modification Request]]),FALSE)),)</f>
        <v>0</v>
      </c>
      <c r="G137" s="150" t="str">
        <f>IF(ISBLANK(TAB_CS[[#This Row],[Reference]]),"",INDEX(TAB_Offres[Institution/agency],MATCH(TAB_CS[[#This Row],[Reference]],TAB_Offres[Reference],0)))</f>
        <v>EC</v>
      </c>
      <c r="H137" s="150" t="str">
        <f>IF(ISBLANK(TAB_CS[[#This Row],[Reference]]),"",INDEX(TAB_Offres[DG],MATCH(TAB_CS[[#This Row],[Reference]],TAB_Offres[Reference],0)))</f>
        <v>SG</v>
      </c>
      <c r="I137" s="4" t="str">
        <f>IF(ISBLANK(TAB_CS[[#This Row],[Reference]]),"",INDEX(TAB_Offres[Offer description],MATCH(TAB_CS[[#This Row],[Reference]],TAB_Offres[Reference],0)))</f>
        <v>Full-Stack Developer (FSD)</v>
      </c>
      <c r="J137" s="204">
        <f>_xlfn.IFNA(IF(ISBLANK(TAB_CS[[#This Row],[Ressource]]),,VLOOKUP(TAB_CS[[#This Row],[Reference]],TAB_Offres[[Reference]:[CS signature date]],COLUMNS(TAB_Offres[[Reference]:[CS signature date]]),FALSE)),"")</f>
        <v>45461</v>
      </c>
      <c r="K137" s="204">
        <f>_xlfn.IFNA(IF(ISBLANK(TAB_CS[[#This Row],[Ressource]]),,VLOOKUP(TAB_CS[[#This Row],[Reference]],TAB_Offres[[Reference]:[CS start date]],COLUMNS(TAB_Offres[[Reference]:[CS start date]]),FALSE)),"")</f>
        <v>45461</v>
      </c>
      <c r="L137" s="204">
        <f>_xlfn.IFNA(IF(ISBLANK(TAB_CS[[#This Row],[Ressource]]),,VLOOKUP(TAB_CS[[#This Row],[Reference]],TAB_Offres[[Reference]:[CS end date]],COLUMNS(TAB_Offres[[Reference]:[CS end date]]),FALSE)),"")</f>
        <v>45991</v>
      </c>
      <c r="M137" s="150">
        <f>_xlfn.IFNA(IF(ISBLANK(TAB_CS[[#This Row],[Ressource]]),,VLOOKUP(TAB_CS[[#This Row],[Reference]],TAB_Offres[[Reference]:[CS State]],COLUMNS(TAB_Offres[[Reference]:[CS State]]),FALSE)),"")</f>
        <v>0</v>
      </c>
      <c r="N137" s="26" t="str">
        <f>VLOOKUP(TAB_CS[[#This Row],[Reference]],TAB_Offres[[Reference]:[Ressource 1]],25,FALSE)</f>
        <v>AFONSO, Leonardo</v>
      </c>
      <c r="O137" s="150" t="str">
        <f>_xlfn.IFNA(IF(ISBLANK(TAB_CS[[#This Row],[Ressource]]),,VLOOKUP(TAB_CS[[#This Row],[Reference]],TAB_Offres[[Reference]:[Company]],COLUMNS(TAB_Offres[[Reference]:[Company]]),FALSE)),"")</f>
        <v>TALAN</v>
      </c>
      <c r="P137" s="150" t="str">
        <f>_xlfn.CONCAT(TAB_CS[[#This Row],[Ressource]],TAB_CS[[#This Row],[Profile in €]])</f>
        <v>AFONSO, Leonardo533,89</v>
      </c>
      <c r="Q137" s="150" t="str">
        <f>_xlfn.CONCAT(TAB_CS[[#This Row],[Company]],TAB_CS[[#This Row],[Business perimeter]])</f>
        <v>TALANNB</v>
      </c>
      <c r="R137" s="150" t="str">
        <f>_xlfn.IFNA(IF(ISBLANK(TAB_CS[[#This Row],[Ressource]]),"",VLOOKUP(TAB_CS[[#This Row],[Reference]],TAB_Offres[[Reference]:[Profile]],COLUMNS(TAB_Offres[[Reference]:[Profile]]),FALSE)),"")</f>
        <v>Full-stack developer#R1</v>
      </c>
      <c r="S137" s="150">
        <f>_xlfn.IFNA(IF(ISBLANK(TAB_CS[[#This Row],[Ressource]]),"",VLOOKUP(TAB_CS[[#This Row],[Reference]],TAB_Offres[[Reference]:[Level]],COLUMNS(TAB_Offres[[Reference]:[Level]]),FALSE)),"")</f>
        <v>6</v>
      </c>
      <c r="T137" s="156">
        <f>_xlfn.IFNA(IF(OR(ISBLANK(TAB_CS[[#This Row],[Level]]),TAB_CS[[#This Row],[Level]]=""),,VLOOKUP(TAB_CS[[#This Row],[Profile]],TAB_prix[],2+TAB_CS[[#This Row],[Level]],FALSE)),)</f>
        <v>533.89</v>
      </c>
      <c r="U137" s="151">
        <v>150</v>
      </c>
      <c r="V137" s="205">
        <f>IF(OR(ISBLANK(TAB_CS[[#This Row],[Commited days]]),TAB_CS[[#This Row],[Commited days]]=0),,TAB_CS[[#This Row],[Commited days]]*TAB_CS[[#This Row],[Profile in €]])</f>
        <v>80083.5</v>
      </c>
      <c r="W137" s="156">
        <f>SUM(TAB_CS[[#This Row],[F]:[P+1]])-TAB_CS[[#This Row],[P+1]]</f>
        <v>96.5</v>
      </c>
      <c r="X137" s="205">
        <f>IF(OR(ISBLANK(TAB_CS[[#This Row],[Producted days]]),TAB_CS[[#This Row],[Producted days]]=0),,TAB_CS[[#This Row],[Producted days]]*TAB_CS[[#This Row],[Profile in €]])</f>
        <v>51520.385000000002</v>
      </c>
      <c r="Y137" s="206">
        <f>TAB_CS[[#This Row],[Commited days]]-TAB_CS[[#This Row],[Producted days]]</f>
        <v>53.5</v>
      </c>
      <c r="Z137" s="205">
        <f>IF(OR(ISBLANK(TAB_CS[[#This Row],[Remaining days]]),TAB_CS[[#This Row],[Remaining days]]=0),,TAB_CS[[#This Row],[Remaining days]]*TAB_CS[[#This Row],[Profile in €]])</f>
        <v>28563.114999999998</v>
      </c>
      <c r="AA137" s="207">
        <f>SUM(TAB_CS[[#This Row],[P+1]:[FP]])</f>
        <v>53.5</v>
      </c>
      <c r="AB137" s="208">
        <f>IF(OR(ISBLANK(TAB_CS[[#This Row],[Expected days]]),TAB_CS[[#This Row],[Expected days]]=0),,TAB_CS[[#This Row],[Expected days]]*TAB_CS[[#This Row],[Profile in €]])</f>
        <v>28563.114999999998</v>
      </c>
      <c r="AC137" s="322" t="str">
        <f>CONCATENATE(TAB_CS[[#This Row],[DG]],TAB_CS[[#This Row],[Company]])</f>
        <v>SGTALAN</v>
      </c>
      <c r="AD137" s="209"/>
      <c r="AE137" s="150"/>
      <c r="AF137" s="151"/>
      <c r="AG137" s="151"/>
      <c r="AH137" s="151"/>
      <c r="AI137" s="150"/>
      <c r="AJ137" s="151"/>
      <c r="AK137" s="156"/>
      <c r="AL137" s="156"/>
      <c r="AM137" s="150"/>
      <c r="AN137" s="150"/>
      <c r="AO137" s="150"/>
      <c r="AP137" s="150"/>
      <c r="AQ137" s="150"/>
      <c r="AR137" s="150"/>
      <c r="AS137" s="150"/>
      <c r="AT137" s="156"/>
      <c r="AU137" s="156"/>
      <c r="AV137" s="171"/>
      <c r="AW137" s="171"/>
      <c r="AX137" s="171"/>
      <c r="AY137" s="171"/>
      <c r="AZ137" s="171"/>
      <c r="BA137" s="171"/>
      <c r="BB137" s="171"/>
      <c r="BC137" s="171"/>
      <c r="BD137" s="171"/>
      <c r="BE137" s="171"/>
      <c r="BF137" s="352">
        <v>4.5</v>
      </c>
      <c r="BG137" s="352">
        <v>19</v>
      </c>
      <c r="BH137" s="352">
        <v>18</v>
      </c>
      <c r="BI137" s="323"/>
      <c r="BJ137" s="291">
        <v>19</v>
      </c>
      <c r="BK137" s="171">
        <v>18</v>
      </c>
      <c r="BL137" s="171">
        <v>18</v>
      </c>
      <c r="BM137" s="323"/>
      <c r="BN137" s="171">
        <v>18</v>
      </c>
      <c r="BO137" s="171">
        <v>18</v>
      </c>
      <c r="BP137" s="171">
        <v>17.5</v>
      </c>
      <c r="BQ137" s="171"/>
      <c r="BR137" s="171"/>
      <c r="BS137" s="171"/>
      <c r="BT137" s="171"/>
      <c r="BU137" s="171"/>
      <c r="BV137" s="171"/>
      <c r="BW137" s="171"/>
      <c r="BX137" s="171"/>
      <c r="BY137" s="644"/>
      <c r="BZ137" s="224"/>
    </row>
    <row r="138" spans="1:78" s="4" customFormat="1" ht="14.4" x14ac:dyDescent="0.3">
      <c r="A138" s="150">
        <f>IF(ISBLANK(TAB_CS[[#This Row],[Reference]]),"",INDEX(TAB_Offres[ID],MATCH(TAB_CS[[#This Row],[Reference]],TAB_Offres[Reference],0)))</f>
        <v>137</v>
      </c>
      <c r="B138" s="154" t="s">
        <v>5971</v>
      </c>
      <c r="C138" s="1" t="s">
        <v>6001</v>
      </c>
      <c r="D138" s="150" t="str">
        <f>IF(ISBLANK(TAB_CS[[#This Row],[Reference]]),"",VLOOKUP(TAB_CS[[#This Row],[ID]],TAB_Offres[],2,FALSE))</f>
        <v>Lot 3</v>
      </c>
      <c r="E138" s="150" t="s">
        <v>5920</v>
      </c>
      <c r="F138" s="154">
        <f>_xlfn.IFNA(IF(ISBLANK(TAB_CS[[#This Row],[Reference]]),"",VLOOKUP(TAB_CS[[#This Row],[Reference]],TAB_Offres[[Reference]:[Modification Request]],COLUMNS(TAB_Offres[[Reference]:[Modification Request]]),FALSE)),)</f>
        <v>0</v>
      </c>
      <c r="G138" s="150" t="str">
        <f>IF(ISBLANK(TAB_CS[[#This Row],[Reference]]),"",INDEX(TAB_Offres[Institution/agency],MATCH(TAB_CS[[#This Row],[Reference]],TAB_Offres[Reference],0)))</f>
        <v>EC</v>
      </c>
      <c r="H138" s="150" t="str">
        <f>IF(ISBLANK(TAB_CS[[#This Row],[Reference]]),"",INDEX(TAB_Offres[DG],MATCH(TAB_CS[[#This Row],[Reference]],TAB_Offres[Reference],0)))</f>
        <v>RTD</v>
      </c>
      <c r="I138" s="4" t="str">
        <f>IF(ISBLANK(TAB_CS[[#This Row],[Reference]]),"",INDEX(TAB_Offres[Offer description],MATCH(TAB_CS[[#This Row],[Reference]],TAB_Offres[Reference],0)))</f>
        <v>Enterprise Architect (EA)</v>
      </c>
      <c r="J138" s="204">
        <f>_xlfn.IFNA(IF(ISBLANK(TAB_CS[[#This Row],[Ressource]]),,VLOOKUP(TAB_CS[[#This Row],[Reference]],TAB_Offres[[Reference]:[CS signature date]],COLUMNS(TAB_Offres[[Reference]:[CS signature date]]),FALSE)),"")</f>
        <v>45464</v>
      </c>
      <c r="K138" s="204">
        <f>_xlfn.IFNA(IF(ISBLANK(TAB_CS[[#This Row],[Ressource]]),,VLOOKUP(TAB_CS[[#This Row],[Reference]],TAB_Offres[[Reference]:[CS start date]],COLUMNS(TAB_Offres[[Reference]:[CS start date]]),FALSE)),"")</f>
        <v>45467</v>
      </c>
      <c r="L138" s="204">
        <f>_xlfn.IFNA(IF(ISBLANK(TAB_CS[[#This Row],[Ressource]]),,VLOOKUP(TAB_CS[[#This Row],[Reference]],TAB_Offres[[Reference]:[CS end date]],COLUMNS(TAB_Offres[[Reference]:[CS end date]]),FALSE)),"")</f>
        <v>45961</v>
      </c>
      <c r="M138" s="150">
        <f>_xlfn.IFNA(IF(ISBLANK(TAB_CS[[#This Row],[Ressource]]),,VLOOKUP(TAB_CS[[#This Row],[Reference]],TAB_Offres[[Reference]:[CS State]],COLUMNS(TAB_Offres[[Reference]:[CS State]]),FALSE)),"")</f>
        <v>0</v>
      </c>
      <c r="N138" s="26" t="str">
        <f>VLOOKUP(TAB_CS[[#This Row],[Reference]],TAB_Offres[[Reference]:[Ressource 1]],25,FALSE)</f>
        <v>KIRIMLIDOU, Dimoula</v>
      </c>
      <c r="O138" s="150" t="str">
        <f>_xlfn.IFNA(IF(ISBLANK(TAB_CS[[#This Row],[Ressource]]),,VLOOKUP(TAB_CS[[#This Row],[Reference]],TAB_Offres[[Reference]:[Company]],COLUMNS(TAB_Offres[[Reference]:[Company]]),FALSE)),"")</f>
        <v>EDDA</v>
      </c>
      <c r="P138" s="150" t="str">
        <f>_xlfn.CONCAT(TAB_CS[[#This Row],[Ressource]],TAB_CS[[#This Row],[Profile in €]])</f>
        <v>KIRIMLIDOU, Dimoula528,24</v>
      </c>
      <c r="Q138" s="150" t="str">
        <f>_xlfn.CONCAT(TAB_CS[[#This Row],[Company]],TAB_CS[[#This Row],[Business perimeter]])</f>
        <v>EDDANB</v>
      </c>
      <c r="R138" s="150" t="str">
        <f>_xlfn.IFNA(IF(ISBLANK(TAB_CS[[#This Row],[Ressource]]),"",VLOOKUP(TAB_CS[[#This Row],[Reference]],TAB_Offres[[Reference]:[Profile]],COLUMNS(TAB_Offres[[Reference]:[Profile]]),FALSE)),"")</f>
        <v>Enterprise architect#R1-FAR</v>
      </c>
      <c r="S138" s="150">
        <f>_xlfn.IFNA(IF(ISBLANK(TAB_CS[[#This Row],[Ressource]]),"",VLOOKUP(TAB_CS[[#This Row],[Reference]],TAB_Offres[[Reference]:[Level]],COLUMNS(TAB_Offres[[Reference]:[Level]]),FALSE)),"")</f>
        <v>9</v>
      </c>
      <c r="T138" s="156">
        <f>_xlfn.IFNA(IF(OR(ISBLANK(TAB_CS[[#This Row],[Level]]),TAB_CS[[#This Row],[Level]]=""),,VLOOKUP(TAB_CS[[#This Row],[Profile]],TAB_prix[],2+TAB_CS[[#This Row],[Level]],FALSE)),)</f>
        <v>528.24</v>
      </c>
      <c r="U138" s="151">
        <v>180</v>
      </c>
      <c r="V138" s="205">
        <f>IF(OR(ISBLANK(TAB_CS[[#This Row],[Commited days]]),TAB_CS[[#This Row],[Commited days]]=0),,TAB_CS[[#This Row],[Commited days]]*TAB_CS[[#This Row],[Profile in €]])</f>
        <v>95083.199999999997</v>
      </c>
      <c r="W138" s="156">
        <f>SUM(TAB_CS[[#This Row],[F]:[P+1]])-TAB_CS[[#This Row],[P+1]]</f>
        <v>99.5</v>
      </c>
      <c r="X138" s="205">
        <f>IF(OR(ISBLANK(TAB_CS[[#This Row],[Producted days]]),TAB_CS[[#This Row],[Producted days]]=0),,TAB_CS[[#This Row],[Producted days]]*TAB_CS[[#This Row],[Profile in €]])</f>
        <v>52559.88</v>
      </c>
      <c r="Y138" s="206">
        <f>TAB_CS[[#This Row],[Commited days]]-TAB_CS[[#This Row],[Producted days]]</f>
        <v>80.5</v>
      </c>
      <c r="Z138" s="205">
        <f>IF(OR(ISBLANK(TAB_CS[[#This Row],[Remaining days]]),TAB_CS[[#This Row],[Remaining days]]=0),,TAB_CS[[#This Row],[Remaining days]]*TAB_CS[[#This Row],[Profile in €]])</f>
        <v>42523.32</v>
      </c>
      <c r="AA138" s="207">
        <f>SUM(TAB_CS[[#This Row],[P+1]:[FP]])</f>
        <v>80.5</v>
      </c>
      <c r="AB138" s="208">
        <f>IF(OR(ISBLANK(TAB_CS[[#This Row],[Expected days]]),TAB_CS[[#This Row],[Expected days]]=0),,TAB_CS[[#This Row],[Expected days]]*TAB_CS[[#This Row],[Profile in €]])</f>
        <v>42523.32</v>
      </c>
      <c r="AC138" s="322" t="str">
        <f>CONCATENATE(TAB_CS[[#This Row],[DG]],TAB_CS[[#This Row],[Company]])</f>
        <v>RTDEDDA</v>
      </c>
      <c r="AD138" s="209"/>
      <c r="AE138" s="150"/>
      <c r="AF138" s="151"/>
      <c r="AG138" s="151"/>
      <c r="AH138" s="151"/>
      <c r="AI138" s="150"/>
      <c r="AJ138" s="151"/>
      <c r="AK138" s="156"/>
      <c r="AL138" s="156"/>
      <c r="AM138" s="150"/>
      <c r="AN138" s="150"/>
      <c r="AO138" s="150"/>
      <c r="AP138" s="150"/>
      <c r="AQ138" s="150"/>
      <c r="AR138" s="150"/>
      <c r="AS138" s="150"/>
      <c r="AT138" s="156"/>
      <c r="AU138" s="156"/>
      <c r="AV138" s="171"/>
      <c r="AW138" s="171"/>
      <c r="AX138" s="171"/>
      <c r="AY138" s="171"/>
      <c r="AZ138" s="171"/>
      <c r="BA138" s="171"/>
      <c r="BB138" s="171"/>
      <c r="BC138" s="171"/>
      <c r="BD138" s="171"/>
      <c r="BE138" s="171"/>
      <c r="BF138" s="352">
        <v>14.5</v>
      </c>
      <c r="BG138" s="352">
        <v>8</v>
      </c>
      <c r="BH138" s="352">
        <v>20</v>
      </c>
      <c r="BI138" s="323"/>
      <c r="BJ138" s="291">
        <v>21</v>
      </c>
      <c r="BK138" s="171">
        <v>18</v>
      </c>
      <c r="BL138" s="171">
        <v>18</v>
      </c>
      <c r="BM138" s="323"/>
      <c r="BN138" s="171">
        <v>18</v>
      </c>
      <c r="BO138" s="171">
        <v>18</v>
      </c>
      <c r="BP138" s="171">
        <v>18</v>
      </c>
      <c r="BQ138" s="171">
        <v>18</v>
      </c>
      <c r="BR138" s="171">
        <v>8.5</v>
      </c>
      <c r="BS138" s="171"/>
      <c r="BT138" s="171"/>
      <c r="BU138" s="171"/>
      <c r="BV138" s="171"/>
      <c r="BW138" s="171"/>
      <c r="BX138" s="644"/>
      <c r="BY138" s="644"/>
      <c r="BZ138" s="224"/>
    </row>
    <row r="139" spans="1:78" s="4" customFormat="1" ht="14.4" x14ac:dyDescent="0.3">
      <c r="A139" s="150">
        <f>IF(ISBLANK(TAB_CS[[#This Row],[Reference]]),"",INDEX(TAB_Offres[ID],MATCH(TAB_CS[[#This Row],[Reference]],TAB_Offres[Reference],0)))</f>
        <v>138</v>
      </c>
      <c r="B139" s="154" t="s">
        <v>5972</v>
      </c>
      <c r="C139" s="150" t="s">
        <v>6002</v>
      </c>
      <c r="D139" s="150" t="str">
        <f>IF(ISBLANK(TAB_CS[[#This Row],[Reference]]),"",VLOOKUP(TAB_CS[[#This Row],[ID]],TAB_Offres[],2,FALSE))</f>
        <v>Lot 3</v>
      </c>
      <c r="E139" s="150" t="s">
        <v>5920</v>
      </c>
      <c r="F139" s="154">
        <f>_xlfn.IFNA(IF(ISBLANK(TAB_CS[[#This Row],[Reference]]),"",VLOOKUP(TAB_CS[[#This Row],[Reference]],TAB_Offres[[Reference]:[Modification Request]],COLUMNS(TAB_Offres[[Reference]:[Modification Request]]),FALSE)),)</f>
        <v>0</v>
      </c>
      <c r="G139" s="150" t="str">
        <f>IF(ISBLANK(TAB_CS[[#This Row],[Reference]]),"",INDEX(TAB_Offres[Institution/agency],MATCH(TAB_CS[[#This Row],[Reference]],TAB_Offres[Reference],0)))</f>
        <v>EC</v>
      </c>
      <c r="H139" s="150" t="str">
        <f>IF(ISBLANK(TAB_CS[[#This Row],[Reference]]),"",INDEX(TAB_Offres[DG],MATCH(TAB_CS[[#This Row],[Reference]],TAB_Offres[Reference],0)))</f>
        <v>DIGIT.A.3</v>
      </c>
      <c r="I139" s="4" t="str">
        <f>IF(ISBLANK(TAB_CS[[#This Row],[Reference]]),"",INDEX(TAB_Offres[Offer description],MATCH(TAB_CS[[#This Row],[Reference]],TAB_Offres[Reference],0)))</f>
        <v>Onboarding Manager (OM)</v>
      </c>
      <c r="J139" s="204">
        <f>_xlfn.IFNA(IF(ISBLANK(TAB_CS[[#This Row],[Ressource]]),,VLOOKUP(TAB_CS[[#This Row],[Reference]],TAB_Offres[[Reference]:[CS signature date]],COLUMNS(TAB_Offres[[Reference]:[CS signature date]]),FALSE)),"")</f>
        <v>45463</v>
      </c>
      <c r="K139" s="204">
        <f>_xlfn.IFNA(IF(ISBLANK(TAB_CS[[#This Row],[Ressource]]),,VLOOKUP(TAB_CS[[#This Row],[Reference]],TAB_Offres[[Reference]:[CS start date]],COLUMNS(TAB_Offres[[Reference]:[CS start date]]),FALSE)),"")</f>
        <v>45464</v>
      </c>
      <c r="L139" s="204">
        <f>_xlfn.IFNA(IF(ISBLANK(TAB_CS[[#This Row],[Ressource]]),,VLOOKUP(TAB_CS[[#This Row],[Reference]],TAB_Offres[[Reference]:[CS end date]],COLUMNS(TAB_Offres[[Reference]:[CS end date]]),FALSE)),"")</f>
        <v>45930</v>
      </c>
      <c r="M139" s="150">
        <f>_xlfn.IFNA(IF(ISBLANK(TAB_CS[[#This Row],[Ressource]]),,VLOOKUP(TAB_CS[[#This Row],[Reference]],TAB_Offres[[Reference]:[CS State]],COLUMNS(TAB_Offres[[Reference]:[CS State]]),FALSE)),"")</f>
        <v>0</v>
      </c>
      <c r="N139" s="154" t="str">
        <f>VLOOKUP(TAB_CS[[#This Row],[Reference]],TAB_Offres[[Reference]:[Ressource 1]],25,FALSE)</f>
        <v>MEEUS, Alain</v>
      </c>
      <c r="O139" s="150" t="str">
        <f>_xlfn.IFNA(IF(ISBLANK(TAB_CS[[#This Row],[Ressource]]),,VLOOKUP(TAB_CS[[#This Row],[Reference]],TAB_Offres[[Reference]:[Company]],COLUMNS(TAB_Offres[[Reference]:[Company]]),FALSE)),"")</f>
        <v>TALAN</v>
      </c>
      <c r="P139" s="150" t="str">
        <f>_xlfn.CONCAT(TAB_CS[[#This Row],[Ressource]],TAB_CS[[#This Row],[Profile in €]])</f>
        <v>MEEUS, Alain851,39</v>
      </c>
      <c r="Q139" s="150" t="str">
        <f>_xlfn.CONCAT(TAB_CS[[#This Row],[Company]],TAB_CS[[#This Row],[Business perimeter]])</f>
        <v>TALANNB</v>
      </c>
      <c r="R139" s="150" t="str">
        <f>_xlfn.IFNA(IF(ISBLANK(TAB_CS[[#This Row],[Ressource]]),"",VLOOKUP(TAB_CS[[#This Row],[Reference]],TAB_Offres[[Reference]:[Profile]],COLUMNS(TAB_Offres[[Reference]:[Profile]]),FALSE)),"")</f>
        <v>Onboarding manager#R1</v>
      </c>
      <c r="S139" s="150">
        <f>_xlfn.IFNA(IF(ISBLANK(TAB_CS[[#This Row],[Ressource]]),"",VLOOKUP(TAB_CS[[#This Row],[Reference]],TAB_Offres[[Reference]:[Level]],COLUMNS(TAB_Offres[[Reference]:[Level]]),FALSE)),"")</f>
        <v>9</v>
      </c>
      <c r="T139" s="156">
        <f>_xlfn.IFNA(IF(OR(ISBLANK(TAB_CS[[#This Row],[Level]]),TAB_CS[[#This Row],[Level]]=""),,VLOOKUP(TAB_CS[[#This Row],[Profile]],TAB_prix[],2+TAB_CS[[#This Row],[Level]],FALSE)),)</f>
        <v>851.39</v>
      </c>
      <c r="U139" s="151">
        <v>180</v>
      </c>
      <c r="V139" s="205">
        <f>IF(OR(ISBLANK(TAB_CS[[#This Row],[Commited days]]),TAB_CS[[#This Row],[Commited days]]=0),,TAB_CS[[#This Row],[Commited days]]*TAB_CS[[#This Row],[Profile in €]])</f>
        <v>153250.20000000001</v>
      </c>
      <c r="W139" s="156">
        <f>SUM(TAB_CS[[#This Row],[F]:[P+1]])-TAB_CS[[#This Row],[P+1]]</f>
        <v>110.5</v>
      </c>
      <c r="X139" s="205">
        <f>IF(OR(ISBLANK(TAB_CS[[#This Row],[Producted days]]),TAB_CS[[#This Row],[Producted days]]=0),,TAB_CS[[#This Row],[Producted days]]*TAB_CS[[#This Row],[Profile in €]])</f>
        <v>94078.595000000001</v>
      </c>
      <c r="Y139" s="206">
        <f>TAB_CS[[#This Row],[Commited days]]-TAB_CS[[#This Row],[Producted days]]</f>
        <v>69.5</v>
      </c>
      <c r="Z139" s="205">
        <f>IF(OR(ISBLANK(TAB_CS[[#This Row],[Remaining days]]),TAB_CS[[#This Row],[Remaining days]]=0),,TAB_CS[[#This Row],[Remaining days]]*TAB_CS[[#This Row],[Profile in €]])</f>
        <v>59171.604999999996</v>
      </c>
      <c r="AA139" s="207">
        <f>SUM(TAB_CS[[#This Row],[P+1]:[FP]])</f>
        <v>69.5</v>
      </c>
      <c r="AB139" s="208">
        <f>IF(OR(ISBLANK(TAB_CS[[#This Row],[Expected days]]),TAB_CS[[#This Row],[Expected days]]=0),,TAB_CS[[#This Row],[Expected days]]*TAB_CS[[#This Row],[Profile in €]])</f>
        <v>59171.604999999996</v>
      </c>
      <c r="AC139" s="322" t="str">
        <f>CONCATENATE(TAB_CS[[#This Row],[DG]],TAB_CS[[#This Row],[Company]])</f>
        <v>DIGIT.A.3TALAN</v>
      </c>
      <c r="AD139" s="209"/>
      <c r="AE139" s="150"/>
      <c r="AF139" s="151"/>
      <c r="AG139" s="151"/>
      <c r="AH139" s="151"/>
      <c r="AI139" s="150"/>
      <c r="AJ139" s="151"/>
      <c r="AK139" s="156"/>
      <c r="AL139" s="156"/>
      <c r="AM139" s="150"/>
      <c r="AN139" s="150"/>
      <c r="AO139" s="150"/>
      <c r="AP139" s="150"/>
      <c r="AQ139" s="150"/>
      <c r="AR139" s="150"/>
      <c r="AS139" s="150"/>
      <c r="AT139" s="156"/>
      <c r="AU139" s="156"/>
      <c r="AV139" s="171"/>
      <c r="AW139" s="171"/>
      <c r="AX139" s="171"/>
      <c r="AY139" s="171"/>
      <c r="AZ139" s="171"/>
      <c r="BA139" s="171"/>
      <c r="BB139" s="171"/>
      <c r="BC139" s="171"/>
      <c r="BD139" s="171"/>
      <c r="BE139" s="352">
        <v>5</v>
      </c>
      <c r="BF139" s="352">
        <v>15</v>
      </c>
      <c r="BG139" s="352">
        <v>13</v>
      </c>
      <c r="BH139" s="352">
        <v>21</v>
      </c>
      <c r="BI139" s="323"/>
      <c r="BJ139" s="291">
        <v>20.5</v>
      </c>
      <c r="BK139" s="171">
        <v>18</v>
      </c>
      <c r="BL139" s="171">
        <v>18</v>
      </c>
      <c r="BM139" s="323"/>
      <c r="BN139" s="171">
        <v>18</v>
      </c>
      <c r="BO139" s="171">
        <v>18</v>
      </c>
      <c r="BP139" s="171">
        <v>18</v>
      </c>
      <c r="BQ139" s="171">
        <v>15.5</v>
      </c>
      <c r="BR139" s="171"/>
      <c r="BS139" s="171"/>
      <c r="BT139" s="171"/>
      <c r="BU139" s="171"/>
      <c r="BV139" s="171"/>
      <c r="BW139" s="644"/>
      <c r="BX139" s="644"/>
      <c r="BY139" s="644"/>
      <c r="BZ139" s="324"/>
    </row>
    <row r="140" spans="1:78" s="4" customFormat="1" ht="14.4" x14ac:dyDescent="0.3">
      <c r="A140" s="150">
        <f>IF(ISBLANK(TAB_CS[[#This Row],[Reference]]),"",INDEX(TAB_Offres[ID],MATCH(TAB_CS[[#This Row],[Reference]],TAB_Offres[Reference],0)))</f>
        <v>139</v>
      </c>
      <c r="B140" s="154" t="s">
        <v>5986</v>
      </c>
      <c r="C140" s="150" t="s">
        <v>6003</v>
      </c>
      <c r="D140" s="150" t="str">
        <f>IF(ISBLANK(TAB_CS[[#This Row],[Reference]]),"",VLOOKUP(TAB_CS[[#This Row],[ID]],TAB_Offres[],2,FALSE))</f>
        <v>Lot 3</v>
      </c>
      <c r="E140" s="150" t="s">
        <v>5920</v>
      </c>
      <c r="F140" s="154">
        <f>_xlfn.IFNA(IF(ISBLANK(TAB_CS[[#This Row],[Reference]]),"",VLOOKUP(TAB_CS[[#This Row],[Reference]],TAB_Offres[[Reference]:[Modification Request]],COLUMNS(TAB_Offres[[Reference]:[Modification Request]]),FALSE)),)</f>
        <v>0</v>
      </c>
      <c r="G140" s="150" t="str">
        <f>IF(ISBLANK(TAB_CS[[#This Row],[Reference]]),"",INDEX(TAB_Offres[Institution/agency],MATCH(TAB_CS[[#This Row],[Reference]],TAB_Offres[Reference],0)))</f>
        <v>EC</v>
      </c>
      <c r="H140" s="150" t="str">
        <f>IF(ISBLANK(TAB_CS[[#This Row],[Reference]]),"",INDEX(TAB_Offres[DG],MATCH(TAB_CS[[#This Row],[Reference]],TAB_Offres[Reference],0)))</f>
        <v>EMPL</v>
      </c>
      <c r="I140" s="4" t="str">
        <f>IF(ISBLANK(TAB_CS[[#This Row],[Reference]]),"",INDEX(TAB_Offres[Offer description],MATCH(TAB_CS[[#This Row],[Reference]],TAB_Offres[Reference],0)))</f>
        <v>Onboarding Manager (OM)</v>
      </c>
      <c r="J140" s="204">
        <f>_xlfn.IFNA(IF(ISBLANK(TAB_CS[[#This Row],[Ressource]]),,VLOOKUP(TAB_CS[[#This Row],[Reference]],TAB_Offres[[Reference]:[CS signature date]],COLUMNS(TAB_Offres[[Reference]:[CS signature date]]),FALSE)),"")</f>
        <v>45373</v>
      </c>
      <c r="K140" s="204">
        <f>_xlfn.IFNA(IF(ISBLANK(TAB_CS[[#This Row],[Ressource]]),,VLOOKUP(TAB_CS[[#This Row],[Reference]],TAB_Offres[[Reference]:[CS start date]],COLUMNS(TAB_Offres[[Reference]:[CS start date]]),FALSE)),"")</f>
        <v>45378</v>
      </c>
      <c r="L140" s="204">
        <f>_xlfn.IFNA(IF(ISBLANK(TAB_CS[[#This Row],[Ressource]]),,VLOOKUP(TAB_CS[[#This Row],[Reference]],TAB_Offres[[Reference]:[CS end date]],COLUMNS(TAB_Offres[[Reference]:[CS end date]]),FALSE)),"")</f>
        <v>45900</v>
      </c>
      <c r="M140" s="150">
        <f>_xlfn.IFNA(IF(ISBLANK(TAB_CS[[#This Row],[Ressource]]),,VLOOKUP(TAB_CS[[#This Row],[Reference]],TAB_Offres[[Reference]:[CS State]],COLUMNS(TAB_Offres[[Reference]:[CS State]]),FALSE)),"")</f>
        <v>0</v>
      </c>
      <c r="N140" s="154" t="str">
        <f>VLOOKUP(TAB_CS[[#This Row],[Reference]],TAB_Offres[[Reference]:[Ressource 1]],25,FALSE)</f>
        <v>NICULESCU, Calin</v>
      </c>
      <c r="O140" s="150" t="str">
        <f>_xlfn.IFNA(IF(ISBLANK(TAB_CS[[#This Row],[Ressource]]),,VLOOKUP(TAB_CS[[#This Row],[Reference]],TAB_Offres[[Reference]:[Company]],COLUMNS(TAB_Offres[[Reference]:[Company]]),FALSE)),"")</f>
        <v>CGI LUX</v>
      </c>
      <c r="P140" s="150" t="str">
        <f>_xlfn.CONCAT(TAB_CS[[#This Row],[Ressource]],TAB_CS[[#This Row],[Profile in €]])</f>
        <v>NICULESCU, Calin910,99</v>
      </c>
      <c r="Q140" s="150" t="str">
        <f>_xlfn.CONCAT(TAB_CS[[#This Row],[Company]],TAB_CS[[#This Row],[Business perimeter]])</f>
        <v>CGI LUXNB</v>
      </c>
      <c r="R140" s="150" t="str">
        <f>_xlfn.IFNA(IF(ISBLANK(TAB_CS[[#This Row],[Ressource]]),"",VLOOKUP(TAB_CS[[#This Row],[Reference]],TAB_Offres[[Reference]:[Profile]],COLUMNS(TAB_Offres[[Reference]:[Profile]]),FALSE)),"")</f>
        <v>Onboarding manager#R1</v>
      </c>
      <c r="S140" s="150">
        <f>_xlfn.IFNA(IF(ISBLANK(TAB_CS[[#This Row],[Ressource]]),"",VLOOKUP(TAB_CS[[#This Row],[Reference]],TAB_Offres[[Reference]:[Level]],COLUMNS(TAB_Offres[[Reference]:[Level]]),FALSE)),"")</f>
        <v>10</v>
      </c>
      <c r="T140" s="156">
        <f>_xlfn.IFNA(IF(OR(ISBLANK(TAB_CS[[#This Row],[Level]]),TAB_CS[[#This Row],[Level]]=""),,VLOOKUP(TAB_CS[[#This Row],[Profile]],TAB_prix[],2+TAB_CS[[#This Row],[Level]],FALSE)),)</f>
        <v>910.99</v>
      </c>
      <c r="U140" s="151">
        <v>74.5</v>
      </c>
      <c r="V140" s="205">
        <f>IF(OR(ISBLANK(TAB_CS[[#This Row],[Commited days]]),TAB_CS[[#This Row],[Commited days]]=0),,TAB_CS[[#This Row],[Commited days]]*TAB_CS[[#This Row],[Profile in €]])</f>
        <v>67868.755000000005</v>
      </c>
      <c r="W140" s="156">
        <f>SUM(TAB_CS[[#This Row],[F]:[P+1]])-TAB_CS[[#This Row],[P+1]]</f>
        <v>74.5</v>
      </c>
      <c r="X140" s="205">
        <f>IF(OR(ISBLANK(TAB_CS[[#This Row],[Producted days]]),TAB_CS[[#This Row],[Producted days]]=0),,TAB_CS[[#This Row],[Producted days]]*TAB_CS[[#This Row],[Profile in €]])</f>
        <v>67868.755000000005</v>
      </c>
      <c r="Y140" s="206">
        <f>TAB_CS[[#This Row],[Commited days]]-TAB_CS[[#This Row],[Producted days]]</f>
        <v>0</v>
      </c>
      <c r="Z140" s="205">
        <f>IF(OR(ISBLANK(TAB_CS[[#This Row],[Remaining days]]),TAB_CS[[#This Row],[Remaining days]]=0),,TAB_CS[[#This Row],[Remaining days]]*TAB_CS[[#This Row],[Profile in €]])</f>
        <v>0</v>
      </c>
      <c r="AA140" s="207">
        <f>SUM(TAB_CS[[#This Row],[P+1]:[FP]])</f>
        <v>0</v>
      </c>
      <c r="AB140" s="208">
        <f>IF(OR(ISBLANK(TAB_CS[[#This Row],[Expected days]]),TAB_CS[[#This Row],[Expected days]]=0),,TAB_CS[[#This Row],[Expected days]]*TAB_CS[[#This Row],[Profile in €]])</f>
        <v>0</v>
      </c>
      <c r="AC140" s="322" t="str">
        <f>CONCATENATE(TAB_CS[[#This Row],[DG]],TAB_CS[[#This Row],[Company]])</f>
        <v>EMPLCGI LUX</v>
      </c>
      <c r="AD140" s="209"/>
      <c r="AE140" s="150"/>
      <c r="AF140" s="151"/>
      <c r="AG140" s="151"/>
      <c r="AH140" s="151"/>
      <c r="AI140" s="150"/>
      <c r="AJ140" s="151"/>
      <c r="AK140" s="156"/>
      <c r="AL140" s="156"/>
      <c r="AM140" s="150"/>
      <c r="AN140" s="150"/>
      <c r="AO140" s="150"/>
      <c r="AP140" s="150"/>
      <c r="AQ140" s="150"/>
      <c r="AR140" s="150"/>
      <c r="AS140" s="150"/>
      <c r="AT140" s="156"/>
      <c r="AU140" s="156"/>
      <c r="AV140" s="171"/>
      <c r="AW140" s="171"/>
      <c r="AX140" s="171"/>
      <c r="AY140" s="171"/>
      <c r="AZ140" s="171"/>
      <c r="BA140" s="171"/>
      <c r="BB140" s="171"/>
      <c r="BC140" s="352">
        <v>9</v>
      </c>
      <c r="BD140" s="352">
        <v>13.5</v>
      </c>
      <c r="BE140" s="352">
        <v>19</v>
      </c>
      <c r="BF140" s="352">
        <v>23</v>
      </c>
      <c r="BG140" s="352">
        <v>10</v>
      </c>
      <c r="BH140" s="644"/>
      <c r="BI140" s="323"/>
      <c r="BJ140" s="644"/>
      <c r="BK140" s="644"/>
      <c r="BL140" s="644"/>
      <c r="BM140" s="323"/>
      <c r="BN140" s="644"/>
      <c r="BO140" s="644"/>
      <c r="BP140" s="644"/>
      <c r="BQ140" s="644"/>
      <c r="BR140" s="644"/>
      <c r="BS140" s="644"/>
      <c r="BT140" s="644"/>
      <c r="BU140" s="644"/>
      <c r="BV140" s="644"/>
      <c r="BW140" s="644"/>
      <c r="BX140" s="644"/>
      <c r="BY140" s="644"/>
      <c r="BZ140" s="324"/>
    </row>
    <row r="141" spans="1:78" s="4" customFormat="1" ht="14.4" x14ac:dyDescent="0.3">
      <c r="A141" s="150">
        <f>IF(ISBLANK(TAB_CS[[#This Row],[Reference]]),"",INDEX(TAB_Offres[ID],MATCH(TAB_CS[[#This Row],[Reference]],TAB_Offres[Reference],0)))</f>
        <v>140</v>
      </c>
      <c r="B141" s="154" t="s">
        <v>6004</v>
      </c>
      <c r="C141" s="150" t="s">
        <v>6027</v>
      </c>
      <c r="D141" s="150" t="str">
        <f>IF(ISBLANK(TAB_CS[[#This Row],[Reference]]),"",VLOOKUP(TAB_CS[[#This Row],[ID]],TAB_Offres[],2,FALSE))</f>
        <v>Lot 2</v>
      </c>
      <c r="E141" s="150" t="s">
        <v>5920</v>
      </c>
      <c r="F141" s="154">
        <f>_xlfn.IFNA(IF(ISBLANK(TAB_CS[[#This Row],[Reference]]),"",VLOOKUP(TAB_CS[[#This Row],[Reference]],TAB_Offres[[Reference]:[Modification Request]],COLUMNS(TAB_Offres[[Reference]:[Modification Request]]),FALSE)),)</f>
        <v>0</v>
      </c>
      <c r="G141" s="1" t="str">
        <f>IF(ISBLANK(TAB_CS[[#This Row],[Reference]]),"",INDEX(TAB_Offres[Institution/agency],MATCH(TAB_CS[[#This Row],[Reference]],TAB_Offres[Reference],0)))</f>
        <v>EC</v>
      </c>
      <c r="H141" s="1" t="str">
        <f>IF(ISBLANK(TAB_CS[[#This Row],[Reference]]),"",INDEX(TAB_Offres[DG],MATCH(TAB_CS[[#This Row],[Reference]],TAB_Offres[Reference],0)))</f>
        <v>JUST</v>
      </c>
      <c r="I141" s="4" t="str">
        <f>IF(ISBLANK(TAB_CS[[#This Row],[Reference]]),"",INDEX(TAB_Offres[Offer description],MATCH(TAB_CS[[#This Row],[Reference]],TAB_Offres[Reference],0)))</f>
        <v>Project Manager</v>
      </c>
      <c r="J141" s="204">
        <f>_xlfn.IFNA(IF(ISBLANK(TAB_CS[[#This Row],[Ressource]]),,VLOOKUP(TAB_CS[[#This Row],[Reference]],TAB_Offres[[Reference]:[CS signature date]],COLUMNS(TAB_Offres[[Reference]:[CS signature date]]),FALSE)),"")</f>
        <v>45482</v>
      </c>
      <c r="K141" s="204">
        <f>_xlfn.IFNA(IF(ISBLANK(TAB_CS[[#This Row],[Ressource]]),,VLOOKUP(TAB_CS[[#This Row],[Reference]],TAB_Offres[[Reference]:[CS start date]],COLUMNS(TAB_Offres[[Reference]:[CS start date]]),FALSE)),"")</f>
        <v>45484</v>
      </c>
      <c r="L141" s="204">
        <f>_xlfn.IFNA(IF(ISBLANK(TAB_CS[[#This Row],[Ressource]]),,VLOOKUP(TAB_CS[[#This Row],[Reference]],TAB_Offres[[Reference]:[CS end date]],COLUMNS(TAB_Offres[[Reference]:[CS end date]]),FALSE)),"")</f>
        <v>45838</v>
      </c>
      <c r="M141" s="150">
        <f>_xlfn.IFNA(IF(ISBLANK(TAB_CS[[#This Row],[Ressource]]),,VLOOKUP(TAB_CS[[#This Row],[Reference]],TAB_Offres[[Reference]:[CS State]],COLUMNS(TAB_Offres[[Reference]:[CS State]]),FALSE)),"")</f>
        <v>0</v>
      </c>
      <c r="N141" s="154" t="str">
        <f>VLOOKUP(TAB_CS[[#This Row],[Reference]],TAB_Offres[[Reference]:[Ressource 1]],25,FALSE)</f>
        <v>VAN DE GUCHT, Pascal</v>
      </c>
      <c r="O141" s="150" t="str">
        <f>_xlfn.IFNA(IF(ISBLANK(TAB_CS[[#This Row],[Ressource]]),,VLOOKUP(TAB_CS[[#This Row],[Reference]],TAB_Offres[[Reference]:[Company]],COLUMNS(TAB_Offres[[Reference]:[Company]]),FALSE)),"")</f>
        <v>CGI LUX</v>
      </c>
      <c r="P141" s="150" t="str">
        <f>_xlfn.CONCAT(TAB_CS[[#This Row],[Ressource]],TAB_CS[[#This Row],[Profile in €]])</f>
        <v>VAN DE GUCHT, Pascal848,87</v>
      </c>
      <c r="Q141" s="150" t="str">
        <f>_xlfn.CONCAT(TAB_CS[[#This Row],[Company]],TAB_CS[[#This Row],[Business perimeter]])</f>
        <v>CGI LUXNB</v>
      </c>
      <c r="R141" s="150" t="str">
        <f>_xlfn.IFNA(IF(ISBLANK(TAB_CS[[#This Row],[Ressource]]),"",VLOOKUP(TAB_CS[[#This Row],[Reference]],TAB_Offres[[Reference]:[Profile]],COLUMNS(TAB_Offres[[Reference]:[Profile]]),FALSE)),"")</f>
        <v>Project Manager#R1</v>
      </c>
      <c r="S141" s="1">
        <f>_xlfn.IFNA(IF(ISBLANK(TAB_CS[[#This Row],[Ressource]]),"",VLOOKUP(TAB_CS[[#This Row],[Reference]],TAB_Offres[[Reference]:[Level]],COLUMNS(TAB_Offres[[Reference]:[Level]]),FALSE)),"")</f>
        <v>10</v>
      </c>
      <c r="T141" s="156">
        <f>_xlfn.IFNA(IF(OR(ISBLANK(TAB_CS[[#This Row],[Level]]),TAB_CS[[#This Row],[Level]]=""),,VLOOKUP(TAB_CS[[#This Row],[Profile]],TAB_prix[],2+TAB_CS[[#This Row],[Level]],FALSE)),)</f>
        <v>848.87</v>
      </c>
      <c r="U141" s="151">
        <v>176</v>
      </c>
      <c r="V141" s="205">
        <f>IF(OR(ISBLANK(TAB_CS[[#This Row],[Commited days]]),TAB_CS[[#This Row],[Commited days]]=0),,TAB_CS[[#This Row],[Commited days]]*TAB_CS[[#This Row],[Profile in €]])</f>
        <v>149401.12</v>
      </c>
      <c r="W141" s="156">
        <f>SUM(TAB_CS[[#This Row],[F]:[P+1]])-TAB_CS[[#This Row],[P+1]]</f>
        <v>101</v>
      </c>
      <c r="X141" s="205">
        <f>IF(OR(ISBLANK(TAB_CS[[#This Row],[Producted days]]),TAB_CS[[#This Row],[Producted days]]=0),,TAB_CS[[#This Row],[Producted days]]*TAB_CS[[#This Row],[Profile in €]])</f>
        <v>85735.87</v>
      </c>
      <c r="Y141" s="206">
        <f>TAB_CS[[#This Row],[Commited days]]-TAB_CS[[#This Row],[Producted days]]</f>
        <v>75</v>
      </c>
      <c r="Z141" s="205">
        <f>IF(OR(ISBLANK(TAB_CS[[#This Row],[Remaining days]]),TAB_CS[[#This Row],[Remaining days]]=0),,TAB_CS[[#This Row],[Remaining days]]*TAB_CS[[#This Row],[Profile in €]])</f>
        <v>63665.25</v>
      </c>
      <c r="AA141" s="207">
        <f>SUM(TAB_CS[[#This Row],[P+1]:[FP]])</f>
        <v>75</v>
      </c>
      <c r="AB141" s="208">
        <f>IF(OR(ISBLANK(TAB_CS[[#This Row],[Expected days]]),TAB_CS[[#This Row],[Expected days]]=0),,TAB_CS[[#This Row],[Expected days]]*TAB_CS[[#This Row],[Profile in €]])</f>
        <v>63665.25</v>
      </c>
      <c r="AC141" s="322" t="str">
        <f>CONCATENATE(TAB_CS[[#This Row],[DG]],TAB_CS[[#This Row],[Company]])</f>
        <v>JUSTCGI LUX</v>
      </c>
      <c r="AD141" s="209"/>
      <c r="AE141" s="150"/>
      <c r="AF141" s="151"/>
      <c r="AG141" s="151"/>
      <c r="AH141" s="13"/>
      <c r="AI141" s="1"/>
      <c r="AJ141" s="13"/>
      <c r="AK141" s="127"/>
      <c r="AL141" s="127"/>
      <c r="AM141" s="1"/>
      <c r="AN141" s="1"/>
      <c r="AO141" s="1"/>
      <c r="AP141" s="1"/>
      <c r="AQ141" s="1"/>
      <c r="AR141" s="1"/>
      <c r="AS141" s="1"/>
      <c r="AT141" s="127"/>
      <c r="AU141" s="127"/>
      <c r="AV141" s="540"/>
      <c r="AW141" s="540"/>
      <c r="AX141" s="540"/>
      <c r="AY141" s="540"/>
      <c r="AZ141" s="540"/>
      <c r="BA141" s="171"/>
      <c r="BB141" s="171"/>
      <c r="BC141" s="171"/>
      <c r="BD141" s="171"/>
      <c r="BE141" s="171"/>
      <c r="BF141" s="352">
        <v>0.5</v>
      </c>
      <c r="BG141" s="352">
        <v>20.5</v>
      </c>
      <c r="BH141" s="352">
        <v>21</v>
      </c>
      <c r="BI141" s="323"/>
      <c r="BJ141" s="291">
        <v>23</v>
      </c>
      <c r="BK141" s="171">
        <v>18</v>
      </c>
      <c r="BL141" s="171">
        <v>18</v>
      </c>
      <c r="BM141" s="323"/>
      <c r="BN141" s="171">
        <v>18</v>
      </c>
      <c r="BO141" s="171">
        <v>18</v>
      </c>
      <c r="BP141" s="171">
        <v>18</v>
      </c>
      <c r="BQ141" s="171">
        <v>18</v>
      </c>
      <c r="BR141" s="171">
        <v>3</v>
      </c>
      <c r="BS141" s="171"/>
      <c r="BT141" s="644"/>
      <c r="BU141" s="644"/>
      <c r="BV141" s="644"/>
      <c r="BW141" s="644"/>
      <c r="BX141" s="644"/>
      <c r="BY141" s="644"/>
      <c r="BZ141" s="224"/>
    </row>
    <row r="142" spans="1:78" s="4" customFormat="1" ht="14.4" x14ac:dyDescent="0.3">
      <c r="A142" s="150">
        <f>IF(ISBLANK(TAB_CS[[#This Row],[Reference]]),"",INDEX(TAB_Offres[ID],MATCH(TAB_CS[[#This Row],[Reference]],TAB_Offres[Reference],0)))</f>
        <v>141</v>
      </c>
      <c r="B142" s="154" t="s">
        <v>6008</v>
      </c>
      <c r="C142" s="150" t="s">
        <v>6051</v>
      </c>
      <c r="D142" s="150" t="str">
        <f>IF(ISBLANK(TAB_CS[[#This Row],[Reference]]),"",VLOOKUP(TAB_CS[[#This Row],[ID]],TAB_Offres[],2,FALSE))</f>
        <v>Lot 1</v>
      </c>
      <c r="E142" s="150" t="s">
        <v>5920</v>
      </c>
      <c r="F142" s="154">
        <f>_xlfn.IFNA(IF(ISBLANK(TAB_CS[[#This Row],[Reference]]),"",VLOOKUP(TAB_CS[[#This Row],[Reference]],TAB_Offres[[Reference]:[Modification Request]],COLUMNS(TAB_Offres[[Reference]:[Modification Request]]),FALSE)),)</f>
        <v>0</v>
      </c>
      <c r="G142" s="1" t="str">
        <f>IF(ISBLANK(TAB_CS[[#This Row],[Reference]]),"",INDEX(TAB_Offres[Institution/agency],MATCH(TAB_CS[[#This Row],[Reference]],TAB_Offres[Reference],0)))</f>
        <v>EC</v>
      </c>
      <c r="H142" s="1" t="str">
        <f>IF(ISBLANK(TAB_CS[[#This Row],[Reference]]),"",INDEX(TAB_Offres[DG],MATCH(TAB_CS[[#This Row],[Reference]],TAB_Offres[Reference],0)))</f>
        <v>SANTE</v>
      </c>
      <c r="I142" s="4" t="str">
        <f>IF(ISBLANK(TAB_CS[[#This Row],[Reference]]),"",INDEX(TAB_Offres[Offer description],MATCH(TAB_CS[[#This Row],[Reference]],TAB_Offres[Reference],0)))</f>
        <v>Back-End Developer (BED)</v>
      </c>
      <c r="J142" s="204">
        <f>_xlfn.IFNA(IF(ISBLANK(TAB_CS[[#This Row],[Ressource]]),,VLOOKUP(TAB_CS[[#This Row],[Reference]],TAB_Offres[[Reference]:[CS signature date]],COLUMNS(TAB_Offres[[Reference]:[CS signature date]]),FALSE)),"")</f>
        <v>45495</v>
      </c>
      <c r="K142" s="204">
        <f>_xlfn.IFNA(IF(ISBLANK(TAB_CS[[#This Row],[Ressource]]),,VLOOKUP(TAB_CS[[#This Row],[Reference]],TAB_Offres[[Reference]:[CS start date]],COLUMNS(TAB_Offres[[Reference]:[CS start date]]),FALSE)),"")</f>
        <v>0</v>
      </c>
      <c r="L142" s="204">
        <f>_xlfn.IFNA(IF(ISBLANK(TAB_CS[[#This Row],[Ressource]]),,VLOOKUP(TAB_CS[[#This Row],[Reference]],TAB_Offres[[Reference]:[CS end date]],COLUMNS(TAB_Offres[[Reference]:[CS end date]]),FALSE)),"")</f>
        <v>45961</v>
      </c>
      <c r="M142" s="150">
        <f>_xlfn.IFNA(IF(ISBLANK(TAB_CS[[#This Row],[Ressource]]),,VLOOKUP(TAB_CS[[#This Row],[Reference]],TAB_Offres[[Reference]:[CS State]],COLUMNS(TAB_Offres[[Reference]:[CS State]]),FALSE)),"")</f>
        <v>0</v>
      </c>
      <c r="N142" s="154" t="str">
        <f>VLOOKUP(TAB_CS[[#This Row],[Reference]],TAB_Offres[[Reference]:[Ressource 1]],25,FALSE)</f>
        <v>PAISE, Radu</v>
      </c>
      <c r="O142" s="150" t="str">
        <f>_xlfn.IFNA(IF(ISBLANK(TAB_CS[[#This Row],[Ressource]]),,VLOOKUP(TAB_CS[[#This Row],[Reference]],TAB_Offres[[Reference]:[Company]],COLUMNS(TAB_Offres[[Reference]:[Company]]),FALSE)),"")</f>
        <v>EDDA</v>
      </c>
      <c r="P142" s="150" t="str">
        <f>_xlfn.CONCAT(TAB_CS[[#This Row],[Ressource]],TAB_CS[[#This Row],[Profile in €]])</f>
        <v>PAISE, Radu693,61</v>
      </c>
      <c r="Q142" s="150" t="str">
        <f>_xlfn.CONCAT(TAB_CS[[#This Row],[Company]],TAB_CS[[#This Row],[Business perimeter]])</f>
        <v>EDDANB</v>
      </c>
      <c r="R142" s="150" t="str">
        <f>_xlfn.IFNA(IF(ISBLANK(TAB_CS[[#This Row],[Ressource]]),"",VLOOKUP(TAB_CS[[#This Row],[Reference]],TAB_Offres[[Reference]:[Profile]],COLUMNS(TAB_Offres[[Reference]:[Profile]]),FALSE)),"")</f>
        <v>Back-end developer#R1</v>
      </c>
      <c r="S142" s="1">
        <f>_xlfn.IFNA(IF(ISBLANK(TAB_CS[[#This Row],[Ressource]]),"",VLOOKUP(TAB_CS[[#This Row],[Reference]],TAB_Offres[[Reference]:[Level]],COLUMNS(TAB_Offres[[Reference]:[Level]]),FALSE)),"")</f>
        <v>10</v>
      </c>
      <c r="T142" s="156">
        <f>_xlfn.IFNA(IF(OR(ISBLANK(TAB_CS[[#This Row],[Level]]),TAB_CS[[#This Row],[Level]]=""),,VLOOKUP(TAB_CS[[#This Row],[Profile]],TAB_prix[],2+TAB_CS[[#This Row],[Level]],FALSE)),)</f>
        <v>693.61</v>
      </c>
      <c r="U142" s="151">
        <v>0</v>
      </c>
      <c r="V142" s="205">
        <f>IF(OR(ISBLANK(TAB_CS[[#This Row],[Commited days]]),TAB_CS[[#This Row],[Commited days]]=0),,TAB_CS[[#This Row],[Commited days]]*TAB_CS[[#This Row],[Profile in €]])</f>
        <v>0</v>
      </c>
      <c r="W142" s="156">
        <f>SUM(TAB_CS[[#This Row],[F]:[P+1]])-TAB_CS[[#This Row],[P+1]]</f>
        <v>0</v>
      </c>
      <c r="X142" s="205">
        <f>IF(OR(ISBLANK(TAB_CS[[#This Row],[Producted days]]),TAB_CS[[#This Row],[Producted days]]=0),,TAB_CS[[#This Row],[Producted days]]*TAB_CS[[#This Row],[Profile in €]])</f>
        <v>0</v>
      </c>
      <c r="Y142" s="206">
        <f>TAB_CS[[#This Row],[Commited days]]-TAB_CS[[#This Row],[Producted days]]</f>
        <v>0</v>
      </c>
      <c r="Z142" s="205">
        <f>IF(OR(ISBLANK(TAB_CS[[#This Row],[Remaining days]]),TAB_CS[[#This Row],[Remaining days]]=0),,TAB_CS[[#This Row],[Remaining days]]*TAB_CS[[#This Row],[Profile in €]])</f>
        <v>0</v>
      </c>
      <c r="AA142" s="207">
        <f>SUM(TAB_CS[[#This Row],[P+1]:[FP]])</f>
        <v>0</v>
      </c>
      <c r="AB142" s="208">
        <f>IF(OR(ISBLANK(TAB_CS[[#This Row],[Expected days]]),TAB_CS[[#This Row],[Expected days]]=0),,TAB_CS[[#This Row],[Expected days]]*TAB_CS[[#This Row],[Profile in €]])</f>
        <v>0</v>
      </c>
      <c r="AC142" s="322" t="str">
        <f>CONCATENATE(TAB_CS[[#This Row],[DG]],TAB_CS[[#This Row],[Company]])</f>
        <v>SANTEEDDA</v>
      </c>
      <c r="AD142" s="209"/>
      <c r="AE142" s="150"/>
      <c r="AF142" s="151"/>
      <c r="AG142" s="151"/>
      <c r="AH142" s="13"/>
      <c r="AI142" s="1"/>
      <c r="AJ142" s="13"/>
      <c r="AK142" s="127"/>
      <c r="AL142" s="127"/>
      <c r="AM142" s="1"/>
      <c r="AN142" s="1"/>
      <c r="AO142" s="1"/>
      <c r="AP142" s="1"/>
      <c r="AQ142" s="1"/>
      <c r="AR142" s="1"/>
      <c r="AS142" s="1"/>
      <c r="AT142" s="127"/>
      <c r="AU142" s="127"/>
      <c r="AV142" s="540"/>
      <c r="AW142" s="540"/>
      <c r="AX142" s="540"/>
      <c r="AY142" s="540"/>
      <c r="AZ142" s="540"/>
      <c r="BA142" s="171"/>
      <c r="BB142" s="171"/>
      <c r="BC142" s="171"/>
      <c r="BD142" s="171"/>
      <c r="BE142" s="171"/>
      <c r="BF142" s="171"/>
      <c r="BG142" s="352">
        <v>0</v>
      </c>
      <c r="BH142" s="352">
        <v>0</v>
      </c>
      <c r="BI142" s="323"/>
      <c r="BJ142" s="644"/>
      <c r="BK142" s="644"/>
      <c r="BL142" s="644"/>
      <c r="BM142" s="323"/>
      <c r="BN142" s="644"/>
      <c r="BO142" s="644"/>
      <c r="BP142" s="644"/>
      <c r="BQ142" s="644"/>
      <c r="BR142" s="644"/>
      <c r="BS142" s="644"/>
      <c r="BT142" s="644"/>
      <c r="BU142" s="644"/>
      <c r="BV142" s="644"/>
      <c r="BW142" s="644"/>
      <c r="BX142" s="644"/>
      <c r="BY142" s="644"/>
      <c r="BZ142" s="224"/>
    </row>
    <row r="143" spans="1:78" s="4" customFormat="1" ht="14.4" x14ac:dyDescent="0.3">
      <c r="A143" s="150">
        <f>IF(ISBLANK(TAB_CS[[#This Row],[Reference]]),"",INDEX(TAB_Offres[ID],MATCH(TAB_CS[[#This Row],[Reference]],TAB_Offres[Reference],0)))</f>
        <v>142</v>
      </c>
      <c r="B143" s="154" t="s">
        <v>6010</v>
      </c>
      <c r="C143" s="150" t="s">
        <v>6049</v>
      </c>
      <c r="D143" s="150" t="str">
        <f>IF(ISBLANK(TAB_CS[[#This Row],[Reference]]),"",VLOOKUP(TAB_CS[[#This Row],[ID]],TAB_Offres[],2,FALSE))</f>
        <v>Lot 1</v>
      </c>
      <c r="E143" s="150" t="s">
        <v>5920</v>
      </c>
      <c r="F143" s="154">
        <f>_xlfn.IFNA(IF(ISBLANK(TAB_CS[[#This Row],[Reference]]),"",VLOOKUP(TAB_CS[[#This Row],[Reference]],TAB_Offres[[Reference]:[Modification Request]],COLUMNS(TAB_Offres[[Reference]:[Modification Request]]),FALSE)),)</f>
        <v>0</v>
      </c>
      <c r="G143" s="1" t="str">
        <f>IF(ISBLANK(TAB_CS[[#This Row],[Reference]]),"",INDEX(TAB_Offres[Institution/agency],MATCH(TAB_CS[[#This Row],[Reference]],TAB_Offres[Reference],0)))</f>
        <v>EC</v>
      </c>
      <c r="H143" s="1" t="str">
        <f>IF(ISBLANK(TAB_CS[[#This Row],[Reference]]),"",INDEX(TAB_Offres[DG],MATCH(TAB_CS[[#This Row],[Reference]],TAB_Offres[Reference],0)))</f>
        <v>DIGIT.A.2</v>
      </c>
      <c r="I143" s="4" t="str">
        <f>IF(ISBLANK(TAB_CS[[#This Row],[Reference]]),"",INDEX(TAB_Offres[Offer description],MATCH(TAB_CS[[#This Row],[Reference]],TAB_Offres[Reference],0)))</f>
        <v>Back-End Developer (BED)</v>
      </c>
      <c r="J143" s="204">
        <f>_xlfn.IFNA(IF(ISBLANK(TAB_CS[[#This Row],[Ressource]]),,VLOOKUP(TAB_CS[[#This Row],[Reference]],TAB_Offres[[Reference]:[CS signature date]],COLUMNS(TAB_Offres[[Reference]:[CS signature date]]),FALSE)),"")</f>
        <v>45491</v>
      </c>
      <c r="K143" s="204">
        <f>_xlfn.IFNA(IF(ISBLANK(TAB_CS[[#This Row],[Ressource]]),,VLOOKUP(TAB_CS[[#This Row],[Reference]],TAB_Offres[[Reference]:[CS start date]],COLUMNS(TAB_Offres[[Reference]:[CS start date]]),FALSE)),"")</f>
        <v>45495</v>
      </c>
      <c r="L143" s="204">
        <f>_xlfn.IFNA(IF(ISBLANK(TAB_CS[[#This Row],[Ressource]]),,VLOOKUP(TAB_CS[[#This Row],[Reference]],TAB_Offres[[Reference]:[CS end date]],COLUMNS(TAB_Offres[[Reference]:[CS end date]]),FALSE)),"")</f>
        <v>45930</v>
      </c>
      <c r="M143" s="150">
        <f>_xlfn.IFNA(IF(ISBLANK(TAB_CS[[#This Row],[Ressource]]),,VLOOKUP(TAB_CS[[#This Row],[Reference]],TAB_Offres[[Reference]:[CS State]],COLUMNS(TAB_Offres[[Reference]:[CS State]]),FALSE)),"")</f>
        <v>0</v>
      </c>
      <c r="N143" s="154" t="str">
        <f>VLOOKUP(TAB_CS[[#This Row],[Reference]],TAB_Offres[[Reference]:[Ressource 1]],25,FALSE)</f>
        <v>IACOBESCU, Radu</v>
      </c>
      <c r="O143" s="150" t="str">
        <f>_xlfn.IFNA(IF(ISBLANK(TAB_CS[[#This Row],[Ressource]]),,VLOOKUP(TAB_CS[[#This Row],[Reference]],TAB_Offres[[Reference]:[Company]],COLUMNS(TAB_Offres[[Reference]:[Company]]),FALSE)),"")</f>
        <v>EDDA</v>
      </c>
      <c r="P143" s="150" t="str">
        <f>_xlfn.CONCAT(TAB_CS[[#This Row],[Ressource]],TAB_CS[[#This Row],[Profile in €]])</f>
        <v>IACOBESCU, Radu566,19</v>
      </c>
      <c r="Q143" s="150" t="str">
        <f>_xlfn.CONCAT(TAB_CS[[#This Row],[Company]],TAB_CS[[#This Row],[Business perimeter]])</f>
        <v>EDDANB</v>
      </c>
      <c r="R143" s="150" t="str">
        <f>_xlfn.IFNA(IF(ISBLANK(TAB_CS[[#This Row],[Ressource]]),"",VLOOKUP(TAB_CS[[#This Row],[Reference]],TAB_Offres[[Reference]:[Profile]],COLUMNS(TAB_Offres[[Reference]:[Profile]]),FALSE)),"")</f>
        <v>Back-end developer#R1</v>
      </c>
      <c r="S143" s="1">
        <f>_xlfn.IFNA(IF(ISBLANK(TAB_CS[[#This Row],[Ressource]]),"",VLOOKUP(TAB_CS[[#This Row],[Reference]],TAB_Offres[[Reference]:[Level]],COLUMNS(TAB_Offres[[Reference]:[Level]]),FALSE)),"")</f>
        <v>7</v>
      </c>
      <c r="T143" s="156">
        <f>_xlfn.IFNA(IF(OR(ISBLANK(TAB_CS[[#This Row],[Level]]),TAB_CS[[#This Row],[Level]]=""),,VLOOKUP(TAB_CS[[#This Row],[Profile]],TAB_prix[],2+TAB_CS[[#This Row],[Level]],FALSE)),)</f>
        <v>566.19000000000005</v>
      </c>
      <c r="U143" s="151">
        <v>60</v>
      </c>
      <c r="V143" s="205">
        <f>IF(OR(ISBLANK(TAB_CS[[#This Row],[Commited days]]),TAB_CS[[#This Row],[Commited days]]=0),,TAB_CS[[#This Row],[Commited days]]*TAB_CS[[#This Row],[Profile in €]])</f>
        <v>33971.4</v>
      </c>
      <c r="W143" s="156">
        <f>SUM(TAB_CS[[#This Row],[F]:[P+1]])-TAB_CS[[#This Row],[P+1]]</f>
        <v>60</v>
      </c>
      <c r="X143" s="205">
        <f>IF(OR(ISBLANK(TAB_CS[[#This Row],[Producted days]]),TAB_CS[[#This Row],[Producted days]]=0),,TAB_CS[[#This Row],[Producted days]]*TAB_CS[[#This Row],[Profile in €]])</f>
        <v>33971.4</v>
      </c>
      <c r="Y143" s="206">
        <f>TAB_CS[[#This Row],[Commited days]]-TAB_CS[[#This Row],[Producted days]]</f>
        <v>0</v>
      </c>
      <c r="Z143" s="205">
        <f>IF(OR(ISBLANK(TAB_CS[[#This Row],[Remaining days]]),TAB_CS[[#This Row],[Remaining days]]=0),,TAB_CS[[#This Row],[Remaining days]]*TAB_CS[[#This Row],[Profile in €]])</f>
        <v>0</v>
      </c>
      <c r="AA143" s="207">
        <f>SUM(TAB_CS[[#This Row],[P+1]:[FP]])</f>
        <v>0</v>
      </c>
      <c r="AB143" s="208">
        <f>IF(OR(ISBLANK(TAB_CS[[#This Row],[Expected days]]),TAB_CS[[#This Row],[Expected days]]=0),,TAB_CS[[#This Row],[Expected days]]*TAB_CS[[#This Row],[Profile in €]])</f>
        <v>0</v>
      </c>
      <c r="AC143" s="322" t="str">
        <f>CONCATENATE(TAB_CS[[#This Row],[DG]],TAB_CS[[#This Row],[Company]])</f>
        <v>DIGIT.A.2EDDA</v>
      </c>
      <c r="AD143" s="209"/>
      <c r="AE143" s="150"/>
      <c r="AF143" s="151"/>
      <c r="AG143" s="151"/>
      <c r="AH143" s="13"/>
      <c r="AI143" s="1"/>
      <c r="AJ143" s="13"/>
      <c r="AK143" s="127"/>
      <c r="AL143" s="127"/>
      <c r="AM143" s="1"/>
      <c r="AN143" s="1"/>
      <c r="AO143" s="1"/>
      <c r="AP143" s="1"/>
      <c r="AQ143" s="1"/>
      <c r="AR143" s="1"/>
      <c r="AS143" s="1"/>
      <c r="AT143" s="127"/>
      <c r="AU143" s="127"/>
      <c r="AV143" s="556"/>
      <c r="AW143" s="556"/>
      <c r="AX143" s="556"/>
      <c r="AY143" s="556"/>
      <c r="AZ143" s="556"/>
      <c r="BA143" s="171"/>
      <c r="BB143" s="171"/>
      <c r="BC143" s="171"/>
      <c r="BD143" s="171"/>
      <c r="BE143" s="171"/>
      <c r="BF143" s="171"/>
      <c r="BG143" s="352">
        <v>12.5</v>
      </c>
      <c r="BH143" s="352">
        <v>15.5</v>
      </c>
      <c r="BI143" s="323"/>
      <c r="BJ143" s="291">
        <v>20</v>
      </c>
      <c r="BK143" s="171">
        <v>12</v>
      </c>
      <c r="BL143" s="171"/>
      <c r="BM143" s="323"/>
      <c r="BN143" s="171"/>
      <c r="BO143" s="171"/>
      <c r="BP143" s="171"/>
      <c r="BQ143" s="171"/>
      <c r="BR143" s="171"/>
      <c r="BS143" s="171"/>
      <c r="BT143" s="171"/>
      <c r="BU143" s="171"/>
      <c r="BV143" s="171"/>
      <c r="BW143" s="644"/>
      <c r="BX143" s="644"/>
      <c r="BY143" s="644"/>
      <c r="BZ143" s="224"/>
    </row>
    <row r="144" spans="1:78" s="4" customFormat="1" ht="14.4" x14ac:dyDescent="0.3">
      <c r="A144" s="150">
        <f>IF(ISBLANK(TAB_CS[[#This Row],[Reference]]),"",INDEX(TAB_Offres[ID],MATCH(TAB_CS[[#This Row],[Reference]],TAB_Offres[Reference],0)))</f>
        <v>143</v>
      </c>
      <c r="B144" s="154" t="s">
        <v>6012</v>
      </c>
      <c r="C144" s="605" t="s">
        <v>6057</v>
      </c>
      <c r="D144" s="150" t="str">
        <f>IF(ISBLANK(TAB_CS[[#This Row],[Reference]]),"",VLOOKUP(TAB_CS[[#This Row],[ID]],TAB_Offres[],2,FALSE))</f>
        <v>Lot 3</v>
      </c>
      <c r="E144" s="150" t="s">
        <v>5920</v>
      </c>
      <c r="F144" s="154">
        <f>_xlfn.IFNA(IF(ISBLANK(TAB_CS[[#This Row],[Reference]]),"",VLOOKUP(TAB_CS[[#This Row],[Reference]],TAB_Offres[[Reference]:[Modification Request]],COLUMNS(TAB_Offres[[Reference]:[Modification Request]]),FALSE)),)</f>
        <v>0</v>
      </c>
      <c r="G144" s="1" t="str">
        <f>IF(ISBLANK(TAB_CS[[#This Row],[Reference]]),"",INDEX(TAB_Offres[Institution/agency],MATCH(TAB_CS[[#This Row],[Reference]],TAB_Offres[Reference],0)))</f>
        <v>EC</v>
      </c>
      <c r="H144" s="1" t="str">
        <f>IF(ISBLANK(TAB_CS[[#This Row],[Reference]]),"",INDEX(TAB_Offres[DG],MATCH(TAB_CS[[#This Row],[Reference]],TAB_Offres[Reference],0)))</f>
        <v>DIGIT.B.3</v>
      </c>
      <c r="I144" s="4" t="str">
        <f>IF(ISBLANK(TAB_CS[[#This Row],[Reference]]),"",INDEX(TAB_Offres[Offer description],MATCH(TAB_CS[[#This Row],[Reference]],TAB_Offres[Reference],0)))</f>
        <v>Onboarding Manager (OM)</v>
      </c>
      <c r="J144" s="204">
        <f>_xlfn.IFNA(IF(ISBLANK(TAB_CS[[#This Row],[Ressource]]),,VLOOKUP(TAB_CS[[#This Row],[Reference]],TAB_Offres[[Reference]:[CS signature date]],COLUMNS(TAB_Offres[[Reference]:[CS signature date]]),FALSE)),"")</f>
        <v>45488</v>
      </c>
      <c r="K144" s="204">
        <f>_xlfn.IFNA(IF(ISBLANK(TAB_CS[[#This Row],[Ressource]]),,VLOOKUP(TAB_CS[[#This Row],[Reference]],TAB_Offres[[Reference]:[CS start date]],COLUMNS(TAB_Offres[[Reference]:[CS start date]]),FALSE)),"")</f>
        <v>45488</v>
      </c>
      <c r="L144" s="204">
        <f>_xlfn.IFNA(IF(ISBLANK(TAB_CS[[#This Row],[Ressource]]),,VLOOKUP(TAB_CS[[#This Row],[Reference]],TAB_Offres[[Reference]:[CS end date]],COLUMNS(TAB_Offres[[Reference]:[CS end date]]),FALSE)),"")</f>
        <v>45930</v>
      </c>
      <c r="M144" s="150">
        <f>_xlfn.IFNA(IF(ISBLANK(TAB_CS[[#This Row],[Ressource]]),,VLOOKUP(TAB_CS[[#This Row],[Reference]],TAB_Offres[[Reference]:[CS State]],COLUMNS(TAB_Offres[[Reference]:[CS State]]),FALSE)),"")</f>
        <v>0</v>
      </c>
      <c r="N144" s="154" t="str">
        <f>VLOOKUP(TAB_CS[[#This Row],[Reference]],TAB_Offres[[Reference]:[Ressource 1]],25,FALSE)</f>
        <v>BOUDIA, Amel</v>
      </c>
      <c r="O144" s="150" t="str">
        <f>_xlfn.IFNA(IF(ISBLANK(TAB_CS[[#This Row],[Ressource]]),,VLOOKUP(TAB_CS[[#This Row],[Reference]],TAB_Offres[[Reference]:[Company]],COLUMNS(TAB_Offres[[Reference]:[Company]]),FALSE)),"")</f>
        <v>Wavestone</v>
      </c>
      <c r="P144" s="150" t="str">
        <f>_xlfn.CONCAT(TAB_CS[[#This Row],[Ressource]],TAB_CS[[#This Row],[Profile in €]])</f>
        <v>BOUDIA, Amel530,21</v>
      </c>
      <c r="Q144" s="150" t="str">
        <f>_xlfn.CONCAT(TAB_CS[[#This Row],[Company]],TAB_CS[[#This Row],[Business perimeter]])</f>
        <v>WavestoneNB</v>
      </c>
      <c r="R144" s="150" t="str">
        <f>_xlfn.IFNA(IF(ISBLANK(TAB_CS[[#This Row],[Ressource]]),"",VLOOKUP(TAB_CS[[#This Row],[Reference]],TAB_Offres[[Reference]:[Profile]],COLUMNS(TAB_Offres[[Reference]:[Profile]]),FALSE)),"")</f>
        <v>Onboarding manager#R1</v>
      </c>
      <c r="S144" s="1">
        <f>_xlfn.IFNA(IF(ISBLANK(TAB_CS[[#This Row],[Ressource]]),"",VLOOKUP(TAB_CS[[#This Row],[Reference]],TAB_Offres[[Reference]:[Level]],COLUMNS(TAB_Offres[[Reference]:[Level]]),FALSE)),"")</f>
        <v>2</v>
      </c>
      <c r="T144" s="156">
        <f>_xlfn.IFNA(IF(OR(ISBLANK(TAB_CS[[#This Row],[Level]]),TAB_CS[[#This Row],[Level]]=""),,VLOOKUP(TAB_CS[[#This Row],[Profile]],TAB_prix[],2+TAB_CS[[#This Row],[Level]],FALSE)),)</f>
        <v>530.21</v>
      </c>
      <c r="U144" s="151">
        <v>130</v>
      </c>
      <c r="V144" s="205">
        <f>IF(OR(ISBLANK(TAB_CS[[#This Row],[Commited days]]),TAB_CS[[#This Row],[Commited days]]=0),,TAB_CS[[#This Row],[Commited days]]*TAB_CS[[#This Row],[Profile in €]])</f>
        <v>68927.3</v>
      </c>
      <c r="W144" s="156">
        <f>SUM(TAB_CS[[#This Row],[F]:[P+1]])-TAB_CS[[#This Row],[P+1]]</f>
        <v>47</v>
      </c>
      <c r="X144" s="205">
        <f>IF(OR(ISBLANK(TAB_CS[[#This Row],[Producted days]]),TAB_CS[[#This Row],[Producted days]]=0),,TAB_CS[[#This Row],[Producted days]]*TAB_CS[[#This Row],[Profile in €]])</f>
        <v>24919.870000000003</v>
      </c>
      <c r="Y144" s="206">
        <f>TAB_CS[[#This Row],[Commited days]]-TAB_CS[[#This Row],[Producted days]]</f>
        <v>83</v>
      </c>
      <c r="Z144" s="205">
        <f>IF(OR(ISBLANK(TAB_CS[[#This Row],[Remaining days]]),TAB_CS[[#This Row],[Remaining days]]=0),,TAB_CS[[#This Row],[Remaining days]]*TAB_CS[[#This Row],[Profile in €]])</f>
        <v>44007.43</v>
      </c>
      <c r="AA144" s="207">
        <f>SUM(TAB_CS[[#This Row],[P+1]:[FP]])</f>
        <v>83</v>
      </c>
      <c r="AB144" s="208">
        <f>IF(OR(ISBLANK(TAB_CS[[#This Row],[Expected days]]),TAB_CS[[#This Row],[Expected days]]=0),,TAB_CS[[#This Row],[Expected days]]*TAB_CS[[#This Row],[Profile in €]])</f>
        <v>44007.43</v>
      </c>
      <c r="AC144" s="322" t="str">
        <f>CONCATENATE(TAB_CS[[#This Row],[DG]],TAB_CS[[#This Row],[Company]])</f>
        <v>DIGIT.B.3Wavestone</v>
      </c>
      <c r="AD144" s="209"/>
      <c r="AE144" s="150"/>
      <c r="AF144" s="151"/>
      <c r="AG144" s="151"/>
      <c r="AH144" s="13"/>
      <c r="AI144" s="1"/>
      <c r="AJ144" s="13"/>
      <c r="AK144" s="127"/>
      <c r="AL144" s="127"/>
      <c r="AM144" s="1"/>
      <c r="AN144" s="1"/>
      <c r="AO144" s="1"/>
      <c r="AP144" s="1"/>
      <c r="AQ144" s="1"/>
      <c r="AR144" s="1"/>
      <c r="AS144" s="1"/>
      <c r="AT144" s="127"/>
      <c r="AU144" s="127"/>
      <c r="AV144" s="556"/>
      <c r="AW144" s="556"/>
      <c r="AX144" s="556"/>
      <c r="AY144" s="556"/>
      <c r="AZ144" s="556"/>
      <c r="BA144" s="171"/>
      <c r="BB144" s="171"/>
      <c r="BC144" s="171"/>
      <c r="BD144" s="171"/>
      <c r="BE144" s="171"/>
      <c r="BF144" s="171"/>
      <c r="BG144" s="557"/>
      <c r="BH144" s="171"/>
      <c r="BI144" s="323"/>
      <c r="BJ144" s="171">
        <v>11</v>
      </c>
      <c r="BK144" s="171">
        <v>18</v>
      </c>
      <c r="BL144" s="171">
        <v>18</v>
      </c>
      <c r="BM144" s="323"/>
      <c r="BN144" s="171">
        <v>18</v>
      </c>
      <c r="BO144" s="171">
        <v>18</v>
      </c>
      <c r="BP144" s="171">
        <v>18</v>
      </c>
      <c r="BQ144" s="171">
        <v>18</v>
      </c>
      <c r="BR144" s="171">
        <v>11</v>
      </c>
      <c r="BS144" s="171"/>
      <c r="BT144" s="171"/>
      <c r="BU144" s="171"/>
      <c r="BV144" s="171"/>
      <c r="BW144" s="644"/>
      <c r="BX144" s="644"/>
      <c r="BY144" s="644"/>
      <c r="BZ144" s="224"/>
    </row>
    <row r="145" spans="1:78" s="4" customFormat="1" ht="14.4" x14ac:dyDescent="0.3">
      <c r="A145" s="150">
        <f>IF(ISBLANK(TAB_CS[[#This Row],[Reference]]),"",INDEX(TAB_Offres[ID],MATCH(TAB_CS[[#This Row],[Reference]],TAB_Offres[Reference],0)))</f>
        <v>144</v>
      </c>
      <c r="B145" s="154" t="s">
        <v>6014</v>
      </c>
      <c r="C145" s="605" t="s">
        <v>6058</v>
      </c>
      <c r="D145" s="150" t="str">
        <f>IF(ISBLANK(TAB_CS[[#This Row],[Reference]]),"",VLOOKUP(TAB_CS[[#This Row],[ID]],TAB_Offres[],2,FALSE))</f>
        <v>Lot 3</v>
      </c>
      <c r="E145" s="150" t="s">
        <v>5920</v>
      </c>
      <c r="F145" s="154">
        <f>_xlfn.IFNA(IF(ISBLANK(TAB_CS[[#This Row],[Reference]]),"",VLOOKUP(TAB_CS[[#This Row],[Reference]],TAB_Offres[[Reference]:[Modification Request]],COLUMNS(TAB_Offres[[Reference]:[Modification Request]]),FALSE)),)</f>
        <v>0</v>
      </c>
      <c r="G145" s="1" t="str">
        <f>IF(ISBLANK(TAB_CS[[#This Row],[Reference]]),"",INDEX(TAB_Offres[Institution/agency],MATCH(TAB_CS[[#This Row],[Reference]],TAB_Offres[Reference],0)))</f>
        <v>EC</v>
      </c>
      <c r="H145" s="1" t="str">
        <f>IF(ISBLANK(TAB_CS[[#This Row],[Reference]]),"",INDEX(TAB_Offres[DG],MATCH(TAB_CS[[#This Row],[Reference]],TAB_Offres[Reference],0)))</f>
        <v>DIGIT.A.4</v>
      </c>
      <c r="I145" s="4" t="str">
        <f>IF(ISBLANK(TAB_CS[[#This Row],[Reference]]),"",INDEX(TAB_Offres[Offer description],MATCH(TAB_CS[[#This Row],[Reference]],TAB_Offres[Reference],0)))</f>
        <v>Enterprise Architect (EA)</v>
      </c>
      <c r="J145" s="204">
        <f>_xlfn.IFNA(IF(ISBLANK(TAB_CS[[#This Row],[Ressource]]),,VLOOKUP(TAB_CS[[#This Row],[Reference]],TAB_Offres[[Reference]:[CS signature date]],COLUMNS(TAB_Offres[[Reference]:[CS signature date]]),FALSE)),"")</f>
        <v>45484</v>
      </c>
      <c r="K145" s="204">
        <f>_xlfn.IFNA(IF(ISBLANK(TAB_CS[[#This Row],[Ressource]]),,VLOOKUP(TAB_CS[[#This Row],[Reference]],TAB_Offres[[Reference]:[CS start date]],COLUMNS(TAB_Offres[[Reference]:[CS start date]]),FALSE)),"")</f>
        <v>45484</v>
      </c>
      <c r="L145" s="204">
        <f>_xlfn.IFNA(IF(ISBLANK(TAB_CS[[#This Row],[Ressource]]),,VLOOKUP(TAB_CS[[#This Row],[Reference]],TAB_Offres[[Reference]:[CS end date]],COLUMNS(TAB_Offres[[Reference]:[CS end date]]),FALSE)),"")</f>
        <v>45930</v>
      </c>
      <c r="M145" s="150">
        <f>_xlfn.IFNA(IF(ISBLANK(TAB_CS[[#This Row],[Ressource]]),,VLOOKUP(TAB_CS[[#This Row],[Reference]],TAB_Offres[[Reference]:[CS State]],COLUMNS(TAB_Offres[[Reference]:[CS State]]),FALSE)),"")</f>
        <v>0</v>
      </c>
      <c r="N145" s="154" t="str">
        <f>VLOOKUP(TAB_CS[[#This Row],[Reference]],TAB_Offres[[Reference]:[Ressource 1]],25,FALSE)</f>
        <v>GOSMAN, Andrei</v>
      </c>
      <c r="O145" s="150" t="str">
        <f>_xlfn.IFNA(IF(ISBLANK(TAB_CS[[#This Row],[Ressource]]),,VLOOKUP(TAB_CS[[#This Row],[Reference]],TAB_Offres[[Reference]:[Company]],COLUMNS(TAB_Offres[[Reference]:[Company]]),FALSE)),"")</f>
        <v>TREMEND</v>
      </c>
      <c r="P145" s="150" t="str">
        <f>_xlfn.CONCAT(TAB_CS[[#This Row],[Ressource]],TAB_CS[[#This Row],[Profile in €]])</f>
        <v>GOSMAN, Andrei528,24</v>
      </c>
      <c r="Q145" s="150" t="str">
        <f>_xlfn.CONCAT(TAB_CS[[#This Row],[Company]],TAB_CS[[#This Row],[Business perimeter]])</f>
        <v>TREMENDNB</v>
      </c>
      <c r="R145" s="150" t="str">
        <f>_xlfn.IFNA(IF(ISBLANK(TAB_CS[[#This Row],[Ressource]]),"",VLOOKUP(TAB_CS[[#This Row],[Reference]],TAB_Offres[[Reference]:[Profile]],COLUMNS(TAB_Offres[[Reference]:[Profile]]),FALSE)),"")</f>
        <v>Enterprise architect#R1-FAR</v>
      </c>
      <c r="S145" s="1">
        <f>_xlfn.IFNA(IF(ISBLANK(TAB_CS[[#This Row],[Ressource]]),"",VLOOKUP(TAB_CS[[#This Row],[Reference]],TAB_Offres[[Reference]:[Level]],COLUMNS(TAB_Offres[[Reference]:[Level]]),FALSE)),"")</f>
        <v>9</v>
      </c>
      <c r="T145" s="156">
        <f>_xlfn.IFNA(IF(OR(ISBLANK(TAB_CS[[#This Row],[Level]]),TAB_CS[[#This Row],[Level]]=""),,VLOOKUP(TAB_CS[[#This Row],[Profile]],TAB_prix[],2+TAB_CS[[#This Row],[Level]],FALSE)),)</f>
        <v>528.24</v>
      </c>
      <c r="U145" s="151">
        <v>35</v>
      </c>
      <c r="V145" s="205">
        <f>IF(OR(ISBLANK(TAB_CS[[#This Row],[Commited days]]),TAB_CS[[#This Row],[Commited days]]=0),,TAB_CS[[#This Row],[Commited days]]*TAB_CS[[#This Row],[Profile in €]])</f>
        <v>18488.400000000001</v>
      </c>
      <c r="W145" s="156">
        <f>SUM(TAB_CS[[#This Row],[F]:[P+1]])-TAB_CS[[#This Row],[P+1]]</f>
        <v>35</v>
      </c>
      <c r="X145" s="205">
        <f>IF(OR(ISBLANK(TAB_CS[[#This Row],[Producted days]]),TAB_CS[[#This Row],[Producted days]]=0),,TAB_CS[[#This Row],[Producted days]]*TAB_CS[[#This Row],[Profile in €]])</f>
        <v>18488.400000000001</v>
      </c>
      <c r="Y145" s="206">
        <f>TAB_CS[[#This Row],[Commited days]]-TAB_CS[[#This Row],[Producted days]]</f>
        <v>0</v>
      </c>
      <c r="Z145" s="205">
        <f>IF(OR(ISBLANK(TAB_CS[[#This Row],[Remaining days]]),TAB_CS[[#This Row],[Remaining days]]=0),,TAB_CS[[#This Row],[Remaining days]]*TAB_CS[[#This Row],[Profile in €]])</f>
        <v>0</v>
      </c>
      <c r="AA145" s="207">
        <f>SUM(TAB_CS[[#This Row],[P+1]:[FP]])</f>
        <v>0</v>
      </c>
      <c r="AB145" s="208">
        <f>IF(OR(ISBLANK(TAB_CS[[#This Row],[Expected days]]),TAB_CS[[#This Row],[Expected days]]=0),,TAB_CS[[#This Row],[Expected days]]*TAB_CS[[#This Row],[Profile in €]])</f>
        <v>0</v>
      </c>
      <c r="AC145" s="322" t="str">
        <f>CONCATENATE(TAB_CS[[#This Row],[DG]],TAB_CS[[#This Row],[Company]])</f>
        <v>DIGIT.A.4TREMEND</v>
      </c>
      <c r="AD145" s="209"/>
      <c r="AE145" s="150"/>
      <c r="AF145" s="151"/>
      <c r="AG145" s="151"/>
      <c r="AH145" s="13"/>
      <c r="AI145" s="1"/>
      <c r="AJ145" s="13"/>
      <c r="AK145" s="127"/>
      <c r="AL145" s="127"/>
      <c r="AM145" s="1"/>
      <c r="AN145" s="1"/>
      <c r="AO145" s="1"/>
      <c r="AP145" s="1"/>
      <c r="AQ145" s="1"/>
      <c r="AR145" s="1"/>
      <c r="AS145" s="1"/>
      <c r="AT145" s="127"/>
      <c r="AU145" s="127"/>
      <c r="AV145" s="556"/>
      <c r="AW145" s="556"/>
      <c r="AX145" s="556"/>
      <c r="AY145" s="556"/>
      <c r="AZ145" s="556"/>
      <c r="BA145" s="171"/>
      <c r="BB145" s="171"/>
      <c r="BC145" s="171"/>
      <c r="BD145" s="171"/>
      <c r="BE145" s="171"/>
      <c r="BF145" s="171"/>
      <c r="BG145" s="171"/>
      <c r="BH145" s="352">
        <v>6.5</v>
      </c>
      <c r="BI145" s="323"/>
      <c r="BJ145" s="291">
        <v>22</v>
      </c>
      <c r="BK145" s="171">
        <v>6.5</v>
      </c>
      <c r="BL145" s="171"/>
      <c r="BM145" s="323"/>
      <c r="BN145" s="171"/>
      <c r="BO145" s="171"/>
      <c r="BP145" s="171"/>
      <c r="BQ145" s="171"/>
      <c r="BR145" s="171"/>
      <c r="BS145" s="171"/>
      <c r="BT145" s="171"/>
      <c r="BU145" s="171"/>
      <c r="BV145" s="171"/>
      <c r="BW145" s="644"/>
      <c r="BX145" s="644"/>
      <c r="BY145" s="644"/>
      <c r="BZ145" s="224"/>
    </row>
    <row r="146" spans="1:78" s="4" customFormat="1" ht="14.4" x14ac:dyDescent="0.3">
      <c r="A146" s="150">
        <f>IF(ISBLANK(TAB_CS[[#This Row],[Reference]]),"",INDEX(TAB_Offres[ID],MATCH(TAB_CS[[#This Row],[Reference]],TAB_Offres[Reference],0)))</f>
        <v>145</v>
      </c>
      <c r="B146" s="154" t="s">
        <v>6015</v>
      </c>
      <c r="C146" s="150" t="s">
        <v>6050</v>
      </c>
      <c r="D146" s="150" t="str">
        <f>IF(ISBLANK(TAB_CS[[#This Row],[Reference]]),"",VLOOKUP(TAB_CS[[#This Row],[ID]],TAB_Offres[],2,FALSE))</f>
        <v>Lot 1</v>
      </c>
      <c r="E146" s="150" t="s">
        <v>5920</v>
      </c>
      <c r="F146" s="154">
        <f>_xlfn.IFNA(IF(ISBLANK(TAB_CS[[#This Row],[Reference]]),"",VLOOKUP(TAB_CS[[#This Row],[Reference]],TAB_Offres[[Reference]:[Modification Request]],COLUMNS(TAB_Offres[[Reference]:[Modification Request]]),FALSE)),)</f>
        <v>0</v>
      </c>
      <c r="G146" s="1" t="str">
        <f>IF(ISBLANK(TAB_CS[[#This Row],[Reference]]),"",INDEX(TAB_Offres[Institution/agency],MATCH(TAB_CS[[#This Row],[Reference]],TAB_Offres[Reference],0)))</f>
        <v>EC</v>
      </c>
      <c r="H146" s="1" t="str">
        <f>IF(ISBLANK(TAB_CS[[#This Row],[Reference]]),"",INDEX(TAB_Offres[DG],MATCH(TAB_CS[[#This Row],[Reference]],TAB_Offres[Reference],0)))</f>
        <v>DIGIT.A.3</v>
      </c>
      <c r="I146" s="4" t="str">
        <f>IF(ISBLANK(TAB_CS[[#This Row],[Reference]]),"",INDEX(TAB_Offres[Offer description],MATCH(TAB_CS[[#This Row],[Reference]],TAB_Offres[Reference],0)))</f>
        <v>Back-End Developer (BED)</v>
      </c>
      <c r="J146" s="204">
        <f>_xlfn.IFNA(IF(ISBLANK(TAB_CS[[#This Row],[Ressource]]),,VLOOKUP(TAB_CS[[#This Row],[Reference]],TAB_Offres[[Reference]:[CS signature date]],COLUMNS(TAB_Offres[[Reference]:[CS signature date]]),FALSE)),"")</f>
        <v>45492</v>
      </c>
      <c r="K146" s="204">
        <f>_xlfn.IFNA(IF(ISBLANK(TAB_CS[[#This Row],[Ressource]]),,VLOOKUP(TAB_CS[[#This Row],[Reference]],TAB_Offres[[Reference]:[CS start date]],COLUMNS(TAB_Offres[[Reference]:[CS start date]]),FALSE)),"")</f>
        <v>45495</v>
      </c>
      <c r="L146" s="204">
        <f>_xlfn.IFNA(IF(ISBLANK(TAB_CS[[#This Row],[Ressource]]),,VLOOKUP(TAB_CS[[#This Row],[Reference]],TAB_Offres[[Reference]:[CS end date]],COLUMNS(TAB_Offres[[Reference]:[CS end date]]),FALSE)),"")</f>
        <v>45930</v>
      </c>
      <c r="M146" s="150">
        <f>_xlfn.IFNA(IF(ISBLANK(TAB_CS[[#This Row],[Ressource]]),,VLOOKUP(TAB_CS[[#This Row],[Reference]],TAB_Offres[[Reference]:[CS State]],COLUMNS(TAB_Offres[[Reference]:[CS State]]),FALSE)),"")</f>
        <v>0</v>
      </c>
      <c r="N146" s="154" t="str">
        <f>VLOOKUP(TAB_CS[[#This Row],[Reference]],TAB_Offres[[Reference]:[Ressource 1]],25,FALSE)</f>
        <v>POCHON, Régis</v>
      </c>
      <c r="O146" s="150" t="str">
        <f>_xlfn.IFNA(IF(ISBLANK(TAB_CS[[#This Row],[Ressource]]),,VLOOKUP(TAB_CS[[#This Row],[Reference]],TAB_Offres[[Reference]:[Company]],COLUMNS(TAB_Offres[[Reference]:[Company]]),FALSE)),"")</f>
        <v>EDDA</v>
      </c>
      <c r="P146" s="150" t="str">
        <f>_xlfn.CONCAT(TAB_CS[[#This Row],[Ressource]],TAB_CS[[#This Row],[Profile in €]])</f>
        <v>POCHON, Régis693,61</v>
      </c>
      <c r="Q146" s="150" t="str">
        <f>_xlfn.CONCAT(TAB_CS[[#This Row],[Company]],TAB_CS[[#This Row],[Business perimeter]])</f>
        <v>EDDANB</v>
      </c>
      <c r="R146" s="150" t="str">
        <f>_xlfn.IFNA(IF(ISBLANK(TAB_CS[[#This Row],[Ressource]]),"",VLOOKUP(TAB_CS[[#This Row],[Reference]],TAB_Offres[[Reference]:[Profile]],COLUMNS(TAB_Offres[[Reference]:[Profile]]),FALSE)),"")</f>
        <v>Back-end developer#R1</v>
      </c>
      <c r="S146" s="1">
        <f>_xlfn.IFNA(IF(ISBLANK(TAB_CS[[#This Row],[Ressource]]),"",VLOOKUP(TAB_CS[[#This Row],[Reference]],TAB_Offres[[Reference]:[Level]],COLUMNS(TAB_Offres[[Reference]:[Level]]),FALSE)),"")</f>
        <v>10</v>
      </c>
      <c r="T146" s="156">
        <f>_xlfn.IFNA(IF(OR(ISBLANK(TAB_CS[[#This Row],[Level]]),TAB_CS[[#This Row],[Level]]=""),,VLOOKUP(TAB_CS[[#This Row],[Profile]],TAB_prix[],2+TAB_CS[[#This Row],[Level]],FALSE)),)</f>
        <v>693.61</v>
      </c>
      <c r="U146" s="151">
        <v>55</v>
      </c>
      <c r="V146" s="205">
        <f>IF(OR(ISBLANK(TAB_CS[[#This Row],[Commited days]]),TAB_CS[[#This Row],[Commited days]]=0),,TAB_CS[[#This Row],[Commited days]]*TAB_CS[[#This Row],[Profile in €]])</f>
        <v>38148.550000000003</v>
      </c>
      <c r="W146" s="156">
        <f>SUM(TAB_CS[[#This Row],[F]:[P+1]])-TAB_CS[[#This Row],[P+1]]</f>
        <v>55</v>
      </c>
      <c r="X146" s="205">
        <f>IF(OR(ISBLANK(TAB_CS[[#This Row],[Producted days]]),TAB_CS[[#This Row],[Producted days]]=0),,TAB_CS[[#This Row],[Producted days]]*TAB_CS[[#This Row],[Profile in €]])</f>
        <v>38148.550000000003</v>
      </c>
      <c r="Y146" s="206">
        <f>TAB_CS[[#This Row],[Commited days]]-TAB_CS[[#This Row],[Producted days]]</f>
        <v>0</v>
      </c>
      <c r="Z146" s="205">
        <f>IF(OR(ISBLANK(TAB_CS[[#This Row],[Remaining days]]),TAB_CS[[#This Row],[Remaining days]]=0),,TAB_CS[[#This Row],[Remaining days]]*TAB_CS[[#This Row],[Profile in €]])</f>
        <v>0</v>
      </c>
      <c r="AA146" s="207">
        <f>SUM(TAB_CS[[#This Row],[P+1]:[FP]])</f>
        <v>0</v>
      </c>
      <c r="AB146" s="208">
        <f>IF(OR(ISBLANK(TAB_CS[[#This Row],[Expected days]]),TAB_CS[[#This Row],[Expected days]]=0),,TAB_CS[[#This Row],[Expected days]]*TAB_CS[[#This Row],[Profile in €]])</f>
        <v>0</v>
      </c>
      <c r="AC146" s="322" t="str">
        <f>CONCATENATE(TAB_CS[[#This Row],[DG]],TAB_CS[[#This Row],[Company]])</f>
        <v>DIGIT.A.3EDDA</v>
      </c>
      <c r="AD146" s="209"/>
      <c r="AE146" s="150"/>
      <c r="AF146" s="151"/>
      <c r="AG146" s="151"/>
      <c r="AH146" s="13"/>
      <c r="AI146" s="1"/>
      <c r="AJ146" s="13"/>
      <c r="AK146" s="127"/>
      <c r="AL146" s="127"/>
      <c r="AM146" s="1"/>
      <c r="AN146" s="1"/>
      <c r="AO146" s="1"/>
      <c r="AP146" s="1"/>
      <c r="AQ146" s="1"/>
      <c r="AR146" s="1"/>
      <c r="AS146" s="1"/>
      <c r="AT146" s="127"/>
      <c r="AU146" s="127"/>
      <c r="AV146" s="556"/>
      <c r="AW146" s="556"/>
      <c r="AX146" s="556"/>
      <c r="AY146" s="556"/>
      <c r="AZ146" s="556"/>
      <c r="BA146" s="171"/>
      <c r="BB146" s="171"/>
      <c r="BC146" s="171"/>
      <c r="BD146" s="171"/>
      <c r="BE146" s="171"/>
      <c r="BF146" s="171"/>
      <c r="BG146" s="352">
        <v>2.5</v>
      </c>
      <c r="BH146" s="352">
        <v>21</v>
      </c>
      <c r="BI146" s="323"/>
      <c r="BJ146" s="291">
        <v>23</v>
      </c>
      <c r="BK146" s="171">
        <v>8.5</v>
      </c>
      <c r="BL146" s="171"/>
      <c r="BM146" s="323"/>
      <c r="BN146" s="171"/>
      <c r="BO146" s="171"/>
      <c r="BP146" s="171"/>
      <c r="BQ146" s="171"/>
      <c r="BR146" s="171"/>
      <c r="BS146" s="171"/>
      <c r="BT146" s="171"/>
      <c r="BU146" s="171"/>
      <c r="BV146" s="171"/>
      <c r="BW146" s="644"/>
      <c r="BX146" s="644"/>
      <c r="BY146" s="644"/>
      <c r="BZ146" s="224"/>
    </row>
    <row r="147" spans="1:78" s="4" customFormat="1" ht="14.4" x14ac:dyDescent="0.3">
      <c r="A147" s="150">
        <f>IF(ISBLANK(TAB_CS[[#This Row],[Reference]]),"",INDEX(TAB_Offres[ID],MATCH(TAB_CS[[#This Row],[Reference]],TAB_Offres[Reference],0)))</f>
        <v>146</v>
      </c>
      <c r="B147" s="154" t="s">
        <v>6019</v>
      </c>
      <c r="C147" s="605" t="s">
        <v>6059</v>
      </c>
      <c r="D147" s="150" t="str">
        <f>IF(ISBLANK(TAB_CS[[#This Row],[Reference]]),"",VLOOKUP(TAB_CS[[#This Row],[ID]],TAB_Offres[],2,FALSE))</f>
        <v>Lot 1</v>
      </c>
      <c r="E147" s="150" t="s">
        <v>5920</v>
      </c>
      <c r="F147" s="154">
        <f>_xlfn.IFNA(IF(ISBLANK(TAB_CS[[#This Row],[Reference]]),"",VLOOKUP(TAB_CS[[#This Row],[Reference]],TAB_Offres[[Reference]:[Modification Request]],COLUMNS(TAB_Offres[[Reference]:[Modification Request]]),FALSE)),)</f>
        <v>0</v>
      </c>
      <c r="G147" s="1" t="str">
        <f>IF(ISBLANK(TAB_CS[[#This Row],[Reference]]),"",INDEX(TAB_Offres[Institution/agency],MATCH(TAB_CS[[#This Row],[Reference]],TAB_Offres[Reference],0)))</f>
        <v>EC</v>
      </c>
      <c r="H147" s="1" t="str">
        <f>IF(ISBLANK(TAB_CS[[#This Row],[Reference]]),"",INDEX(TAB_Offres[DG],MATCH(TAB_CS[[#This Row],[Reference]],TAB_Offres[Reference],0)))</f>
        <v>ENER</v>
      </c>
      <c r="I147" s="4" t="str">
        <f>IF(ISBLANK(TAB_CS[[#This Row],[Reference]]),"",INDEX(TAB_Offres[Offer description],MATCH(TAB_CS[[#This Row],[Reference]],TAB_Offres[Reference],0)))</f>
        <v>Full-Stack Developer (FSD)</v>
      </c>
      <c r="J147" s="204">
        <f>_xlfn.IFNA(IF(ISBLANK(TAB_CS[[#This Row],[Ressource]]),,VLOOKUP(TAB_CS[[#This Row],[Reference]],TAB_Offres[[Reference]:[CS signature date]],COLUMNS(TAB_Offres[[Reference]:[CS signature date]]),FALSE)),"")</f>
        <v>0</v>
      </c>
      <c r="K147" s="204">
        <f>_xlfn.IFNA(IF(ISBLANK(TAB_CS[[#This Row],[Ressource]]),,VLOOKUP(TAB_CS[[#This Row],[Reference]],TAB_Offres[[Reference]:[CS start date]],COLUMNS(TAB_Offres[[Reference]:[CS start date]]),FALSE)),"")</f>
        <v>45496</v>
      </c>
      <c r="L147" s="204">
        <f>_xlfn.IFNA(IF(ISBLANK(TAB_CS[[#This Row],[Ressource]]),,VLOOKUP(TAB_CS[[#This Row],[Reference]],TAB_Offres[[Reference]:[CS end date]],COLUMNS(TAB_Offres[[Reference]:[CS end date]]),FALSE)),"")</f>
        <v>45747</v>
      </c>
      <c r="M147" s="150">
        <f>_xlfn.IFNA(IF(ISBLANK(TAB_CS[[#This Row],[Ressource]]),,VLOOKUP(TAB_CS[[#This Row],[Reference]],TAB_Offres[[Reference]:[CS State]],COLUMNS(TAB_Offres[[Reference]:[CS State]]),FALSE)),"")</f>
        <v>0</v>
      </c>
      <c r="N147" s="154" t="str">
        <f>VLOOKUP(TAB_CS[[#This Row],[Reference]],TAB_Offres[[Reference]:[Ressource 1]],25,FALSE)</f>
        <v>SANDOVAL David</v>
      </c>
      <c r="O147" s="150" t="str">
        <f>_xlfn.IFNA(IF(ISBLANK(TAB_CS[[#This Row],[Ressource]]),,VLOOKUP(TAB_CS[[#This Row],[Reference]],TAB_Offres[[Reference]:[Company]],COLUMNS(TAB_Offres[[Reference]:[Company]]),FALSE)),"")</f>
        <v>TALAN</v>
      </c>
      <c r="P147" s="150" t="str">
        <f>_xlfn.CONCAT(TAB_CS[[#This Row],[Ressource]],TAB_CS[[#This Row],[Profile in €]])</f>
        <v>SANDOVAL David699,82</v>
      </c>
      <c r="Q147" s="150" t="str">
        <f>_xlfn.CONCAT(TAB_CS[[#This Row],[Company]],TAB_CS[[#This Row],[Business perimeter]])</f>
        <v>TALANNB</v>
      </c>
      <c r="R147" s="150" t="str">
        <f>_xlfn.IFNA(IF(ISBLANK(TAB_CS[[#This Row],[Ressource]]),"",VLOOKUP(TAB_CS[[#This Row],[Reference]],TAB_Offres[[Reference]:[Profile]],COLUMNS(TAB_Offres[[Reference]:[Profile]]),FALSE)),"")</f>
        <v>Full-stack developer#R1</v>
      </c>
      <c r="S147" s="1">
        <f>_xlfn.IFNA(IF(ISBLANK(TAB_CS[[#This Row],[Ressource]]),"",VLOOKUP(TAB_CS[[#This Row],[Reference]],TAB_Offres[[Reference]:[Level]],COLUMNS(TAB_Offres[[Reference]:[Level]]),FALSE)),"")</f>
        <v>10</v>
      </c>
      <c r="T147" s="156">
        <f>_xlfn.IFNA(IF(OR(ISBLANK(TAB_CS[[#This Row],[Level]]),TAB_CS[[#This Row],[Level]]=""),,VLOOKUP(TAB_CS[[#This Row],[Profile]],TAB_prix[],2+TAB_CS[[#This Row],[Level]],FALSE)),)</f>
        <v>699.82</v>
      </c>
      <c r="U147" s="151">
        <v>110</v>
      </c>
      <c r="V147" s="205">
        <f>IF(OR(ISBLANK(TAB_CS[[#This Row],[Commited days]]),TAB_CS[[#This Row],[Commited days]]=0),,TAB_CS[[#This Row],[Commited days]]*TAB_CS[[#This Row],[Profile in €]])</f>
        <v>76980.200000000012</v>
      </c>
      <c r="W147" s="156">
        <f>SUM(TAB_CS[[#This Row],[F]:[P+1]])-TAB_CS[[#This Row],[P+1]]</f>
        <v>77</v>
      </c>
      <c r="X147" s="205">
        <f>IF(OR(ISBLANK(TAB_CS[[#This Row],[Producted days]]),TAB_CS[[#This Row],[Producted days]]=0),,TAB_CS[[#This Row],[Producted days]]*TAB_CS[[#This Row],[Profile in €]])</f>
        <v>53886.140000000007</v>
      </c>
      <c r="Y147" s="206">
        <f>TAB_CS[[#This Row],[Commited days]]-TAB_CS[[#This Row],[Producted days]]</f>
        <v>33</v>
      </c>
      <c r="Z147" s="205">
        <f>IF(OR(ISBLANK(TAB_CS[[#This Row],[Remaining days]]),TAB_CS[[#This Row],[Remaining days]]=0),,TAB_CS[[#This Row],[Remaining days]]*TAB_CS[[#This Row],[Profile in €]])</f>
        <v>23094.06</v>
      </c>
      <c r="AA147" s="207">
        <f>SUM(TAB_CS[[#This Row],[P+1]:[FP]])</f>
        <v>33</v>
      </c>
      <c r="AB147" s="208">
        <f>IF(OR(ISBLANK(TAB_CS[[#This Row],[Expected days]]),TAB_CS[[#This Row],[Expected days]]=0),,TAB_CS[[#This Row],[Expected days]]*TAB_CS[[#This Row],[Profile in €]])</f>
        <v>23094.06</v>
      </c>
      <c r="AC147" s="322" t="str">
        <f>CONCATENATE(TAB_CS[[#This Row],[DG]],TAB_CS[[#This Row],[Company]])</f>
        <v>ENERTALAN</v>
      </c>
      <c r="AD147" s="209"/>
      <c r="AE147" s="150"/>
      <c r="AF147" s="151"/>
      <c r="AG147" s="151"/>
      <c r="AH147" s="13"/>
      <c r="AI147" s="1"/>
      <c r="AJ147" s="13"/>
      <c r="AK147" s="127"/>
      <c r="AL147" s="127"/>
      <c r="AM147" s="1"/>
      <c r="AN147" s="1"/>
      <c r="AO147" s="1"/>
      <c r="AP147" s="1"/>
      <c r="AQ147" s="1"/>
      <c r="AR147" s="1"/>
      <c r="AS147" s="1"/>
      <c r="AT147" s="127"/>
      <c r="AU147" s="127"/>
      <c r="AV147" s="556"/>
      <c r="AW147" s="556"/>
      <c r="AX147" s="556"/>
      <c r="AY147" s="556"/>
      <c r="AZ147" s="556"/>
      <c r="BA147" s="171"/>
      <c r="BB147" s="171"/>
      <c r="BC147" s="171"/>
      <c r="BD147" s="171"/>
      <c r="BE147" s="171"/>
      <c r="BF147" s="171"/>
      <c r="BG147" s="352">
        <v>2.5</v>
      </c>
      <c r="BH147" s="352">
        <v>20.5</v>
      </c>
      <c r="BI147" s="323"/>
      <c r="BJ147" s="171">
        <v>18</v>
      </c>
      <c r="BK147" s="171">
        <v>18</v>
      </c>
      <c r="BL147" s="171">
        <v>18</v>
      </c>
      <c r="BM147" s="323"/>
      <c r="BN147" s="171">
        <v>18</v>
      </c>
      <c r="BO147" s="171">
        <v>15</v>
      </c>
      <c r="BP147" s="171"/>
      <c r="BQ147" s="644"/>
      <c r="BR147" s="644"/>
      <c r="BS147" s="644"/>
      <c r="BT147" s="644"/>
      <c r="BU147" s="644"/>
      <c r="BV147" s="644"/>
      <c r="BW147" s="644"/>
      <c r="BX147" s="644"/>
      <c r="BY147" s="644"/>
      <c r="BZ147" s="224"/>
    </row>
    <row r="148" spans="1:78" s="4" customFormat="1" ht="14.4" x14ac:dyDescent="0.3">
      <c r="A148" s="150">
        <f>IF(ISBLANK(TAB_CS[[#This Row],[Reference]]),"",INDEX(TAB_Offres[ID],MATCH(TAB_CS[[#This Row],[Reference]],TAB_Offres[Reference],0)))</f>
        <v>147</v>
      </c>
      <c r="B148" s="154" t="s">
        <v>6024</v>
      </c>
      <c r="C148" s="605" t="s">
        <v>6060</v>
      </c>
      <c r="D148" s="150" t="str">
        <f>IF(ISBLANK(TAB_CS[[#This Row],[Reference]]),"",VLOOKUP(TAB_CS[[#This Row],[ID]],TAB_Offres[],2,FALSE))</f>
        <v>Lot 2</v>
      </c>
      <c r="E148" s="150" t="s">
        <v>5920</v>
      </c>
      <c r="F148" s="154">
        <f>_xlfn.IFNA(IF(ISBLANK(TAB_CS[[#This Row],[Reference]]),"",VLOOKUP(TAB_CS[[#This Row],[Reference]],TAB_Offres[[Reference]:[Modification Request]],COLUMNS(TAB_Offres[[Reference]:[Modification Request]]),FALSE)),)</f>
        <v>0</v>
      </c>
      <c r="G148" s="1" t="str">
        <f>IF(ISBLANK(TAB_CS[[#This Row],[Reference]]),"",INDEX(TAB_Offres[Institution/agency],MATCH(TAB_CS[[#This Row],[Reference]],TAB_Offres[Reference],0)))</f>
        <v>EC</v>
      </c>
      <c r="H148" s="1" t="str">
        <f>IF(ISBLANK(TAB_CS[[#This Row],[Reference]]),"",INDEX(TAB_Offres[DG],MATCH(TAB_CS[[#This Row],[Reference]],TAB_Offres[Reference],0)))</f>
        <v>GROW</v>
      </c>
      <c r="I148" s="4" t="str">
        <f>IF(ISBLANK(TAB_CS[[#This Row],[Reference]]),"",INDEX(TAB_Offres[Offer description],MATCH(TAB_CS[[#This Row],[Reference]],TAB_Offres[Reference],0)))</f>
        <v>Data Scientist (DS)</v>
      </c>
      <c r="J148" s="204">
        <f>_xlfn.IFNA(IF(ISBLANK(TAB_CS[[#This Row],[Ressource]]),,VLOOKUP(TAB_CS[[#This Row],[Reference]],TAB_Offres[[Reference]:[CS signature date]],COLUMNS(TAB_Offres[[Reference]:[CS signature date]]),FALSE)),"")</f>
        <v>45499</v>
      </c>
      <c r="K148" s="204">
        <f>_xlfn.IFNA(IF(ISBLANK(TAB_CS[[#This Row],[Ressource]]),,VLOOKUP(TAB_CS[[#This Row],[Reference]],TAB_Offres[[Reference]:[CS start date]],COLUMNS(TAB_Offres[[Reference]:[CS start date]]),FALSE)),"")</f>
        <v>45502</v>
      </c>
      <c r="L148" s="204">
        <f>_xlfn.IFNA(IF(ISBLANK(TAB_CS[[#This Row],[Ressource]]),,VLOOKUP(TAB_CS[[#This Row],[Reference]],TAB_Offres[[Reference]:[CS end date]],COLUMNS(TAB_Offres[[Reference]:[CS end date]]),FALSE)),"")</f>
        <v>46022</v>
      </c>
      <c r="M148" s="150">
        <f>_xlfn.IFNA(IF(ISBLANK(TAB_CS[[#This Row],[Ressource]]),,VLOOKUP(TAB_CS[[#This Row],[Reference]],TAB_Offres[[Reference]:[CS State]],COLUMNS(TAB_Offres[[Reference]:[CS State]]),FALSE)),"")</f>
        <v>0</v>
      </c>
      <c r="N148" s="154" t="str">
        <f>VLOOKUP(TAB_CS[[#This Row],[Reference]],TAB_Offres[[Reference]:[Ressource 1]],25,FALSE)</f>
        <v>MARCELLINO, Costanza</v>
      </c>
      <c r="O148" s="150" t="str">
        <f>_xlfn.IFNA(IF(ISBLANK(TAB_CS[[#This Row],[Ressource]]),,VLOOKUP(TAB_CS[[#This Row],[Reference]],TAB_Offres[[Reference]:[Company]],COLUMNS(TAB_Offres[[Reference]:[Company]]),FALSE)),"")</f>
        <v>CGI LUX</v>
      </c>
      <c r="P148" s="150" t="str">
        <f>_xlfn.CONCAT(TAB_CS[[#This Row],[Ressource]],TAB_CS[[#This Row],[Profile in €]])</f>
        <v>MARCELLINO, Costanza466,03</v>
      </c>
      <c r="Q148" s="150" t="str">
        <f>_xlfn.CONCAT(TAB_CS[[#This Row],[Company]],TAB_CS[[#This Row],[Business perimeter]])</f>
        <v>CGI LUXNB</v>
      </c>
      <c r="R148" s="150" t="str">
        <f>_xlfn.IFNA(IF(ISBLANK(TAB_CS[[#This Row],[Ressource]]),"",VLOOKUP(TAB_CS[[#This Row],[Reference]],TAB_Offres[[Reference]:[Profile]],COLUMNS(TAB_Offres[[Reference]:[Profile]]),FALSE)),"")</f>
        <v>Data Scientist#R1</v>
      </c>
      <c r="S148" s="1">
        <f>_xlfn.IFNA(IF(ISBLANK(TAB_CS[[#This Row],[Ressource]]),"",VLOOKUP(TAB_CS[[#This Row],[Reference]],TAB_Offres[[Reference]:[Level]],COLUMNS(TAB_Offres[[Reference]:[Level]]),FALSE)),"")</f>
        <v>5</v>
      </c>
      <c r="T148" s="156">
        <f>_xlfn.IFNA(IF(OR(ISBLANK(TAB_CS[[#This Row],[Level]]),TAB_CS[[#This Row],[Level]]=""),,VLOOKUP(TAB_CS[[#This Row],[Profile]],TAB_prix[],2+TAB_CS[[#This Row],[Level]],FALSE)),)</f>
        <v>466.03</v>
      </c>
      <c r="U148" s="151">
        <v>110</v>
      </c>
      <c r="V148" s="205">
        <f>IF(OR(ISBLANK(TAB_CS[[#This Row],[Commited days]]),TAB_CS[[#This Row],[Commited days]]=0),,TAB_CS[[#This Row],[Commited days]]*TAB_CS[[#This Row],[Profile in €]])</f>
        <v>51263.299999999996</v>
      </c>
      <c r="W148" s="156">
        <f>SUM(TAB_CS[[#This Row],[F]:[P+1]])-TAB_CS[[#This Row],[P+1]]</f>
        <v>42</v>
      </c>
      <c r="X148" s="205">
        <f>IF(OR(ISBLANK(TAB_CS[[#This Row],[Producted days]]),TAB_CS[[#This Row],[Producted days]]=0),,TAB_CS[[#This Row],[Producted days]]*TAB_CS[[#This Row],[Profile in €]])</f>
        <v>19573.259999999998</v>
      </c>
      <c r="Y148" s="206">
        <f>TAB_CS[[#This Row],[Commited days]]-TAB_CS[[#This Row],[Producted days]]</f>
        <v>68</v>
      </c>
      <c r="Z148" s="205">
        <f>IF(OR(ISBLANK(TAB_CS[[#This Row],[Remaining days]]),TAB_CS[[#This Row],[Remaining days]]=0),,TAB_CS[[#This Row],[Remaining days]]*TAB_CS[[#This Row],[Profile in €]])</f>
        <v>31690.039999999997</v>
      </c>
      <c r="AA148" s="207">
        <f>SUM(TAB_CS[[#This Row],[P+1]:[FP]])</f>
        <v>68</v>
      </c>
      <c r="AB148" s="208">
        <f>IF(OR(ISBLANK(TAB_CS[[#This Row],[Expected days]]),TAB_CS[[#This Row],[Expected days]]=0),,TAB_CS[[#This Row],[Expected days]]*TAB_CS[[#This Row],[Profile in €]])</f>
        <v>31690.039999999997</v>
      </c>
      <c r="AC148" s="322" t="str">
        <f>CONCATENATE(TAB_CS[[#This Row],[DG]],TAB_CS[[#This Row],[Company]])</f>
        <v>GROWCGI LUX</v>
      </c>
      <c r="AD148" s="209"/>
      <c r="AE148" s="150"/>
      <c r="AF148" s="151"/>
      <c r="AG148" s="151"/>
      <c r="AH148" s="13"/>
      <c r="AI148" s="1"/>
      <c r="AJ148" s="13"/>
      <c r="AK148" s="127"/>
      <c r="AL148" s="127"/>
      <c r="AM148" s="1"/>
      <c r="AN148" s="1"/>
      <c r="AO148" s="1"/>
      <c r="AP148" s="1"/>
      <c r="AQ148" s="1"/>
      <c r="AR148" s="1"/>
      <c r="AS148" s="1"/>
      <c r="AT148" s="127"/>
      <c r="AU148" s="127"/>
      <c r="AV148" s="573"/>
      <c r="AW148" s="573"/>
      <c r="AX148" s="573"/>
      <c r="AY148" s="573"/>
      <c r="AZ148" s="573"/>
      <c r="BA148" s="171"/>
      <c r="BB148" s="171"/>
      <c r="BC148" s="171"/>
      <c r="BD148" s="171"/>
      <c r="BE148" s="171"/>
      <c r="BF148" s="171"/>
      <c r="BG148" s="171"/>
      <c r="BH148" s="171"/>
      <c r="BI148" s="323"/>
      <c r="BJ148" s="291">
        <v>6</v>
      </c>
      <c r="BK148" s="171">
        <v>18</v>
      </c>
      <c r="BL148" s="171">
        <v>18</v>
      </c>
      <c r="BM148" s="323"/>
      <c r="BN148" s="171">
        <v>18</v>
      </c>
      <c r="BO148" s="171">
        <v>18</v>
      </c>
      <c r="BP148" s="171">
        <v>18</v>
      </c>
      <c r="BQ148" s="171">
        <v>14</v>
      </c>
      <c r="BR148" s="171"/>
      <c r="BS148" s="171"/>
      <c r="BT148" s="171"/>
      <c r="BU148" s="171"/>
      <c r="BV148" s="171"/>
      <c r="BW148" s="171"/>
      <c r="BX148" s="171"/>
      <c r="BY148" s="171"/>
      <c r="BZ148" s="224"/>
    </row>
    <row r="149" spans="1:78" s="4" customFormat="1" ht="14.4" x14ac:dyDescent="0.3">
      <c r="A149" s="150">
        <f>IF(ISBLANK(TAB_CS[[#This Row],[Reference]]),"",INDEX(TAB_Offres[ID],MATCH(TAB_CS[[#This Row],[Reference]],TAB_Offres[Reference],0)))</f>
        <v>148</v>
      </c>
      <c r="B149" s="154" t="s">
        <v>6031</v>
      </c>
      <c r="C149" s="605" t="s">
        <v>6061</v>
      </c>
      <c r="D149" s="150" t="str">
        <f>IF(ISBLANK(TAB_CS[[#This Row],[Reference]]),"",VLOOKUP(TAB_CS[[#This Row],[ID]],TAB_Offres[],2,FALSE))</f>
        <v>Lot 2</v>
      </c>
      <c r="E149" s="150" t="s">
        <v>5920</v>
      </c>
      <c r="F149" s="154">
        <f>_xlfn.IFNA(IF(ISBLANK(TAB_CS[[#This Row],[Reference]]),"",VLOOKUP(TAB_CS[[#This Row],[Reference]],TAB_Offres[[Reference]:[Modification Request]],COLUMNS(TAB_Offres[[Reference]:[Modification Request]]),FALSE)),)</f>
        <v>0</v>
      </c>
      <c r="G149" s="1" t="str">
        <f>IF(ISBLANK(TAB_CS[[#This Row],[Reference]]),"",INDEX(TAB_Offres[Institution/agency],MATCH(TAB_CS[[#This Row],[Reference]],TAB_Offres[Reference],0)))</f>
        <v>EC</v>
      </c>
      <c r="H149" s="1" t="str">
        <f>IF(ISBLANK(TAB_CS[[#This Row],[Reference]]),"",INDEX(TAB_Offres[DG],MATCH(TAB_CS[[#This Row],[Reference]],TAB_Offres[Reference],0)))</f>
        <v>GROW</v>
      </c>
      <c r="I149" s="4" t="str">
        <f>IF(ISBLANK(TAB_CS[[#This Row],[Reference]]),"",INDEX(TAB_Offres[Offer description],MATCH(TAB_CS[[#This Row],[Reference]],TAB_Offres[Reference],0)))</f>
        <v>Application/Cloud Architect (ACA)</v>
      </c>
      <c r="J149" s="204">
        <f>_xlfn.IFNA(IF(ISBLANK(TAB_CS[[#This Row],[Ressource]]),,VLOOKUP(TAB_CS[[#This Row],[Reference]],TAB_Offres[[Reference]:[CS signature date]],COLUMNS(TAB_Offres[[Reference]:[CS signature date]]),FALSE)),"")</f>
        <v>45513</v>
      </c>
      <c r="K149" s="204">
        <f>_xlfn.IFNA(IF(ISBLANK(TAB_CS[[#This Row],[Ressource]]),,VLOOKUP(TAB_CS[[#This Row],[Reference]],TAB_Offres[[Reference]:[CS start date]],COLUMNS(TAB_Offres[[Reference]:[CS start date]]),FALSE)),"")</f>
        <v>45513</v>
      </c>
      <c r="L149" s="204">
        <f>_xlfn.IFNA(IF(ISBLANK(TAB_CS[[#This Row],[Ressource]]),,VLOOKUP(TAB_CS[[#This Row],[Reference]],TAB_Offres[[Reference]:[CS end date]],COLUMNS(TAB_Offres[[Reference]:[CS end date]]),FALSE)),"")</f>
        <v>45869</v>
      </c>
      <c r="M149" s="150">
        <f>_xlfn.IFNA(IF(ISBLANK(TAB_CS[[#This Row],[Ressource]]),,VLOOKUP(TAB_CS[[#This Row],[Reference]],TAB_Offres[[Reference]:[CS State]],COLUMNS(TAB_Offres[[Reference]:[CS State]]),FALSE)),"")</f>
        <v>0</v>
      </c>
      <c r="N149" s="154" t="str">
        <f>VLOOKUP(TAB_CS[[#This Row],[Reference]],TAB_Offres[[Reference]:[Ressource 1]],25,FALSE)</f>
        <v>DECANINI, Barbara</v>
      </c>
      <c r="O149" s="150" t="str">
        <f>_xlfn.IFNA(IF(ISBLANK(TAB_CS[[#This Row],[Ressource]]),,VLOOKUP(TAB_CS[[#This Row],[Reference]],TAB_Offres[[Reference]:[Company]],COLUMNS(TAB_Offres[[Reference]:[Company]]),FALSE)),"")</f>
        <v>EDDA</v>
      </c>
      <c r="P149" s="150" t="str">
        <f>_xlfn.CONCAT(TAB_CS[[#This Row],[Ressource]],TAB_CS[[#This Row],[Profile in €]])</f>
        <v>DECANINI, Barbara653,63</v>
      </c>
      <c r="Q149" s="150" t="str">
        <f>_xlfn.CONCAT(TAB_CS[[#This Row],[Company]],TAB_CS[[#This Row],[Business perimeter]])</f>
        <v>EDDANB</v>
      </c>
      <c r="R149" s="150" t="str">
        <f>_xlfn.IFNA(IF(ISBLANK(TAB_CS[[#This Row],[Ressource]]),"",VLOOKUP(TAB_CS[[#This Row],[Reference]],TAB_Offres[[Reference]:[Profile]],COLUMNS(TAB_Offres[[Reference]:[Profile]]),FALSE)),"")</f>
        <v>Application/Cloud architect#R1</v>
      </c>
      <c r="S149" s="1">
        <f>_xlfn.IFNA(IF(ISBLANK(TAB_CS[[#This Row],[Ressource]]),"",VLOOKUP(TAB_CS[[#This Row],[Reference]],TAB_Offres[[Reference]:[Level]],COLUMNS(TAB_Offres[[Reference]:[Level]]),FALSE)),"")</f>
        <v>10</v>
      </c>
      <c r="T149" s="156">
        <f>_xlfn.IFNA(IF(OR(ISBLANK(TAB_CS[[#This Row],[Level]]),TAB_CS[[#This Row],[Level]]=""),,VLOOKUP(TAB_CS[[#This Row],[Profile]],TAB_prix[],2+TAB_CS[[#This Row],[Level]],FALSE)),)</f>
        <v>653.63</v>
      </c>
      <c r="U149" s="151">
        <v>100</v>
      </c>
      <c r="V149" s="205">
        <f>IF(OR(ISBLANK(TAB_CS[[#This Row],[Commited days]]),TAB_CS[[#This Row],[Commited days]]=0),,TAB_CS[[#This Row],[Commited days]]*TAB_CS[[#This Row],[Profile in €]])</f>
        <v>65363</v>
      </c>
      <c r="W149" s="156">
        <f>SUM(TAB_CS[[#This Row],[F]:[P+1]])-TAB_CS[[#This Row],[P+1]]</f>
        <v>18</v>
      </c>
      <c r="X149" s="205">
        <f>IF(OR(ISBLANK(TAB_CS[[#This Row],[Producted days]]),TAB_CS[[#This Row],[Producted days]]=0),,TAB_CS[[#This Row],[Producted days]]*TAB_CS[[#This Row],[Profile in €]])</f>
        <v>11765.34</v>
      </c>
      <c r="Y149" s="206">
        <f>TAB_CS[[#This Row],[Commited days]]-TAB_CS[[#This Row],[Producted days]]</f>
        <v>82</v>
      </c>
      <c r="Z149" s="205">
        <f>IF(OR(ISBLANK(TAB_CS[[#This Row],[Remaining days]]),TAB_CS[[#This Row],[Remaining days]]=0),,TAB_CS[[#This Row],[Remaining days]]*TAB_CS[[#This Row],[Profile in €]])</f>
        <v>53597.659999999996</v>
      </c>
      <c r="AA149" s="207">
        <f>SUM(TAB_CS[[#This Row],[P+1]:[FP]])</f>
        <v>82</v>
      </c>
      <c r="AB149" s="208">
        <f>IF(OR(ISBLANK(TAB_CS[[#This Row],[Expected days]]),TAB_CS[[#This Row],[Expected days]]=0),,TAB_CS[[#This Row],[Expected days]]*TAB_CS[[#This Row],[Profile in €]])</f>
        <v>53597.659999999996</v>
      </c>
      <c r="AC149" s="322" t="str">
        <f>CONCATENATE(TAB_CS[[#This Row],[DG]],TAB_CS[[#This Row],[Company]])</f>
        <v>GROWEDDA</v>
      </c>
      <c r="AD149" s="209"/>
      <c r="AE149" s="150"/>
      <c r="AF149" s="151"/>
      <c r="AG149" s="151"/>
      <c r="AH149" s="13"/>
      <c r="AI149" s="1"/>
      <c r="AJ149" s="13"/>
      <c r="AK149" s="127"/>
      <c r="AL149" s="127"/>
      <c r="AM149" s="1"/>
      <c r="AN149" s="1"/>
      <c r="AO149" s="1"/>
      <c r="AP149" s="1"/>
      <c r="AQ149" s="1"/>
      <c r="AR149" s="1"/>
      <c r="AS149" s="1"/>
      <c r="AT149" s="127"/>
      <c r="AU149" s="127"/>
      <c r="AV149" s="573"/>
      <c r="AW149" s="573"/>
      <c r="AX149" s="573"/>
      <c r="AY149" s="573"/>
      <c r="AZ149" s="573"/>
      <c r="BA149" s="171"/>
      <c r="BB149" s="171"/>
      <c r="BC149" s="171"/>
      <c r="BD149" s="171"/>
      <c r="BE149" s="171"/>
      <c r="BF149" s="171"/>
      <c r="BG149" s="171"/>
      <c r="BH149" s="171"/>
      <c r="BI149" s="323"/>
      <c r="BJ149" s="171"/>
      <c r="BK149" s="171"/>
      <c r="BL149" s="171">
        <v>18</v>
      </c>
      <c r="BM149" s="323"/>
      <c r="BN149" s="171">
        <v>18</v>
      </c>
      <c r="BO149" s="171">
        <v>18</v>
      </c>
      <c r="BP149" s="171">
        <v>18</v>
      </c>
      <c r="BQ149" s="171">
        <v>18</v>
      </c>
      <c r="BR149" s="171">
        <v>10</v>
      </c>
      <c r="BS149" s="171"/>
      <c r="BT149" s="171"/>
      <c r="BU149" s="644"/>
      <c r="BV149" s="644"/>
      <c r="BW149" s="644"/>
      <c r="BX149" s="644"/>
      <c r="BY149" s="644"/>
      <c r="BZ149" s="224"/>
    </row>
    <row r="150" spans="1:78" s="4" customFormat="1" ht="14.4" x14ac:dyDescent="0.3">
      <c r="A150" s="150">
        <f>IF(ISBLANK(TAB_CS[[#This Row],[Reference]]),"",INDEX(TAB_Offres[ID],MATCH(TAB_CS[[#This Row],[Reference]],TAB_Offres[Reference],0)))</f>
        <v>149</v>
      </c>
      <c r="B150" s="154" t="s">
        <v>6034</v>
      </c>
      <c r="C150" s="605" t="s">
        <v>6062</v>
      </c>
      <c r="D150" s="150" t="str">
        <f>IF(ISBLANK(TAB_CS[[#This Row],[Reference]]),"",VLOOKUP(TAB_CS[[#This Row],[ID]],TAB_Offres[],2,FALSE))</f>
        <v>Lot 1</v>
      </c>
      <c r="E150" s="150" t="s">
        <v>5920</v>
      </c>
      <c r="F150" s="154">
        <f>_xlfn.IFNA(IF(ISBLANK(TAB_CS[[#This Row],[Reference]]),"",VLOOKUP(TAB_CS[[#This Row],[Reference]],TAB_Offres[[Reference]:[Modification Request]],COLUMNS(TAB_Offres[[Reference]:[Modification Request]]),FALSE)),)</f>
        <v>0</v>
      </c>
      <c r="G150" s="1" t="str">
        <f>IF(ISBLANK(TAB_CS[[#This Row],[Reference]]),"",INDEX(TAB_Offres[Institution/agency],MATCH(TAB_CS[[#This Row],[Reference]],TAB_Offres[Reference],0)))</f>
        <v>EC</v>
      </c>
      <c r="H150" s="1" t="str">
        <f>IF(ISBLANK(TAB_CS[[#This Row],[Reference]]),"",INDEX(TAB_Offres[DG],MATCH(TAB_CS[[#This Row],[Reference]],TAB_Offres[Reference],0)))</f>
        <v>DGT</v>
      </c>
      <c r="I150" s="4" t="str">
        <f>IF(ISBLANK(TAB_CS[[#This Row],[Reference]]),"",INDEX(TAB_Offres[Offer description],MATCH(TAB_CS[[#This Row],[Reference]],TAB_Offres[Reference],0)))</f>
        <v>Web Operation Manager (WOM)</v>
      </c>
      <c r="J150" s="204">
        <f>_xlfn.IFNA(IF(ISBLANK(TAB_CS[[#This Row],[Ressource]]),,VLOOKUP(TAB_CS[[#This Row],[Reference]],TAB_Offres[[Reference]:[CS signature date]],COLUMNS(TAB_Offres[[Reference]:[CS signature date]]),FALSE)),"")</f>
        <v>45531</v>
      </c>
      <c r="K150" s="204">
        <f>_xlfn.IFNA(IF(ISBLANK(TAB_CS[[#This Row],[Ressource]]),,VLOOKUP(TAB_CS[[#This Row],[Reference]],TAB_Offres[[Reference]:[CS start date]],COLUMNS(TAB_Offres[[Reference]:[CS start date]]),FALSE)),"")</f>
        <v>45531</v>
      </c>
      <c r="L150" s="204">
        <f>_xlfn.IFNA(IF(ISBLANK(TAB_CS[[#This Row],[Ressource]]),,VLOOKUP(TAB_CS[[#This Row],[Reference]],TAB_Offres[[Reference]:[CS end date]],COLUMNS(TAB_Offres[[Reference]:[CS end date]]),FALSE)),"")</f>
        <v>45716</v>
      </c>
      <c r="M150" s="150">
        <f>_xlfn.IFNA(IF(ISBLANK(TAB_CS[[#This Row],[Ressource]]),,VLOOKUP(TAB_CS[[#This Row],[Reference]],TAB_Offres[[Reference]:[CS State]],COLUMNS(TAB_Offres[[Reference]:[CS State]]),FALSE)),"")</f>
        <v>0</v>
      </c>
      <c r="N150" s="154" t="str">
        <f>VLOOKUP(TAB_CS[[#This Row],[Reference]],TAB_Offres[[Reference]:[Ressource 1]],25,FALSE)</f>
        <v>NOVOA, Guilherme</v>
      </c>
      <c r="O150" s="150" t="str">
        <f>_xlfn.IFNA(IF(ISBLANK(TAB_CS[[#This Row],[Ressource]]),,VLOOKUP(TAB_CS[[#This Row],[Reference]],TAB_Offres[[Reference]:[Company]],COLUMNS(TAB_Offres[[Reference]:[Company]]),FALSE)),"")</f>
        <v>TALAN</v>
      </c>
      <c r="P150" s="150" t="str">
        <f>_xlfn.CONCAT(TAB_CS[[#This Row],[Ressource]],TAB_CS[[#This Row],[Profile in €]])</f>
        <v>NOVOA, Guilherme365,06</v>
      </c>
      <c r="Q150" s="150" t="str">
        <f>_xlfn.CONCAT(TAB_CS[[#This Row],[Company]],TAB_CS[[#This Row],[Business perimeter]])</f>
        <v>TALANNB</v>
      </c>
      <c r="R150" s="150" t="str">
        <f>_xlfn.IFNA(IF(ISBLANK(TAB_CS[[#This Row],[Ressource]]),"",VLOOKUP(TAB_CS[[#This Row],[Reference]],TAB_Offres[[Reference]:[Profile]],COLUMNS(TAB_Offres[[Reference]:[Profile]]),FALSE)),"")</f>
        <v>Web Operations Manager#R1-FAR</v>
      </c>
      <c r="S150" s="1">
        <f>_xlfn.IFNA(IF(ISBLANK(TAB_CS[[#This Row],[Ressource]]),"",VLOOKUP(TAB_CS[[#This Row],[Reference]],TAB_Offres[[Reference]:[Level]],COLUMNS(TAB_Offres[[Reference]:[Level]]),FALSE)),"")</f>
        <v>7</v>
      </c>
      <c r="T150" s="156">
        <f>_xlfn.IFNA(IF(OR(ISBLANK(TAB_CS[[#This Row],[Level]]),TAB_CS[[#This Row],[Level]]=""),,VLOOKUP(TAB_CS[[#This Row],[Profile]],TAB_prix[],2+TAB_CS[[#This Row],[Level]],FALSE)),)</f>
        <v>365.06</v>
      </c>
      <c r="U150" s="151">
        <v>60</v>
      </c>
      <c r="V150" s="205">
        <f>IF(OR(ISBLANK(TAB_CS[[#This Row],[Commited days]]),TAB_CS[[#This Row],[Commited days]]=0),,TAB_CS[[#This Row],[Commited days]]*TAB_CS[[#This Row],[Profile in €]])</f>
        <v>21903.599999999999</v>
      </c>
      <c r="W150" s="156">
        <f>SUM(TAB_CS[[#This Row],[F]:[P+1]])-TAB_CS[[#This Row],[P+1]]</f>
        <v>60</v>
      </c>
      <c r="X150" s="205">
        <f>IF(OR(ISBLANK(TAB_CS[[#This Row],[Producted days]]),TAB_CS[[#This Row],[Producted days]]=0),,TAB_CS[[#This Row],[Producted days]]*TAB_CS[[#This Row],[Profile in €]])</f>
        <v>21903.599999999999</v>
      </c>
      <c r="Y150" s="206">
        <f>TAB_CS[[#This Row],[Commited days]]-TAB_CS[[#This Row],[Producted days]]</f>
        <v>0</v>
      </c>
      <c r="Z150" s="205">
        <f>IF(OR(ISBLANK(TAB_CS[[#This Row],[Remaining days]]),TAB_CS[[#This Row],[Remaining days]]=0),,TAB_CS[[#This Row],[Remaining days]]*TAB_CS[[#This Row],[Profile in €]])</f>
        <v>0</v>
      </c>
      <c r="AA150" s="207">
        <f>SUM(TAB_CS[[#This Row],[P+1]:[FP]])</f>
        <v>0</v>
      </c>
      <c r="AB150" s="208">
        <f>IF(OR(ISBLANK(TAB_CS[[#This Row],[Expected days]]),TAB_CS[[#This Row],[Expected days]]=0),,TAB_CS[[#This Row],[Expected days]]*TAB_CS[[#This Row],[Profile in €]])</f>
        <v>0</v>
      </c>
      <c r="AC150" s="322" t="str">
        <f>CONCATENATE(TAB_CS[[#This Row],[DG]],TAB_CS[[#This Row],[Company]])</f>
        <v>DGTTALAN</v>
      </c>
      <c r="AD150" s="209"/>
      <c r="AE150" s="150"/>
      <c r="AF150" s="151"/>
      <c r="AG150" s="151"/>
      <c r="AH150" s="13"/>
      <c r="AI150" s="1"/>
      <c r="AJ150" s="13"/>
      <c r="AK150" s="127"/>
      <c r="AL150" s="127"/>
      <c r="AM150" s="1"/>
      <c r="AN150" s="1"/>
      <c r="AO150" s="1"/>
      <c r="AP150" s="1"/>
      <c r="AQ150" s="1"/>
      <c r="AR150" s="1"/>
      <c r="AS150" s="1"/>
      <c r="AT150" s="127"/>
      <c r="AU150" s="127"/>
      <c r="AV150" s="573"/>
      <c r="AW150" s="573"/>
      <c r="AX150" s="573"/>
      <c r="AY150" s="573"/>
      <c r="AZ150" s="573"/>
      <c r="BA150" s="171"/>
      <c r="BB150" s="171"/>
      <c r="BC150" s="171"/>
      <c r="BD150" s="171"/>
      <c r="BE150" s="171"/>
      <c r="BF150" s="171"/>
      <c r="BG150" s="171"/>
      <c r="BH150" s="171">
        <v>18</v>
      </c>
      <c r="BI150" s="323"/>
      <c r="BJ150" s="171">
        <v>18</v>
      </c>
      <c r="BK150" s="171">
        <v>18</v>
      </c>
      <c r="BL150" s="171">
        <v>6</v>
      </c>
      <c r="BM150" s="323"/>
      <c r="BN150" s="171"/>
      <c r="BO150" s="171"/>
      <c r="BP150" s="644"/>
      <c r="BQ150" s="644"/>
      <c r="BR150" s="644"/>
      <c r="BS150" s="644"/>
      <c r="BT150" s="644"/>
      <c r="BU150" s="644"/>
      <c r="BV150" s="644"/>
      <c r="BW150" s="644"/>
      <c r="BX150" s="644"/>
      <c r="BY150" s="644"/>
      <c r="BZ150" s="224"/>
    </row>
    <row r="151" spans="1:78" s="4" customFormat="1" ht="14.4" x14ac:dyDescent="0.3">
      <c r="A151" s="150">
        <f>IF(ISBLANK(TAB_CS[[#This Row],[Reference]]),"",INDEX(TAB_Offres[ID],MATCH(TAB_CS[[#This Row],[Reference]],TAB_Offres[Reference],0)))</f>
        <v>150</v>
      </c>
      <c r="B151" s="154" t="s">
        <v>6039</v>
      </c>
      <c r="C151" s="605" t="s">
        <v>6063</v>
      </c>
      <c r="D151" s="150" t="str">
        <f>IF(ISBLANK(TAB_CS[[#This Row],[Reference]]),"",VLOOKUP(TAB_CS[[#This Row],[ID]],TAB_Offres[],2,FALSE))</f>
        <v>Lot 2</v>
      </c>
      <c r="E151" s="150" t="s">
        <v>5920</v>
      </c>
      <c r="F151" s="154">
        <f>_xlfn.IFNA(IF(ISBLANK(TAB_CS[[#This Row],[Reference]]),"",VLOOKUP(TAB_CS[[#This Row],[Reference]],TAB_Offres[[Reference]:[Modification Request]],COLUMNS(TAB_Offres[[Reference]:[Modification Request]]),FALSE)),)</f>
        <v>0</v>
      </c>
      <c r="G151" s="150" t="str">
        <f>IF(ISBLANK(TAB_CS[[#This Row],[Reference]]),"",INDEX(TAB_Offres[Institution/agency],MATCH(TAB_CS[[#This Row],[Reference]],TAB_Offres[Reference],0)))</f>
        <v>EC</v>
      </c>
      <c r="H151" s="150" t="str">
        <f>IF(ISBLANK(TAB_CS[[#This Row],[Reference]]),"",INDEX(TAB_Offres[DG],MATCH(TAB_CS[[#This Row],[Reference]],TAB_Offres[Reference],0)))</f>
        <v>DIGIT.A.2</v>
      </c>
      <c r="I151" s="4" t="str">
        <f>IF(ISBLANK(TAB_CS[[#This Row],[Reference]]),"",INDEX(TAB_Offres[Offer description],MATCH(TAB_CS[[#This Row],[Reference]],TAB_Offres[Reference],0)))</f>
        <v>Project Manager</v>
      </c>
      <c r="J151" s="204">
        <f>_xlfn.IFNA(IF(ISBLANK(TAB_CS[[#This Row],[Ressource]]),,VLOOKUP(TAB_CS[[#This Row],[Reference]],TAB_Offres[[Reference]:[CS signature date]],COLUMNS(TAB_Offres[[Reference]:[CS signature date]]),FALSE)),"")</f>
        <v>45524</v>
      </c>
      <c r="K151" s="204">
        <f>_xlfn.IFNA(IF(ISBLANK(TAB_CS[[#This Row],[Ressource]]),,VLOOKUP(TAB_CS[[#This Row],[Reference]],TAB_Offres[[Reference]:[CS start date]],COLUMNS(TAB_Offres[[Reference]:[CS start date]]),FALSE)),"")</f>
        <v>45531</v>
      </c>
      <c r="L151" s="204">
        <f>_xlfn.IFNA(IF(ISBLANK(TAB_CS[[#This Row],[Ressource]]),,VLOOKUP(TAB_CS[[#This Row],[Reference]],TAB_Offres[[Reference]:[CS end date]],COLUMNS(TAB_Offres[[Reference]:[CS end date]]),FALSE)),"")</f>
        <v>45930</v>
      </c>
      <c r="M151" s="150">
        <f>_xlfn.IFNA(IF(ISBLANK(TAB_CS[[#This Row],[Ressource]]),,VLOOKUP(TAB_CS[[#This Row],[Reference]],TAB_Offres[[Reference]:[CS State]],COLUMNS(TAB_Offres[[Reference]:[CS State]]),FALSE)),"")</f>
        <v>0</v>
      </c>
      <c r="N151" s="154" t="str">
        <f>VLOOKUP(TAB_CS[[#This Row],[Reference]],TAB_Offres[[Reference]:[Ressource 1]],25,FALSE)</f>
        <v>LEFTER, Diana</v>
      </c>
      <c r="O151" s="150" t="str">
        <f>_xlfn.IFNA(IF(ISBLANK(TAB_CS[[#This Row],[Ressource]]),,VLOOKUP(TAB_CS[[#This Row],[Reference]],TAB_Offres[[Reference]:[Company]],COLUMNS(TAB_Offres[[Reference]:[Company]]),FALSE)),"")</f>
        <v>EDDA</v>
      </c>
      <c r="P151" s="150" t="str">
        <f>_xlfn.CONCAT(TAB_CS[[#This Row],[Ressource]],TAB_CS[[#This Row],[Profile in €]])</f>
        <v>LEFTER, Diana741,44</v>
      </c>
      <c r="Q151" s="150" t="str">
        <f>_xlfn.CONCAT(TAB_CS[[#This Row],[Company]],TAB_CS[[#This Row],[Business perimeter]])</f>
        <v>EDDANB</v>
      </c>
      <c r="R151" s="150" t="str">
        <f>_xlfn.IFNA(IF(ISBLANK(TAB_CS[[#This Row],[Ressource]]),"",VLOOKUP(TAB_CS[[#This Row],[Reference]],TAB_Offres[[Reference]:[Profile]],COLUMNS(TAB_Offres[[Reference]:[Profile]]),FALSE)),"")</f>
        <v>Project Manager#R1</v>
      </c>
      <c r="S151" s="150">
        <f>_xlfn.IFNA(IF(ISBLANK(TAB_CS[[#This Row],[Ressource]]),"",VLOOKUP(TAB_CS[[#This Row],[Reference]],TAB_Offres[[Reference]:[Level]],COLUMNS(TAB_Offres[[Reference]:[Level]]),FALSE)),"")</f>
        <v>8</v>
      </c>
      <c r="T151" s="156">
        <f>_xlfn.IFNA(IF(OR(ISBLANK(TAB_CS[[#This Row],[Level]]),TAB_CS[[#This Row],[Level]]=""),,VLOOKUP(TAB_CS[[#This Row],[Profile]],TAB_prix[],2+TAB_CS[[#This Row],[Level]],FALSE)),)</f>
        <v>741.44</v>
      </c>
      <c r="U151" s="151">
        <v>67</v>
      </c>
      <c r="V151" s="205">
        <f>IF(OR(ISBLANK(TAB_CS[[#This Row],[Commited days]]),TAB_CS[[#This Row],[Commited days]]=0),,TAB_CS[[#This Row],[Commited days]]*TAB_CS[[#This Row],[Profile in €]])</f>
        <v>49676.480000000003</v>
      </c>
      <c r="W151" s="156">
        <f>SUM(TAB_CS[[#This Row],[F]:[P+1]])-TAB_CS[[#This Row],[P+1]]</f>
        <v>6.5</v>
      </c>
      <c r="X151" s="205">
        <f>IF(OR(ISBLANK(TAB_CS[[#This Row],[Producted days]]),TAB_CS[[#This Row],[Producted days]]=0),,TAB_CS[[#This Row],[Producted days]]*TAB_CS[[#This Row],[Profile in €]])</f>
        <v>4819.3600000000006</v>
      </c>
      <c r="Y151" s="206">
        <f>TAB_CS[[#This Row],[Commited days]]-TAB_CS[[#This Row],[Producted days]]</f>
        <v>60.5</v>
      </c>
      <c r="Z151" s="205">
        <f>IF(OR(ISBLANK(TAB_CS[[#This Row],[Remaining days]]),TAB_CS[[#This Row],[Remaining days]]=0),,TAB_CS[[#This Row],[Remaining days]]*TAB_CS[[#This Row],[Profile in €]])</f>
        <v>44857.120000000003</v>
      </c>
      <c r="AA151" s="207"/>
      <c r="AB151" s="208">
        <f>IF(OR(ISBLANK(TAB_CS[[#This Row],[Expected days]]),TAB_CS[[#This Row],[Expected days]]=0),,TAB_CS[[#This Row],[Expected days]]*TAB_CS[[#This Row],[Profile in €]])</f>
        <v>0</v>
      </c>
      <c r="AC151" s="322" t="str">
        <f>CONCATENATE(TAB_CS[[#This Row],[DG]],TAB_CS[[#This Row],[Company]])</f>
        <v>DIGIT.A.2EDDA</v>
      </c>
      <c r="AD151" s="209"/>
      <c r="AE151" s="150"/>
      <c r="AF151" s="151"/>
      <c r="AG151" s="151"/>
      <c r="AH151" s="151"/>
      <c r="AI151" s="150"/>
      <c r="AJ151" s="151"/>
      <c r="AK151" s="156"/>
      <c r="AL151" s="156"/>
      <c r="AM151" s="150"/>
      <c r="AN151" s="150"/>
      <c r="AO151" s="150"/>
      <c r="AP151" s="150"/>
      <c r="AQ151" s="150"/>
      <c r="AR151" s="150"/>
      <c r="AS151" s="150"/>
      <c r="AT151" s="156"/>
      <c r="AU151" s="156"/>
      <c r="AV151" s="171"/>
      <c r="AW151" s="171"/>
      <c r="AX151" s="171"/>
      <c r="AY151" s="171"/>
      <c r="AZ151" s="171"/>
      <c r="BA151" s="171"/>
      <c r="BB151" s="171"/>
      <c r="BC151" s="171"/>
      <c r="BD151" s="171"/>
      <c r="BE151" s="171"/>
      <c r="BF151" s="171"/>
      <c r="BG151" s="171"/>
      <c r="BH151" s="171"/>
      <c r="BI151" s="323"/>
      <c r="BJ151" s="171"/>
      <c r="BK151" s="171"/>
      <c r="BL151" s="171">
        <v>6.5</v>
      </c>
      <c r="BM151" s="323"/>
      <c r="BN151" s="171">
        <v>18</v>
      </c>
      <c r="BO151" s="171">
        <v>18</v>
      </c>
      <c r="BP151" s="171">
        <v>18</v>
      </c>
      <c r="BQ151" s="171">
        <v>6.5</v>
      </c>
      <c r="BR151" s="171"/>
      <c r="BS151" s="171"/>
      <c r="BT151" s="171"/>
      <c r="BU151" s="171"/>
      <c r="BV151" s="171"/>
      <c r="BW151" s="644"/>
      <c r="BX151" s="644"/>
      <c r="BY151" s="644"/>
      <c r="BZ151" s="224"/>
    </row>
    <row r="152" spans="1:78" s="4" customFormat="1" ht="14.4" x14ac:dyDescent="0.3">
      <c r="A152" s="150">
        <f>IF(ISBLANK(TAB_CS[[#This Row],[Reference]]),"",INDEX(TAB_Offres[ID],MATCH(TAB_CS[[#This Row],[Reference]],TAB_Offres[Reference],0)))</f>
        <v>151</v>
      </c>
      <c r="B152" s="154" t="s">
        <v>6040</v>
      </c>
      <c r="C152" s="605" t="s">
        <v>6064</v>
      </c>
      <c r="D152" s="150" t="str">
        <f>IF(ISBLANK(TAB_CS[[#This Row],[Reference]]),"",VLOOKUP(TAB_CS[[#This Row],[ID]],TAB_Offres[],2,FALSE))</f>
        <v>Lot 2</v>
      </c>
      <c r="E152" s="150" t="s">
        <v>5920</v>
      </c>
      <c r="F152" s="154">
        <f>_xlfn.IFNA(IF(ISBLANK(TAB_CS[[#This Row],[Reference]]),"",VLOOKUP(TAB_CS[[#This Row],[Reference]],TAB_Offres[[Reference]:[Modification Request]],COLUMNS(TAB_Offres[[Reference]:[Modification Request]]),FALSE)),)</f>
        <v>0</v>
      </c>
      <c r="G152" s="150" t="str">
        <f>IF(ISBLANK(TAB_CS[[#This Row],[Reference]]),"",INDEX(TAB_Offres[Institution/agency],MATCH(TAB_CS[[#This Row],[Reference]],TAB_Offres[Reference],0)))</f>
        <v>EC</v>
      </c>
      <c r="H152" s="150" t="str">
        <f>IF(ISBLANK(TAB_CS[[#This Row],[Reference]]),"",INDEX(TAB_Offres[DG],MATCH(TAB_CS[[#This Row],[Reference]],TAB_Offres[Reference],0)))</f>
        <v>DIGIT.A.2</v>
      </c>
      <c r="I152" s="4" t="str">
        <f>IF(ISBLANK(TAB_CS[[#This Row],[Reference]]),"",INDEX(TAB_Offres[Offer description],MATCH(TAB_CS[[#This Row],[Reference]],TAB_Offres[Reference],0)))</f>
        <v>Project Manager</v>
      </c>
      <c r="J152" s="204">
        <f>_xlfn.IFNA(IF(ISBLANK(TAB_CS[[#This Row],[Ressource]]),,VLOOKUP(TAB_CS[[#This Row],[Reference]],TAB_Offres[[Reference]:[CS signature date]],COLUMNS(TAB_Offres[[Reference]:[CS signature date]]),FALSE)),"")</f>
        <v>45524</v>
      </c>
      <c r="K152" s="204">
        <f>_xlfn.IFNA(IF(ISBLANK(TAB_CS[[#This Row],[Ressource]]),,VLOOKUP(TAB_CS[[#This Row],[Reference]],TAB_Offres[[Reference]:[CS start date]],COLUMNS(TAB_Offres[[Reference]:[CS start date]]),FALSE)),"")</f>
        <v>45531</v>
      </c>
      <c r="L152" s="204">
        <f>_xlfn.IFNA(IF(ISBLANK(TAB_CS[[#This Row],[Ressource]]),,VLOOKUP(TAB_CS[[#This Row],[Reference]],TAB_Offres[[Reference]:[CS end date]],COLUMNS(TAB_Offres[[Reference]:[CS end date]]),FALSE)),"")</f>
        <v>45930</v>
      </c>
      <c r="M152" s="150">
        <f>_xlfn.IFNA(IF(ISBLANK(TAB_CS[[#This Row],[Ressource]]),,VLOOKUP(TAB_CS[[#This Row],[Reference]],TAB_Offres[[Reference]:[CS State]],COLUMNS(TAB_Offres[[Reference]:[CS State]]),FALSE)),"")</f>
        <v>0</v>
      </c>
      <c r="N152" s="154" t="str">
        <f>VLOOKUP(TAB_CS[[#This Row],[Reference]],TAB_Offres[[Reference]:[Ressource 1]],25,FALSE)</f>
        <v>WHYE, Gregory</v>
      </c>
      <c r="O152" s="150" t="str">
        <f>_xlfn.IFNA(IF(ISBLANK(TAB_CS[[#This Row],[Ressource]]),,VLOOKUP(TAB_CS[[#This Row],[Reference]],TAB_Offres[[Reference]:[Company]],COLUMNS(TAB_Offres[[Reference]:[Company]]),FALSE)),"")</f>
        <v>CGI LUX</v>
      </c>
      <c r="P152" s="150" t="str">
        <f>_xlfn.CONCAT(TAB_CS[[#This Row],[Ressource]],TAB_CS[[#This Row],[Profile in €]])</f>
        <v>WHYE, Gregory793,34</v>
      </c>
      <c r="Q152" s="150" t="str">
        <f>_xlfn.CONCAT(TAB_CS[[#This Row],[Company]],TAB_CS[[#This Row],[Business perimeter]])</f>
        <v>CGI LUXNB</v>
      </c>
      <c r="R152" s="150" t="str">
        <f>_xlfn.IFNA(IF(ISBLANK(TAB_CS[[#This Row],[Ressource]]),"",VLOOKUP(TAB_CS[[#This Row],[Reference]],TAB_Offres[[Reference]:[Profile]],COLUMNS(TAB_Offres[[Reference]:[Profile]]),FALSE)),"")</f>
        <v>Project Manager#R1</v>
      </c>
      <c r="S152" s="150">
        <f>_xlfn.IFNA(IF(ISBLANK(TAB_CS[[#This Row],[Ressource]]),"",VLOOKUP(TAB_CS[[#This Row],[Reference]],TAB_Offres[[Reference]:[Level]],COLUMNS(TAB_Offres[[Reference]:[Level]]),FALSE)),"")</f>
        <v>9</v>
      </c>
      <c r="T152" s="156">
        <f>_xlfn.IFNA(IF(OR(ISBLANK(TAB_CS[[#This Row],[Level]]),TAB_CS[[#This Row],[Level]]=""),,VLOOKUP(TAB_CS[[#This Row],[Profile]],TAB_prix[],2+TAB_CS[[#This Row],[Level]],FALSE)),)</f>
        <v>793.34</v>
      </c>
      <c r="U152" s="151">
        <v>100</v>
      </c>
      <c r="V152" s="205">
        <f>IF(OR(ISBLANK(TAB_CS[[#This Row],[Commited days]]),TAB_CS[[#This Row],[Commited days]]=0),,TAB_CS[[#This Row],[Commited days]]*TAB_CS[[#This Row],[Profile in €]])</f>
        <v>79334</v>
      </c>
      <c r="W152" s="156">
        <f>SUM(TAB_CS[[#This Row],[F]:[P+1]])-TAB_CS[[#This Row],[P+1]]</f>
        <v>46</v>
      </c>
      <c r="X152" s="205">
        <f>IF(OR(ISBLANK(TAB_CS[[#This Row],[Producted days]]),TAB_CS[[#This Row],[Producted days]]=0),,TAB_CS[[#This Row],[Producted days]]*TAB_CS[[#This Row],[Profile in €]])</f>
        <v>36493.64</v>
      </c>
      <c r="Y152" s="206">
        <f>TAB_CS[[#This Row],[Commited days]]-TAB_CS[[#This Row],[Producted days]]</f>
        <v>54</v>
      </c>
      <c r="Z152" s="205">
        <f>IF(OR(ISBLANK(TAB_CS[[#This Row],[Remaining days]]),TAB_CS[[#This Row],[Remaining days]]=0),,TAB_CS[[#This Row],[Remaining days]]*TAB_CS[[#This Row],[Profile in €]])</f>
        <v>42840.36</v>
      </c>
      <c r="AA152" s="207"/>
      <c r="AB152" s="208">
        <f>IF(OR(ISBLANK(TAB_CS[[#This Row],[Expected days]]),TAB_CS[[#This Row],[Expected days]]=0),,TAB_CS[[#This Row],[Expected days]]*TAB_CS[[#This Row],[Profile in €]])</f>
        <v>0</v>
      </c>
      <c r="AC152" s="322" t="str">
        <f>CONCATENATE(TAB_CS[[#This Row],[DG]],TAB_CS[[#This Row],[Company]])</f>
        <v>DIGIT.A.2CGI LUX</v>
      </c>
      <c r="AD152" s="209"/>
      <c r="AE152" s="150"/>
      <c r="AF152" s="151"/>
      <c r="AG152" s="151"/>
      <c r="AH152" s="151"/>
      <c r="AI152" s="150"/>
      <c r="AJ152" s="151"/>
      <c r="AK152" s="156"/>
      <c r="AL152" s="156"/>
      <c r="AM152" s="150"/>
      <c r="AN152" s="150"/>
      <c r="AO152" s="150"/>
      <c r="AP152" s="150"/>
      <c r="AQ152" s="150"/>
      <c r="AR152" s="150"/>
      <c r="AS152" s="150"/>
      <c r="AT152" s="156"/>
      <c r="AU152" s="156"/>
      <c r="AV152" s="171"/>
      <c r="AW152" s="171"/>
      <c r="AX152" s="171"/>
      <c r="AY152" s="171"/>
      <c r="AZ152" s="171"/>
      <c r="BA152" s="171"/>
      <c r="BB152" s="171"/>
      <c r="BC152" s="171"/>
      <c r="BD152" s="171"/>
      <c r="BE152" s="171"/>
      <c r="BF152" s="171"/>
      <c r="BG152" s="171"/>
      <c r="BH152" s="171"/>
      <c r="BI152" s="323"/>
      <c r="BJ152" s="291">
        <v>10.5</v>
      </c>
      <c r="BK152" s="171">
        <v>17.5</v>
      </c>
      <c r="BL152" s="171">
        <v>18</v>
      </c>
      <c r="BM152" s="323"/>
      <c r="BN152" s="171">
        <v>18</v>
      </c>
      <c r="BO152" s="171">
        <v>18</v>
      </c>
      <c r="BP152" s="171">
        <v>18</v>
      </c>
      <c r="BQ152" s="171"/>
      <c r="BR152" s="171"/>
      <c r="BS152" s="171"/>
      <c r="BT152" s="171"/>
      <c r="BU152" s="171"/>
      <c r="BV152" s="171"/>
      <c r="BW152" s="644"/>
      <c r="BX152" s="644"/>
      <c r="BY152" s="644"/>
      <c r="BZ152" s="224"/>
    </row>
    <row r="153" spans="1:78" s="4" customFormat="1" ht="14.4" x14ac:dyDescent="0.3">
      <c r="A153" s="150">
        <f>IF(ISBLANK(TAB_CS[[#This Row],[Reference]]),"",INDEX(TAB_Offres[ID],MATCH(TAB_CS[[#This Row],[Reference]],TAB_Offres[Reference],0)))</f>
        <v>152</v>
      </c>
      <c r="B153" s="154" t="s">
        <v>6041</v>
      </c>
      <c r="C153" s="605" t="s">
        <v>6065</v>
      </c>
      <c r="D153" s="150" t="str">
        <f>IF(ISBLANK(TAB_CS[[#This Row],[Reference]]),"",VLOOKUP(TAB_CS[[#This Row],[ID]],TAB_Offres[],2,FALSE))</f>
        <v>Lot 2</v>
      </c>
      <c r="E153" s="150" t="s">
        <v>5920</v>
      </c>
      <c r="F153" s="154">
        <f>_xlfn.IFNA(IF(ISBLANK(TAB_CS[[#This Row],[Reference]]),"",VLOOKUP(TAB_CS[[#This Row],[Reference]],TAB_Offres[[Reference]:[Modification Request]],COLUMNS(TAB_Offres[[Reference]:[Modification Request]]),FALSE)),)</f>
        <v>0</v>
      </c>
      <c r="G153" s="150" t="str">
        <f>IF(ISBLANK(TAB_CS[[#This Row],[Reference]]),"",INDEX(TAB_Offres[Institution/agency],MATCH(TAB_CS[[#This Row],[Reference]],TAB_Offres[Reference],0)))</f>
        <v>EC</v>
      </c>
      <c r="H153" s="150" t="str">
        <f>IF(ISBLANK(TAB_CS[[#This Row],[Reference]]),"",INDEX(TAB_Offres[DG],MATCH(TAB_CS[[#This Row],[Reference]],TAB_Offres[Reference],0)))</f>
        <v>DIGIT.A.2</v>
      </c>
      <c r="I153" s="4" t="str">
        <f>IF(ISBLANK(TAB_CS[[#This Row],[Reference]]),"",INDEX(TAB_Offres[Offer description],MATCH(TAB_CS[[#This Row],[Reference]],TAB_Offres[Reference],0)))</f>
        <v>Project Manager</v>
      </c>
      <c r="J153" s="204">
        <f>_xlfn.IFNA(IF(ISBLANK(TAB_CS[[#This Row],[Ressource]]),,VLOOKUP(TAB_CS[[#This Row],[Reference]],TAB_Offres[[Reference]:[CS signature date]],COLUMNS(TAB_Offres[[Reference]:[CS signature date]]),FALSE)),"")</f>
        <v>45526</v>
      </c>
      <c r="K153" s="204">
        <f>_xlfn.IFNA(IF(ISBLANK(TAB_CS[[#This Row],[Ressource]]),,VLOOKUP(TAB_CS[[#This Row],[Reference]],TAB_Offres[[Reference]:[CS start date]],COLUMNS(TAB_Offres[[Reference]:[CS start date]]),FALSE)),"")</f>
        <v>45531</v>
      </c>
      <c r="L153" s="204">
        <f>_xlfn.IFNA(IF(ISBLANK(TAB_CS[[#This Row],[Ressource]]),,VLOOKUP(TAB_CS[[#This Row],[Reference]],TAB_Offres[[Reference]:[CS end date]],COLUMNS(TAB_Offres[[Reference]:[CS end date]]),FALSE)),"")</f>
        <v>45930</v>
      </c>
      <c r="M153" s="150">
        <f>_xlfn.IFNA(IF(ISBLANK(TAB_CS[[#This Row],[Ressource]]),,VLOOKUP(TAB_CS[[#This Row],[Reference]],TAB_Offres[[Reference]:[CS State]],COLUMNS(TAB_Offres[[Reference]:[CS State]]),FALSE)),"")</f>
        <v>0</v>
      </c>
      <c r="N153" s="154" t="str">
        <f>VLOOKUP(TAB_CS[[#This Row],[Reference]],TAB_Offres[[Reference]:[Ressource 1]],25,FALSE)</f>
        <v>DE ANDRES DEL CASTILLO, David</v>
      </c>
      <c r="O153" s="150" t="str">
        <f>_xlfn.IFNA(IF(ISBLANK(TAB_CS[[#This Row],[Ressource]]),,VLOOKUP(TAB_CS[[#This Row],[Reference]],TAB_Offres[[Reference]:[Company]],COLUMNS(TAB_Offres[[Reference]:[Company]]),FALSE)),"")</f>
        <v>CGI LUX</v>
      </c>
      <c r="P153" s="150" t="str">
        <f>_xlfn.CONCAT(TAB_CS[[#This Row],[Ressource]],TAB_CS[[#This Row],[Profile in €]])</f>
        <v>DE ANDRES DEL CASTILLO, David793,34</v>
      </c>
      <c r="Q153" s="150" t="str">
        <f>_xlfn.CONCAT(TAB_CS[[#This Row],[Company]],TAB_CS[[#This Row],[Business perimeter]])</f>
        <v>CGI LUXNB</v>
      </c>
      <c r="R153" s="150" t="str">
        <f>_xlfn.IFNA(IF(ISBLANK(TAB_CS[[#This Row],[Ressource]]),"",VLOOKUP(TAB_CS[[#This Row],[Reference]],TAB_Offres[[Reference]:[Profile]],COLUMNS(TAB_Offres[[Reference]:[Profile]]),FALSE)),"")</f>
        <v>Project Manager#R1</v>
      </c>
      <c r="S153" s="150">
        <f>_xlfn.IFNA(IF(ISBLANK(TAB_CS[[#This Row],[Ressource]]),"",VLOOKUP(TAB_CS[[#This Row],[Reference]],TAB_Offres[[Reference]:[Level]],COLUMNS(TAB_Offres[[Reference]:[Level]]),FALSE)),"")</f>
        <v>9</v>
      </c>
      <c r="T153" s="156">
        <f>_xlfn.IFNA(IF(OR(ISBLANK(TAB_CS[[#This Row],[Level]]),TAB_CS[[#This Row],[Level]]=""),,VLOOKUP(TAB_CS[[#This Row],[Profile]],TAB_prix[],2+TAB_CS[[#This Row],[Level]],FALSE)),)</f>
        <v>793.34</v>
      </c>
      <c r="U153" s="151">
        <v>100</v>
      </c>
      <c r="V153" s="205">
        <f>IF(OR(ISBLANK(TAB_CS[[#This Row],[Commited days]]),TAB_CS[[#This Row],[Commited days]]=0),,TAB_CS[[#This Row],[Commited days]]*TAB_CS[[#This Row],[Profile in €]])</f>
        <v>79334</v>
      </c>
      <c r="W153" s="156">
        <f>SUM(TAB_CS[[#This Row],[F]:[P+1]])-TAB_CS[[#This Row],[P+1]]</f>
        <v>17.5</v>
      </c>
      <c r="X153" s="205">
        <f>IF(OR(ISBLANK(TAB_CS[[#This Row],[Producted days]]),TAB_CS[[#This Row],[Producted days]]=0),,TAB_CS[[#This Row],[Producted days]]*TAB_CS[[#This Row],[Profile in €]])</f>
        <v>13883.45</v>
      </c>
      <c r="Y153" s="206">
        <f>TAB_CS[[#This Row],[Commited days]]-TAB_CS[[#This Row],[Producted days]]</f>
        <v>82.5</v>
      </c>
      <c r="Z153" s="205">
        <f>IF(OR(ISBLANK(TAB_CS[[#This Row],[Remaining days]]),TAB_CS[[#This Row],[Remaining days]]=0),,TAB_CS[[#This Row],[Remaining days]]*TAB_CS[[#This Row],[Profile in €]])</f>
        <v>65450.55</v>
      </c>
      <c r="AA153" s="207"/>
      <c r="AB153" s="208">
        <f>IF(OR(ISBLANK(TAB_CS[[#This Row],[Expected days]]),TAB_CS[[#This Row],[Expected days]]=0),,TAB_CS[[#This Row],[Expected days]]*TAB_CS[[#This Row],[Profile in €]])</f>
        <v>0</v>
      </c>
      <c r="AC153" s="322" t="str">
        <f>CONCATENATE(TAB_CS[[#This Row],[DG]],TAB_CS[[#This Row],[Company]])</f>
        <v>DIGIT.A.2CGI LUX</v>
      </c>
      <c r="AD153" s="209"/>
      <c r="AE153" s="150"/>
      <c r="AF153" s="151"/>
      <c r="AG153" s="151"/>
      <c r="AH153" s="151"/>
      <c r="AI153" s="150"/>
      <c r="AJ153" s="151"/>
      <c r="AK153" s="156"/>
      <c r="AL153" s="156"/>
      <c r="AM153" s="150"/>
      <c r="AN153" s="150"/>
      <c r="AO153" s="150"/>
      <c r="AP153" s="150"/>
      <c r="AQ153" s="150"/>
      <c r="AR153" s="150"/>
      <c r="AS153" s="150"/>
      <c r="AT153" s="156"/>
      <c r="AU153" s="156"/>
      <c r="AV153" s="171"/>
      <c r="AW153" s="171"/>
      <c r="AX153" s="171"/>
      <c r="AY153" s="171"/>
      <c r="AZ153" s="171"/>
      <c r="BA153" s="171"/>
      <c r="BB153" s="171"/>
      <c r="BC153" s="171"/>
      <c r="BD153" s="171"/>
      <c r="BE153" s="171"/>
      <c r="BF153" s="171"/>
      <c r="BG153" s="171"/>
      <c r="BH153" s="171"/>
      <c r="BI153" s="323"/>
      <c r="BJ153" s="171"/>
      <c r="BK153" s="171"/>
      <c r="BL153" s="171">
        <v>17.5</v>
      </c>
      <c r="BM153" s="323"/>
      <c r="BN153" s="171">
        <v>18</v>
      </c>
      <c r="BO153" s="171">
        <v>18</v>
      </c>
      <c r="BP153" s="171">
        <v>18</v>
      </c>
      <c r="BQ153" s="171">
        <v>18</v>
      </c>
      <c r="BR153" s="171">
        <v>10.5</v>
      </c>
      <c r="BS153" s="171"/>
      <c r="BT153" s="171"/>
      <c r="BU153" s="171"/>
      <c r="BV153" s="171"/>
      <c r="BW153" s="644"/>
      <c r="BX153" s="644"/>
      <c r="BY153" s="644"/>
      <c r="BZ153" s="224"/>
    </row>
    <row r="154" spans="1:78" s="4" customFormat="1" ht="14.4" x14ac:dyDescent="0.3">
      <c r="A154" s="150">
        <f>IF(ISBLANK(TAB_CS[[#This Row],[Reference]]),"",INDEX(TAB_Offres[ID],MATCH(TAB_CS[[#This Row],[Reference]],TAB_Offres[Reference],0)))</f>
        <v>153</v>
      </c>
      <c r="B154" s="154" t="s">
        <v>6042</v>
      </c>
      <c r="C154" s="605" t="s">
        <v>6066</v>
      </c>
      <c r="D154" s="150" t="str">
        <f>IF(ISBLANK(TAB_CS[[#This Row],[Reference]]),"",VLOOKUP(TAB_CS[[#This Row],[ID]],TAB_Offres[],2,FALSE))</f>
        <v>Lot 1</v>
      </c>
      <c r="E154" s="150" t="s">
        <v>5920</v>
      </c>
      <c r="F154" s="154">
        <f>_xlfn.IFNA(IF(ISBLANK(TAB_CS[[#This Row],[Reference]]),"",VLOOKUP(TAB_CS[[#This Row],[Reference]],TAB_Offres[[Reference]:[Modification Request]],COLUMNS(TAB_Offres[[Reference]:[Modification Request]]),FALSE)),)</f>
        <v>0</v>
      </c>
      <c r="G154" s="150" t="str">
        <f>IF(ISBLANK(TAB_CS[[#This Row],[Reference]]),"",INDEX(TAB_Offres[Institution/agency],MATCH(TAB_CS[[#This Row],[Reference]],TAB_Offres[Reference],0)))</f>
        <v>EC</v>
      </c>
      <c r="H154" s="150" t="str">
        <f>IF(ISBLANK(TAB_CS[[#This Row],[Reference]]),"",INDEX(TAB_Offres[DG],MATCH(TAB_CS[[#This Row],[Reference]],TAB_Offres[Reference],0)))</f>
        <v>DIGIT.A.3</v>
      </c>
      <c r="I154" s="4" t="str">
        <f>IF(ISBLANK(TAB_CS[[#This Row],[Reference]]),"",INDEX(TAB_Offres[Offer description],MATCH(TAB_CS[[#This Row],[Reference]],TAB_Offres[Reference],0)))</f>
        <v>Back-End Developer (BED)</v>
      </c>
      <c r="J154" s="204">
        <f>_xlfn.IFNA(IF(ISBLANK(TAB_CS[[#This Row],[Ressource]]),,VLOOKUP(TAB_CS[[#This Row],[Reference]],TAB_Offres[[Reference]:[CS signature date]],COLUMNS(TAB_Offres[[Reference]:[CS signature date]]),FALSE)),"")</f>
        <v>45527</v>
      </c>
      <c r="K154" s="204">
        <f>_xlfn.IFNA(IF(ISBLANK(TAB_CS[[#This Row],[Ressource]]),,VLOOKUP(TAB_CS[[#This Row],[Reference]],TAB_Offres[[Reference]:[CS start date]],COLUMNS(TAB_Offres[[Reference]:[CS start date]]),FALSE)),"")</f>
        <v>45531</v>
      </c>
      <c r="L154" s="204">
        <f>_xlfn.IFNA(IF(ISBLANK(TAB_CS[[#This Row],[Ressource]]),,VLOOKUP(TAB_CS[[#This Row],[Reference]],TAB_Offres[[Reference]:[CS end date]],COLUMNS(TAB_Offres[[Reference]:[CS end date]]),FALSE)),"")</f>
        <v>45930</v>
      </c>
      <c r="M154" s="150">
        <f>_xlfn.IFNA(IF(ISBLANK(TAB_CS[[#This Row],[Ressource]]),,VLOOKUP(TAB_CS[[#This Row],[Reference]],TAB_Offres[[Reference]:[CS State]],COLUMNS(TAB_Offres[[Reference]:[CS State]]),FALSE)),"")</f>
        <v>0</v>
      </c>
      <c r="N154" s="154" t="str">
        <f>VLOOKUP(TAB_CS[[#This Row],[Reference]],TAB_Offres[[Reference]:[Ressource 1]],25,FALSE)</f>
        <v>PRISECARU, Marian</v>
      </c>
      <c r="O154" s="150" t="str">
        <f>_xlfn.IFNA(IF(ISBLANK(TAB_CS[[#This Row],[Ressource]]),,VLOOKUP(TAB_CS[[#This Row],[Reference]],TAB_Offres[[Reference]:[Company]],COLUMNS(TAB_Offres[[Reference]:[Company]]),FALSE)),"")</f>
        <v>TALAN</v>
      </c>
      <c r="P154" s="150" t="str">
        <f>_xlfn.CONCAT(TAB_CS[[#This Row],[Ressource]],TAB_CS[[#This Row],[Profile in €]])</f>
        <v>PRISECARU, Marian486,54</v>
      </c>
      <c r="Q154" s="150" t="str">
        <f>_xlfn.CONCAT(TAB_CS[[#This Row],[Company]],TAB_CS[[#This Row],[Business perimeter]])</f>
        <v>TALANNB</v>
      </c>
      <c r="R154" s="150" t="str">
        <f>_xlfn.IFNA(IF(ISBLANK(TAB_CS[[#This Row],[Ressource]]),"",VLOOKUP(TAB_CS[[#This Row],[Reference]],TAB_Offres[[Reference]:[Profile]],COLUMNS(TAB_Offres[[Reference]:[Profile]]),FALSE)),"")</f>
        <v>Back-end developer#R1-FAR</v>
      </c>
      <c r="S154" s="150">
        <f>_xlfn.IFNA(IF(ISBLANK(TAB_CS[[#This Row],[Ressource]]),"",VLOOKUP(TAB_CS[[#This Row],[Reference]],TAB_Offres[[Reference]:[Level]],COLUMNS(TAB_Offres[[Reference]:[Level]]),FALSE)),"")</f>
        <v>10</v>
      </c>
      <c r="T154" s="156">
        <f>_xlfn.IFNA(IF(OR(ISBLANK(TAB_CS[[#This Row],[Level]]),TAB_CS[[#This Row],[Level]]=""),,VLOOKUP(TAB_CS[[#This Row],[Profile]],TAB_prix[],2+TAB_CS[[#This Row],[Level]],FALSE)),)</f>
        <v>486.54</v>
      </c>
      <c r="U154" s="151">
        <v>140</v>
      </c>
      <c r="V154" s="205">
        <f>IF(OR(ISBLANK(TAB_CS[[#This Row],[Commited days]]),TAB_CS[[#This Row],[Commited days]]=0),,TAB_CS[[#This Row],[Commited days]]*TAB_CS[[#This Row],[Profile in €]])</f>
        <v>68115.600000000006</v>
      </c>
      <c r="W154" s="156">
        <f>SUM(TAB_CS[[#This Row],[F]:[P+1]])-TAB_CS[[#This Row],[P+1]]</f>
        <v>80</v>
      </c>
      <c r="X154" s="205">
        <f>IF(OR(ISBLANK(TAB_CS[[#This Row],[Producted days]]),TAB_CS[[#This Row],[Producted days]]=0),,TAB_CS[[#This Row],[Producted days]]*TAB_CS[[#This Row],[Profile in €]])</f>
        <v>38923.200000000004</v>
      </c>
      <c r="Y154" s="206">
        <f>TAB_CS[[#This Row],[Commited days]]-TAB_CS[[#This Row],[Producted days]]</f>
        <v>60</v>
      </c>
      <c r="Z154" s="205">
        <f>IF(OR(ISBLANK(TAB_CS[[#This Row],[Remaining days]]),TAB_CS[[#This Row],[Remaining days]]=0),,TAB_CS[[#This Row],[Remaining days]]*TAB_CS[[#This Row],[Profile in €]])</f>
        <v>29192.400000000001</v>
      </c>
      <c r="AA154" s="207"/>
      <c r="AB154" s="208">
        <f>IF(OR(ISBLANK(TAB_CS[[#This Row],[Expected days]]),TAB_CS[[#This Row],[Expected days]]=0),,TAB_CS[[#This Row],[Expected days]]*TAB_CS[[#This Row],[Profile in €]])</f>
        <v>0</v>
      </c>
      <c r="AC154" s="322" t="str">
        <f>CONCATENATE(TAB_CS[[#This Row],[DG]],TAB_CS[[#This Row],[Company]])</f>
        <v>DIGIT.A.3TALAN</v>
      </c>
      <c r="AD154" s="209"/>
      <c r="AE154" s="150"/>
      <c r="AF154" s="151"/>
      <c r="AG154" s="151"/>
      <c r="AH154" s="151"/>
      <c r="AI154" s="150"/>
      <c r="AJ154" s="151"/>
      <c r="AK154" s="156"/>
      <c r="AL154" s="156"/>
      <c r="AM154" s="150"/>
      <c r="AN154" s="150"/>
      <c r="AO154" s="150"/>
      <c r="AP154" s="150"/>
      <c r="AQ154" s="150"/>
      <c r="AR154" s="150"/>
      <c r="AS154" s="150"/>
      <c r="AT154" s="156"/>
      <c r="AU154" s="156"/>
      <c r="AV154" s="171"/>
      <c r="AW154" s="171"/>
      <c r="AX154" s="171"/>
      <c r="AY154" s="171"/>
      <c r="AZ154" s="171"/>
      <c r="BA154" s="171"/>
      <c r="BB154" s="171"/>
      <c r="BC154" s="171"/>
      <c r="BD154" s="171"/>
      <c r="BE154" s="171"/>
      <c r="BF154" s="171"/>
      <c r="BG154" s="171"/>
      <c r="BH154" s="352">
        <v>21</v>
      </c>
      <c r="BI154" s="323"/>
      <c r="BJ154" s="291">
        <v>23</v>
      </c>
      <c r="BK154" s="171">
        <v>18</v>
      </c>
      <c r="BL154" s="171">
        <v>18</v>
      </c>
      <c r="BM154" s="323"/>
      <c r="BN154" s="171">
        <v>18</v>
      </c>
      <c r="BO154" s="171">
        <v>18</v>
      </c>
      <c r="BP154" s="171">
        <v>18</v>
      </c>
      <c r="BQ154" s="171">
        <v>6</v>
      </c>
      <c r="BR154" s="171"/>
      <c r="BS154" s="171"/>
      <c r="BT154" s="171"/>
      <c r="BU154" s="171"/>
      <c r="BV154" s="171"/>
      <c r="BW154" s="644"/>
      <c r="BX154" s="644"/>
      <c r="BY154" s="644"/>
      <c r="BZ154" s="224"/>
    </row>
    <row r="155" spans="1:78" s="4" customFormat="1" ht="14.4" x14ac:dyDescent="0.3">
      <c r="A155" s="150">
        <f>IF(ISBLANK(TAB_CS[[#This Row],[Reference]]),"",INDEX(TAB_Offres[ID],MATCH(TAB_CS[[#This Row],[Reference]],TAB_Offres[Reference],0)))</f>
        <v>154</v>
      </c>
      <c r="B155" s="154" t="s">
        <v>6045</v>
      </c>
      <c r="C155" s="605" t="s">
        <v>6067</v>
      </c>
      <c r="D155" s="150" t="str">
        <f>IF(ISBLANK(TAB_CS[[#This Row],[Reference]]),"",VLOOKUP(TAB_CS[[#This Row],[ID]],TAB_Offres[],2,FALSE))</f>
        <v>Lot 1</v>
      </c>
      <c r="E155" s="150" t="s">
        <v>5920</v>
      </c>
      <c r="F155" s="154">
        <f>_xlfn.IFNA(IF(ISBLANK(TAB_CS[[#This Row],[Reference]]),"",VLOOKUP(TAB_CS[[#This Row],[Reference]],TAB_Offres[[Reference]:[Modification Request]],COLUMNS(TAB_Offres[[Reference]:[Modification Request]]),FALSE)),)</f>
        <v>0</v>
      </c>
      <c r="G155" s="150" t="str">
        <f>IF(ISBLANK(TAB_CS[[#This Row],[Reference]]),"",INDEX(TAB_Offres[Institution/agency],MATCH(TAB_CS[[#This Row],[Reference]],TAB_Offres[Reference],0)))</f>
        <v>EC</v>
      </c>
      <c r="H155" s="150" t="str">
        <f>IF(ISBLANK(TAB_CS[[#This Row],[Reference]]),"",INDEX(TAB_Offres[DG],MATCH(TAB_CS[[#This Row],[Reference]],TAB_Offres[Reference],0)))</f>
        <v>RTD</v>
      </c>
      <c r="I155" s="4" t="str">
        <f>IF(ISBLANK(TAB_CS[[#This Row],[Reference]]),"",INDEX(TAB_Offres[Offer description],MATCH(TAB_CS[[#This Row],[Reference]],TAB_Offres[Reference],0)))</f>
        <v>Front-end Developer (FED)</v>
      </c>
      <c r="J155" s="204">
        <f>_xlfn.IFNA(IF(ISBLANK(TAB_CS[[#This Row],[Ressource]]),,VLOOKUP(TAB_CS[[#This Row],[Reference]],TAB_Offres[[Reference]:[CS signature date]],COLUMNS(TAB_Offres[[Reference]:[CS signature date]]),FALSE)),"")</f>
        <v>45533</v>
      </c>
      <c r="K155" s="204">
        <f>_xlfn.IFNA(IF(ISBLANK(TAB_CS[[#This Row],[Ressource]]),,VLOOKUP(TAB_CS[[#This Row],[Reference]],TAB_Offres[[Reference]:[CS start date]],COLUMNS(TAB_Offres[[Reference]:[CS start date]]),FALSE)),"")</f>
        <v>45534</v>
      </c>
      <c r="L155" s="204">
        <f>_xlfn.IFNA(IF(ISBLANK(TAB_CS[[#This Row],[Ressource]]),,VLOOKUP(TAB_CS[[#This Row],[Reference]],TAB_Offres[[Reference]:[CS end date]],COLUMNS(TAB_Offres[[Reference]:[CS end date]]),FALSE)),"")</f>
        <v>45688</v>
      </c>
      <c r="M155" s="150">
        <f>_xlfn.IFNA(IF(ISBLANK(TAB_CS[[#This Row],[Ressource]]),,VLOOKUP(TAB_CS[[#This Row],[Reference]],TAB_Offres[[Reference]:[CS State]],COLUMNS(TAB_Offres[[Reference]:[CS State]]),FALSE)),"")</f>
        <v>0</v>
      </c>
      <c r="N155" s="154" t="str">
        <f>VLOOKUP(TAB_CS[[#This Row],[Reference]],TAB_Offres[[Reference]:[Ressource 1]],25,FALSE)</f>
        <v>TRANDAFIR, Tiberiu</v>
      </c>
      <c r="O155" s="150" t="str">
        <f>_xlfn.IFNA(IF(ISBLANK(TAB_CS[[#This Row],[Ressource]]),,VLOOKUP(TAB_CS[[#This Row],[Reference]],TAB_Offres[[Reference]:[Company]],COLUMNS(TAB_Offres[[Reference]:[Company]]),FALSE)),"")</f>
        <v>TREMEND</v>
      </c>
      <c r="P155" s="150" t="str">
        <f>_xlfn.CONCAT(TAB_CS[[#This Row],[Ressource]],TAB_CS[[#This Row],[Profile in €]])</f>
        <v>TRANDAFIR, Tiberiu288,5</v>
      </c>
      <c r="Q155" s="150" t="str">
        <f>_xlfn.CONCAT(TAB_CS[[#This Row],[Company]],TAB_CS[[#This Row],[Business perimeter]])</f>
        <v>TREMENDNB</v>
      </c>
      <c r="R155" s="150" t="str">
        <f>_xlfn.IFNA(IF(ISBLANK(TAB_CS[[#This Row],[Ressource]]),"",VLOOKUP(TAB_CS[[#This Row],[Reference]],TAB_Offres[[Reference]:[Profile]],COLUMNS(TAB_Offres[[Reference]:[Profile]]),FALSE)),"")</f>
        <v>Front-end developer#R1-FAR</v>
      </c>
      <c r="S155" s="150">
        <f>_xlfn.IFNA(IF(ISBLANK(TAB_CS[[#This Row],[Ressource]]),"",VLOOKUP(TAB_CS[[#This Row],[Reference]],TAB_Offres[[Reference]:[Level]],COLUMNS(TAB_Offres[[Reference]:[Level]]),FALSE)),"")</f>
        <v>3</v>
      </c>
      <c r="T155" s="357">
        <v>288.5</v>
      </c>
      <c r="U155" s="151">
        <v>86</v>
      </c>
      <c r="V155" s="205">
        <f>IF(OR(ISBLANK(TAB_CS[[#This Row],[Commited days]]),TAB_CS[[#This Row],[Commited days]]=0),,TAB_CS[[#This Row],[Commited days]]*TAB_CS[[#This Row],[Profile in €]])</f>
        <v>24811</v>
      </c>
      <c r="W155" s="156">
        <f>SUM(TAB_CS[[#This Row],[F]:[P+1]])-TAB_CS[[#This Row],[P+1]]</f>
        <v>70</v>
      </c>
      <c r="X155" s="205">
        <f>IF(OR(ISBLANK(TAB_CS[[#This Row],[Producted days]]),TAB_CS[[#This Row],[Producted days]]=0),,TAB_CS[[#This Row],[Producted days]]*TAB_CS[[#This Row],[Profile in €]])</f>
        <v>20195</v>
      </c>
      <c r="Y155" s="206">
        <f>TAB_CS[[#This Row],[Commited days]]-TAB_CS[[#This Row],[Producted days]]</f>
        <v>16</v>
      </c>
      <c r="Z155" s="205">
        <f>IF(OR(ISBLANK(TAB_CS[[#This Row],[Remaining days]]),TAB_CS[[#This Row],[Remaining days]]=0),,TAB_CS[[#This Row],[Remaining days]]*TAB_CS[[#This Row],[Profile in €]])</f>
        <v>4616</v>
      </c>
      <c r="AA155" s="207"/>
      <c r="AB155" s="208">
        <f>IF(OR(ISBLANK(TAB_CS[[#This Row],[Expected days]]),TAB_CS[[#This Row],[Expected days]]=0),,TAB_CS[[#This Row],[Expected days]]*TAB_CS[[#This Row],[Profile in €]])</f>
        <v>0</v>
      </c>
      <c r="AC155" s="322" t="str">
        <f>CONCATENATE(TAB_CS[[#This Row],[DG]],TAB_CS[[#This Row],[Company]])</f>
        <v>RTDTREMEND</v>
      </c>
      <c r="AD155" s="209"/>
      <c r="AE155" s="150"/>
      <c r="AF155" s="151"/>
      <c r="AG155" s="151"/>
      <c r="AH155" s="151"/>
      <c r="AI155" s="150"/>
      <c r="AJ155" s="151"/>
      <c r="AK155" s="156"/>
      <c r="AL155" s="156"/>
      <c r="AM155" s="150"/>
      <c r="AN155" s="150"/>
      <c r="AO155" s="150"/>
      <c r="AP155" s="150"/>
      <c r="AQ155" s="150"/>
      <c r="AR155" s="150"/>
      <c r="AS155" s="150"/>
      <c r="AT155" s="156"/>
      <c r="AU155" s="156"/>
      <c r="AV155" s="171"/>
      <c r="AW155" s="171"/>
      <c r="AX155" s="171"/>
      <c r="AY155" s="171"/>
      <c r="AZ155" s="171"/>
      <c r="BA155" s="171"/>
      <c r="BB155" s="171"/>
      <c r="BC155" s="171"/>
      <c r="BD155" s="171"/>
      <c r="BE155" s="171"/>
      <c r="BF155" s="171"/>
      <c r="BG155" s="171"/>
      <c r="BH155" s="352">
        <v>13</v>
      </c>
      <c r="BI155" s="323"/>
      <c r="BJ155" s="291">
        <v>21</v>
      </c>
      <c r="BK155" s="171">
        <v>18</v>
      </c>
      <c r="BL155" s="171">
        <v>18</v>
      </c>
      <c r="BM155" s="323"/>
      <c r="BN155" s="171">
        <v>16</v>
      </c>
      <c r="BO155" s="644"/>
      <c r="BP155" s="644"/>
      <c r="BQ155" s="644"/>
      <c r="BR155" s="644"/>
      <c r="BS155" s="644"/>
      <c r="BT155" s="644"/>
      <c r="BU155" s="644"/>
      <c r="BV155" s="644"/>
      <c r="BW155" s="644"/>
      <c r="BX155" s="644"/>
      <c r="BY155" s="644"/>
      <c r="BZ155" s="224"/>
    </row>
    <row r="156" spans="1:78" s="4" customFormat="1" ht="14.4" x14ac:dyDescent="0.3">
      <c r="A156" s="150">
        <f>IF(ISBLANK(TAB_CS[[#This Row],[Reference]]),"",INDEX(TAB_Offres[ID],MATCH(TAB_CS[[#This Row],[Reference]],TAB_Offres[Reference],0)))</f>
        <v>155</v>
      </c>
      <c r="B156" s="154" t="s">
        <v>6054</v>
      </c>
      <c r="C156" s="605" t="s">
        <v>6068</v>
      </c>
      <c r="D156" s="150" t="str">
        <f>IF(ISBLANK(TAB_CS[[#This Row],[Reference]]),"",VLOOKUP(TAB_CS[[#This Row],[ID]],TAB_Offres[],2,FALSE))</f>
        <v>Lot 1</v>
      </c>
      <c r="E156" s="150" t="s">
        <v>5920</v>
      </c>
      <c r="F156" s="154">
        <f>_xlfn.IFNA(IF(ISBLANK(TAB_CS[[#This Row],[Reference]]),"",VLOOKUP(TAB_CS[[#This Row],[Reference]],TAB_Offres[[Reference]:[Modification Request]],COLUMNS(TAB_Offres[[Reference]:[Modification Request]]),FALSE)),)</f>
        <v>0</v>
      </c>
      <c r="G156" s="150" t="str">
        <f>IF(ISBLANK(TAB_CS[[#This Row],[Reference]]),"",INDEX(TAB_Offres[Institution/agency],MATCH(TAB_CS[[#This Row],[Reference]],TAB_Offres[Reference],0)))</f>
        <v>REA</v>
      </c>
      <c r="H156" s="150" t="str">
        <f>IF(ISBLANK(TAB_CS[[#This Row],[Reference]]),"",INDEX(TAB_Offres[DG],MATCH(TAB_CS[[#This Row],[Reference]],TAB_Offres[Reference],0)))</f>
        <v>REA</v>
      </c>
      <c r="I156" s="4" t="str">
        <f>IF(ISBLANK(TAB_CS[[#This Row],[Reference]]),"",INDEX(TAB_Offres[Offer description],MATCH(TAB_CS[[#This Row],[Reference]],TAB_Offres[Reference],0)))</f>
        <v>Back-End Developer (BED)</v>
      </c>
      <c r="J156" s="204">
        <f>_xlfn.IFNA(IF(ISBLANK(TAB_CS[[#This Row],[Ressource]]),,VLOOKUP(TAB_CS[[#This Row],[Reference]],TAB_Offres[[Reference]:[CS signature date]],COLUMNS(TAB_Offres[[Reference]:[CS signature date]]),FALSE)),"")</f>
        <v>45540</v>
      </c>
      <c r="K156" s="204">
        <f>_xlfn.IFNA(IF(ISBLANK(TAB_CS[[#This Row],[Ressource]]),,VLOOKUP(TAB_CS[[#This Row],[Reference]],TAB_Offres[[Reference]:[CS start date]],COLUMNS(TAB_Offres[[Reference]:[CS start date]]),FALSE)),"")</f>
        <v>45546</v>
      </c>
      <c r="L156" s="204">
        <f>_xlfn.IFNA(IF(ISBLANK(TAB_CS[[#This Row],[Ressource]]),,VLOOKUP(TAB_CS[[#This Row],[Reference]],TAB_Offres[[Reference]:[CS end date]],COLUMNS(TAB_Offres[[Reference]:[CS end date]]),FALSE)),"")</f>
        <v>45412</v>
      </c>
      <c r="M156" s="150">
        <f>_xlfn.IFNA(IF(ISBLANK(TAB_CS[[#This Row],[Ressource]]),,VLOOKUP(TAB_CS[[#This Row],[Reference]],TAB_Offres[[Reference]:[CS State]],COLUMNS(TAB_Offres[[Reference]:[CS State]]),FALSE)),"")</f>
        <v>0</v>
      </c>
      <c r="N156" s="154" t="str">
        <f>VLOOKUP(TAB_CS[[#This Row],[Reference]],TAB_Offres[[Reference]:[Ressource 1]],25,FALSE)</f>
        <v>SAYTEE, Meatau Larry</v>
      </c>
      <c r="O156" s="150" t="str">
        <f>_xlfn.IFNA(IF(ISBLANK(TAB_CS[[#This Row],[Ressource]]),,VLOOKUP(TAB_CS[[#This Row],[Reference]],TAB_Offres[[Reference]:[Company]],COLUMNS(TAB_Offres[[Reference]:[Company]]),FALSE)),"")</f>
        <v>EDDA</v>
      </c>
      <c r="P156" s="150" t="str">
        <f>_xlfn.CONCAT(TAB_CS[[#This Row],[Ressource]],TAB_CS[[#This Row],[Profile in €]])</f>
        <v>SAYTEE, Meatau Larry605,82</v>
      </c>
      <c r="Q156" s="150" t="str">
        <f>_xlfn.CONCAT(TAB_CS[[#This Row],[Company]],TAB_CS[[#This Row],[Business perimeter]])</f>
        <v>EDDANB</v>
      </c>
      <c r="R156" s="150" t="str">
        <f>_xlfn.IFNA(IF(ISBLANK(TAB_CS[[#This Row],[Ressource]]),"",VLOOKUP(TAB_CS[[#This Row],[Reference]],TAB_Offres[[Reference]:[Profile]],COLUMNS(TAB_Offres[[Reference]:[Profile]]),FALSE)),"")</f>
        <v>Back-end developer#R1</v>
      </c>
      <c r="S156" s="150">
        <f>_xlfn.IFNA(IF(ISBLANK(TAB_CS[[#This Row],[Ressource]]),"",VLOOKUP(TAB_CS[[#This Row],[Reference]],TAB_Offres[[Reference]:[Level]],COLUMNS(TAB_Offres[[Reference]:[Level]]),FALSE)),"")</f>
        <v>8</v>
      </c>
      <c r="T156" s="156">
        <f>_xlfn.IFNA(IF(OR(ISBLANK(TAB_CS[[#This Row],[Level]]),TAB_CS[[#This Row],[Level]]=""),,VLOOKUP(TAB_CS[[#This Row],[Profile]],TAB_prix[],2+TAB_CS[[#This Row],[Level]],FALSE)),)</f>
        <v>605.82000000000005</v>
      </c>
      <c r="U156" s="151">
        <v>110</v>
      </c>
      <c r="V156" s="205">
        <f>IF(OR(ISBLANK(TAB_CS[[#This Row],[Commited days]]),TAB_CS[[#This Row],[Commited days]]=0),,TAB_CS[[#This Row],[Commited days]]*TAB_CS[[#This Row],[Profile in €]])</f>
        <v>66640.200000000012</v>
      </c>
      <c r="W156" s="156">
        <f>SUM(TAB_CS[[#This Row],[F]:[P+1]])-TAB_CS[[#This Row],[P+1]]</f>
        <v>48</v>
      </c>
      <c r="X156" s="205">
        <f>IF(OR(ISBLANK(TAB_CS[[#This Row],[Producted days]]),TAB_CS[[#This Row],[Producted days]]=0),,TAB_CS[[#This Row],[Producted days]]*TAB_CS[[#This Row],[Profile in €]])</f>
        <v>29079.360000000001</v>
      </c>
      <c r="Y156" s="206">
        <f>TAB_CS[[#This Row],[Commited days]]-TAB_CS[[#This Row],[Producted days]]</f>
        <v>62</v>
      </c>
      <c r="Z156" s="205">
        <f>IF(OR(ISBLANK(TAB_CS[[#This Row],[Remaining days]]),TAB_CS[[#This Row],[Remaining days]]=0),,TAB_CS[[#This Row],[Remaining days]]*TAB_CS[[#This Row],[Profile in €]])</f>
        <v>37560.840000000004</v>
      </c>
      <c r="AA156" s="207"/>
      <c r="AB156" s="208">
        <f>IF(OR(ISBLANK(TAB_CS[[#This Row],[Expected days]]),TAB_CS[[#This Row],[Expected days]]=0),,TAB_CS[[#This Row],[Expected days]]*TAB_CS[[#This Row],[Profile in €]])</f>
        <v>0</v>
      </c>
      <c r="AC156" s="322" t="str">
        <f>CONCATENATE(TAB_CS[[#This Row],[DG]],TAB_CS[[#This Row],[Company]])</f>
        <v>REAEDDA</v>
      </c>
      <c r="AD156" s="209"/>
      <c r="AE156" s="150"/>
      <c r="AF156" s="151"/>
      <c r="AG156" s="151"/>
      <c r="AH156" s="151"/>
      <c r="AI156" s="150"/>
      <c r="AJ156" s="151"/>
      <c r="AK156" s="156"/>
      <c r="AL156" s="156"/>
      <c r="AM156" s="150"/>
      <c r="AN156" s="150"/>
      <c r="AO156" s="150"/>
      <c r="AP156" s="150"/>
      <c r="AQ156" s="150"/>
      <c r="AR156" s="150"/>
      <c r="AS156" s="150"/>
      <c r="AT156" s="156"/>
      <c r="AU156" s="156"/>
      <c r="AV156" s="171"/>
      <c r="AW156" s="171"/>
      <c r="AX156" s="171"/>
      <c r="AY156" s="171"/>
      <c r="AZ156" s="171"/>
      <c r="BA156" s="171"/>
      <c r="BB156" s="171"/>
      <c r="BC156" s="171"/>
      <c r="BD156" s="171"/>
      <c r="BE156" s="171"/>
      <c r="BF156" s="171"/>
      <c r="BG156" s="171"/>
      <c r="BH156" s="171"/>
      <c r="BI156" s="323"/>
      <c r="BJ156" s="291">
        <v>12</v>
      </c>
      <c r="BK156" s="171">
        <v>18</v>
      </c>
      <c r="BL156" s="171">
        <v>18</v>
      </c>
      <c r="BM156" s="323"/>
      <c r="BN156" s="171">
        <v>18</v>
      </c>
      <c r="BO156" s="171">
        <v>18</v>
      </c>
      <c r="BP156" s="171">
        <v>18</v>
      </c>
      <c r="BQ156" s="171">
        <v>8</v>
      </c>
      <c r="BR156" s="644"/>
      <c r="BS156" s="644"/>
      <c r="BT156" s="644"/>
      <c r="BU156" s="644"/>
      <c r="BV156" s="644"/>
      <c r="BW156" s="644"/>
      <c r="BX156" s="644"/>
      <c r="BY156" s="644"/>
      <c r="BZ156" s="224"/>
    </row>
    <row r="157" spans="1:78" s="4" customFormat="1" ht="14.4" x14ac:dyDescent="0.3">
      <c r="A157" s="150">
        <f>IF(ISBLANK(TAB_CS[[#This Row],[Reference]]),"",INDEX(TAB_Offres[ID],MATCH(TAB_CS[[#This Row],[Reference]],TAB_Offres[Reference],0)))</f>
        <v>156</v>
      </c>
      <c r="B157" s="154" t="s">
        <v>6055</v>
      </c>
      <c r="C157" s="605" t="s">
        <v>6069</v>
      </c>
      <c r="D157" s="150" t="str">
        <f>IF(ISBLANK(TAB_CS[[#This Row],[Reference]]),"",VLOOKUP(TAB_CS[[#This Row],[ID]],TAB_Offres[],2,FALSE))</f>
        <v>Lot 1</v>
      </c>
      <c r="E157" s="150" t="s">
        <v>5920</v>
      </c>
      <c r="F157" s="154">
        <f>_xlfn.IFNA(IF(ISBLANK(TAB_CS[[#This Row],[Reference]]),"",VLOOKUP(TAB_CS[[#This Row],[Reference]],TAB_Offres[[Reference]:[Modification Request]],COLUMNS(TAB_Offres[[Reference]:[Modification Request]]),FALSE)),)</f>
        <v>0</v>
      </c>
      <c r="G157" s="150" t="str">
        <f>IF(ISBLANK(TAB_CS[[#This Row],[Reference]]),"",INDEX(TAB_Offres[Institution/agency],MATCH(TAB_CS[[#This Row],[Reference]],TAB_Offres[Reference],0)))</f>
        <v>EC</v>
      </c>
      <c r="H157" s="150" t="str">
        <f>IF(ISBLANK(TAB_CS[[#This Row],[Reference]]),"",INDEX(TAB_Offres[DG],MATCH(TAB_CS[[#This Row],[Reference]],TAB_Offres[Reference],0)))</f>
        <v>SANTE</v>
      </c>
      <c r="I157" s="4" t="str">
        <f>IF(ISBLANK(TAB_CS[[#This Row],[Reference]]),"",INDEX(TAB_Offres[Offer description],MATCH(TAB_CS[[#This Row],[Reference]],TAB_Offres[Reference],0)))</f>
        <v>Back-End Developer (BED)</v>
      </c>
      <c r="J157" s="204">
        <f>_xlfn.IFNA(IF(ISBLANK(TAB_CS[[#This Row],[Ressource]]),,VLOOKUP(TAB_CS[[#This Row],[Reference]],TAB_Offres[[Reference]:[CS signature date]],COLUMNS(TAB_Offres[[Reference]:[CS signature date]]),FALSE)),"")</f>
        <v>45540</v>
      </c>
      <c r="K157" s="204">
        <f>_xlfn.IFNA(IF(ISBLANK(TAB_CS[[#This Row],[Ressource]]),,VLOOKUP(TAB_CS[[#This Row],[Reference]],TAB_Offres[[Reference]:[CS start date]],COLUMNS(TAB_Offres[[Reference]:[CS start date]]),FALSE)),"")</f>
        <v>45541</v>
      </c>
      <c r="L157" s="204">
        <f>_xlfn.IFNA(IF(ISBLANK(TAB_CS[[#This Row],[Ressource]]),,VLOOKUP(TAB_CS[[#This Row],[Reference]],TAB_Offres[[Reference]:[CS end date]],COLUMNS(TAB_Offres[[Reference]:[CS end date]]),FALSE)),"")</f>
        <v>46022</v>
      </c>
      <c r="M157" s="150">
        <f>_xlfn.IFNA(IF(ISBLANK(TAB_CS[[#This Row],[Ressource]]),,VLOOKUP(TAB_CS[[#This Row],[Reference]],TAB_Offres[[Reference]:[CS State]],COLUMNS(TAB_Offres[[Reference]:[CS State]]),FALSE)),"")</f>
        <v>0</v>
      </c>
      <c r="N157" s="154" t="str">
        <f>VLOOKUP(TAB_CS[[#This Row],[Reference]],TAB_Offres[[Reference]:[Ressource 1]],25,FALSE)</f>
        <v>ROSALES, Airy</v>
      </c>
      <c r="O157" s="150" t="str">
        <f>_xlfn.IFNA(IF(ISBLANK(TAB_CS[[#This Row],[Ressource]]),,VLOOKUP(TAB_CS[[#This Row],[Reference]],TAB_Offres[[Reference]:[Company]],COLUMNS(TAB_Offres[[Reference]:[Company]]),FALSE)),"")</f>
        <v>EDDA</v>
      </c>
      <c r="P157" s="150" t="str">
        <f>_xlfn.CONCAT(TAB_CS[[#This Row],[Ressource]],TAB_CS[[#This Row],[Profile in €]])</f>
        <v>ROSALES, Airy693,61</v>
      </c>
      <c r="Q157" s="150" t="str">
        <f>_xlfn.CONCAT(TAB_CS[[#This Row],[Company]],TAB_CS[[#This Row],[Business perimeter]])</f>
        <v>EDDANB</v>
      </c>
      <c r="R157" s="150" t="str">
        <f>_xlfn.IFNA(IF(ISBLANK(TAB_CS[[#This Row],[Ressource]]),"",VLOOKUP(TAB_CS[[#This Row],[Reference]],TAB_Offres[[Reference]:[Profile]],COLUMNS(TAB_Offres[[Reference]:[Profile]]),FALSE)),"")</f>
        <v>Back-end developer#R1</v>
      </c>
      <c r="S157" s="150">
        <f>_xlfn.IFNA(IF(ISBLANK(TAB_CS[[#This Row],[Ressource]]),"",VLOOKUP(TAB_CS[[#This Row],[Reference]],TAB_Offres[[Reference]:[Level]],COLUMNS(TAB_Offres[[Reference]:[Level]]),FALSE)),"")</f>
        <v>10</v>
      </c>
      <c r="T157" s="156">
        <f>_xlfn.IFNA(IF(OR(ISBLANK(TAB_CS[[#This Row],[Level]]),TAB_CS[[#This Row],[Level]]=""),,VLOOKUP(TAB_CS[[#This Row],[Profile]],TAB_prix[],2+TAB_CS[[#This Row],[Level]],FALSE)),)</f>
        <v>693.61</v>
      </c>
      <c r="U157" s="151">
        <v>220</v>
      </c>
      <c r="V157" s="205">
        <f>IF(OR(ISBLANK(TAB_CS[[#This Row],[Commited days]]),TAB_CS[[#This Row],[Commited days]]=0),,TAB_CS[[#This Row],[Commited days]]*TAB_CS[[#This Row],[Profile in €]])</f>
        <v>152594.20000000001</v>
      </c>
      <c r="W157" s="156">
        <f>SUM(TAB_CS[[#This Row],[F]:[P+1]])-TAB_CS[[#This Row],[P+1]]</f>
        <v>50.5</v>
      </c>
      <c r="X157" s="205">
        <f>IF(OR(ISBLANK(TAB_CS[[#This Row],[Producted days]]),TAB_CS[[#This Row],[Producted days]]=0),,TAB_CS[[#This Row],[Producted days]]*TAB_CS[[#This Row],[Profile in €]])</f>
        <v>35027.305</v>
      </c>
      <c r="Y157" s="206">
        <f>TAB_CS[[#This Row],[Commited days]]-TAB_CS[[#This Row],[Producted days]]</f>
        <v>169.5</v>
      </c>
      <c r="Z157" s="205">
        <f>IF(OR(ISBLANK(TAB_CS[[#This Row],[Remaining days]]),TAB_CS[[#This Row],[Remaining days]]=0),,TAB_CS[[#This Row],[Remaining days]]*TAB_CS[[#This Row],[Profile in €]])</f>
        <v>117566.895</v>
      </c>
      <c r="AA157" s="207"/>
      <c r="AB157" s="208">
        <f>IF(OR(ISBLANK(TAB_CS[[#This Row],[Expected days]]),TAB_CS[[#This Row],[Expected days]]=0),,TAB_CS[[#This Row],[Expected days]]*TAB_CS[[#This Row],[Profile in €]])</f>
        <v>0</v>
      </c>
      <c r="AC157" s="322" t="str">
        <f>CONCATENATE(TAB_CS[[#This Row],[DG]],TAB_CS[[#This Row],[Company]])</f>
        <v>SANTEEDDA</v>
      </c>
      <c r="AD157" s="209"/>
      <c r="AE157" s="150"/>
      <c r="AF157" s="151"/>
      <c r="AG157" s="151"/>
      <c r="AH157" s="151"/>
      <c r="AI157" s="150"/>
      <c r="AJ157" s="151"/>
      <c r="AK157" s="156"/>
      <c r="AL157" s="156"/>
      <c r="AM157" s="150"/>
      <c r="AN157" s="150"/>
      <c r="AO157" s="150"/>
      <c r="AP157" s="150"/>
      <c r="AQ157" s="150"/>
      <c r="AR157" s="150"/>
      <c r="AS157" s="150"/>
      <c r="AT157" s="156"/>
      <c r="AU157" s="156"/>
      <c r="AV157" s="171"/>
      <c r="AW157" s="171"/>
      <c r="AX157" s="171"/>
      <c r="AY157" s="171"/>
      <c r="AZ157" s="171"/>
      <c r="BA157" s="171"/>
      <c r="BB157" s="171"/>
      <c r="BC157" s="171"/>
      <c r="BD157" s="171"/>
      <c r="BE157" s="171"/>
      <c r="BF157" s="171"/>
      <c r="BG157" s="171"/>
      <c r="BH157" s="171"/>
      <c r="BI157" s="323"/>
      <c r="BJ157" s="291">
        <v>14.5</v>
      </c>
      <c r="BK157" s="171">
        <v>18</v>
      </c>
      <c r="BL157" s="171">
        <v>18</v>
      </c>
      <c r="BM157" s="323"/>
      <c r="BN157" s="171">
        <v>18</v>
      </c>
      <c r="BO157" s="171">
        <v>18</v>
      </c>
      <c r="BP157" s="171">
        <v>18</v>
      </c>
      <c r="BQ157" s="171">
        <v>18</v>
      </c>
      <c r="BR157" s="171">
        <v>18</v>
      </c>
      <c r="BS157" s="171">
        <v>18</v>
      </c>
      <c r="BT157" s="171">
        <v>18</v>
      </c>
      <c r="BU157" s="171">
        <v>18</v>
      </c>
      <c r="BV157" s="171">
        <v>18</v>
      </c>
      <c r="BW157" s="171">
        <v>13.5</v>
      </c>
      <c r="BX157" s="171"/>
      <c r="BY157" s="171"/>
      <c r="BZ157" s="224"/>
    </row>
    <row r="158" spans="1:78" s="4" customFormat="1" ht="14.4" x14ac:dyDescent="0.3">
      <c r="A158" s="150">
        <f>IF(ISBLANK(TAB_CS[[#This Row],[Reference]]),"",INDEX(TAB_Offres[ID],MATCH(TAB_CS[[#This Row],[Reference]],TAB_Offres[Reference],0)))</f>
        <v>159</v>
      </c>
      <c r="B158" s="154" t="s">
        <v>6082</v>
      </c>
      <c r="C158" s="605" t="s">
        <v>6085</v>
      </c>
      <c r="D158" s="150" t="str">
        <f>IF(ISBLANK(TAB_CS[[#This Row],[Reference]]),"",VLOOKUP(TAB_CS[[#This Row],[ID]],TAB_Offres[],2,FALSE))</f>
        <v>Lot 3</v>
      </c>
      <c r="E158" s="150" t="s">
        <v>5920</v>
      </c>
      <c r="F158" s="154">
        <f>_xlfn.IFNA(IF(ISBLANK(TAB_CS[[#This Row],[Reference]]),"",VLOOKUP(TAB_CS[[#This Row],[Reference]],TAB_Offres[[Reference]:[Modification Request]],COLUMNS(TAB_Offres[[Reference]:[Modification Request]]),FALSE)),)</f>
        <v>0</v>
      </c>
      <c r="G158" s="150" t="str">
        <f>IF(ISBLANK(TAB_CS[[#This Row],[Reference]]),"",INDEX(TAB_Offres[Institution/agency],MATCH(TAB_CS[[#This Row],[Reference]],TAB_Offres[Reference],0)))</f>
        <v>EC</v>
      </c>
      <c r="H158" s="150" t="str">
        <f>IF(ISBLANK(TAB_CS[[#This Row],[Reference]]),"",INDEX(TAB_Offres[DG],MATCH(TAB_CS[[#This Row],[Reference]],TAB_Offres[Reference],0)))</f>
        <v>RTD</v>
      </c>
      <c r="I158" s="4" t="str">
        <f>IF(ISBLANK(TAB_CS[[#This Row],[Reference]]),"",INDEX(TAB_Offres[Offer description],MATCH(TAB_CS[[#This Row],[Reference]],TAB_Offres[Reference],0)))</f>
        <v>Expert in AI/ NLP/ ML (AI/NLP/ML)</v>
      </c>
      <c r="J158" s="204">
        <f>_xlfn.IFNA(IF(ISBLANK(TAB_CS[[#This Row],[Ressource]]),,VLOOKUP(TAB_CS[[#This Row],[Reference]],TAB_Offres[[Reference]:[CS signature date]],COLUMNS(TAB_Offres[[Reference]:[CS signature date]]),FALSE)),"")</f>
        <v>45560</v>
      </c>
      <c r="K158" s="204">
        <f>_xlfn.IFNA(IF(ISBLANK(TAB_CS[[#This Row],[Ressource]]),,VLOOKUP(TAB_CS[[#This Row],[Reference]],TAB_Offres[[Reference]:[CS start date]],COLUMNS(TAB_Offres[[Reference]:[CS start date]]),FALSE)),"")</f>
        <v>45560</v>
      </c>
      <c r="L158" s="204">
        <f>_xlfn.IFNA(IF(ISBLANK(TAB_CS[[#This Row],[Ressource]]),,VLOOKUP(TAB_CS[[#This Row],[Reference]],TAB_Offres[[Reference]:[CS end date]],COLUMNS(TAB_Offres[[Reference]:[CS end date]]),FALSE)),"")</f>
        <v>45961</v>
      </c>
      <c r="M158" s="150">
        <f>_xlfn.IFNA(IF(ISBLANK(TAB_CS[[#This Row],[Ressource]]),,VLOOKUP(TAB_CS[[#This Row],[Reference]],TAB_Offres[[Reference]:[CS State]],COLUMNS(TAB_Offres[[Reference]:[CS State]]),FALSE)),"")</f>
        <v>0</v>
      </c>
      <c r="N158" s="154" t="str">
        <f>VLOOKUP(TAB_CS[[#This Row],[Reference]],TAB_Offres[[Reference]:[Ressource 1]],25,FALSE)</f>
        <v>QUINTANILHA RAMOS Cleber</v>
      </c>
      <c r="O158" s="150" t="str">
        <f>_xlfn.IFNA(IF(ISBLANK(TAB_CS[[#This Row],[Ressource]]),,VLOOKUP(TAB_CS[[#This Row],[Reference]],TAB_Offres[[Reference]:[Company]],COLUMNS(TAB_Offres[[Reference]:[Company]]),FALSE)),"")</f>
        <v>TALAN</v>
      </c>
      <c r="P158" s="150" t="str">
        <f>_xlfn.CONCAT(TAB_CS[[#This Row],[Ressource]],TAB_CS[[#This Row],[Profile in €]])</f>
        <v>QUINTANILHA RAMOS Cleber668,39</v>
      </c>
      <c r="Q158" s="150" t="str">
        <f>_xlfn.CONCAT(TAB_CS[[#This Row],[Company]],TAB_CS[[#This Row],[Business perimeter]])</f>
        <v>TALANNB</v>
      </c>
      <c r="R158" s="150" t="str">
        <f>_xlfn.IFNA(IF(ISBLANK(TAB_CS[[#This Row],[Ressource]]),"",VLOOKUP(TAB_CS[[#This Row],[Reference]],TAB_Offres[[Reference]:[Profile]],COLUMNS(TAB_Offres[[Reference]:[Profile]]),FALSE)),"")</f>
        <v>Expert in AI/ NLP/ ML#R1</v>
      </c>
      <c r="S158" s="150">
        <f>_xlfn.IFNA(IF(ISBLANK(TAB_CS[[#This Row],[Ressource]]),"",VLOOKUP(TAB_CS[[#This Row],[Reference]],TAB_Offres[[Reference]:[Level]],COLUMNS(TAB_Offres[[Reference]:[Level]]),FALSE)),"")</f>
        <v>8</v>
      </c>
      <c r="T158" s="156">
        <f>_xlfn.IFNA(IF(OR(ISBLANK(TAB_CS[[#This Row],[Level]]),TAB_CS[[#This Row],[Level]]=""),,VLOOKUP(TAB_CS[[#This Row],[Profile]],TAB_prix[],2+TAB_CS[[#This Row],[Level]],FALSE)),)</f>
        <v>668.39</v>
      </c>
      <c r="U158" s="151">
        <v>180</v>
      </c>
      <c r="V158" s="205">
        <f>IF(OR(ISBLANK(TAB_CS[[#This Row],[Commited days]]),TAB_CS[[#This Row],[Commited days]]=0),,TAB_CS[[#This Row],[Commited days]]*TAB_CS[[#This Row],[Profile in €]])</f>
        <v>120310.2</v>
      </c>
      <c r="W158" s="156">
        <f>SUM(TAB_CS[[#This Row],[F]:[P+1]])-TAB_CS[[#This Row],[P+1]]</f>
        <v>53.5</v>
      </c>
      <c r="X158" s="205">
        <f>IF(OR(ISBLANK(TAB_CS[[#This Row],[Producted days]]),TAB_CS[[#This Row],[Producted days]]=0),,TAB_CS[[#This Row],[Producted days]]*TAB_CS[[#This Row],[Profile in €]])</f>
        <v>35758.864999999998</v>
      </c>
      <c r="Y158" s="206">
        <f>TAB_CS[[#This Row],[Commited days]]-TAB_CS[[#This Row],[Producted days]]</f>
        <v>126.5</v>
      </c>
      <c r="Z158" s="205">
        <f>IF(OR(ISBLANK(TAB_CS[[#This Row],[Remaining days]]),TAB_CS[[#This Row],[Remaining days]]=0),,TAB_CS[[#This Row],[Remaining days]]*TAB_CS[[#This Row],[Profile in €]])</f>
        <v>84551.334999999992</v>
      </c>
      <c r="AA158" s="207"/>
      <c r="AB158" s="208">
        <f>IF(OR(ISBLANK(TAB_CS[[#This Row],[Expected days]]),TAB_CS[[#This Row],[Expected days]]=0),,TAB_CS[[#This Row],[Expected days]]*TAB_CS[[#This Row],[Profile in €]])</f>
        <v>0</v>
      </c>
      <c r="AC158" s="322" t="str">
        <f>CONCATENATE(TAB_CS[[#This Row],[DG]],TAB_CS[[#This Row],[Company]])</f>
        <v>RTDTALAN</v>
      </c>
      <c r="AD158" s="209"/>
      <c r="AE158" s="150"/>
      <c r="AF158" s="151"/>
      <c r="AG158" s="151"/>
      <c r="AH158" s="151"/>
      <c r="AI158" s="150"/>
      <c r="AJ158" s="151"/>
      <c r="AK158" s="156"/>
      <c r="AL158" s="156"/>
      <c r="AM158" s="150"/>
      <c r="AN158" s="150"/>
      <c r="AO158" s="150"/>
      <c r="AP158" s="150"/>
      <c r="AQ158" s="150"/>
      <c r="AR158" s="150"/>
      <c r="AS158" s="150"/>
      <c r="AT158" s="156"/>
      <c r="AU158" s="156"/>
      <c r="AV158" s="171"/>
      <c r="AW158" s="171"/>
      <c r="AX158" s="171"/>
      <c r="AY158" s="171"/>
      <c r="AZ158" s="171"/>
      <c r="BA158" s="171"/>
      <c r="BB158" s="171"/>
      <c r="BC158" s="171"/>
      <c r="BD158" s="171"/>
      <c r="BE158" s="171"/>
      <c r="BF158" s="171"/>
      <c r="BG158" s="171"/>
      <c r="BH158" s="171"/>
      <c r="BI158" s="323"/>
      <c r="BJ158" s="291">
        <v>17.5</v>
      </c>
      <c r="BK158" s="171">
        <v>18</v>
      </c>
      <c r="BL158" s="171">
        <v>18</v>
      </c>
      <c r="BM158" s="323"/>
      <c r="BN158" s="171">
        <v>18</v>
      </c>
      <c r="BO158" s="171">
        <v>18</v>
      </c>
      <c r="BP158" s="171">
        <v>18</v>
      </c>
      <c r="BQ158" s="171">
        <v>18</v>
      </c>
      <c r="BR158" s="171">
        <v>18</v>
      </c>
      <c r="BS158" s="171">
        <v>18</v>
      </c>
      <c r="BT158" s="171">
        <v>18</v>
      </c>
      <c r="BU158" s="171">
        <v>0.5</v>
      </c>
      <c r="BV158" s="171"/>
      <c r="BW158" s="171"/>
      <c r="BX158" s="644"/>
      <c r="BY158" s="644"/>
      <c r="BZ158" s="224"/>
    </row>
    <row r="159" spans="1:78" s="4" customFormat="1" ht="14.4" x14ac:dyDescent="0.3">
      <c r="A159" s="150">
        <f>IF(ISBLANK(TAB_CS[[#This Row],[Reference]]),"",INDEX(TAB_Offres[ID],MATCH(TAB_CS[[#This Row],[Reference]],TAB_Offres[Reference],0)))</f>
        <v>160</v>
      </c>
      <c r="B159" s="154" t="s">
        <v>6086</v>
      </c>
      <c r="C159" s="605" t="s">
        <v>6088</v>
      </c>
      <c r="D159" s="150" t="str">
        <f>IF(ISBLANK(TAB_CS[[#This Row],[Reference]]),"",VLOOKUP(TAB_CS[[#This Row],[ID]],TAB_Offres[],2,FALSE))</f>
        <v>Lot 3</v>
      </c>
      <c r="E159" s="150" t="s">
        <v>5920</v>
      </c>
      <c r="F159" s="154">
        <f>_xlfn.IFNA(IF(ISBLANK(TAB_CS[[#This Row],[Reference]]),"",VLOOKUP(TAB_CS[[#This Row],[Reference]],TAB_Offres[[Reference]:[Modification Request]],COLUMNS(TAB_Offres[[Reference]:[Modification Request]]),FALSE)),)</f>
        <v>0</v>
      </c>
      <c r="G159" s="1" t="str">
        <f>IF(ISBLANK(TAB_CS[[#This Row],[Reference]]),"",INDEX(TAB_Offres[Institution/agency],MATCH(TAB_CS[[#This Row],[Reference]],TAB_Offres[Reference],0)))</f>
        <v>EC</v>
      </c>
      <c r="H159" s="1" t="str">
        <f>IF(ISBLANK(TAB_CS[[#This Row],[Reference]]),"",INDEX(TAB_Offres[DG],MATCH(TAB_CS[[#This Row],[Reference]],TAB_Offres[Reference],0)))</f>
        <v>EMPL</v>
      </c>
      <c r="I159" s="4" t="str">
        <f>IF(ISBLANK(TAB_CS[[#This Row],[Reference]]),"",INDEX(TAB_Offres[Offer description],MATCH(TAB_CS[[#This Row],[Reference]],TAB_Offres[Reference],0)))</f>
        <v>Onboarding Manager (OM)</v>
      </c>
      <c r="J159" s="204">
        <f>_xlfn.IFNA(IF(ISBLANK(TAB_CS[[#This Row],[Ressource]]),,VLOOKUP(TAB_CS[[#This Row],[Reference]],TAB_Offres[[Reference]:[CS signature date]],COLUMNS(TAB_Offres[[Reference]:[CS signature date]]),FALSE)),"")</f>
        <v>45561</v>
      </c>
      <c r="K159" s="204">
        <f>_xlfn.IFNA(IF(ISBLANK(TAB_CS[[#This Row],[Ressource]]),,VLOOKUP(TAB_CS[[#This Row],[Reference]],TAB_Offres[[Reference]:[CS start date]],COLUMNS(TAB_Offres[[Reference]:[CS start date]]),FALSE)),"")</f>
        <v>45562</v>
      </c>
      <c r="L159" s="204">
        <f>_xlfn.IFNA(IF(ISBLANK(TAB_CS[[#This Row],[Ressource]]),,VLOOKUP(TAB_CS[[#This Row],[Reference]],TAB_Offres[[Reference]:[CS end date]],COLUMNS(TAB_Offres[[Reference]:[CS end date]]),FALSE)),"")</f>
        <v>45900</v>
      </c>
      <c r="M159" s="150">
        <f>_xlfn.IFNA(IF(ISBLANK(TAB_CS[[#This Row],[Ressource]]),,VLOOKUP(TAB_CS[[#This Row],[Reference]],TAB_Offres[[Reference]:[CS State]],COLUMNS(TAB_Offres[[Reference]:[CS State]]),FALSE)),"")</f>
        <v>0</v>
      </c>
      <c r="N159" s="154" t="str">
        <f>VLOOKUP(TAB_CS[[#This Row],[Reference]],TAB_Offres[[Reference]:[Ressource 1]],25,FALSE)</f>
        <v>MUNTEANU Gabriela Alina</v>
      </c>
      <c r="O159" s="150" t="str">
        <f>_xlfn.IFNA(IF(ISBLANK(TAB_CS[[#This Row],[Ressource]]),,VLOOKUP(TAB_CS[[#This Row],[Reference]],TAB_Offres[[Reference]:[Company]],COLUMNS(TAB_Offres[[Reference]:[Company]]),FALSE)),"")</f>
        <v>CGI LUX</v>
      </c>
      <c r="P159" s="150" t="str">
        <f>_xlfn.CONCAT(TAB_CS[[#This Row],[Ressource]],TAB_CS[[#This Row],[Profile in €]])</f>
        <v>MUNTEANU Gabriela Alina910,99</v>
      </c>
      <c r="Q159" s="150" t="str">
        <f>_xlfn.CONCAT(TAB_CS[[#This Row],[Company]],TAB_CS[[#This Row],[Business perimeter]])</f>
        <v>CGI LUXNB</v>
      </c>
      <c r="R159" s="150" t="str">
        <f>_xlfn.IFNA(IF(ISBLANK(TAB_CS[[#This Row],[Ressource]]),"",VLOOKUP(TAB_CS[[#This Row],[Reference]],TAB_Offres[[Reference]:[Profile]],COLUMNS(TAB_Offres[[Reference]:[Profile]]),FALSE)),"")</f>
        <v>Onboarding manager#R1</v>
      </c>
      <c r="S159" s="1">
        <f>_xlfn.IFNA(IF(ISBLANK(TAB_CS[[#This Row],[Ressource]]),"",VLOOKUP(TAB_CS[[#This Row],[Reference]],TAB_Offres[[Reference]:[Level]],COLUMNS(TAB_Offres[[Reference]:[Level]]),FALSE)),"")</f>
        <v>10</v>
      </c>
      <c r="T159" s="156">
        <f>_xlfn.IFNA(IF(OR(ISBLANK(TAB_CS[[#This Row],[Level]]),TAB_CS[[#This Row],[Level]]=""),,VLOOKUP(TAB_CS[[#This Row],[Profile]],TAB_prix[],2+TAB_CS[[#This Row],[Level]],FALSE)),)</f>
        <v>910.99</v>
      </c>
      <c r="U159" s="151">
        <v>135.5</v>
      </c>
      <c r="V159" s="205">
        <f>IF(OR(ISBLANK(TAB_CS[[#This Row],[Commited days]]),TAB_CS[[#This Row],[Commited days]]=0),,TAB_CS[[#This Row],[Commited days]]*TAB_CS[[#This Row],[Profile in €]])</f>
        <v>123439.145</v>
      </c>
      <c r="W159" s="156">
        <f>SUM(TAB_CS[[#This Row],[F]:[P+1]])-TAB_CS[[#This Row],[P+1]]</f>
        <v>54.5</v>
      </c>
      <c r="X159" s="205">
        <f>IF(OR(ISBLANK(TAB_CS[[#This Row],[Producted days]]),TAB_CS[[#This Row],[Producted days]]=0),,TAB_CS[[#This Row],[Producted days]]*TAB_CS[[#This Row],[Profile in €]])</f>
        <v>49648.955000000002</v>
      </c>
      <c r="Y159" s="206">
        <f>TAB_CS[[#This Row],[Commited days]]-TAB_CS[[#This Row],[Producted days]]</f>
        <v>81</v>
      </c>
      <c r="Z159" s="205">
        <f>IF(OR(ISBLANK(TAB_CS[[#This Row],[Remaining days]]),TAB_CS[[#This Row],[Remaining days]]=0),,TAB_CS[[#This Row],[Remaining days]]*TAB_CS[[#This Row],[Profile in €]])</f>
        <v>73790.19</v>
      </c>
      <c r="AA159" s="207"/>
      <c r="AB159" s="208">
        <f>IF(OR(ISBLANK(TAB_CS[[#This Row],[Expected days]]),TAB_CS[[#This Row],[Expected days]]=0),,TAB_CS[[#This Row],[Expected days]]*TAB_CS[[#This Row],[Profile in €]])</f>
        <v>0</v>
      </c>
      <c r="AC159" s="322" t="str">
        <f>CONCATENATE(TAB_CS[[#This Row],[DG]],TAB_CS[[#This Row],[Company]])</f>
        <v>EMPLCGI LUX</v>
      </c>
      <c r="AD159" s="209"/>
      <c r="AE159" s="150"/>
      <c r="AF159" s="151"/>
      <c r="AG159" s="151"/>
      <c r="AH159" s="13"/>
      <c r="AI159" s="1"/>
      <c r="AJ159" s="13"/>
      <c r="AK159" s="127"/>
      <c r="AL159" s="127"/>
      <c r="AM159" s="1"/>
      <c r="AN159" s="1"/>
      <c r="AO159" s="1"/>
      <c r="AP159" s="1"/>
      <c r="AQ159" s="1"/>
      <c r="AR159" s="1"/>
      <c r="AS159" s="1"/>
      <c r="AT159" s="127"/>
      <c r="AU159" s="127"/>
      <c r="AV159" s="609"/>
      <c r="AW159" s="609"/>
      <c r="AX159" s="609"/>
      <c r="AY159" s="609"/>
      <c r="AZ159" s="609"/>
      <c r="BA159" s="171"/>
      <c r="BB159" s="171"/>
      <c r="BC159" s="171"/>
      <c r="BD159" s="171"/>
      <c r="BE159" s="171"/>
      <c r="BF159" s="171"/>
      <c r="BG159" s="171"/>
      <c r="BH159" s="171"/>
      <c r="BI159" s="323"/>
      <c r="BJ159" s="291">
        <v>18.5</v>
      </c>
      <c r="BK159" s="171">
        <v>18</v>
      </c>
      <c r="BL159" s="171">
        <v>18</v>
      </c>
      <c r="BM159" s="323"/>
      <c r="BN159" s="171">
        <v>18</v>
      </c>
      <c r="BO159" s="171">
        <v>18</v>
      </c>
      <c r="BP159" s="171">
        <v>18</v>
      </c>
      <c r="BQ159" s="171">
        <v>18</v>
      </c>
      <c r="BR159" s="171">
        <v>9</v>
      </c>
      <c r="BS159" s="171"/>
      <c r="BT159" s="171"/>
      <c r="BU159" s="171"/>
      <c r="BV159" s="644"/>
      <c r="BW159" s="644"/>
      <c r="BX159" s="644"/>
      <c r="BY159" s="644"/>
      <c r="BZ159" s="224"/>
    </row>
    <row r="160" spans="1:78" s="4" customFormat="1" ht="14.4" x14ac:dyDescent="0.3">
      <c r="A160" s="150">
        <f>IF(ISBLANK(TAB_CS[[#This Row],[Reference]]),"",INDEX(TAB_Offres[ID],MATCH(TAB_CS[[#This Row],[Reference]],TAB_Offres[Reference],0)))</f>
        <v>161</v>
      </c>
      <c r="B160" s="154" t="s">
        <v>6089</v>
      </c>
      <c r="C160" s="605" t="s">
        <v>6090</v>
      </c>
      <c r="D160" s="150" t="str">
        <f>IF(ISBLANK(TAB_CS[[#This Row],[Reference]]),"",VLOOKUP(TAB_CS[[#This Row],[ID]],TAB_Offres[],2,FALSE))</f>
        <v>Lot 2</v>
      </c>
      <c r="E160" s="150" t="s">
        <v>5920</v>
      </c>
      <c r="F160" s="154">
        <f>_xlfn.IFNA(IF(ISBLANK(TAB_CS[[#This Row],[Reference]]),"",VLOOKUP(TAB_CS[[#This Row],[Reference]],TAB_Offres[[Reference]:[Modification Request]],COLUMNS(TAB_Offres[[Reference]:[Modification Request]]),FALSE)),)</f>
        <v>0</v>
      </c>
      <c r="G160" s="1" t="str">
        <f>IF(ISBLANK(TAB_CS[[#This Row],[Reference]]),"",INDEX(TAB_Offres[Institution/agency],MATCH(TAB_CS[[#This Row],[Reference]],TAB_Offres[Reference],0)))</f>
        <v>EC</v>
      </c>
      <c r="H160" s="1" t="str">
        <f>IF(ISBLANK(TAB_CS[[#This Row],[Reference]]),"",INDEX(TAB_Offres[DG],MATCH(TAB_CS[[#This Row],[Reference]],TAB_Offres[Reference],0)))</f>
        <v>DIGIT.A.2</v>
      </c>
      <c r="I160" s="4" t="str">
        <f>IF(ISBLANK(TAB_CS[[#This Row],[Reference]]),"",INDEX(TAB_Offres[Offer description],MATCH(TAB_CS[[#This Row],[Reference]],TAB_Offres[Reference],0)))</f>
        <v>Project Manager</v>
      </c>
      <c r="J160" s="204">
        <f>_xlfn.IFNA(IF(ISBLANK(TAB_CS[[#This Row],[Ressource]]),,VLOOKUP(TAB_CS[[#This Row],[Reference]],TAB_Offres[[Reference]:[CS signature date]],COLUMNS(TAB_Offres[[Reference]:[CS signature date]]),FALSE)),"")</f>
        <v>45565</v>
      </c>
      <c r="K160" s="204">
        <f>_xlfn.IFNA(IF(ISBLANK(TAB_CS[[#This Row],[Ressource]]),,VLOOKUP(TAB_CS[[#This Row],[Reference]],TAB_Offres[[Reference]:[CS start date]],COLUMNS(TAB_Offres[[Reference]:[CS start date]]),FALSE)),"")</f>
        <v>45565</v>
      </c>
      <c r="L160" s="204">
        <f>_xlfn.IFNA(IF(ISBLANK(TAB_CS[[#This Row],[Ressource]]),,VLOOKUP(TAB_CS[[#This Row],[Reference]],TAB_Offres[[Reference]:[CS end date]],COLUMNS(TAB_Offres[[Reference]:[CS end date]]),FALSE)),"")</f>
        <v>45930</v>
      </c>
      <c r="M160" s="150">
        <f>_xlfn.IFNA(IF(ISBLANK(TAB_CS[[#This Row],[Ressource]]),,VLOOKUP(TAB_CS[[#This Row],[Reference]],TAB_Offres[[Reference]:[CS State]],COLUMNS(TAB_Offres[[Reference]:[CS State]]),FALSE)),"")</f>
        <v>0</v>
      </c>
      <c r="N160" s="154" t="str">
        <f>VLOOKUP(TAB_CS[[#This Row],[Reference]],TAB_Offres[[Reference]:[Ressource 1]],25,FALSE)</f>
        <v>OLLINGER, Yannick</v>
      </c>
      <c r="O160" s="150" t="str">
        <f>_xlfn.IFNA(IF(ISBLANK(TAB_CS[[#This Row],[Ressource]]),,VLOOKUP(TAB_CS[[#This Row],[Reference]],TAB_Offres[[Reference]:[Company]],COLUMNS(TAB_Offres[[Reference]:[Company]]),FALSE)),"")</f>
        <v>CGI LUX</v>
      </c>
      <c r="P160" s="150" t="str">
        <f>_xlfn.CONCAT(TAB_CS[[#This Row],[Ressource]],TAB_CS[[#This Row],[Profile in €]])</f>
        <v>OLLINGER, Yannick793,34</v>
      </c>
      <c r="Q160" s="150" t="str">
        <f>_xlfn.CONCAT(TAB_CS[[#This Row],[Company]],TAB_CS[[#This Row],[Business perimeter]])</f>
        <v>CGI LUXNB</v>
      </c>
      <c r="R160" s="150" t="str">
        <f>_xlfn.IFNA(IF(ISBLANK(TAB_CS[[#This Row],[Ressource]]),"",VLOOKUP(TAB_CS[[#This Row],[Reference]],TAB_Offres[[Reference]:[Profile]],COLUMNS(TAB_Offres[[Reference]:[Profile]]),FALSE)),"")</f>
        <v>Project Manager#R1</v>
      </c>
      <c r="S160" s="1">
        <f>_xlfn.IFNA(IF(ISBLANK(TAB_CS[[#This Row],[Ressource]]),"",VLOOKUP(TAB_CS[[#This Row],[Reference]],TAB_Offres[[Reference]:[Level]],COLUMNS(TAB_Offres[[Reference]:[Level]]),FALSE)),"")</f>
        <v>9</v>
      </c>
      <c r="T160" s="156">
        <f>_xlfn.IFNA(IF(OR(ISBLANK(TAB_CS[[#This Row],[Level]]),TAB_CS[[#This Row],[Level]]=""),,VLOOKUP(TAB_CS[[#This Row],[Profile]],TAB_prix[],2+TAB_CS[[#This Row],[Level]],FALSE)),)</f>
        <v>793.34</v>
      </c>
      <c r="U160" s="151">
        <v>110</v>
      </c>
      <c r="V160" s="205">
        <f>IF(OR(ISBLANK(TAB_CS[[#This Row],[Commited days]]),TAB_CS[[#This Row],[Commited days]]=0),,TAB_CS[[#This Row],[Commited days]]*TAB_CS[[#This Row],[Profile in €]])</f>
        <v>87267.400000000009</v>
      </c>
      <c r="W160" s="156">
        <f>SUM(TAB_CS[[#This Row],[F]:[P+1]])-TAB_CS[[#This Row],[P+1]]</f>
        <v>38.5</v>
      </c>
      <c r="X160" s="205">
        <f>IF(OR(ISBLANK(TAB_CS[[#This Row],[Producted days]]),TAB_CS[[#This Row],[Producted days]]=0),,TAB_CS[[#This Row],[Producted days]]*TAB_CS[[#This Row],[Profile in €]])</f>
        <v>30543.59</v>
      </c>
      <c r="Y160" s="206">
        <f>TAB_CS[[#This Row],[Commited days]]-TAB_CS[[#This Row],[Producted days]]</f>
        <v>71.5</v>
      </c>
      <c r="Z160" s="205">
        <f>IF(OR(ISBLANK(TAB_CS[[#This Row],[Remaining days]]),TAB_CS[[#This Row],[Remaining days]]=0),,TAB_CS[[#This Row],[Remaining days]]*TAB_CS[[#This Row],[Profile in €]])</f>
        <v>56723.810000000005</v>
      </c>
      <c r="AA160" s="207"/>
      <c r="AB160" s="208">
        <f>IF(OR(ISBLANK(TAB_CS[[#This Row],[Expected days]]),TAB_CS[[#This Row],[Expected days]]=0),,TAB_CS[[#This Row],[Expected days]]*TAB_CS[[#This Row],[Profile in €]])</f>
        <v>0</v>
      </c>
      <c r="AC160" s="322" t="str">
        <f>CONCATENATE(TAB_CS[[#This Row],[DG]],TAB_CS[[#This Row],[Company]])</f>
        <v>DIGIT.A.2CGI LUX</v>
      </c>
      <c r="AD160" s="209"/>
      <c r="AE160" s="150"/>
      <c r="AF160" s="151"/>
      <c r="AG160" s="151"/>
      <c r="AH160" s="13"/>
      <c r="AI160" s="1"/>
      <c r="AJ160" s="13"/>
      <c r="AK160" s="127"/>
      <c r="AL160" s="127"/>
      <c r="AM160" s="1"/>
      <c r="AN160" s="1"/>
      <c r="AO160" s="1"/>
      <c r="AP160" s="1"/>
      <c r="AQ160" s="1"/>
      <c r="AR160" s="1"/>
      <c r="AS160" s="1"/>
      <c r="AT160" s="127"/>
      <c r="AU160" s="127"/>
      <c r="AV160" s="609"/>
      <c r="AW160" s="609"/>
      <c r="AX160" s="609"/>
      <c r="AY160" s="609"/>
      <c r="AZ160" s="609"/>
      <c r="BA160" s="171"/>
      <c r="BB160" s="171"/>
      <c r="BC160" s="171"/>
      <c r="BD160" s="171"/>
      <c r="BE160" s="171"/>
      <c r="BF160" s="171"/>
      <c r="BG160" s="171"/>
      <c r="BH160" s="171"/>
      <c r="BI160" s="323"/>
      <c r="BJ160" s="291">
        <v>5</v>
      </c>
      <c r="BK160" s="171">
        <v>15.5</v>
      </c>
      <c r="BL160" s="171">
        <v>18</v>
      </c>
      <c r="BM160" s="323"/>
      <c r="BN160" s="171">
        <v>18</v>
      </c>
      <c r="BO160" s="171">
        <v>18</v>
      </c>
      <c r="BP160" s="171">
        <v>18</v>
      </c>
      <c r="BQ160" s="171">
        <v>18</v>
      </c>
      <c r="BR160" s="171">
        <v>4.5</v>
      </c>
      <c r="BS160" s="171"/>
      <c r="BT160" s="171"/>
      <c r="BU160" s="171"/>
      <c r="BV160" s="171"/>
      <c r="BW160" s="644"/>
      <c r="BX160" s="644"/>
      <c r="BY160" s="644"/>
      <c r="BZ160" s="224"/>
    </row>
    <row r="161" spans="1:78" s="4" customFormat="1" ht="14.4" x14ac:dyDescent="0.3">
      <c r="A161" s="150">
        <f>IF(ISBLANK(TAB_CS[[#This Row],[Reference]]),"",INDEX(TAB_Offres[ID],MATCH(TAB_CS[[#This Row],[Reference]],TAB_Offres[Reference],0)))</f>
        <v>162</v>
      </c>
      <c r="B161" s="154" t="s">
        <v>6091</v>
      </c>
      <c r="C161" s="605" t="s">
        <v>6092</v>
      </c>
      <c r="D161" s="150" t="str">
        <f>IF(ISBLANK(TAB_CS[[#This Row],[Reference]]),"",VLOOKUP(TAB_CS[[#This Row],[ID]],TAB_Offres[],2,FALSE))</f>
        <v>Lot 1</v>
      </c>
      <c r="E161" s="150" t="s">
        <v>5920</v>
      </c>
      <c r="F161" s="154">
        <f>_xlfn.IFNA(IF(ISBLANK(TAB_CS[[#This Row],[Reference]]),"",VLOOKUP(TAB_CS[[#This Row],[Reference]],TAB_Offres[[Reference]:[Modification Request]],COLUMNS(TAB_Offres[[Reference]:[Modification Request]]),FALSE)),)</f>
        <v>0</v>
      </c>
      <c r="G161" s="1" t="str">
        <f>IF(ISBLANK(TAB_CS[[#This Row],[Reference]]),"",INDEX(TAB_Offres[Institution/agency],MATCH(TAB_CS[[#This Row],[Reference]],TAB_Offres[Reference],0)))</f>
        <v>EC</v>
      </c>
      <c r="H161" s="1" t="str">
        <f>IF(ISBLANK(TAB_CS[[#This Row],[Reference]]),"",INDEX(TAB_Offres[DG],MATCH(TAB_CS[[#This Row],[Reference]],TAB_Offres[Reference],0)))</f>
        <v>ENV</v>
      </c>
      <c r="I161" s="4" t="str">
        <f>IF(ISBLANK(TAB_CS[[#This Row],[Reference]]),"",INDEX(TAB_Offres[Offer description],MATCH(TAB_CS[[#This Row],[Reference]],TAB_Offres[Reference],0)))</f>
        <v>Full-Stack Developer (FSD)</v>
      </c>
      <c r="J161" s="204">
        <f>_xlfn.IFNA(IF(ISBLANK(TAB_CS[[#This Row],[Ressource]]),,VLOOKUP(TAB_CS[[#This Row],[Reference]],TAB_Offres[[Reference]:[CS signature date]],COLUMNS(TAB_Offres[[Reference]:[CS signature date]]),FALSE)),"")</f>
        <v>45568</v>
      </c>
      <c r="K161" s="204">
        <f>_xlfn.IFNA(IF(ISBLANK(TAB_CS[[#This Row],[Ressource]]),,VLOOKUP(TAB_CS[[#This Row],[Reference]],TAB_Offres[[Reference]:[CS start date]],COLUMNS(TAB_Offres[[Reference]:[CS start date]]),FALSE)),"")</f>
        <v>45568</v>
      </c>
      <c r="L161" s="204">
        <f>_xlfn.IFNA(IF(ISBLANK(TAB_CS[[#This Row],[Ressource]]),,VLOOKUP(TAB_CS[[#This Row],[Reference]],TAB_Offres[[Reference]:[CS end date]],COLUMNS(TAB_Offres[[Reference]:[CS end date]]),FALSE)),"")</f>
        <v>45991</v>
      </c>
      <c r="M161" s="150">
        <f>_xlfn.IFNA(IF(ISBLANK(TAB_CS[[#This Row],[Ressource]]),,VLOOKUP(TAB_CS[[#This Row],[Reference]],TAB_Offres[[Reference]:[CS State]],COLUMNS(TAB_Offres[[Reference]:[CS State]]),FALSE)),"")</f>
        <v>0</v>
      </c>
      <c r="N161" s="154" t="str">
        <f>VLOOKUP(TAB_CS[[#This Row],[Reference]],TAB_Offres[[Reference]:[Ressource 1]],25,FALSE)</f>
        <v>TRINDADE-SALGUEIRO, Nuno</v>
      </c>
      <c r="O161" s="150" t="str">
        <f>_xlfn.IFNA(IF(ISBLANK(TAB_CS[[#This Row],[Ressource]]),,VLOOKUP(TAB_CS[[#This Row],[Reference]],TAB_Offres[[Reference]:[Company]],COLUMNS(TAB_Offres[[Reference]:[Company]]),FALSE)),"")</f>
        <v>CGI LUX</v>
      </c>
      <c r="P161" s="150" t="str">
        <f>_xlfn.CONCAT(TAB_CS[[#This Row],[Ressource]],TAB_CS[[#This Row],[Profile in €]])</f>
        <v>TRINDADE-SALGUEIRO, Nuno559</v>
      </c>
      <c r="Q161" s="150" t="str">
        <f>_xlfn.CONCAT(TAB_CS[[#This Row],[Company]],TAB_CS[[#This Row],[Business perimeter]])</f>
        <v>CGI LUXNB</v>
      </c>
      <c r="R161" s="150" t="str">
        <f>_xlfn.IFNA(IF(ISBLANK(TAB_CS[[#This Row],[Ressource]]),"",VLOOKUP(TAB_CS[[#This Row],[Reference]],TAB_Offres[[Reference]:[Profile]],COLUMNS(TAB_Offres[[Reference]:[Profile]]),FALSE)),"")</f>
        <v>Full-stack developer#R1-FAR</v>
      </c>
      <c r="S161" s="1">
        <f>_xlfn.IFNA(IF(ISBLANK(TAB_CS[[#This Row],[Ressource]]),"",VLOOKUP(TAB_CS[[#This Row],[Reference]],TAB_Offres[[Reference]:[Level]],COLUMNS(TAB_Offres[[Reference]:[Level]]),FALSE)),"")</f>
        <v>10</v>
      </c>
      <c r="T161" s="156">
        <f>_xlfn.IFNA(IF(OR(ISBLANK(TAB_CS[[#This Row],[Level]]),TAB_CS[[#This Row],[Level]]=""),,VLOOKUP(TAB_CS[[#This Row],[Profile]],TAB_prix[],2+TAB_CS[[#This Row],[Level]],FALSE)),)</f>
        <v>559</v>
      </c>
      <c r="U161" s="151">
        <v>190</v>
      </c>
      <c r="V161" s="205">
        <f>IF(OR(ISBLANK(TAB_CS[[#This Row],[Commited days]]),TAB_CS[[#This Row],[Commited days]]=0),,TAB_CS[[#This Row],[Commited days]]*TAB_CS[[#This Row],[Profile in €]])</f>
        <v>106210</v>
      </c>
      <c r="W161" s="156">
        <f>SUM(TAB_CS[[#This Row],[F]:[P+1]])-TAB_CS[[#This Row],[P+1]]</f>
        <v>49</v>
      </c>
      <c r="X161" s="205">
        <f>IF(OR(ISBLANK(TAB_CS[[#This Row],[Producted days]]),TAB_CS[[#This Row],[Producted days]]=0),,TAB_CS[[#This Row],[Producted days]]*TAB_CS[[#This Row],[Profile in €]])</f>
        <v>27391</v>
      </c>
      <c r="Y161" s="206">
        <f>TAB_CS[[#This Row],[Commited days]]-TAB_CS[[#This Row],[Producted days]]</f>
        <v>141</v>
      </c>
      <c r="Z161" s="205">
        <f>IF(OR(ISBLANK(TAB_CS[[#This Row],[Remaining days]]),TAB_CS[[#This Row],[Remaining days]]=0),,TAB_CS[[#This Row],[Remaining days]]*TAB_CS[[#This Row],[Profile in €]])</f>
        <v>78819</v>
      </c>
      <c r="AA161" s="207"/>
      <c r="AB161" s="208">
        <f>IF(OR(ISBLANK(TAB_CS[[#This Row],[Expected days]]),TAB_CS[[#This Row],[Expected days]]=0),,TAB_CS[[#This Row],[Expected days]]*TAB_CS[[#This Row],[Profile in €]])</f>
        <v>0</v>
      </c>
      <c r="AC161" s="322" t="str">
        <f>CONCATENATE(TAB_CS[[#This Row],[DG]],TAB_CS[[#This Row],[Company]])</f>
        <v>ENVCGI LUX</v>
      </c>
      <c r="AD161" s="209"/>
      <c r="AE161" s="150"/>
      <c r="AF161" s="151"/>
      <c r="AG161" s="151"/>
      <c r="AH161" s="13"/>
      <c r="AI161" s="1"/>
      <c r="AJ161" s="13"/>
      <c r="AK161" s="127"/>
      <c r="AL161" s="127"/>
      <c r="AM161" s="1"/>
      <c r="AN161" s="1"/>
      <c r="AO161" s="1"/>
      <c r="AP161" s="1"/>
      <c r="AQ161" s="1"/>
      <c r="AR161" s="1"/>
      <c r="AS161" s="1"/>
      <c r="AT161" s="127"/>
      <c r="AU161" s="127"/>
      <c r="AV161" s="609"/>
      <c r="AW161" s="609"/>
      <c r="AX161" s="609"/>
      <c r="AY161" s="609"/>
      <c r="AZ161" s="609"/>
      <c r="BA161" s="171"/>
      <c r="BB161" s="171"/>
      <c r="BC161" s="171"/>
      <c r="BD161" s="171"/>
      <c r="BE161" s="171"/>
      <c r="BF161" s="171"/>
      <c r="BG161" s="171"/>
      <c r="BH161" s="171"/>
      <c r="BI161" s="323"/>
      <c r="BJ161" s="171">
        <v>13</v>
      </c>
      <c r="BK161" s="171">
        <v>18</v>
      </c>
      <c r="BL161" s="171">
        <v>18</v>
      </c>
      <c r="BM161" s="323"/>
      <c r="BN161" s="171">
        <v>18</v>
      </c>
      <c r="BO161" s="171">
        <v>18</v>
      </c>
      <c r="BP161" s="171">
        <v>18</v>
      </c>
      <c r="BQ161" s="171">
        <v>18</v>
      </c>
      <c r="BR161" s="171">
        <v>18</v>
      </c>
      <c r="BS161" s="171">
        <v>18</v>
      </c>
      <c r="BT161" s="171">
        <v>18</v>
      </c>
      <c r="BU161" s="171">
        <v>15</v>
      </c>
      <c r="BV161" s="171"/>
      <c r="BW161" s="171"/>
      <c r="BX161" s="171"/>
      <c r="BY161" s="644"/>
      <c r="BZ161" s="224"/>
    </row>
    <row r="162" spans="1:78" s="4" customFormat="1" ht="14.4" x14ac:dyDescent="0.3">
      <c r="A162" s="150">
        <f>IF(ISBLANK(TAB_CS[[#This Row],[Reference]]),"",INDEX(TAB_Offres[ID],MATCH(TAB_CS[[#This Row],[Reference]],TAB_Offres[Reference],0)))</f>
        <v>163</v>
      </c>
      <c r="B162" s="154" t="s">
        <v>6095</v>
      </c>
      <c r="C162" s="605" t="s">
        <v>6097</v>
      </c>
      <c r="D162" s="150" t="str">
        <f>IF(ISBLANK(TAB_CS[[#This Row],[Reference]]),"",VLOOKUP(TAB_CS[[#This Row],[ID]],TAB_Offres[],2,FALSE))</f>
        <v>Lot 3</v>
      </c>
      <c r="E162" s="150" t="s">
        <v>5920</v>
      </c>
      <c r="F162" s="154">
        <f>_xlfn.IFNA(IF(ISBLANK(TAB_CS[[#This Row],[Reference]]),"",VLOOKUP(TAB_CS[[#This Row],[Reference]],TAB_Offres[[Reference]:[Modification Request]],COLUMNS(TAB_Offres[[Reference]:[Modification Request]]),FALSE)),)</f>
        <v>0</v>
      </c>
      <c r="G162" s="1" t="str">
        <f>IF(ISBLANK(TAB_CS[[#This Row],[Reference]]),"",INDEX(TAB_Offres[Institution/agency],MATCH(TAB_CS[[#This Row],[Reference]],TAB_Offres[Reference],0)))</f>
        <v>EC</v>
      </c>
      <c r="H162" s="1" t="str">
        <f>IF(ISBLANK(TAB_CS[[#This Row],[Reference]]),"",INDEX(TAB_Offres[DG],MATCH(TAB_CS[[#This Row],[Reference]],TAB_Offres[Reference],0)))</f>
        <v>DIGIT.A.4</v>
      </c>
      <c r="I162" s="4" t="str">
        <f>IF(ISBLANK(TAB_CS[[#This Row],[Reference]]),"",INDEX(TAB_Offres[Offer description],MATCH(TAB_CS[[#This Row],[Reference]],TAB_Offres[Reference],0)))</f>
        <v>Enterprise Architect (EA)</v>
      </c>
      <c r="J162" s="204">
        <f>_xlfn.IFNA(IF(ISBLANK(TAB_CS[[#This Row],[Ressource]]),,VLOOKUP(TAB_CS[[#This Row],[Reference]],TAB_Offres[[Reference]:[CS signature date]],COLUMNS(TAB_Offres[[Reference]:[CS signature date]]),FALSE)),"")</f>
        <v>45579</v>
      </c>
      <c r="K162" s="204">
        <f>_xlfn.IFNA(IF(ISBLANK(TAB_CS[[#This Row],[Ressource]]),,VLOOKUP(TAB_CS[[#This Row],[Reference]],TAB_Offres[[Reference]:[CS start date]],COLUMNS(TAB_Offres[[Reference]:[CS start date]]),FALSE)),"")</f>
        <v>45579</v>
      </c>
      <c r="L162" s="204">
        <f>_xlfn.IFNA(IF(ISBLANK(TAB_CS[[#This Row],[Ressource]]),,VLOOKUP(TAB_CS[[#This Row],[Reference]],TAB_Offres[[Reference]:[CS end date]],COLUMNS(TAB_Offres[[Reference]:[CS end date]]),FALSE)),"")</f>
        <v>45930</v>
      </c>
      <c r="M162" s="150">
        <f>_xlfn.IFNA(IF(ISBLANK(TAB_CS[[#This Row],[Ressource]]),,VLOOKUP(TAB_CS[[#This Row],[Reference]],TAB_Offres[[Reference]:[CS State]],COLUMNS(TAB_Offres[[Reference]:[CS State]]),FALSE)),"")</f>
        <v>0</v>
      </c>
      <c r="N162" s="154" t="str">
        <f>VLOOKUP(TAB_CS[[#This Row],[Reference]],TAB_Offres[[Reference]:[Ressource 1]],25,FALSE)</f>
        <v>GOSMAN, Andrei</v>
      </c>
      <c r="O162" s="150" t="str">
        <f>_xlfn.IFNA(IF(ISBLANK(TAB_CS[[#This Row],[Ressource]]),,VLOOKUP(TAB_CS[[#This Row],[Reference]],TAB_Offres[[Reference]:[Company]],COLUMNS(TAB_Offres[[Reference]:[Company]]),FALSE)),"")</f>
        <v>TREMEND</v>
      </c>
      <c r="P162" s="150" t="str">
        <f>_xlfn.CONCAT(TAB_CS[[#This Row],[Ressource]],TAB_CS[[#This Row],[Profile in €]])</f>
        <v>GOSMAN, Andrei528,24</v>
      </c>
      <c r="Q162" s="150" t="str">
        <f>_xlfn.CONCAT(TAB_CS[[#This Row],[Company]],TAB_CS[[#This Row],[Business perimeter]])</f>
        <v>TREMENDNB</v>
      </c>
      <c r="R162" s="150" t="str">
        <f>_xlfn.IFNA(IF(ISBLANK(TAB_CS[[#This Row],[Ressource]]),"",VLOOKUP(TAB_CS[[#This Row],[Reference]],TAB_Offres[[Reference]:[Profile]],COLUMNS(TAB_Offres[[Reference]:[Profile]]),FALSE)),"")</f>
        <v>Enterprise architect#R1-FAR</v>
      </c>
      <c r="S162" s="1">
        <f>_xlfn.IFNA(IF(ISBLANK(TAB_CS[[#This Row],[Ressource]]),"",VLOOKUP(TAB_CS[[#This Row],[Reference]],TAB_Offres[[Reference]:[Level]],COLUMNS(TAB_Offres[[Reference]:[Level]]),FALSE)),"")</f>
        <v>9</v>
      </c>
      <c r="T162" s="156">
        <f>_xlfn.IFNA(IF(OR(ISBLANK(TAB_CS[[#This Row],[Level]]),TAB_CS[[#This Row],[Level]]=""),,VLOOKUP(TAB_CS[[#This Row],[Profile]],TAB_prix[],2+TAB_CS[[#This Row],[Level]],FALSE)),)</f>
        <v>528.24</v>
      </c>
      <c r="U162" s="151">
        <v>110</v>
      </c>
      <c r="V162" s="205">
        <f>IF(OR(ISBLANK(TAB_CS[[#This Row],[Commited days]]),TAB_CS[[#This Row],[Commited days]]=0),,TAB_CS[[#This Row],[Commited days]]*TAB_CS[[#This Row],[Profile in €]])</f>
        <v>58106.400000000001</v>
      </c>
      <c r="W162" s="156">
        <f>SUM(TAB_CS[[#This Row],[F]:[P+1]])-TAB_CS[[#This Row],[P+1]]</f>
        <v>25.5</v>
      </c>
      <c r="X162" s="205">
        <f>IF(OR(ISBLANK(TAB_CS[[#This Row],[Producted days]]),TAB_CS[[#This Row],[Producted days]]=0),,TAB_CS[[#This Row],[Producted days]]*TAB_CS[[#This Row],[Profile in €]])</f>
        <v>13470.12</v>
      </c>
      <c r="Y162" s="206">
        <f>TAB_CS[[#This Row],[Commited days]]-TAB_CS[[#This Row],[Producted days]]</f>
        <v>84.5</v>
      </c>
      <c r="Z162" s="205">
        <f>IF(OR(ISBLANK(TAB_CS[[#This Row],[Remaining days]]),TAB_CS[[#This Row],[Remaining days]]=0),,TAB_CS[[#This Row],[Remaining days]]*TAB_CS[[#This Row],[Profile in €]])</f>
        <v>44636.28</v>
      </c>
      <c r="AA162" s="207"/>
      <c r="AB162" s="208">
        <f>IF(OR(ISBLANK(TAB_CS[[#This Row],[Expected days]]),TAB_CS[[#This Row],[Expected days]]=0),,TAB_CS[[#This Row],[Expected days]]*TAB_CS[[#This Row],[Profile in €]])</f>
        <v>0</v>
      </c>
      <c r="AC162" s="322" t="str">
        <f>CONCATENATE(TAB_CS[[#This Row],[DG]],TAB_CS[[#This Row],[Company]])</f>
        <v>DIGIT.A.4TREMEND</v>
      </c>
      <c r="AD162" s="209"/>
      <c r="AE162" s="150"/>
      <c r="AF162" s="151"/>
      <c r="AG162" s="151"/>
      <c r="AH162" s="13"/>
      <c r="AI162" s="1"/>
      <c r="AJ162" s="13"/>
      <c r="AK162" s="127"/>
      <c r="AL162" s="127"/>
      <c r="AM162" s="1"/>
      <c r="AN162" s="1"/>
      <c r="AO162" s="1"/>
      <c r="AP162" s="1"/>
      <c r="AQ162" s="1"/>
      <c r="AR162" s="1"/>
      <c r="AS162" s="1"/>
      <c r="AT162" s="127"/>
      <c r="AU162" s="127"/>
      <c r="AV162" s="609"/>
      <c r="AW162" s="609"/>
      <c r="AX162" s="609"/>
      <c r="AY162" s="609"/>
      <c r="AZ162" s="609"/>
      <c r="BA162" s="171"/>
      <c r="BB162" s="171"/>
      <c r="BC162" s="171"/>
      <c r="BD162" s="171"/>
      <c r="BE162" s="171"/>
      <c r="BF162" s="171"/>
      <c r="BG162" s="171"/>
      <c r="BH162" s="171"/>
      <c r="BI162" s="323"/>
      <c r="BJ162" s="171"/>
      <c r="BK162" s="171">
        <v>7.5</v>
      </c>
      <c r="BL162" s="171">
        <v>18</v>
      </c>
      <c r="BM162" s="323"/>
      <c r="BN162" s="171">
        <v>18</v>
      </c>
      <c r="BO162" s="171">
        <v>18</v>
      </c>
      <c r="BP162" s="171">
        <v>18</v>
      </c>
      <c r="BQ162" s="171">
        <v>18</v>
      </c>
      <c r="BR162" s="171">
        <v>12.5</v>
      </c>
      <c r="BS162" s="171"/>
      <c r="BT162" s="171"/>
      <c r="BU162" s="171"/>
      <c r="BV162" s="171"/>
      <c r="BW162" s="644"/>
      <c r="BX162" s="644"/>
      <c r="BY162" s="644"/>
      <c r="BZ162" s="224"/>
    </row>
    <row r="163" spans="1:78" s="4" customFormat="1" ht="14.4" x14ac:dyDescent="0.3">
      <c r="A163" s="150">
        <f>IF(ISBLANK(TAB_CS[[#This Row],[Reference]]),"",INDEX(TAB_Offres[ID],MATCH(TAB_CS[[#This Row],[Reference]],TAB_Offres[Reference],0)))</f>
        <v>164</v>
      </c>
      <c r="B163" s="154" t="s">
        <v>6096</v>
      </c>
      <c r="C163" s="605" t="s">
        <v>6098</v>
      </c>
      <c r="D163" s="150" t="str">
        <f>IF(ISBLANK(TAB_CS[[#This Row],[Reference]]),"",VLOOKUP(TAB_CS[[#This Row],[ID]],TAB_Offres[],2,FALSE))</f>
        <v>Lot 1</v>
      </c>
      <c r="E163" s="150" t="s">
        <v>5920</v>
      </c>
      <c r="F163" s="154">
        <f>_xlfn.IFNA(IF(ISBLANK(TAB_CS[[#This Row],[Reference]]),"",VLOOKUP(TAB_CS[[#This Row],[Reference]],TAB_Offres[[Reference]:[Modification Request]],COLUMNS(TAB_Offres[[Reference]:[Modification Request]]),FALSE)),)</f>
        <v>0</v>
      </c>
      <c r="G163" s="150" t="str">
        <f>IF(ISBLANK(TAB_CS[[#This Row],[Reference]]),"",INDEX(TAB_Offres[Institution/agency],MATCH(TAB_CS[[#This Row],[Reference]],TAB_Offres[Reference],0)))</f>
        <v>EC</v>
      </c>
      <c r="H163" s="150" t="str">
        <f>IF(ISBLANK(TAB_CS[[#This Row],[Reference]]),"",INDEX(TAB_Offres[DG],MATCH(TAB_CS[[#This Row],[Reference]],TAB_Offres[Reference],0)))</f>
        <v>DIGIT.A.3</v>
      </c>
      <c r="I163" s="4" t="str">
        <f>IF(ISBLANK(TAB_CS[[#This Row],[Reference]]),"",INDEX(TAB_Offres[Offer description],MATCH(TAB_CS[[#This Row],[Reference]],TAB_Offres[Reference],0)))</f>
        <v>Back-End Developer (BED)</v>
      </c>
      <c r="J163" s="204">
        <f>_xlfn.IFNA(IF(ISBLANK(TAB_CS[[#This Row],[Ressource]]),,VLOOKUP(TAB_CS[[#This Row],[Reference]],TAB_Offres[[Reference]:[CS signature date]],COLUMNS(TAB_Offres[[Reference]:[CS signature date]]),FALSE)),"")</f>
        <v>45581</v>
      </c>
      <c r="K163" s="204">
        <f>_xlfn.IFNA(IF(ISBLANK(TAB_CS[[#This Row],[Ressource]]),,VLOOKUP(TAB_CS[[#This Row],[Reference]],TAB_Offres[[Reference]:[CS start date]],COLUMNS(TAB_Offres[[Reference]:[CS start date]]),FALSE)),"")</f>
        <v>45582</v>
      </c>
      <c r="L163" s="204">
        <f>_xlfn.IFNA(IF(ISBLANK(TAB_CS[[#This Row],[Ressource]]),,VLOOKUP(TAB_CS[[#This Row],[Reference]],TAB_Offres[[Reference]:[CS end date]],COLUMNS(TAB_Offres[[Reference]:[CS end date]]),FALSE)),"")</f>
        <v>45930</v>
      </c>
      <c r="M163" s="150">
        <f>_xlfn.IFNA(IF(ISBLANK(TAB_CS[[#This Row],[Ressource]]),,VLOOKUP(TAB_CS[[#This Row],[Reference]],TAB_Offres[[Reference]:[CS State]],COLUMNS(TAB_Offres[[Reference]:[CS State]]),FALSE)),"")</f>
        <v>0</v>
      </c>
      <c r="N163" s="154" t="str">
        <f>VLOOKUP(TAB_CS[[#This Row],[Reference]],TAB_Offres[[Reference]:[Ressource 1]],25,FALSE)</f>
        <v>POCHON, Régis</v>
      </c>
      <c r="O163" s="150" t="str">
        <f>_xlfn.IFNA(IF(ISBLANK(TAB_CS[[#This Row],[Ressource]]),,VLOOKUP(TAB_CS[[#This Row],[Reference]],TAB_Offres[[Reference]:[Company]],COLUMNS(TAB_Offres[[Reference]:[Company]]),FALSE)),"")</f>
        <v>EDDA</v>
      </c>
      <c r="P163" s="150" t="str">
        <f>_xlfn.CONCAT(TAB_CS[[#This Row],[Ressource]],TAB_CS[[#This Row],[Profile in €]])</f>
        <v>POCHON, Régis693,61</v>
      </c>
      <c r="Q163" s="150" t="str">
        <f>_xlfn.CONCAT(TAB_CS[[#This Row],[Company]],TAB_CS[[#This Row],[Business perimeter]])</f>
        <v>EDDANB</v>
      </c>
      <c r="R163" s="150" t="str">
        <f>_xlfn.IFNA(IF(ISBLANK(TAB_CS[[#This Row],[Ressource]]),"",VLOOKUP(TAB_CS[[#This Row],[Reference]],TAB_Offres[[Reference]:[Profile]],COLUMNS(TAB_Offres[[Reference]:[Profile]]),FALSE)),"")</f>
        <v>Back-end developer#R1</v>
      </c>
      <c r="S163" s="150">
        <f>_xlfn.IFNA(IF(ISBLANK(TAB_CS[[#This Row],[Ressource]]),"",VLOOKUP(TAB_CS[[#This Row],[Reference]],TAB_Offres[[Reference]:[Level]],COLUMNS(TAB_Offres[[Reference]:[Level]]),FALSE)),"")</f>
        <v>10</v>
      </c>
      <c r="T163" s="156">
        <f>_xlfn.IFNA(IF(OR(ISBLANK(TAB_CS[[#This Row],[Level]]),TAB_CS[[#This Row],[Level]]=""),,VLOOKUP(TAB_CS[[#This Row],[Profile]],TAB_prix[],2+TAB_CS[[#This Row],[Level]],FALSE)),)</f>
        <v>693.61</v>
      </c>
      <c r="U163" s="151">
        <v>98.5</v>
      </c>
      <c r="V163" s="205">
        <f>IF(OR(ISBLANK(TAB_CS[[#This Row],[Commited days]]),TAB_CS[[#This Row],[Commited days]]=0),,TAB_CS[[#This Row],[Commited days]]*TAB_CS[[#This Row],[Profile in €]])</f>
        <v>68320.585000000006</v>
      </c>
      <c r="W163" s="156">
        <f>SUM(TAB_CS[[#This Row],[F]:[P+1]])-TAB_CS[[#This Row],[P+1]]</f>
        <v>24.5</v>
      </c>
      <c r="X163" s="205">
        <f>IF(OR(ISBLANK(TAB_CS[[#This Row],[Producted days]]),TAB_CS[[#This Row],[Producted days]]=0),,TAB_CS[[#This Row],[Producted days]]*TAB_CS[[#This Row],[Profile in €]])</f>
        <v>16993.445</v>
      </c>
      <c r="Y163" s="206">
        <f>TAB_CS[[#This Row],[Commited days]]-TAB_CS[[#This Row],[Producted days]]</f>
        <v>74</v>
      </c>
      <c r="Z163" s="205">
        <f>IF(OR(ISBLANK(TAB_CS[[#This Row],[Remaining days]]),TAB_CS[[#This Row],[Remaining days]]=0),,TAB_CS[[#This Row],[Remaining days]]*TAB_CS[[#This Row],[Profile in €]])</f>
        <v>51327.14</v>
      </c>
      <c r="AA163" s="207"/>
      <c r="AB163" s="208">
        <f>IF(OR(ISBLANK(TAB_CS[[#This Row],[Expected days]]),TAB_CS[[#This Row],[Expected days]]=0),,TAB_CS[[#This Row],[Expected days]]*TAB_CS[[#This Row],[Profile in €]])</f>
        <v>0</v>
      </c>
      <c r="AC163" s="322" t="str">
        <f>CONCATENATE(TAB_CS[[#This Row],[DG]],TAB_CS[[#This Row],[Company]])</f>
        <v>DIGIT.A.3EDDA</v>
      </c>
      <c r="AD163" s="209"/>
      <c r="AE163" s="150"/>
      <c r="AF163" s="151"/>
      <c r="AG163" s="151"/>
      <c r="AH163" s="151"/>
      <c r="AI163" s="150"/>
      <c r="AJ163" s="151"/>
      <c r="AK163" s="156"/>
      <c r="AL163" s="156"/>
      <c r="AM163" s="150"/>
      <c r="AN163" s="150"/>
      <c r="AO163" s="150"/>
      <c r="AP163" s="150"/>
      <c r="AQ163" s="150"/>
      <c r="AR163" s="150"/>
      <c r="AS163" s="150"/>
      <c r="AT163" s="156"/>
      <c r="AU163" s="156"/>
      <c r="AV163" s="171"/>
      <c r="AW163" s="171"/>
      <c r="AX163" s="171"/>
      <c r="AY163" s="171"/>
      <c r="AZ163" s="171"/>
      <c r="BA163" s="171"/>
      <c r="BB163" s="171"/>
      <c r="BC163" s="171"/>
      <c r="BD163" s="171"/>
      <c r="BE163" s="171"/>
      <c r="BF163" s="171"/>
      <c r="BG163" s="171"/>
      <c r="BH163" s="171"/>
      <c r="BI163" s="323"/>
      <c r="BJ163" s="171"/>
      <c r="BK163" s="171">
        <v>6.5</v>
      </c>
      <c r="BL163" s="171">
        <v>18</v>
      </c>
      <c r="BM163" s="323"/>
      <c r="BN163" s="171">
        <v>18</v>
      </c>
      <c r="BO163" s="171">
        <v>18</v>
      </c>
      <c r="BP163" s="171">
        <v>18</v>
      </c>
      <c r="BQ163" s="171">
        <v>18</v>
      </c>
      <c r="BR163" s="171">
        <v>2</v>
      </c>
      <c r="BS163" s="171"/>
      <c r="BT163" s="171"/>
      <c r="BU163" s="171"/>
      <c r="BV163" s="171"/>
      <c r="BW163" s="644"/>
      <c r="BX163" s="644"/>
      <c r="BY163" s="644"/>
      <c r="BZ163" s="224"/>
    </row>
    <row r="164" spans="1:78" s="4" customFormat="1" ht="14.4" x14ac:dyDescent="0.3">
      <c r="A164" s="150">
        <f>IF(ISBLANK(TAB_CS[[#This Row],[Reference]]),"",INDEX(TAB_Offres[ID],MATCH(TAB_CS[[#This Row],[Reference]],TAB_Offres[Reference],0)))</f>
        <v>165</v>
      </c>
      <c r="B164" s="154" t="s">
        <v>6103</v>
      </c>
      <c r="C164" s="605" t="s">
        <v>6104</v>
      </c>
      <c r="D164" s="150" t="str">
        <f>IF(ISBLANK(TAB_CS[[#This Row],[Reference]]),"",VLOOKUP(TAB_CS[[#This Row],[ID]],TAB_Offres[],2,FALSE))</f>
        <v>Lot 1</v>
      </c>
      <c r="E164" s="150" t="s">
        <v>5920</v>
      </c>
      <c r="F164" s="154">
        <f>_xlfn.IFNA(IF(ISBLANK(TAB_CS[[#This Row],[Reference]]),"",VLOOKUP(TAB_CS[[#This Row],[Reference]],TAB_Offres[[Reference]:[Modification Request]],COLUMNS(TAB_Offres[[Reference]:[Modification Request]]),FALSE)),)</f>
        <v>0</v>
      </c>
      <c r="G164" s="150" t="str">
        <f>IF(ISBLANK(TAB_CS[[#This Row],[Reference]]),"",INDEX(TAB_Offres[Institution/agency],MATCH(TAB_CS[[#This Row],[Reference]],TAB_Offres[Reference],0)))</f>
        <v>EC</v>
      </c>
      <c r="H164" s="150" t="str">
        <f>IF(ISBLANK(TAB_CS[[#This Row],[Reference]]),"",INDEX(TAB_Offres[DG],MATCH(TAB_CS[[#This Row],[Reference]],TAB_Offres[Reference],0)))</f>
        <v>DIGIT.A.2</v>
      </c>
      <c r="I164" s="4" t="str">
        <f>IF(ISBLANK(TAB_CS[[#This Row],[Reference]]),"",INDEX(TAB_Offres[Offer description],MATCH(TAB_CS[[#This Row],[Reference]],TAB_Offres[Reference],0)))</f>
        <v>Back-End Developer (BED)</v>
      </c>
      <c r="J164" s="204">
        <f>_xlfn.IFNA(IF(ISBLANK(TAB_CS[[#This Row],[Ressource]]),,VLOOKUP(TAB_CS[[#This Row],[Reference]],TAB_Offres[[Reference]:[CS signature date]],COLUMNS(TAB_Offres[[Reference]:[CS signature date]]),FALSE)),"")</f>
        <v>45596</v>
      </c>
      <c r="K164" s="204">
        <f>_xlfn.IFNA(IF(ISBLANK(TAB_CS[[#This Row],[Ressource]]),,VLOOKUP(TAB_CS[[#This Row],[Reference]],TAB_Offres[[Reference]:[CS start date]],COLUMNS(TAB_Offres[[Reference]:[CS start date]]),FALSE)),"")</f>
        <v>45600</v>
      </c>
      <c r="L164" s="204">
        <f>_xlfn.IFNA(IF(ISBLANK(TAB_CS[[#This Row],[Ressource]]),,VLOOKUP(TAB_CS[[#This Row],[Reference]],TAB_Offres[[Reference]:[CS end date]],COLUMNS(TAB_Offres[[Reference]:[CS end date]]),FALSE)),"")</f>
        <v>45930</v>
      </c>
      <c r="M164" s="150">
        <f>_xlfn.IFNA(IF(ISBLANK(TAB_CS[[#This Row],[Ressource]]),,VLOOKUP(TAB_CS[[#This Row],[Reference]],TAB_Offres[[Reference]:[CS State]],COLUMNS(TAB_Offres[[Reference]:[CS State]]),FALSE)),"")</f>
        <v>0</v>
      </c>
      <c r="N164" s="154" t="str">
        <f>VLOOKUP(TAB_CS[[#This Row],[Reference]],TAB_Offres[[Reference]:[Ressource 1]],25,FALSE)</f>
        <v>IACOBESCU, Radu</v>
      </c>
      <c r="O164" s="150" t="str">
        <f>_xlfn.IFNA(IF(ISBLANK(TAB_CS[[#This Row],[Ressource]]),,VLOOKUP(TAB_CS[[#This Row],[Reference]],TAB_Offres[[Reference]:[Company]],COLUMNS(TAB_Offres[[Reference]:[Company]]),FALSE)),"")</f>
        <v>EDDA</v>
      </c>
      <c r="P164" s="150" t="str">
        <f>_xlfn.CONCAT(TAB_CS[[#This Row],[Ressource]],TAB_CS[[#This Row],[Profile in €]])</f>
        <v>IACOBESCU, Radu566,19</v>
      </c>
      <c r="Q164" s="150" t="str">
        <f>_xlfn.CONCAT(TAB_CS[[#This Row],[Company]],TAB_CS[[#This Row],[Business perimeter]])</f>
        <v>EDDANB</v>
      </c>
      <c r="R164" s="150" t="str">
        <f>_xlfn.IFNA(IF(ISBLANK(TAB_CS[[#This Row],[Ressource]]),"",VLOOKUP(TAB_CS[[#This Row],[Reference]],TAB_Offres[[Reference]:[Profile]],COLUMNS(TAB_Offres[[Reference]:[Profile]]),FALSE)),"")</f>
        <v>Back-end developer#R1</v>
      </c>
      <c r="S164" s="150">
        <f>_xlfn.IFNA(IF(ISBLANK(TAB_CS[[#This Row],[Ressource]]),"",VLOOKUP(TAB_CS[[#This Row],[Reference]],TAB_Offres[[Reference]:[Level]],COLUMNS(TAB_Offres[[Reference]:[Level]]),FALSE)),"")</f>
        <v>7</v>
      </c>
      <c r="T164" s="156">
        <f>_xlfn.IFNA(IF(OR(ISBLANK(TAB_CS[[#This Row],[Level]]),TAB_CS[[#This Row],[Level]]=""),,VLOOKUP(TAB_CS[[#This Row],[Profile]],TAB_prix[],2+TAB_CS[[#This Row],[Level]],FALSE)),)</f>
        <v>566.19000000000005</v>
      </c>
      <c r="U164" s="151">
        <v>100</v>
      </c>
      <c r="V164" s="205">
        <f>IF(OR(ISBLANK(TAB_CS[[#This Row],[Commited days]]),TAB_CS[[#This Row],[Commited days]]=0),,TAB_CS[[#This Row],[Commited days]]*TAB_CS[[#This Row],[Profile in €]])</f>
        <v>56619.000000000007</v>
      </c>
      <c r="W164" s="156">
        <f>SUM(TAB_CS[[#This Row],[F]:[P+1]])-TAB_CS[[#This Row],[P+1]]</f>
        <v>30</v>
      </c>
      <c r="X164" s="205">
        <f>IF(OR(ISBLANK(TAB_CS[[#This Row],[Producted days]]),TAB_CS[[#This Row],[Producted days]]=0),,TAB_CS[[#This Row],[Producted days]]*TAB_CS[[#This Row],[Profile in €]])</f>
        <v>16985.7</v>
      </c>
      <c r="Y164" s="206">
        <f>TAB_CS[[#This Row],[Commited days]]-TAB_CS[[#This Row],[Producted days]]</f>
        <v>70</v>
      </c>
      <c r="Z164" s="205">
        <f>IF(OR(ISBLANK(TAB_CS[[#This Row],[Remaining days]]),TAB_CS[[#This Row],[Remaining days]]=0),,TAB_CS[[#This Row],[Remaining days]]*TAB_CS[[#This Row],[Profile in €]])</f>
        <v>39633.300000000003</v>
      </c>
      <c r="AA164" s="207"/>
      <c r="AB164" s="208">
        <f>IF(OR(ISBLANK(TAB_CS[[#This Row],[Expected days]]),TAB_CS[[#This Row],[Expected days]]=0),,TAB_CS[[#This Row],[Expected days]]*TAB_CS[[#This Row],[Profile in €]])</f>
        <v>0</v>
      </c>
      <c r="AC164" s="322" t="str">
        <f>CONCATENATE(TAB_CS[[#This Row],[DG]],TAB_CS[[#This Row],[Company]])</f>
        <v>DIGIT.A.2EDDA</v>
      </c>
      <c r="AD164" s="209"/>
      <c r="AE164" s="150"/>
      <c r="AF164" s="151"/>
      <c r="AG164" s="151"/>
      <c r="AH164" s="151"/>
      <c r="AI164" s="150"/>
      <c r="AJ164" s="151"/>
      <c r="AK164" s="156"/>
      <c r="AL164" s="156"/>
      <c r="AM164" s="150"/>
      <c r="AN164" s="150"/>
      <c r="AO164" s="150"/>
      <c r="AP164" s="150"/>
      <c r="AQ164" s="150"/>
      <c r="AR164" s="150"/>
      <c r="AS164" s="150"/>
      <c r="AT164" s="156"/>
      <c r="AU164" s="156"/>
      <c r="AV164" s="171"/>
      <c r="AW164" s="171"/>
      <c r="AX164" s="171"/>
      <c r="AY164" s="171"/>
      <c r="AZ164" s="171"/>
      <c r="BA164" s="171"/>
      <c r="BB164" s="171"/>
      <c r="BC164" s="171"/>
      <c r="BD164" s="171"/>
      <c r="BE164" s="171"/>
      <c r="BF164" s="171"/>
      <c r="BG164" s="171"/>
      <c r="BH164" s="171"/>
      <c r="BI164" s="323"/>
      <c r="BJ164" s="171"/>
      <c r="BK164" s="171">
        <v>12</v>
      </c>
      <c r="BL164" s="171">
        <v>18</v>
      </c>
      <c r="BM164" s="323"/>
      <c r="BN164" s="171">
        <v>18</v>
      </c>
      <c r="BO164" s="171">
        <v>18</v>
      </c>
      <c r="BP164" s="171">
        <v>18</v>
      </c>
      <c r="BQ164" s="171">
        <v>16</v>
      </c>
      <c r="BR164" s="171"/>
      <c r="BS164" s="171"/>
      <c r="BT164" s="171"/>
      <c r="BU164" s="171"/>
      <c r="BV164" s="171"/>
      <c r="BW164" s="644"/>
      <c r="BX164" s="644"/>
      <c r="BY164" s="644"/>
      <c r="BZ164" s="224"/>
    </row>
    <row r="165" spans="1:78" s="4" customFormat="1" ht="14.4" x14ac:dyDescent="0.3">
      <c r="A165" s="150">
        <f>IF(ISBLANK(TAB_CS[[#This Row],[Reference]]),"",INDEX(TAB_Offres[ID],MATCH(TAB_CS[[#This Row],[Reference]],TAB_Offres[Reference],0)))</f>
        <v>166</v>
      </c>
      <c r="B165" s="154" t="s">
        <v>6105</v>
      </c>
      <c r="C165" s="605" t="s">
        <v>6106</v>
      </c>
      <c r="D165" s="150" t="str">
        <f>IF(ISBLANK(TAB_CS[[#This Row],[Reference]]),"",VLOOKUP(TAB_CS[[#This Row],[ID]],TAB_Offres[],2,FALSE))</f>
        <v>Lot 1</v>
      </c>
      <c r="E165" s="150" t="s">
        <v>5920</v>
      </c>
      <c r="F165" s="154">
        <f>_xlfn.IFNA(IF(ISBLANK(TAB_CS[[#This Row],[Reference]]),"",VLOOKUP(TAB_CS[[#This Row],[Reference]],TAB_Offres[[Reference]:[Modification Request]],COLUMNS(TAB_Offres[[Reference]:[Modification Request]]),FALSE)),)</f>
        <v>0</v>
      </c>
      <c r="G165" s="1" t="str">
        <f>IF(ISBLANK(TAB_CS[[#This Row],[Reference]]),"",INDEX(TAB_Offres[Institution/agency],MATCH(TAB_CS[[#This Row],[Reference]],TAB_Offres[Reference],0)))</f>
        <v>EC</v>
      </c>
      <c r="H165" s="1" t="str">
        <f>IF(ISBLANK(TAB_CS[[#This Row],[Reference]]),"",INDEX(TAB_Offres[DG],MATCH(TAB_CS[[#This Row],[Reference]],TAB_Offres[Reference],0)))</f>
        <v>DIGIT.A.3</v>
      </c>
      <c r="I165" s="4" t="str">
        <f>IF(ISBLANK(TAB_CS[[#This Row],[Reference]]),"",INDEX(TAB_Offres[Offer description],MATCH(TAB_CS[[#This Row],[Reference]],TAB_Offres[Reference],0)))</f>
        <v>Full-Stack Developer (FSD)</v>
      </c>
      <c r="J165" s="204">
        <f>_xlfn.IFNA(IF(ISBLANK(TAB_CS[[#This Row],[Ressource]]),,VLOOKUP(TAB_CS[[#This Row],[Reference]],TAB_Offres[[Reference]:[CS signature date]],COLUMNS(TAB_Offres[[Reference]:[CS signature date]]),FALSE)),"")</f>
        <v>45596</v>
      </c>
      <c r="K165" s="204">
        <f>_xlfn.IFNA(IF(ISBLANK(TAB_CS[[#This Row],[Ressource]]),,VLOOKUP(TAB_CS[[#This Row],[Reference]],TAB_Offres[[Reference]:[CS start date]],COLUMNS(TAB_Offres[[Reference]:[CS start date]]),FALSE)),"")</f>
        <v>45600</v>
      </c>
      <c r="L165" s="204">
        <f>_xlfn.IFNA(IF(ISBLANK(TAB_CS[[#This Row],[Ressource]]),,VLOOKUP(TAB_CS[[#This Row],[Reference]],TAB_Offres[[Reference]:[CS end date]],COLUMNS(TAB_Offres[[Reference]:[CS end date]]),FALSE)),"")</f>
        <v>45930</v>
      </c>
      <c r="M165" s="150">
        <f>_xlfn.IFNA(IF(ISBLANK(TAB_CS[[#This Row],[Ressource]]),,VLOOKUP(TAB_CS[[#This Row],[Reference]],TAB_Offres[[Reference]:[CS State]],COLUMNS(TAB_Offres[[Reference]:[CS State]]),FALSE)),"")</f>
        <v>0</v>
      </c>
      <c r="N165" s="154" t="str">
        <f>VLOOKUP(TAB_CS[[#This Row],[Reference]],TAB_Offres[[Reference]:[Ressource 1]],25,FALSE)</f>
        <v>MEDAN, Andrei</v>
      </c>
      <c r="O165" s="150" t="str">
        <f>_xlfn.IFNA(IF(ISBLANK(TAB_CS[[#This Row],[Ressource]]),,VLOOKUP(TAB_CS[[#This Row],[Reference]],TAB_Offres[[Reference]:[Company]],COLUMNS(TAB_Offres[[Reference]:[Company]]),FALSE)),"")</f>
        <v>EDDA</v>
      </c>
      <c r="P165" s="150" t="str">
        <f>_xlfn.CONCAT(TAB_CS[[#This Row],[Ressource]],TAB_CS[[#This Row],[Profile in €]])</f>
        <v>MEDAN, Andrei522,43</v>
      </c>
      <c r="Q165" s="150" t="str">
        <f>_xlfn.CONCAT(TAB_CS[[#This Row],[Company]],TAB_CS[[#This Row],[Business perimeter]])</f>
        <v>EDDANB</v>
      </c>
      <c r="R165" s="150" t="str">
        <f>_xlfn.IFNA(IF(ISBLANK(TAB_CS[[#This Row],[Ressource]]),"",VLOOKUP(TAB_CS[[#This Row],[Reference]],TAB_Offres[[Reference]:[Profile]],COLUMNS(TAB_Offres[[Reference]:[Profile]]),FALSE)),"")</f>
        <v>Full-stack developer#R1-FAR</v>
      </c>
      <c r="S165" s="1">
        <f>_xlfn.IFNA(IF(ISBLANK(TAB_CS[[#This Row],[Ressource]]),"",VLOOKUP(TAB_CS[[#This Row],[Reference]],TAB_Offres[[Reference]:[Level]],COLUMNS(TAB_Offres[[Reference]:[Level]]),FALSE)),"")</f>
        <v>9</v>
      </c>
      <c r="T165" s="156">
        <f>_xlfn.IFNA(IF(OR(ISBLANK(TAB_CS[[#This Row],[Level]]),TAB_CS[[#This Row],[Level]]=""),,VLOOKUP(TAB_CS[[#This Row],[Profile]],TAB_prix[],2+TAB_CS[[#This Row],[Level]],FALSE)),)</f>
        <v>522.42999999999995</v>
      </c>
      <c r="U165" s="151">
        <v>100</v>
      </c>
      <c r="V165" s="205">
        <f>IF(OR(ISBLANK(TAB_CS[[#This Row],[Commited days]]),TAB_CS[[#This Row],[Commited days]]=0),,TAB_CS[[#This Row],[Commited days]]*TAB_CS[[#This Row],[Profile in €]])</f>
        <v>52242.999999999993</v>
      </c>
      <c r="W165" s="156">
        <f>SUM(TAB_CS[[#This Row],[F]:[P+1]])-TAB_CS[[#This Row],[P+1]]</f>
        <v>29</v>
      </c>
      <c r="X165" s="205">
        <f>IF(OR(ISBLANK(TAB_CS[[#This Row],[Producted days]]),TAB_CS[[#This Row],[Producted days]]=0),,TAB_CS[[#This Row],[Producted days]]*TAB_CS[[#This Row],[Profile in €]])</f>
        <v>15150.47</v>
      </c>
      <c r="Y165" s="206">
        <f>TAB_CS[[#This Row],[Commited days]]-TAB_CS[[#This Row],[Producted days]]</f>
        <v>71</v>
      </c>
      <c r="Z165" s="205">
        <f>IF(OR(ISBLANK(TAB_CS[[#This Row],[Remaining days]]),TAB_CS[[#This Row],[Remaining days]]=0),,TAB_CS[[#This Row],[Remaining days]]*TAB_CS[[#This Row],[Profile in €]])</f>
        <v>37092.53</v>
      </c>
      <c r="AA165" s="207"/>
      <c r="AB165" s="208">
        <f>IF(OR(ISBLANK(TAB_CS[[#This Row],[Expected days]]),TAB_CS[[#This Row],[Expected days]]=0),,TAB_CS[[#This Row],[Expected days]]*TAB_CS[[#This Row],[Profile in €]])</f>
        <v>0</v>
      </c>
      <c r="AC165" s="322" t="str">
        <f>CONCATENATE(TAB_CS[[#This Row],[DG]],TAB_CS[[#This Row],[Company]])</f>
        <v>DIGIT.A.3EDDA</v>
      </c>
      <c r="AD165" s="209"/>
      <c r="AE165" s="150"/>
      <c r="AF165" s="151"/>
      <c r="AG165" s="151"/>
      <c r="AH165" s="13"/>
      <c r="AI165" s="1"/>
      <c r="AJ165" s="13"/>
      <c r="AK165" s="127"/>
      <c r="AL165" s="127"/>
      <c r="AM165" s="1"/>
      <c r="AN165" s="1"/>
      <c r="AO165" s="1"/>
      <c r="AP165" s="1"/>
      <c r="AQ165" s="1"/>
      <c r="AR165" s="1"/>
      <c r="AS165" s="1"/>
      <c r="AT165" s="127"/>
      <c r="AU165" s="127"/>
      <c r="AV165" s="631"/>
      <c r="AW165" s="631"/>
      <c r="AX165" s="631"/>
      <c r="AY165" s="631"/>
      <c r="AZ165" s="631"/>
      <c r="BA165" s="171"/>
      <c r="BB165" s="171"/>
      <c r="BC165" s="171"/>
      <c r="BD165" s="171"/>
      <c r="BE165" s="171"/>
      <c r="BF165" s="171"/>
      <c r="BG165" s="171"/>
      <c r="BH165" s="171"/>
      <c r="BI165" s="323"/>
      <c r="BJ165" s="171"/>
      <c r="BK165" s="171">
        <v>11</v>
      </c>
      <c r="BL165" s="171">
        <v>18</v>
      </c>
      <c r="BM165" s="323"/>
      <c r="BN165" s="171">
        <v>18</v>
      </c>
      <c r="BO165" s="171">
        <v>18</v>
      </c>
      <c r="BP165" s="171">
        <v>18</v>
      </c>
      <c r="BQ165" s="171">
        <v>17</v>
      </c>
      <c r="BR165" s="171"/>
      <c r="BS165" s="171"/>
      <c r="BT165" s="171"/>
      <c r="BU165" s="171"/>
      <c r="BV165" s="171"/>
      <c r="BW165" s="644"/>
      <c r="BX165" s="644"/>
      <c r="BY165" s="644"/>
      <c r="BZ165" s="224"/>
    </row>
    <row r="166" spans="1:78" s="4" customFormat="1" ht="14.4" x14ac:dyDescent="0.3">
      <c r="A166" s="150">
        <f>IF(ISBLANK(TAB_CS[[#This Row],[Reference]]),"",INDEX(TAB_Offres[ID],MATCH(TAB_CS[[#This Row],[Reference]],TAB_Offres[Reference],0)))</f>
        <v>167</v>
      </c>
      <c r="B166" s="154" t="s">
        <v>6107</v>
      </c>
      <c r="C166" s="605" t="s">
        <v>6108</v>
      </c>
      <c r="D166" s="150" t="str">
        <f>IF(ISBLANK(TAB_CS[[#This Row],[Reference]]),"",VLOOKUP(TAB_CS[[#This Row],[ID]],TAB_Offres[],2,FALSE))</f>
        <v>Lot 1</v>
      </c>
      <c r="E166" s="150" t="s">
        <v>5920</v>
      </c>
      <c r="F166" s="154">
        <f>_xlfn.IFNA(IF(ISBLANK(TAB_CS[[#This Row],[Reference]]),"",VLOOKUP(TAB_CS[[#This Row],[Reference]],TAB_Offres[[Reference]:[Modification Request]],COLUMNS(TAB_Offres[[Reference]:[Modification Request]]),FALSE)),)</f>
        <v>0</v>
      </c>
      <c r="G166" s="1" t="str">
        <f>IF(ISBLANK(TAB_CS[[#This Row],[Reference]]),"",INDEX(TAB_Offres[Institution/agency],MATCH(TAB_CS[[#This Row],[Reference]],TAB_Offres[Reference],0)))</f>
        <v>EC</v>
      </c>
      <c r="H166" s="1" t="str">
        <f>IF(ISBLANK(TAB_CS[[#This Row],[Reference]]),"",INDEX(TAB_Offres[DG],MATCH(TAB_CS[[#This Row],[Reference]],TAB_Offres[Reference],0)))</f>
        <v>DIGIT.A.4</v>
      </c>
      <c r="I166" s="4" t="str">
        <f>IF(ISBLANK(TAB_CS[[#This Row],[Reference]]),"",INDEX(TAB_Offres[Offer description],MATCH(TAB_CS[[#This Row],[Reference]],TAB_Offres[Reference],0)))</f>
        <v>Full-Stack Developer (FSD)</v>
      </c>
      <c r="J166" s="204">
        <f>_xlfn.IFNA(IF(ISBLANK(TAB_CS[[#This Row],[Ressource]]),,VLOOKUP(TAB_CS[[#This Row],[Reference]],TAB_Offres[[Reference]:[CS signature date]],COLUMNS(TAB_Offres[[Reference]:[CS signature date]]),FALSE)),"")</f>
        <v>45594</v>
      </c>
      <c r="K166" s="204">
        <f>_xlfn.IFNA(IF(ISBLANK(TAB_CS[[#This Row],[Ressource]]),,VLOOKUP(TAB_CS[[#This Row],[Reference]],TAB_Offres[[Reference]:[CS start date]],COLUMNS(TAB_Offres[[Reference]:[CS start date]]),FALSE)),"")</f>
        <v>45594</v>
      </c>
      <c r="L166" s="204">
        <f>_xlfn.IFNA(IF(ISBLANK(TAB_CS[[#This Row],[Ressource]]),,VLOOKUP(TAB_CS[[#This Row],[Reference]],TAB_Offres[[Reference]:[CS end date]],COLUMNS(TAB_Offres[[Reference]:[CS end date]]),FALSE)),"")</f>
        <v>45930</v>
      </c>
      <c r="M166" s="150">
        <f>_xlfn.IFNA(IF(ISBLANK(TAB_CS[[#This Row],[Ressource]]),,VLOOKUP(TAB_CS[[#This Row],[Reference]],TAB_Offres[[Reference]:[CS State]],COLUMNS(TAB_Offres[[Reference]:[CS State]]),FALSE)),"")</f>
        <v>0</v>
      </c>
      <c r="N166" s="154" t="str">
        <f>VLOOKUP(TAB_CS[[#This Row],[Reference]],TAB_Offres[[Reference]:[Ressource 1]],25,FALSE)</f>
        <v>COLLING, Fabiano</v>
      </c>
      <c r="O166" s="150" t="str">
        <f>_xlfn.IFNA(IF(ISBLANK(TAB_CS[[#This Row],[Ressource]]),,VLOOKUP(TAB_CS[[#This Row],[Reference]],TAB_Offres[[Reference]:[Company]],COLUMNS(TAB_Offres[[Reference]:[Company]]),FALSE)),"")</f>
        <v>TALAN</v>
      </c>
      <c r="P166" s="150" t="str">
        <f>_xlfn.CONCAT(TAB_CS[[#This Row],[Ressource]],TAB_CS[[#This Row],[Profile in €]])</f>
        <v>COLLING, Fabiano611,25</v>
      </c>
      <c r="Q166" s="150" t="str">
        <f>_xlfn.CONCAT(TAB_CS[[#This Row],[Company]],TAB_CS[[#This Row],[Business perimeter]])</f>
        <v>TALANNB</v>
      </c>
      <c r="R166" s="150" t="str">
        <f>_xlfn.IFNA(IF(ISBLANK(TAB_CS[[#This Row],[Ressource]]),"",VLOOKUP(TAB_CS[[#This Row],[Reference]],TAB_Offres[[Reference]:[Profile]],COLUMNS(TAB_Offres[[Reference]:[Profile]]),FALSE)),"")</f>
        <v>Full-stack developer#R1</v>
      </c>
      <c r="S166" s="1">
        <f>_xlfn.IFNA(IF(ISBLANK(TAB_CS[[#This Row],[Ressource]]),"",VLOOKUP(TAB_CS[[#This Row],[Reference]],TAB_Offres[[Reference]:[Level]],COLUMNS(TAB_Offres[[Reference]:[Level]]),FALSE)),"")</f>
        <v>8</v>
      </c>
      <c r="T166" s="156">
        <f>_xlfn.IFNA(IF(OR(ISBLANK(TAB_CS[[#This Row],[Level]]),TAB_CS[[#This Row],[Level]]=""),,VLOOKUP(TAB_CS[[#This Row],[Profile]],TAB_prix[],2+TAB_CS[[#This Row],[Level]],FALSE)),)</f>
        <v>611.25</v>
      </c>
      <c r="U166" s="151">
        <v>91</v>
      </c>
      <c r="V166" s="205">
        <f>IF(OR(ISBLANK(TAB_CS[[#This Row],[Commited days]]),TAB_CS[[#This Row],[Commited days]]=0),,TAB_CS[[#This Row],[Commited days]]*TAB_CS[[#This Row],[Profile in €]])</f>
        <v>55623.75</v>
      </c>
      <c r="W166" s="156">
        <f>SUM(TAB_CS[[#This Row],[F]:[P+1]])-TAB_CS[[#This Row],[P+1]]</f>
        <v>33</v>
      </c>
      <c r="X166" s="205">
        <f>IF(OR(ISBLANK(TAB_CS[[#This Row],[Producted days]]),TAB_CS[[#This Row],[Producted days]]=0),,TAB_CS[[#This Row],[Producted days]]*TAB_CS[[#This Row],[Profile in €]])</f>
        <v>20171.25</v>
      </c>
      <c r="Y166" s="206">
        <f>TAB_CS[[#This Row],[Commited days]]-TAB_CS[[#This Row],[Producted days]]</f>
        <v>58</v>
      </c>
      <c r="Z166" s="205">
        <f>IF(OR(ISBLANK(TAB_CS[[#This Row],[Remaining days]]),TAB_CS[[#This Row],[Remaining days]]=0),,TAB_CS[[#This Row],[Remaining days]]*TAB_CS[[#This Row],[Profile in €]])</f>
        <v>35452.5</v>
      </c>
      <c r="AA166" s="207"/>
      <c r="AB166" s="208">
        <f>IF(OR(ISBLANK(TAB_CS[[#This Row],[Expected days]]),TAB_CS[[#This Row],[Expected days]]=0),,TAB_CS[[#This Row],[Expected days]]*TAB_CS[[#This Row],[Profile in €]])</f>
        <v>0</v>
      </c>
      <c r="AC166" s="322" t="str">
        <f>CONCATENATE(TAB_CS[[#This Row],[DG]],TAB_CS[[#This Row],[Company]])</f>
        <v>DIGIT.A.4TALAN</v>
      </c>
      <c r="AD166" s="209"/>
      <c r="AE166" s="150"/>
      <c r="AF166" s="151"/>
      <c r="AG166" s="151"/>
      <c r="AH166" s="13"/>
      <c r="AI166" s="1"/>
      <c r="AJ166" s="13"/>
      <c r="AK166" s="127"/>
      <c r="AL166" s="127"/>
      <c r="AM166" s="1"/>
      <c r="AN166" s="1"/>
      <c r="AO166" s="1"/>
      <c r="AP166" s="1"/>
      <c r="AQ166" s="1"/>
      <c r="AR166" s="1"/>
      <c r="AS166" s="1"/>
      <c r="AT166" s="127"/>
      <c r="AU166" s="127"/>
      <c r="AV166" s="631"/>
      <c r="AW166" s="631"/>
      <c r="AX166" s="631"/>
      <c r="AY166" s="631"/>
      <c r="AZ166" s="631"/>
      <c r="BA166" s="171"/>
      <c r="BB166" s="171"/>
      <c r="BC166" s="171"/>
      <c r="BD166" s="171"/>
      <c r="BE166" s="171"/>
      <c r="BF166" s="171"/>
      <c r="BG166" s="171"/>
      <c r="BH166" s="171"/>
      <c r="BI166" s="323"/>
      <c r="BJ166" s="291">
        <v>1</v>
      </c>
      <c r="BK166" s="171">
        <v>14</v>
      </c>
      <c r="BL166" s="171">
        <v>18</v>
      </c>
      <c r="BM166" s="323"/>
      <c r="BN166" s="171">
        <v>18</v>
      </c>
      <c r="BO166" s="171">
        <v>18</v>
      </c>
      <c r="BP166" s="171">
        <v>18</v>
      </c>
      <c r="BQ166" s="171">
        <v>4</v>
      </c>
      <c r="BR166" s="171"/>
      <c r="BS166" s="171"/>
      <c r="BT166" s="171"/>
      <c r="BU166" s="171"/>
      <c r="BV166" s="171"/>
      <c r="BW166" s="644"/>
      <c r="BX166" s="644"/>
      <c r="BY166" s="644"/>
      <c r="BZ166" s="224"/>
    </row>
    <row r="167" spans="1:78" s="4" customFormat="1" ht="14.4" x14ac:dyDescent="0.3">
      <c r="A167" s="150">
        <f>IF(ISBLANK(TAB_CS[[#This Row],[Reference]]),"",INDEX(TAB_Offres[ID],MATCH(TAB_CS[[#This Row],[Reference]],TAB_Offres[Reference],0)))</f>
        <v>168</v>
      </c>
      <c r="B167" s="154" t="s">
        <v>6200</v>
      </c>
      <c r="C167" s="605" t="s">
        <v>6201</v>
      </c>
      <c r="D167" s="150" t="str">
        <f>IF(ISBLANK(TAB_CS[[#This Row],[Reference]]),"",VLOOKUP(TAB_CS[[#This Row],[ID]],TAB_Offres[],2,FALSE))</f>
        <v>Lot 1</v>
      </c>
      <c r="E167" s="150" t="s">
        <v>5920</v>
      </c>
      <c r="F167" s="154">
        <f>_xlfn.IFNA(IF(ISBLANK(TAB_CS[[#This Row],[Reference]]),"",VLOOKUP(TAB_CS[[#This Row],[Reference]],TAB_Offres[[Reference]:[Modification Request]],COLUMNS(TAB_Offres[[Reference]:[Modification Request]]),FALSE)),)</f>
        <v>0</v>
      </c>
      <c r="G167" s="1" t="str">
        <f>IF(ISBLANK(TAB_CS[[#This Row],[Reference]]),"",INDEX(TAB_Offres[Institution/agency],MATCH(TAB_CS[[#This Row],[Reference]],TAB_Offres[Reference],0)))</f>
        <v>EC</v>
      </c>
      <c r="H167" s="1" t="str">
        <f>IF(ISBLANK(TAB_CS[[#This Row],[Reference]]),"",INDEX(TAB_Offres[DG],MATCH(TAB_CS[[#This Row],[Reference]],TAB_Offres[Reference],0)))</f>
        <v>ESTAT.A.5</v>
      </c>
      <c r="I167" s="4" t="str">
        <f>IF(ISBLANK(TAB_CS[[#This Row],[Reference]]),"",INDEX(TAB_Offres[Offer description],MATCH(TAB_CS[[#This Row],[Reference]],TAB_Offres[Reference],0)))</f>
        <v>Full-Stack Developer (FSD)</v>
      </c>
      <c r="J167" s="204">
        <f>_xlfn.IFNA(IF(ISBLANK(TAB_CS[[#This Row],[Ressource]]),,VLOOKUP(TAB_CS[[#This Row],[Reference]],TAB_Offres[[Reference]:[CS signature date]],COLUMNS(TAB_Offres[[Reference]:[CS signature date]]),FALSE)),"")</f>
        <v>45601</v>
      </c>
      <c r="K167" s="204">
        <f>_xlfn.IFNA(IF(ISBLANK(TAB_CS[[#This Row],[Ressource]]),,VLOOKUP(TAB_CS[[#This Row],[Reference]],TAB_Offres[[Reference]:[CS start date]],COLUMNS(TAB_Offres[[Reference]:[CS start date]]),FALSE)),"")</f>
        <v>45607</v>
      </c>
      <c r="L167" s="204">
        <f>_xlfn.IFNA(IF(ISBLANK(TAB_CS[[#This Row],[Ressource]]),,VLOOKUP(TAB_CS[[#This Row],[Reference]],TAB_Offres[[Reference]:[CS end date]],COLUMNS(TAB_Offres[[Reference]:[CS end date]]),FALSE)),"")</f>
        <v>45808</v>
      </c>
      <c r="M167" s="150">
        <f>_xlfn.IFNA(IF(ISBLANK(TAB_CS[[#This Row],[Ressource]]),,VLOOKUP(TAB_CS[[#This Row],[Reference]],TAB_Offres[[Reference]:[CS State]],COLUMNS(TAB_Offres[[Reference]:[CS State]]),FALSE)),"")</f>
        <v>0</v>
      </c>
      <c r="N167" s="154" t="str">
        <f>VLOOKUP(TAB_CS[[#This Row],[Reference]],TAB_Offres[[Reference]:[Ressource 1]],25,FALSE)</f>
        <v>VISICH, Valeryy</v>
      </c>
      <c r="O167" s="150" t="str">
        <f>_xlfn.IFNA(IF(ISBLANK(TAB_CS[[#This Row],[Ressource]]),,VLOOKUP(TAB_CS[[#This Row],[Reference]],TAB_Offres[[Reference]:[Company]],COLUMNS(TAB_Offres[[Reference]:[Company]]),FALSE)),"")</f>
        <v>TALAN</v>
      </c>
      <c r="P167" s="150" t="str">
        <f>_xlfn.CONCAT(TAB_CS[[#This Row],[Ressource]],TAB_CS[[#This Row],[Profile in €]])</f>
        <v>VISICH, Valeryy426,46</v>
      </c>
      <c r="Q167" s="150" t="str">
        <f>_xlfn.CONCAT(TAB_CS[[#This Row],[Company]],TAB_CS[[#This Row],[Business perimeter]])</f>
        <v>TALANNB</v>
      </c>
      <c r="R167" s="150" t="str">
        <f>_xlfn.IFNA(IF(ISBLANK(TAB_CS[[#This Row],[Ressource]]),"",VLOOKUP(TAB_CS[[#This Row],[Reference]],TAB_Offres[[Reference]:[Profile]],COLUMNS(TAB_Offres[[Reference]:[Profile]]),FALSE)),"")</f>
        <v>Full-stack developer#R1-FAR</v>
      </c>
      <c r="S167" s="1">
        <f>_xlfn.IFNA(IF(ISBLANK(TAB_CS[[#This Row],[Ressource]]),"",VLOOKUP(TAB_CS[[#This Row],[Reference]],TAB_Offres[[Reference]:[Level]],COLUMNS(TAB_Offres[[Reference]:[Level]]),FALSE)),"")</f>
        <v>6</v>
      </c>
      <c r="T167" s="156">
        <f>_xlfn.IFNA(IF(OR(ISBLANK(TAB_CS[[#This Row],[Level]]),TAB_CS[[#This Row],[Level]]=""),,VLOOKUP(TAB_CS[[#This Row],[Profile]],TAB_prix[],2+TAB_CS[[#This Row],[Level]],FALSE)),)</f>
        <v>426.46</v>
      </c>
      <c r="U167" s="151">
        <v>70</v>
      </c>
      <c r="V167" s="205">
        <f>IF(OR(ISBLANK(TAB_CS[[#This Row],[Commited days]]),TAB_CS[[#This Row],[Commited days]]=0),,TAB_CS[[#This Row],[Commited days]]*TAB_CS[[#This Row],[Profile in €]])</f>
        <v>29852.199999999997</v>
      </c>
      <c r="W167" s="156">
        <f>SUM(TAB_CS[[#This Row],[F]:[P+1]])-TAB_CS[[#This Row],[P+1]]</f>
        <v>0</v>
      </c>
      <c r="X167" s="205">
        <f>IF(OR(ISBLANK(TAB_CS[[#This Row],[Producted days]]),TAB_CS[[#This Row],[Producted days]]=0),,TAB_CS[[#This Row],[Producted days]]*TAB_CS[[#This Row],[Profile in €]])</f>
        <v>0</v>
      </c>
      <c r="Y167" s="206">
        <f>TAB_CS[[#This Row],[Commited days]]-TAB_CS[[#This Row],[Producted days]]</f>
        <v>70</v>
      </c>
      <c r="Z167" s="205">
        <f>IF(OR(ISBLANK(TAB_CS[[#This Row],[Remaining days]]),TAB_CS[[#This Row],[Remaining days]]=0),,TAB_CS[[#This Row],[Remaining days]]*TAB_CS[[#This Row],[Profile in €]])</f>
        <v>29852.199999999997</v>
      </c>
      <c r="AA167" s="207"/>
      <c r="AB167" s="208">
        <f>IF(OR(ISBLANK(TAB_CS[[#This Row],[Expected days]]),TAB_CS[[#This Row],[Expected days]]=0),,TAB_CS[[#This Row],[Expected days]]*TAB_CS[[#This Row],[Profile in €]])</f>
        <v>0</v>
      </c>
      <c r="AC167" s="322" t="str">
        <f>CONCATENATE(TAB_CS[[#This Row],[DG]],TAB_CS[[#This Row],[Company]])</f>
        <v>ESTAT.A.5TALAN</v>
      </c>
      <c r="AD167" s="209"/>
      <c r="AE167" s="150"/>
      <c r="AF167" s="151"/>
      <c r="AG167" s="151"/>
      <c r="AH167" s="13"/>
      <c r="AI167" s="1"/>
      <c r="AJ167" s="13"/>
      <c r="AK167" s="127"/>
      <c r="AL167" s="127"/>
      <c r="AM167" s="1"/>
      <c r="AN167" s="1"/>
      <c r="AO167" s="1"/>
      <c r="AP167" s="1"/>
      <c r="AQ167" s="1"/>
      <c r="AR167" s="1"/>
      <c r="AS167" s="1"/>
      <c r="AT167" s="127"/>
      <c r="AU167" s="127"/>
      <c r="AV167" s="631"/>
      <c r="AW167" s="631"/>
      <c r="AX167" s="631"/>
      <c r="AY167" s="631"/>
      <c r="AZ167" s="631"/>
      <c r="BA167" s="171"/>
      <c r="BB167" s="171"/>
      <c r="BC167" s="171"/>
      <c r="BD167" s="171"/>
      <c r="BE167" s="171"/>
      <c r="BF167" s="171"/>
      <c r="BG167" s="171"/>
      <c r="BH167" s="171"/>
      <c r="BI167" s="323"/>
      <c r="BJ167" s="171"/>
      <c r="BK167" s="171"/>
      <c r="BL167" s="171"/>
      <c r="BM167" s="323"/>
      <c r="BN167" s="171">
        <v>17</v>
      </c>
      <c r="BO167" s="171">
        <v>18</v>
      </c>
      <c r="BP167" s="171">
        <v>18</v>
      </c>
      <c r="BQ167" s="171">
        <v>17</v>
      </c>
      <c r="BR167" s="171"/>
      <c r="BS167" s="644"/>
      <c r="BT167" s="644"/>
      <c r="BU167" s="644"/>
      <c r="BV167" s="644"/>
      <c r="BW167" s="644"/>
      <c r="BX167" s="644"/>
      <c r="BY167" s="644"/>
      <c r="BZ167" s="224"/>
    </row>
    <row r="168" spans="1:78" s="4" customFormat="1" ht="14.4" x14ac:dyDescent="0.3">
      <c r="A168" s="150">
        <f>IF(ISBLANK(TAB_CS[[#This Row],[Reference]]),"",INDEX(TAB_Offres[ID],MATCH(TAB_CS[[#This Row],[Reference]],TAB_Offres[Reference],0)))</f>
        <v>169</v>
      </c>
      <c r="B168" s="154" t="s">
        <v>6203</v>
      </c>
      <c r="C168" s="605" t="s">
        <v>6204</v>
      </c>
      <c r="D168" s="150" t="str">
        <f>IF(ISBLANK(TAB_CS[[#This Row],[Reference]]),"",VLOOKUP(TAB_CS[[#This Row],[ID]],TAB_Offres[],2,FALSE))</f>
        <v>Lot 3</v>
      </c>
      <c r="E168" s="150" t="s">
        <v>5920</v>
      </c>
      <c r="F168" s="154">
        <f>_xlfn.IFNA(IF(ISBLANK(TAB_CS[[#This Row],[Reference]]),"",VLOOKUP(TAB_CS[[#This Row],[Reference]],TAB_Offres[[Reference]:[Modification Request]],COLUMNS(TAB_Offres[[Reference]:[Modification Request]]),FALSE)),)</f>
        <v>0</v>
      </c>
      <c r="G168" s="1" t="str">
        <f>IF(ISBLANK(TAB_CS[[#This Row],[Reference]]),"",INDEX(TAB_Offres[Institution/agency],MATCH(TAB_CS[[#This Row],[Reference]],TAB_Offres[Reference],0)))</f>
        <v>EC</v>
      </c>
      <c r="H168" s="1" t="str">
        <f>IF(ISBLANK(TAB_CS[[#This Row],[Reference]]),"",INDEX(TAB_Offres[DG],MATCH(TAB_CS[[#This Row],[Reference]],TAB_Offres[Reference],0)))</f>
        <v>EMPL</v>
      </c>
      <c r="I168" s="4" t="str">
        <f>IF(ISBLANK(TAB_CS[[#This Row],[Reference]]),"",INDEX(TAB_Offres[Offer description],MATCH(TAB_CS[[#This Row],[Reference]],TAB_Offres[Reference],0)))</f>
        <v>Onboarding Manager (OM)</v>
      </c>
      <c r="J168" s="204">
        <f>_xlfn.IFNA(IF(ISBLANK(TAB_CS[[#This Row],[Ressource]]),,VLOOKUP(TAB_CS[[#This Row],[Reference]],TAB_Offres[[Reference]:[CS signature date]],COLUMNS(TAB_Offres[[Reference]:[CS signature date]]),FALSE)),"")</f>
        <v>45607</v>
      </c>
      <c r="K168" s="204">
        <f>_xlfn.IFNA(IF(ISBLANK(TAB_CS[[#This Row],[Ressource]]),,VLOOKUP(TAB_CS[[#This Row],[Reference]],TAB_Offres[[Reference]:[CS start date]],COLUMNS(TAB_Offres[[Reference]:[CS start date]]),FALSE)),"")</f>
        <v>0</v>
      </c>
      <c r="L168" s="204">
        <f>_xlfn.IFNA(IF(ISBLANK(TAB_CS[[#This Row],[Ressource]]),,VLOOKUP(TAB_CS[[#This Row],[Reference]],TAB_Offres[[Reference]:[CS end date]],COLUMNS(TAB_Offres[[Reference]:[CS end date]]),FALSE)),"")</f>
        <v>46326</v>
      </c>
      <c r="M168" s="150">
        <f>_xlfn.IFNA(IF(ISBLANK(TAB_CS[[#This Row],[Ressource]]),,VLOOKUP(TAB_CS[[#This Row],[Reference]],TAB_Offres[[Reference]:[CS State]],COLUMNS(TAB_Offres[[Reference]:[CS State]]),FALSE)),"")</f>
        <v>0</v>
      </c>
      <c r="N168" s="154" t="str">
        <f>VLOOKUP(TAB_CS[[#This Row],[Reference]],TAB_Offres[[Reference]:[Ressource 1]],25,FALSE)</f>
        <v>COOKE, Justin</v>
      </c>
      <c r="O168" s="150" t="str">
        <f>_xlfn.IFNA(IF(ISBLANK(TAB_CS[[#This Row],[Ressource]]),,VLOOKUP(TAB_CS[[#This Row],[Reference]],TAB_Offres[[Reference]:[Company]],COLUMNS(TAB_Offres[[Reference]:[Company]]),FALSE)),"")</f>
        <v>CGI LUX</v>
      </c>
      <c r="P168" s="150" t="str">
        <f>_xlfn.CONCAT(TAB_CS[[#This Row],[Ressource]],TAB_CS[[#This Row],[Profile in €]])</f>
        <v>COOKE, Justin934,37</v>
      </c>
      <c r="Q168" s="150" t="str">
        <f>_xlfn.CONCAT(TAB_CS[[#This Row],[Company]],TAB_CS[[#This Row],[Business perimeter]])</f>
        <v>CGI LUXNB</v>
      </c>
      <c r="R168" s="150" t="str">
        <f>_xlfn.IFNA(IF(ISBLANK(TAB_CS[[#This Row],[Ressource]]),"",VLOOKUP(TAB_CS[[#This Row],[Reference]],TAB_Offres[[Reference]:[Profile]],COLUMNS(TAB_Offres[[Reference]:[Profile]]),FALSE)),"")</f>
        <v>Onboarding manager#R2</v>
      </c>
      <c r="S168" s="1">
        <f>_xlfn.IFNA(IF(ISBLANK(TAB_CS[[#This Row],[Ressource]]),"",VLOOKUP(TAB_CS[[#This Row],[Reference]],TAB_Offres[[Reference]:[Level]],COLUMNS(TAB_Offres[[Reference]:[Level]]),FALSE)),"")</f>
        <v>10</v>
      </c>
      <c r="T168" s="156">
        <f>_xlfn.IFNA(IF(OR(ISBLANK(TAB_CS[[#This Row],[Level]]),TAB_CS[[#This Row],[Level]]=""),,VLOOKUP(TAB_CS[[#This Row],[Profile]],TAB_prix[],2+TAB_CS[[#This Row],[Level]],FALSE)),)</f>
        <v>934.37</v>
      </c>
      <c r="U168" s="151">
        <v>150</v>
      </c>
      <c r="V168" s="205">
        <f>IF(OR(ISBLANK(TAB_CS[[#This Row],[Commited days]]),TAB_CS[[#This Row],[Commited days]]=0),,TAB_CS[[#This Row],[Commited days]]*TAB_CS[[#This Row],[Profile in €]])</f>
        <v>140155.5</v>
      </c>
      <c r="W168" s="156">
        <f>SUM(TAB_CS[[#This Row],[F]:[P+1]])-TAB_CS[[#This Row],[P+1]]</f>
        <v>0</v>
      </c>
      <c r="X168" s="205">
        <f>IF(OR(ISBLANK(TAB_CS[[#This Row],[Producted days]]),TAB_CS[[#This Row],[Producted days]]=0),,TAB_CS[[#This Row],[Producted days]]*TAB_CS[[#This Row],[Profile in €]])</f>
        <v>0</v>
      </c>
      <c r="Y168" s="206">
        <f>TAB_CS[[#This Row],[Commited days]]-TAB_CS[[#This Row],[Producted days]]</f>
        <v>150</v>
      </c>
      <c r="Z168" s="205">
        <f>IF(OR(ISBLANK(TAB_CS[[#This Row],[Remaining days]]),TAB_CS[[#This Row],[Remaining days]]=0),,TAB_CS[[#This Row],[Remaining days]]*TAB_CS[[#This Row],[Profile in €]])</f>
        <v>140155.5</v>
      </c>
      <c r="AA168" s="207"/>
      <c r="AB168" s="208">
        <f>IF(OR(ISBLANK(TAB_CS[[#This Row],[Expected days]]),TAB_CS[[#This Row],[Expected days]]=0),,TAB_CS[[#This Row],[Expected days]]*TAB_CS[[#This Row],[Profile in €]])</f>
        <v>0</v>
      </c>
      <c r="AC168" s="322" t="str">
        <f>CONCATENATE(TAB_CS[[#This Row],[DG]],TAB_CS[[#This Row],[Company]])</f>
        <v>EMPLCGI LUX</v>
      </c>
      <c r="AD168" s="209"/>
      <c r="AE168" s="150"/>
      <c r="AF168" s="151"/>
      <c r="AG168" s="151"/>
      <c r="AH168" s="13"/>
      <c r="AI168" s="1"/>
      <c r="AJ168" s="13"/>
      <c r="AK168" s="127"/>
      <c r="AL168" s="127"/>
      <c r="AM168" s="1"/>
      <c r="AN168" s="1"/>
      <c r="AO168" s="1"/>
      <c r="AP168" s="1"/>
      <c r="AQ168" s="1"/>
      <c r="AR168" s="1"/>
      <c r="AS168" s="1"/>
      <c r="AT168" s="127"/>
      <c r="AU168" s="127"/>
      <c r="AV168" s="631"/>
      <c r="AW168" s="631"/>
      <c r="AX168" s="631"/>
      <c r="AY168" s="631"/>
      <c r="AZ168" s="631"/>
      <c r="BA168" s="171"/>
      <c r="BB168" s="171"/>
      <c r="BC168" s="171"/>
      <c r="BD168" s="171"/>
      <c r="BE168" s="171"/>
      <c r="BF168" s="171"/>
      <c r="BG168" s="171"/>
      <c r="BH168" s="171"/>
      <c r="BI168" s="323"/>
      <c r="BJ168" s="171"/>
      <c r="BK168" s="171"/>
      <c r="BL168" s="171"/>
      <c r="BM168" s="323"/>
      <c r="BN168" s="171"/>
      <c r="BO168" s="171"/>
      <c r="BP168" s="171"/>
      <c r="BQ168" s="171">
        <v>12.5</v>
      </c>
      <c r="BR168" s="171">
        <v>18</v>
      </c>
      <c r="BS168" s="171">
        <v>18</v>
      </c>
      <c r="BT168" s="171">
        <v>18</v>
      </c>
      <c r="BU168" s="171">
        <v>18</v>
      </c>
      <c r="BV168" s="171">
        <v>18</v>
      </c>
      <c r="BW168" s="171">
        <v>18</v>
      </c>
      <c r="BX168" s="171">
        <v>18</v>
      </c>
      <c r="BY168" s="171">
        <v>11.5</v>
      </c>
      <c r="BZ168" s="224"/>
    </row>
    <row r="169" spans="1:78" s="4" customFormat="1" ht="14.4" x14ac:dyDescent="0.3">
      <c r="A169" s="150">
        <f>IF(ISBLANK(TAB_CS[[#This Row],[Reference]]),"",INDEX(TAB_Offres[ID],MATCH(TAB_CS[[#This Row],[Reference]],TAB_Offres[Reference],0)))</f>
        <v>170</v>
      </c>
      <c r="B169" s="154" t="s">
        <v>6205</v>
      </c>
      <c r="C169" s="605" t="s">
        <v>6206</v>
      </c>
      <c r="D169" s="150" t="str">
        <f>IF(ISBLANK(TAB_CS[[#This Row],[Reference]]),"",VLOOKUP(TAB_CS[[#This Row],[ID]],TAB_Offres[],2,FALSE))</f>
        <v>Lot 3</v>
      </c>
      <c r="E169" s="150" t="s">
        <v>5920</v>
      </c>
      <c r="F169" s="154">
        <f>_xlfn.IFNA(IF(ISBLANK(TAB_CS[[#This Row],[Reference]]),"",VLOOKUP(TAB_CS[[#This Row],[Reference]],TAB_Offres[[Reference]:[Modification Request]],COLUMNS(TAB_Offres[[Reference]:[Modification Request]]),FALSE)),)</f>
        <v>0</v>
      </c>
      <c r="G169" s="1" t="str">
        <f>IF(ISBLANK(TAB_CS[[#This Row],[Reference]]),"",INDEX(TAB_Offres[Institution/agency],MATCH(TAB_CS[[#This Row],[Reference]],TAB_Offres[Reference],0)))</f>
        <v>EC</v>
      </c>
      <c r="H169" s="1" t="str">
        <f>IF(ISBLANK(TAB_CS[[#This Row],[Reference]]),"",INDEX(TAB_Offres[DG],MATCH(TAB_CS[[#This Row],[Reference]],TAB_Offres[Reference],0)))</f>
        <v>EMPL</v>
      </c>
      <c r="I169" s="4" t="str">
        <f>IF(ISBLANK(TAB_CS[[#This Row],[Reference]]),"",INDEX(TAB_Offres[Offer description],MATCH(TAB_CS[[#This Row],[Reference]],TAB_Offres[Reference],0)))</f>
        <v>Onboarding Manager (OM)</v>
      </c>
      <c r="J169" s="204">
        <f>_xlfn.IFNA(IF(ISBLANK(TAB_CS[[#This Row],[Ressource]]),,VLOOKUP(TAB_CS[[#This Row],[Reference]],TAB_Offres[[Reference]:[CS signature date]],COLUMNS(TAB_Offres[[Reference]:[CS signature date]]),FALSE)),"")</f>
        <v>45607</v>
      </c>
      <c r="K169" s="204">
        <f>_xlfn.IFNA(IF(ISBLANK(TAB_CS[[#This Row],[Ressource]]),,VLOOKUP(TAB_CS[[#This Row],[Reference]],TAB_Offres[[Reference]:[CS start date]],COLUMNS(TAB_Offres[[Reference]:[CS start date]]),FALSE)),"")</f>
        <v>0</v>
      </c>
      <c r="L169" s="204">
        <f>_xlfn.IFNA(IF(ISBLANK(TAB_CS[[#This Row],[Ressource]]),,VLOOKUP(TAB_CS[[#This Row],[Reference]],TAB_Offres[[Reference]:[CS end date]],COLUMNS(TAB_Offres[[Reference]:[CS end date]]),FALSE)),"")</f>
        <v>46326</v>
      </c>
      <c r="M169" s="150">
        <f>_xlfn.IFNA(IF(ISBLANK(TAB_CS[[#This Row],[Ressource]]),,VLOOKUP(TAB_CS[[#This Row],[Reference]],TAB_Offres[[Reference]:[CS State]],COLUMNS(TAB_Offres[[Reference]:[CS State]]),FALSE)),"")</f>
        <v>0</v>
      </c>
      <c r="N169" s="154" t="str">
        <f>VLOOKUP(TAB_CS[[#This Row],[Reference]],TAB_Offres[[Reference]:[Ressource 1]],25,FALSE)</f>
        <v>MUNTEANU Gabriela Alina</v>
      </c>
      <c r="O169" s="150" t="str">
        <f>_xlfn.IFNA(IF(ISBLANK(TAB_CS[[#This Row],[Ressource]]),,VLOOKUP(TAB_CS[[#This Row],[Reference]],TAB_Offres[[Reference]:[Company]],COLUMNS(TAB_Offres[[Reference]:[Company]]),FALSE)),"")</f>
        <v>CGI LUX</v>
      </c>
      <c r="P169" s="150" t="str">
        <f>_xlfn.CONCAT(TAB_CS[[#This Row],[Ressource]],TAB_CS[[#This Row],[Profile in €]])</f>
        <v>MUNTEANU Gabriela Alina934,37</v>
      </c>
      <c r="Q169" s="150" t="str">
        <f>_xlfn.CONCAT(TAB_CS[[#This Row],[Company]],TAB_CS[[#This Row],[Business perimeter]])</f>
        <v>CGI LUXNB</v>
      </c>
      <c r="R169" s="150" t="str">
        <f>_xlfn.IFNA(IF(ISBLANK(TAB_CS[[#This Row],[Ressource]]),"",VLOOKUP(TAB_CS[[#This Row],[Reference]],TAB_Offres[[Reference]:[Profile]],COLUMNS(TAB_Offres[[Reference]:[Profile]]),FALSE)),"")</f>
        <v>Onboarding manager#R2</v>
      </c>
      <c r="S169" s="1">
        <f>_xlfn.IFNA(IF(ISBLANK(TAB_CS[[#This Row],[Ressource]]),"",VLOOKUP(TAB_CS[[#This Row],[Reference]],TAB_Offres[[Reference]:[Level]],COLUMNS(TAB_Offres[[Reference]:[Level]]),FALSE)),"")</f>
        <v>10</v>
      </c>
      <c r="T169" s="156">
        <f>_xlfn.IFNA(IF(OR(ISBLANK(TAB_CS[[#This Row],[Level]]),TAB_CS[[#This Row],[Level]]=""),,VLOOKUP(TAB_CS[[#This Row],[Profile]],TAB_prix[],2+TAB_CS[[#This Row],[Level]],FALSE)),)</f>
        <v>934.37</v>
      </c>
      <c r="U169" s="151">
        <v>150</v>
      </c>
      <c r="V169" s="205">
        <f>IF(OR(ISBLANK(TAB_CS[[#This Row],[Commited days]]),TAB_CS[[#This Row],[Commited days]]=0),,TAB_CS[[#This Row],[Commited days]]*TAB_CS[[#This Row],[Profile in €]])</f>
        <v>140155.5</v>
      </c>
      <c r="W169" s="156">
        <f>SUM(TAB_CS[[#This Row],[F]:[P+1]])-TAB_CS[[#This Row],[P+1]]</f>
        <v>0</v>
      </c>
      <c r="X169" s="205">
        <f>IF(OR(ISBLANK(TAB_CS[[#This Row],[Producted days]]),TAB_CS[[#This Row],[Producted days]]=0),,TAB_CS[[#This Row],[Producted days]]*TAB_CS[[#This Row],[Profile in €]])</f>
        <v>0</v>
      </c>
      <c r="Y169" s="206">
        <f>TAB_CS[[#This Row],[Commited days]]-TAB_CS[[#This Row],[Producted days]]</f>
        <v>150</v>
      </c>
      <c r="Z169" s="205">
        <f>IF(OR(ISBLANK(TAB_CS[[#This Row],[Remaining days]]),TAB_CS[[#This Row],[Remaining days]]=0),,TAB_CS[[#This Row],[Remaining days]]*TAB_CS[[#This Row],[Profile in €]])</f>
        <v>140155.5</v>
      </c>
      <c r="AA169" s="207"/>
      <c r="AB169" s="208">
        <f>IF(OR(ISBLANK(TAB_CS[[#This Row],[Expected days]]),TAB_CS[[#This Row],[Expected days]]=0),,TAB_CS[[#This Row],[Expected days]]*TAB_CS[[#This Row],[Profile in €]])</f>
        <v>0</v>
      </c>
      <c r="AC169" s="322" t="str">
        <f>CONCATENATE(TAB_CS[[#This Row],[DG]],TAB_CS[[#This Row],[Company]])</f>
        <v>EMPLCGI LUX</v>
      </c>
      <c r="AD169" s="209"/>
      <c r="AE169" s="150"/>
      <c r="AF169" s="151"/>
      <c r="AG169" s="151"/>
      <c r="AH169" s="13"/>
      <c r="AI169" s="1"/>
      <c r="AJ169" s="13"/>
      <c r="AK169" s="127"/>
      <c r="AL169" s="127"/>
      <c r="AM169" s="1"/>
      <c r="AN169" s="1"/>
      <c r="AO169" s="1"/>
      <c r="AP169" s="1"/>
      <c r="AQ169" s="1"/>
      <c r="AR169" s="1"/>
      <c r="AS169" s="1"/>
      <c r="AT169" s="127"/>
      <c r="AU169" s="127"/>
      <c r="AV169" s="652"/>
      <c r="AW169" s="652"/>
      <c r="AX169" s="652"/>
      <c r="AY169" s="652"/>
      <c r="AZ169" s="652"/>
      <c r="BA169" s="171"/>
      <c r="BB169" s="171"/>
      <c r="BC169" s="171"/>
      <c r="BD169" s="171"/>
      <c r="BE169" s="171"/>
      <c r="BF169" s="171"/>
      <c r="BG169" s="171"/>
      <c r="BH169" s="171"/>
      <c r="BI169" s="323"/>
      <c r="BJ169" s="171"/>
      <c r="BK169" s="171"/>
      <c r="BL169" s="171"/>
      <c r="BM169" s="323"/>
      <c r="BN169" s="171"/>
      <c r="BO169" s="171"/>
      <c r="BP169" s="171"/>
      <c r="BQ169" s="171"/>
      <c r="BR169" s="171">
        <v>9</v>
      </c>
      <c r="BS169" s="171">
        <v>18</v>
      </c>
      <c r="BT169" s="171">
        <v>18</v>
      </c>
      <c r="BU169" s="171">
        <v>18</v>
      </c>
      <c r="BV169" s="171">
        <v>18</v>
      </c>
      <c r="BW169" s="171">
        <v>18</v>
      </c>
      <c r="BX169" s="171">
        <v>18</v>
      </c>
      <c r="BY169" s="171">
        <v>18</v>
      </c>
      <c r="BZ169" s="224">
        <v>15</v>
      </c>
    </row>
    <row r="170" spans="1:78" s="4" customFormat="1" ht="14.4" x14ac:dyDescent="0.3">
      <c r="A170" s="150" t="str">
        <f>IF(ISBLANK(TAB_CS[[#This Row],[Reference]]),"",INDEX(TAB_Offres[ID],MATCH(TAB_CS[[#This Row],[Reference]],TAB_Offres[Reference],0)))</f>
        <v/>
      </c>
      <c r="B170" s="154"/>
      <c r="C170" s="606"/>
      <c r="D170" s="150" t="str">
        <f>IF(ISBLANK(TAB_CS[[#This Row],[Reference]]),"",VLOOKUP(TAB_CS[[#This Row],[ID]],TAB_Offres[],2,FALSE))</f>
        <v/>
      </c>
      <c r="E170" s="150"/>
      <c r="F170" s="154" t="str">
        <f>_xlfn.IFNA(IF(ISBLANK(TAB_CS[[#This Row],[Reference]]),"",VLOOKUP(TAB_CS[[#This Row],[Reference]],TAB_Offres[[Reference]:[Modification Request]],COLUMNS(TAB_Offres[[Reference]:[Modification Request]]),FALSE)),)</f>
        <v/>
      </c>
      <c r="G170" s="1" t="str">
        <f>IF(ISBLANK(TAB_CS[[#This Row],[Reference]]),"",INDEX(TAB_Offres[Institution/agency],MATCH(TAB_CS[[#This Row],[Reference]],TAB_Offres[Reference],0)))</f>
        <v/>
      </c>
      <c r="H170" s="1" t="str">
        <f>IF(ISBLANK(TAB_CS[[#This Row],[Reference]]),"",INDEX(TAB_Offres[DG],MATCH(TAB_CS[[#This Row],[Reference]],TAB_Offres[Reference],0)))</f>
        <v/>
      </c>
      <c r="I170" s="4" t="str">
        <f>IF(ISBLANK(TAB_CS[[#This Row],[Reference]]),"",INDEX(TAB_Offres[Offer description],MATCH(TAB_CS[[#This Row],[Reference]],TAB_Offres[Reference],0)))</f>
        <v/>
      </c>
      <c r="J170" s="204" t="str">
        <f>_xlfn.IFNA(IF(ISBLANK(TAB_CS[[#This Row],[Ressource]]),,VLOOKUP(TAB_CS[[#This Row],[Reference]],TAB_Offres[[Reference]:[CS signature date]],COLUMNS(TAB_Offres[[Reference]:[CS signature date]]),FALSE)),"")</f>
        <v/>
      </c>
      <c r="K170" s="204" t="str">
        <f>_xlfn.IFNA(IF(ISBLANK(TAB_CS[[#This Row],[Ressource]]),,VLOOKUP(TAB_CS[[#This Row],[Reference]],TAB_Offres[[Reference]:[CS start date]],COLUMNS(TAB_Offres[[Reference]:[CS start date]]),FALSE)),"")</f>
        <v/>
      </c>
      <c r="L170" s="204" t="str">
        <f>_xlfn.IFNA(IF(ISBLANK(TAB_CS[[#This Row],[Ressource]]),,VLOOKUP(TAB_CS[[#This Row],[Reference]],TAB_Offres[[Reference]:[CS end date]],COLUMNS(TAB_Offres[[Reference]:[CS end date]]),FALSE)),"")</f>
        <v/>
      </c>
      <c r="M170" s="150" t="str">
        <f>_xlfn.IFNA(IF(ISBLANK(TAB_CS[[#This Row],[Ressource]]),,VLOOKUP(TAB_CS[[#This Row],[Reference]],TAB_Offres[[Reference]:[CS State]],COLUMNS(TAB_Offres[[Reference]:[CS State]]),FALSE)),"")</f>
        <v/>
      </c>
      <c r="N170" s="26" t="str">
        <f>_xlfn.IFNA(
IF(
NOT(ISBLANK(TAB_CS[[#This Row],[Reference]])),
IF(VLOOKUP(TAB_CS[[#This Row],[Reference]],#REF!,COLUMNS(#REF!),FALSE)&lt;&gt;"","",VLOOKUP(TAB_CS[[#This Row],[Reference]],TAB_Offres[[Reference]:[Ressource 1]],COLUMNS(TAB_Offres[[Reference]:[Ressource 1]]),FALSE)),""),"")</f>
        <v/>
      </c>
      <c r="O170" s="150" t="str">
        <f>_xlfn.IFNA(IF(ISBLANK(TAB_CS[[#This Row],[Ressource]]),,VLOOKUP(TAB_CS[[#This Row],[Reference]],TAB_Offres[[Reference]:[Company]],COLUMNS(TAB_Offres[[Reference]:[Company]]),FALSE)),"")</f>
        <v/>
      </c>
      <c r="P170" s="150" t="str">
        <f>_xlfn.CONCAT(TAB_CS[[#This Row],[Ressource]],TAB_CS[[#This Row],[Profile in €]])</f>
        <v>0</v>
      </c>
      <c r="Q170" s="150" t="str">
        <f>_xlfn.CONCAT(TAB_CS[[#This Row],[Company]],TAB_CS[[#This Row],[Business perimeter]])</f>
        <v/>
      </c>
      <c r="R170" s="150" t="str">
        <f>_xlfn.IFNA(IF(ISBLANK(TAB_CS[[#This Row],[Ressource]]),"",VLOOKUP(TAB_CS[[#This Row],[Reference]],TAB_Offres[[Reference]:[Profile]],COLUMNS(TAB_Offres[[Reference]:[Profile]]),FALSE)),"")</f>
        <v/>
      </c>
      <c r="S170" s="1" t="str">
        <f>_xlfn.IFNA(IF(ISBLANK(TAB_CS[[#This Row],[Ressource]]),"",VLOOKUP(TAB_CS[[#This Row],[Reference]],TAB_Offres[[Reference]:[Level]],COLUMNS(TAB_Offres[[Reference]:[Level]]),FALSE)),"")</f>
        <v/>
      </c>
      <c r="T170" s="156">
        <f>_xlfn.IFNA(IF(OR(ISBLANK(TAB_CS[[#This Row],[Level]]),TAB_CS[[#This Row],[Level]]=""),,VLOOKUP(TAB_CS[[#This Row],[Profile]],TAB_prix[],2+TAB_CS[[#This Row],[Level]],FALSE)),)</f>
        <v>0</v>
      </c>
      <c r="U170" s="151"/>
      <c r="V170" s="205">
        <f>IF(OR(ISBLANK(TAB_CS[[#This Row],[Commited days]]),TAB_CS[[#This Row],[Commited days]]=0),,TAB_CS[[#This Row],[Commited days]]*TAB_CS[[#This Row],[Profile in €]])</f>
        <v>0</v>
      </c>
      <c r="W170" s="156">
        <f>SUM(TAB_CS[[#This Row],[F]:[P+1]])-TAB_CS[[#This Row],[P+1]]</f>
        <v>0</v>
      </c>
      <c r="X170" s="205">
        <f>IF(OR(ISBLANK(TAB_CS[[#This Row],[Producted days]]),TAB_CS[[#This Row],[Producted days]]=0),,TAB_CS[[#This Row],[Producted days]]*TAB_CS[[#This Row],[Profile in €]])</f>
        <v>0</v>
      </c>
      <c r="Y170" s="206">
        <f>TAB_CS[[#This Row],[Commited days]]-TAB_CS[[#This Row],[Producted days]]</f>
        <v>0</v>
      </c>
      <c r="Z170" s="205">
        <f>IF(OR(ISBLANK(TAB_CS[[#This Row],[Remaining days]]),TAB_CS[[#This Row],[Remaining days]]=0),,TAB_CS[[#This Row],[Remaining days]]*TAB_CS[[#This Row],[Profile in €]])</f>
        <v>0</v>
      </c>
      <c r="AA170" s="207"/>
      <c r="AB170" s="208">
        <f>IF(OR(ISBLANK(TAB_CS[[#This Row],[Expected days]]),TAB_CS[[#This Row],[Expected days]]=0),,TAB_CS[[#This Row],[Expected days]]*TAB_CS[[#This Row],[Profile in €]])</f>
        <v>0</v>
      </c>
      <c r="AC170" s="322" t="str">
        <f>CONCATENATE(TAB_CS[[#This Row],[DG]],TAB_CS[[#This Row],[Company]])</f>
        <v/>
      </c>
      <c r="AD170" s="209"/>
      <c r="AE170" s="150"/>
      <c r="AF170" s="151"/>
      <c r="AG170" s="151"/>
      <c r="AH170" s="13"/>
      <c r="AI170" s="1"/>
      <c r="AJ170" s="13"/>
      <c r="AK170" s="127"/>
      <c r="AL170" s="127"/>
      <c r="AM170" s="1"/>
      <c r="AN170" s="1"/>
      <c r="AO170" s="1"/>
      <c r="AP170" s="1"/>
      <c r="AQ170" s="1"/>
      <c r="AR170" s="1"/>
      <c r="AS170" s="1"/>
      <c r="AT170" s="127"/>
      <c r="AU170" s="127"/>
      <c r="AV170" s="652"/>
      <c r="AW170" s="652"/>
      <c r="AX170" s="652"/>
      <c r="AY170" s="652"/>
      <c r="AZ170" s="652"/>
      <c r="BA170" s="171"/>
      <c r="BB170" s="171"/>
      <c r="BC170" s="171"/>
      <c r="BD170" s="171"/>
      <c r="BE170" s="171"/>
      <c r="BF170" s="171"/>
      <c r="BG170" s="171"/>
      <c r="BH170" s="171"/>
      <c r="BI170" s="323"/>
      <c r="BJ170" s="171"/>
      <c r="BK170" s="171"/>
      <c r="BL170" s="171"/>
      <c r="BM170" s="323"/>
      <c r="BN170" s="171"/>
      <c r="BO170" s="171"/>
      <c r="BP170" s="171"/>
      <c r="BQ170" s="171"/>
      <c r="BR170" s="171"/>
      <c r="BS170" s="171"/>
      <c r="BT170" s="171"/>
      <c r="BU170" s="171"/>
      <c r="BV170" s="171"/>
      <c r="BW170" s="171"/>
      <c r="BX170" s="171"/>
      <c r="BY170" s="171"/>
      <c r="BZ170" s="224"/>
    </row>
    <row r="171" spans="1:78" s="4" customFormat="1" ht="14.4" x14ac:dyDescent="0.3">
      <c r="A171" s="150" t="str">
        <f>IF(ISBLANK(TAB_CS[[#This Row],[Reference]]),"",INDEX(TAB_Offres[ID],MATCH(TAB_CS[[#This Row],[Reference]],TAB_Offres[Reference],0)))</f>
        <v/>
      </c>
      <c r="B171" s="154"/>
      <c r="C171" s="606"/>
      <c r="D171" s="150" t="str">
        <f>IF(ISBLANK(TAB_CS[[#This Row],[Reference]]),"",VLOOKUP(TAB_CS[[#This Row],[ID]],TAB_Offres[],2,FALSE))</f>
        <v/>
      </c>
      <c r="E171" s="150"/>
      <c r="F171" s="154" t="str">
        <f>_xlfn.IFNA(IF(ISBLANK(TAB_CS[[#This Row],[Reference]]),"",VLOOKUP(TAB_CS[[#This Row],[Reference]],TAB_Offres[[Reference]:[Modification Request]],COLUMNS(TAB_Offres[[Reference]:[Modification Request]]),FALSE)),)</f>
        <v/>
      </c>
      <c r="G171" s="1" t="str">
        <f>IF(ISBLANK(TAB_CS[[#This Row],[Reference]]),"",INDEX(TAB_Offres[Institution/agency],MATCH(TAB_CS[[#This Row],[Reference]],TAB_Offres[Reference],0)))</f>
        <v/>
      </c>
      <c r="H171" s="1" t="str">
        <f>IF(ISBLANK(TAB_CS[[#This Row],[Reference]]),"",INDEX(TAB_Offres[DG],MATCH(TAB_CS[[#This Row],[Reference]],TAB_Offres[Reference],0)))</f>
        <v/>
      </c>
      <c r="I171" s="4" t="str">
        <f>IF(ISBLANK(TAB_CS[[#This Row],[Reference]]),"",INDEX(TAB_Offres[Offer description],MATCH(TAB_CS[[#This Row],[Reference]],TAB_Offres[Reference],0)))</f>
        <v/>
      </c>
      <c r="J171" s="204" t="str">
        <f>_xlfn.IFNA(IF(ISBLANK(TAB_CS[[#This Row],[Ressource]]),,VLOOKUP(TAB_CS[[#This Row],[Reference]],TAB_Offres[[Reference]:[CS signature date]],COLUMNS(TAB_Offres[[Reference]:[CS signature date]]),FALSE)),"")</f>
        <v/>
      </c>
      <c r="K171" s="204" t="str">
        <f>_xlfn.IFNA(IF(ISBLANK(TAB_CS[[#This Row],[Ressource]]),,VLOOKUP(TAB_CS[[#This Row],[Reference]],TAB_Offres[[Reference]:[CS start date]],COLUMNS(TAB_Offres[[Reference]:[CS start date]]),FALSE)),"")</f>
        <v/>
      </c>
      <c r="L171" s="204" t="str">
        <f>_xlfn.IFNA(IF(ISBLANK(TAB_CS[[#This Row],[Ressource]]),,VLOOKUP(TAB_CS[[#This Row],[Reference]],TAB_Offres[[Reference]:[CS end date]],COLUMNS(TAB_Offres[[Reference]:[CS end date]]),FALSE)),"")</f>
        <v/>
      </c>
      <c r="M171" s="150" t="str">
        <f>_xlfn.IFNA(IF(ISBLANK(TAB_CS[[#This Row],[Ressource]]),,VLOOKUP(TAB_CS[[#This Row],[Reference]],TAB_Offres[[Reference]:[CS State]],COLUMNS(TAB_Offres[[Reference]:[CS State]]),FALSE)),"")</f>
        <v/>
      </c>
      <c r="N171" s="26" t="str">
        <f>_xlfn.IFNA(
IF(
NOT(ISBLANK(TAB_CS[[#This Row],[Reference]])),
IF(VLOOKUP(TAB_CS[[#This Row],[Reference]],#REF!,COLUMNS(#REF!),FALSE)&lt;&gt;"","",VLOOKUP(TAB_CS[[#This Row],[Reference]],TAB_Offres[[Reference]:[Ressource 1]],COLUMNS(TAB_Offres[[Reference]:[Ressource 1]]),FALSE)),""),"")</f>
        <v/>
      </c>
      <c r="O171" s="150" t="str">
        <f>_xlfn.IFNA(IF(ISBLANK(TAB_CS[[#This Row],[Ressource]]),,VLOOKUP(TAB_CS[[#This Row],[Reference]],TAB_Offres[[Reference]:[Company]],COLUMNS(TAB_Offres[[Reference]:[Company]]),FALSE)),"")</f>
        <v/>
      </c>
      <c r="P171" s="150" t="str">
        <f>_xlfn.CONCAT(TAB_CS[[#This Row],[Ressource]],TAB_CS[[#This Row],[Profile in €]])</f>
        <v>0</v>
      </c>
      <c r="Q171" s="150" t="str">
        <f>_xlfn.CONCAT(TAB_CS[[#This Row],[Company]],TAB_CS[[#This Row],[Business perimeter]])</f>
        <v/>
      </c>
      <c r="R171" s="150" t="str">
        <f>_xlfn.IFNA(IF(ISBLANK(TAB_CS[[#This Row],[Ressource]]),"",VLOOKUP(TAB_CS[[#This Row],[Reference]],TAB_Offres[[Reference]:[Profile]],COLUMNS(TAB_Offres[[Reference]:[Profile]]),FALSE)),"")</f>
        <v/>
      </c>
      <c r="S171" s="1" t="str">
        <f>_xlfn.IFNA(IF(ISBLANK(TAB_CS[[#This Row],[Ressource]]),"",VLOOKUP(TAB_CS[[#This Row],[Reference]],TAB_Offres[[Reference]:[Level]],COLUMNS(TAB_Offres[[Reference]:[Level]]),FALSE)),"")</f>
        <v/>
      </c>
      <c r="T171" s="156">
        <f>_xlfn.IFNA(IF(OR(ISBLANK(TAB_CS[[#This Row],[Level]]),TAB_CS[[#This Row],[Level]]=""),,VLOOKUP(TAB_CS[[#This Row],[Profile]],TAB_prix[],2+TAB_CS[[#This Row],[Level]],FALSE)),)</f>
        <v>0</v>
      </c>
      <c r="U171" s="151"/>
      <c r="V171" s="205">
        <f>IF(OR(ISBLANK(TAB_CS[[#This Row],[Commited days]]),TAB_CS[[#This Row],[Commited days]]=0),,TAB_CS[[#This Row],[Commited days]]*TAB_CS[[#This Row],[Profile in €]])</f>
        <v>0</v>
      </c>
      <c r="W171" s="156">
        <f>SUM(TAB_CS[[#This Row],[F]:[P+1]])-TAB_CS[[#This Row],[P+1]]</f>
        <v>0</v>
      </c>
      <c r="X171" s="205">
        <f>IF(OR(ISBLANK(TAB_CS[[#This Row],[Producted days]]),TAB_CS[[#This Row],[Producted days]]=0),,TAB_CS[[#This Row],[Producted days]]*TAB_CS[[#This Row],[Profile in €]])</f>
        <v>0</v>
      </c>
      <c r="Y171" s="206">
        <f>TAB_CS[[#This Row],[Commited days]]-TAB_CS[[#This Row],[Producted days]]</f>
        <v>0</v>
      </c>
      <c r="Z171" s="205">
        <f>IF(OR(ISBLANK(TAB_CS[[#This Row],[Remaining days]]),TAB_CS[[#This Row],[Remaining days]]=0),,TAB_CS[[#This Row],[Remaining days]]*TAB_CS[[#This Row],[Profile in €]])</f>
        <v>0</v>
      </c>
      <c r="AA171" s="207"/>
      <c r="AB171" s="208">
        <f>IF(OR(ISBLANK(TAB_CS[[#This Row],[Expected days]]),TAB_CS[[#This Row],[Expected days]]=0),,TAB_CS[[#This Row],[Expected days]]*TAB_CS[[#This Row],[Profile in €]])</f>
        <v>0</v>
      </c>
      <c r="AC171" s="322" t="str">
        <f>CONCATENATE(TAB_CS[[#This Row],[DG]],TAB_CS[[#This Row],[Company]])</f>
        <v/>
      </c>
      <c r="AD171" s="209"/>
      <c r="AE171" s="150"/>
      <c r="AF171" s="151"/>
      <c r="AG171" s="151"/>
      <c r="AH171" s="13"/>
      <c r="AI171" s="1"/>
      <c r="AJ171" s="13"/>
      <c r="AK171" s="127"/>
      <c r="AL171" s="127"/>
      <c r="AM171" s="1"/>
      <c r="AN171" s="1"/>
      <c r="AO171" s="1"/>
      <c r="AP171" s="1"/>
      <c r="AQ171" s="1"/>
      <c r="AR171" s="1"/>
      <c r="AS171" s="1"/>
      <c r="AT171" s="127"/>
      <c r="AU171" s="127"/>
      <c r="AV171" s="652"/>
      <c r="AW171" s="652"/>
      <c r="AX171" s="652"/>
      <c r="AY171" s="652"/>
      <c r="AZ171" s="652"/>
      <c r="BA171" s="171"/>
      <c r="BB171" s="171"/>
      <c r="BC171" s="171"/>
      <c r="BD171" s="171"/>
      <c r="BE171" s="171"/>
      <c r="BF171" s="171"/>
      <c r="BG171" s="171"/>
      <c r="BH171" s="171"/>
      <c r="BI171" s="323"/>
      <c r="BJ171" s="171"/>
      <c r="BK171" s="171"/>
      <c r="BL171" s="171"/>
      <c r="BM171" s="323"/>
      <c r="BN171" s="171"/>
      <c r="BO171" s="171"/>
      <c r="BP171" s="171"/>
      <c r="BQ171" s="171"/>
      <c r="BR171" s="171"/>
      <c r="BS171" s="171"/>
      <c r="BT171" s="171"/>
      <c r="BU171" s="171"/>
      <c r="BV171" s="171"/>
      <c r="BW171" s="171"/>
      <c r="BX171" s="171"/>
      <c r="BY171" s="171"/>
      <c r="BZ171" s="224"/>
    </row>
    <row r="172" spans="1:78" s="4" customFormat="1" ht="14.4" x14ac:dyDescent="0.3">
      <c r="A172" s="150" t="str">
        <f>IF(ISBLANK(TAB_CS[[#This Row],[Reference]]),"",INDEX(TAB_Offres[ID],MATCH(TAB_CS[[#This Row],[Reference]],TAB_Offres[Reference],0)))</f>
        <v/>
      </c>
      <c r="B172" s="154"/>
      <c r="C172" s="606"/>
      <c r="D172" s="150" t="str">
        <f>IF(ISBLANK(TAB_CS[[#This Row],[Reference]]),"",VLOOKUP(TAB_CS[[#This Row],[ID]],TAB_Offres[],2,FALSE))</f>
        <v/>
      </c>
      <c r="E172" s="150"/>
      <c r="F172" s="154" t="str">
        <f>_xlfn.IFNA(IF(ISBLANK(TAB_CS[[#This Row],[Reference]]),"",VLOOKUP(TAB_CS[[#This Row],[Reference]],TAB_Offres[[Reference]:[Modification Request]],COLUMNS(TAB_Offres[[Reference]:[Modification Request]]),FALSE)),)</f>
        <v/>
      </c>
      <c r="G172" s="1" t="str">
        <f>IF(ISBLANK(TAB_CS[[#This Row],[Reference]]),"",INDEX(TAB_Offres[Institution/agency],MATCH(TAB_CS[[#This Row],[Reference]],TAB_Offres[Reference],0)))</f>
        <v/>
      </c>
      <c r="H172" s="1" t="str">
        <f>IF(ISBLANK(TAB_CS[[#This Row],[Reference]]),"",INDEX(TAB_Offres[DG],MATCH(TAB_CS[[#This Row],[Reference]],TAB_Offres[Reference],0)))</f>
        <v/>
      </c>
      <c r="I172" s="4" t="str">
        <f>IF(ISBLANK(TAB_CS[[#This Row],[Reference]]),"",INDEX(TAB_Offres[Offer description],MATCH(TAB_CS[[#This Row],[Reference]],TAB_Offres[Reference],0)))</f>
        <v/>
      </c>
      <c r="J172" s="204" t="str">
        <f>_xlfn.IFNA(IF(ISBLANK(TAB_CS[[#This Row],[Ressource]]),,VLOOKUP(TAB_CS[[#This Row],[Reference]],TAB_Offres[[Reference]:[CS signature date]],COLUMNS(TAB_Offres[[Reference]:[CS signature date]]),FALSE)),"")</f>
        <v/>
      </c>
      <c r="K172" s="204" t="str">
        <f>_xlfn.IFNA(IF(ISBLANK(TAB_CS[[#This Row],[Ressource]]),,VLOOKUP(TAB_CS[[#This Row],[Reference]],TAB_Offres[[Reference]:[CS start date]],COLUMNS(TAB_Offres[[Reference]:[CS start date]]),FALSE)),"")</f>
        <v/>
      </c>
      <c r="L172" s="204" t="str">
        <f>_xlfn.IFNA(IF(ISBLANK(TAB_CS[[#This Row],[Ressource]]),,VLOOKUP(TAB_CS[[#This Row],[Reference]],TAB_Offres[[Reference]:[CS end date]],COLUMNS(TAB_Offres[[Reference]:[CS end date]]),FALSE)),"")</f>
        <v/>
      </c>
      <c r="M172" s="150" t="str">
        <f>_xlfn.IFNA(IF(ISBLANK(TAB_CS[[#This Row],[Ressource]]),,VLOOKUP(TAB_CS[[#This Row],[Reference]],TAB_Offres[[Reference]:[CS State]],COLUMNS(TAB_Offres[[Reference]:[CS State]]),FALSE)),"")</f>
        <v/>
      </c>
      <c r="N172" s="26" t="str">
        <f>_xlfn.IFNA(
IF(
NOT(ISBLANK(TAB_CS[[#This Row],[Reference]])),
IF(VLOOKUP(TAB_CS[[#This Row],[Reference]],#REF!,COLUMNS(#REF!),FALSE)&lt;&gt;"","",VLOOKUP(TAB_CS[[#This Row],[Reference]],TAB_Offres[[Reference]:[Ressource 1]],COLUMNS(TAB_Offres[[Reference]:[Ressource 1]]),FALSE)),""),"")</f>
        <v/>
      </c>
      <c r="O172" s="150" t="str">
        <f>_xlfn.IFNA(IF(ISBLANK(TAB_CS[[#This Row],[Ressource]]),,VLOOKUP(TAB_CS[[#This Row],[Reference]],TAB_Offres[[Reference]:[Company]],COLUMNS(TAB_Offres[[Reference]:[Company]]),FALSE)),"")</f>
        <v/>
      </c>
      <c r="P172" s="150" t="str">
        <f>_xlfn.CONCAT(TAB_CS[[#This Row],[Ressource]],TAB_CS[[#This Row],[Profile in €]])</f>
        <v>0</v>
      </c>
      <c r="Q172" s="150" t="str">
        <f>_xlfn.CONCAT(TAB_CS[[#This Row],[Company]],TAB_CS[[#This Row],[Business perimeter]])</f>
        <v/>
      </c>
      <c r="R172" s="150" t="str">
        <f>_xlfn.IFNA(IF(ISBLANK(TAB_CS[[#This Row],[Ressource]]),"",VLOOKUP(TAB_CS[[#This Row],[Reference]],TAB_Offres[[Reference]:[Profile]],COLUMNS(TAB_Offres[[Reference]:[Profile]]),FALSE)),"")</f>
        <v/>
      </c>
      <c r="S172" s="1" t="str">
        <f>_xlfn.IFNA(IF(ISBLANK(TAB_CS[[#This Row],[Ressource]]),"",VLOOKUP(TAB_CS[[#This Row],[Reference]],TAB_Offres[[Reference]:[Level]],COLUMNS(TAB_Offres[[Reference]:[Level]]),FALSE)),"")</f>
        <v/>
      </c>
      <c r="T172" s="156">
        <f>_xlfn.IFNA(IF(OR(ISBLANK(TAB_CS[[#This Row],[Level]]),TAB_CS[[#This Row],[Level]]=""),,VLOOKUP(TAB_CS[[#This Row],[Profile]],TAB_prix[],2+TAB_CS[[#This Row],[Level]],FALSE)),)</f>
        <v>0</v>
      </c>
      <c r="U172" s="151"/>
      <c r="V172" s="205">
        <f>IF(OR(ISBLANK(TAB_CS[[#This Row],[Commited days]]),TAB_CS[[#This Row],[Commited days]]=0),,TAB_CS[[#This Row],[Commited days]]*TAB_CS[[#This Row],[Profile in €]])</f>
        <v>0</v>
      </c>
      <c r="W172" s="156">
        <f>SUM(TAB_CS[[#This Row],[F]:[P+1]])-TAB_CS[[#This Row],[P+1]]</f>
        <v>0</v>
      </c>
      <c r="X172" s="205">
        <f>IF(OR(ISBLANK(TAB_CS[[#This Row],[Producted days]]),TAB_CS[[#This Row],[Producted days]]=0),,TAB_CS[[#This Row],[Producted days]]*TAB_CS[[#This Row],[Profile in €]])</f>
        <v>0</v>
      </c>
      <c r="Y172" s="206">
        <f>TAB_CS[[#This Row],[Commited days]]-TAB_CS[[#This Row],[Producted days]]</f>
        <v>0</v>
      </c>
      <c r="Z172" s="205">
        <f>IF(OR(ISBLANK(TAB_CS[[#This Row],[Remaining days]]),TAB_CS[[#This Row],[Remaining days]]=0),,TAB_CS[[#This Row],[Remaining days]]*TAB_CS[[#This Row],[Profile in €]])</f>
        <v>0</v>
      </c>
      <c r="AA172" s="207"/>
      <c r="AB172" s="208">
        <f>IF(OR(ISBLANK(TAB_CS[[#This Row],[Expected days]]),TAB_CS[[#This Row],[Expected days]]=0),,TAB_CS[[#This Row],[Expected days]]*TAB_CS[[#This Row],[Profile in €]])</f>
        <v>0</v>
      </c>
      <c r="AC172" s="322" t="str">
        <f>CONCATENATE(TAB_CS[[#This Row],[DG]],TAB_CS[[#This Row],[Company]])</f>
        <v/>
      </c>
      <c r="AD172" s="209"/>
      <c r="AE172" s="150"/>
      <c r="AF172" s="151"/>
      <c r="AG172" s="151"/>
      <c r="AH172" s="13"/>
      <c r="AI172" s="1"/>
      <c r="AJ172" s="13"/>
      <c r="AK172" s="127"/>
      <c r="AL172" s="127"/>
      <c r="AM172" s="1"/>
      <c r="AN172" s="1"/>
      <c r="AO172" s="1"/>
      <c r="AP172" s="1"/>
      <c r="AQ172" s="1"/>
      <c r="AR172" s="1"/>
      <c r="AS172" s="1"/>
      <c r="AT172" s="127"/>
      <c r="AU172" s="127"/>
      <c r="AV172" s="631"/>
      <c r="AW172" s="631"/>
      <c r="AX172" s="631"/>
      <c r="AY172" s="631"/>
      <c r="AZ172" s="631"/>
      <c r="BA172" s="171"/>
      <c r="BB172" s="171"/>
      <c r="BC172" s="171"/>
      <c r="BD172" s="171"/>
      <c r="BE172" s="171"/>
      <c r="BF172" s="171"/>
      <c r="BG172" s="171"/>
      <c r="BH172" s="171"/>
      <c r="BI172" s="323"/>
      <c r="BJ172" s="171"/>
      <c r="BK172" s="171"/>
      <c r="BL172" s="171"/>
      <c r="BM172" s="323"/>
      <c r="BN172" s="171"/>
      <c r="BO172" s="171"/>
      <c r="BP172" s="171"/>
      <c r="BQ172" s="171"/>
      <c r="BR172" s="171"/>
      <c r="BS172" s="171"/>
      <c r="BT172" s="171"/>
      <c r="BU172" s="171"/>
      <c r="BV172" s="171"/>
      <c r="BW172" s="171"/>
      <c r="BX172" s="171"/>
      <c r="BY172" s="171"/>
      <c r="BZ172" s="224"/>
    </row>
    <row r="173" spans="1:78" s="4" customFormat="1" ht="14.4" x14ac:dyDescent="0.3">
      <c r="A173" s="150" t="str">
        <f>IF(ISBLANK(TAB_CS[[#This Row],[Reference]]),"",INDEX(TAB_Offres[ID],MATCH(TAB_CS[[#This Row],[Reference]],TAB_Offres[Reference],0)))</f>
        <v/>
      </c>
      <c r="B173" s="154"/>
      <c r="C173" s="606"/>
      <c r="D173" s="150" t="str">
        <f>IF(ISBLANK(TAB_CS[[#This Row],[Reference]]),"",VLOOKUP(TAB_CS[[#This Row],[ID]],TAB_Offres[],2,FALSE))</f>
        <v/>
      </c>
      <c r="E173" s="150"/>
      <c r="F173" s="154" t="str">
        <f>_xlfn.IFNA(IF(ISBLANK(TAB_CS[[#This Row],[Reference]]),"",VLOOKUP(TAB_CS[[#This Row],[Reference]],TAB_Offres[[Reference]:[Modification Request]],COLUMNS(TAB_Offres[[Reference]:[Modification Request]]),FALSE)),)</f>
        <v/>
      </c>
      <c r="G173" s="1" t="str">
        <f>IF(ISBLANK(TAB_CS[[#This Row],[Reference]]),"",INDEX(TAB_Offres[Institution/agency],MATCH(TAB_CS[[#This Row],[Reference]],TAB_Offres[Reference],0)))</f>
        <v/>
      </c>
      <c r="H173" s="1" t="str">
        <f>IF(ISBLANK(TAB_CS[[#This Row],[Reference]]),"",INDEX(TAB_Offres[DG],MATCH(TAB_CS[[#This Row],[Reference]],TAB_Offres[Reference],0)))</f>
        <v/>
      </c>
      <c r="I173" s="4" t="str">
        <f>IF(ISBLANK(TAB_CS[[#This Row],[Reference]]),"",INDEX(TAB_Offres[Offer description],MATCH(TAB_CS[[#This Row],[Reference]],TAB_Offres[Reference],0)))</f>
        <v/>
      </c>
      <c r="J173" s="204">
        <f>_xlfn.IFNA(IF(ISBLANK(TAB_CS[[#This Row],[Ressource]]),,VLOOKUP(TAB_CS[[#This Row],[Reference]],TAB_Offres[[Reference]:[CS signature date]],COLUMNS(TAB_Offres[[Reference]:[CS signature date]]),FALSE)),"")</f>
        <v>0</v>
      </c>
      <c r="K173" s="204">
        <f>_xlfn.IFNA(IF(ISBLANK(TAB_CS[[#This Row],[Ressource]]),,VLOOKUP(TAB_CS[[#This Row],[Reference]],TAB_Offres[[Reference]:[CS start date]],COLUMNS(TAB_Offres[[Reference]:[CS start date]]),FALSE)),"")</f>
        <v>0</v>
      </c>
      <c r="L173" s="204">
        <f>_xlfn.IFNA(IF(ISBLANK(TAB_CS[[#This Row],[Ressource]]),,VLOOKUP(TAB_CS[[#This Row],[Reference]],TAB_Offres[[Reference]:[CS end date]],COLUMNS(TAB_Offres[[Reference]:[CS end date]]),FALSE)),"")</f>
        <v>0</v>
      </c>
      <c r="M173" s="150">
        <f>_xlfn.IFNA(IF(ISBLANK(TAB_CS[[#This Row],[Ressource]]),,VLOOKUP(TAB_CS[[#This Row],[Reference]],TAB_Offres[[Reference]:[CS State]],COLUMNS(TAB_Offres[[Reference]:[CS State]]),FALSE)),"")</f>
        <v>0</v>
      </c>
      <c r="N173" s="26"/>
      <c r="O173" s="150">
        <f>_xlfn.IFNA(IF(ISBLANK(TAB_CS[[#This Row],[Ressource]]),,VLOOKUP(TAB_CS[[#This Row],[Reference]],TAB_Offres[[Reference]:[Company]],COLUMNS(TAB_Offres[[Reference]:[Company]]),FALSE)),"")</f>
        <v>0</v>
      </c>
      <c r="P173" s="150" t="str">
        <f>_xlfn.CONCAT(TAB_CS[[#This Row],[Ressource]],TAB_CS[[#This Row],[Profile in €]])</f>
        <v>0</v>
      </c>
      <c r="Q173" s="150" t="str">
        <f>_xlfn.CONCAT(TAB_CS[[#This Row],[Company]],TAB_CS[[#This Row],[Business perimeter]])</f>
        <v>0</v>
      </c>
      <c r="R173" s="150" t="str">
        <f>_xlfn.IFNA(IF(ISBLANK(TAB_CS[[#This Row],[Ressource]]),"",VLOOKUP(TAB_CS[[#This Row],[Reference]],TAB_Offres[[Reference]:[Profile]],COLUMNS(TAB_Offres[[Reference]:[Profile]]),FALSE)),"")</f>
        <v/>
      </c>
      <c r="S173" s="1" t="str">
        <f>_xlfn.IFNA(IF(ISBLANK(TAB_CS[[#This Row],[Ressource]]),"",VLOOKUP(TAB_CS[[#This Row],[Reference]],TAB_Offres[[Reference]:[Level]],COLUMNS(TAB_Offres[[Reference]:[Level]]),FALSE)),"")</f>
        <v/>
      </c>
      <c r="T173" s="156">
        <f>_xlfn.IFNA(IF(OR(ISBLANK(TAB_CS[[#This Row],[Level]]),TAB_CS[[#This Row],[Level]]=""),,VLOOKUP(TAB_CS[[#This Row],[Profile]],TAB_prix[],2+TAB_CS[[#This Row],[Level]],FALSE)),)</f>
        <v>0</v>
      </c>
      <c r="U173" s="151"/>
      <c r="V173" s="205">
        <f>IF(OR(ISBLANK(TAB_CS[[#This Row],[Commited days]]),TAB_CS[[#This Row],[Commited days]]=0),,TAB_CS[[#This Row],[Commited days]]*TAB_CS[[#This Row],[Profile in €]])</f>
        <v>0</v>
      </c>
      <c r="W173" s="156">
        <f>SUM(TAB_CS[[#This Row],[F]:[P+1]])-TAB_CS[[#This Row],[P+1]]</f>
        <v>0</v>
      </c>
      <c r="X173" s="205">
        <f>IF(OR(ISBLANK(TAB_CS[[#This Row],[Producted days]]),TAB_CS[[#This Row],[Producted days]]=0),,TAB_CS[[#This Row],[Producted days]]*TAB_CS[[#This Row],[Profile in €]])</f>
        <v>0</v>
      </c>
      <c r="Y173" s="206">
        <f>TAB_CS[[#This Row],[Commited days]]-TAB_CS[[#This Row],[Producted days]]</f>
        <v>0</v>
      </c>
      <c r="Z173" s="205">
        <f>IF(OR(ISBLANK(TAB_CS[[#This Row],[Remaining days]]),TAB_CS[[#This Row],[Remaining days]]=0),,TAB_CS[[#This Row],[Remaining days]]*TAB_CS[[#This Row],[Profile in €]])</f>
        <v>0</v>
      </c>
      <c r="AA173" s="207">
        <f>SUM(TAB_CS[[#This Row],[P+1]:[FP]])</f>
        <v>0</v>
      </c>
      <c r="AB173" s="208">
        <f>IF(OR(ISBLANK(TAB_CS[[#This Row],[Expected days]]),TAB_CS[[#This Row],[Expected days]]=0),,TAB_CS[[#This Row],[Expected days]]*TAB_CS[[#This Row],[Profile in €]])</f>
        <v>0</v>
      </c>
      <c r="AC173" s="322" t="str">
        <f>CONCATENATE(TAB_CS[[#This Row],[DG]],TAB_CS[[#This Row],[Company]])</f>
        <v>0</v>
      </c>
      <c r="AD173" s="209"/>
      <c r="AE173" s="150"/>
      <c r="AF173" s="151"/>
      <c r="AG173" s="151"/>
      <c r="AH173" s="13"/>
      <c r="AI173" s="1"/>
      <c r="AJ173" s="13"/>
      <c r="AK173" s="127"/>
      <c r="AL173" s="127"/>
      <c r="AM173" s="1"/>
      <c r="AN173" s="1"/>
      <c r="AO173" s="1"/>
      <c r="AP173" s="1"/>
      <c r="AQ173" s="1"/>
      <c r="AR173" s="1"/>
      <c r="AS173" s="1"/>
      <c r="AT173" s="127"/>
      <c r="AU173" s="127"/>
      <c r="AV173" s="540"/>
      <c r="AW173" s="540"/>
      <c r="AX173" s="540"/>
      <c r="AY173" s="540"/>
      <c r="AZ173" s="540"/>
      <c r="BA173" s="171"/>
      <c r="BB173" s="171"/>
      <c r="BC173" s="171"/>
      <c r="BD173" s="171"/>
      <c r="BE173" s="171"/>
      <c r="BF173" s="171"/>
      <c r="BG173" s="171"/>
      <c r="BH173" s="171"/>
      <c r="BI173" s="323"/>
      <c r="BJ173" s="171"/>
      <c r="BK173" s="171"/>
      <c r="BL173" s="171"/>
      <c r="BM173" s="323"/>
      <c r="BN173" s="171"/>
      <c r="BO173" s="171"/>
      <c r="BP173" s="171"/>
      <c r="BQ173" s="171"/>
      <c r="BR173" s="171"/>
      <c r="BS173" s="171"/>
      <c r="BT173" s="171"/>
      <c r="BU173" s="171"/>
      <c r="BV173" s="171"/>
      <c r="BW173" s="171"/>
      <c r="BX173" s="171"/>
      <c r="BY173" s="171"/>
      <c r="BZ173" s="224"/>
    </row>
    <row r="174" spans="1:78" s="4" customFormat="1" ht="14.4" x14ac:dyDescent="0.3">
      <c r="A174" s="150" t="str">
        <f>IF(ISBLANK(TAB_CS[[#This Row],[Reference]]),"",INDEX(TAB_Offres[ID],MATCH(TAB_CS[[#This Row],[Reference]],TAB_Offres[Reference],0)))</f>
        <v/>
      </c>
      <c r="B174" s="154"/>
      <c r="C174" s="606"/>
      <c r="D174" s="150" t="str">
        <f>IF(ISBLANK(TAB_CS[[#This Row],[Reference]]),"",VLOOKUP(TAB_CS[[#This Row],[ID]],TAB_Offres[],2,FALSE))</f>
        <v/>
      </c>
      <c r="E174" s="150"/>
      <c r="F174" s="154" t="str">
        <f>_xlfn.IFNA(IF(ISBLANK(TAB_CS[[#This Row],[Reference]]),"",VLOOKUP(TAB_CS[[#This Row],[Reference]],TAB_Offres[[Reference]:[Modification Request]],COLUMNS(TAB_Offres[[Reference]:[Modification Request]]),FALSE)),)</f>
        <v/>
      </c>
      <c r="G174" s="150" t="str">
        <f>IF(ISBLANK(TAB_CS[[#This Row],[Reference]]),"",INDEX(TAB_Offres[Institution/agency],MATCH(TAB_CS[[#This Row],[Reference]],TAB_Offres[Reference],0)))</f>
        <v/>
      </c>
      <c r="H174" s="150" t="str">
        <f>IF(ISBLANK(TAB_CS[[#This Row],[Reference]]),"",INDEX(TAB_Offres[DG],MATCH(TAB_CS[[#This Row],[Reference]],TAB_Offres[Reference],0)))</f>
        <v/>
      </c>
      <c r="I174" s="4" t="str">
        <f>IF(ISBLANK(TAB_CS[[#This Row],[Reference]]),"",INDEX(TAB_Offres[Offer description],MATCH(TAB_CS[[#This Row],[Reference]],TAB_Offres[Reference],0)))</f>
        <v/>
      </c>
      <c r="J174" s="204">
        <f>_xlfn.IFNA(IF(ISBLANK(TAB_CS[[#This Row],[Ressource]]),,VLOOKUP(TAB_CS[[#This Row],[Reference]],TAB_Offres[[Reference]:[CS signature date]],COLUMNS(TAB_Offres[[Reference]:[CS signature date]]),FALSE)),"")</f>
        <v>0</v>
      </c>
      <c r="K174" s="204">
        <f>_xlfn.IFNA(IF(ISBLANK(TAB_CS[[#This Row],[Ressource]]),,VLOOKUP(TAB_CS[[#This Row],[Reference]],TAB_Offres[[Reference]:[CS start date]],COLUMNS(TAB_Offres[[Reference]:[CS start date]]),FALSE)),"")</f>
        <v>0</v>
      </c>
      <c r="L174" s="204">
        <f>_xlfn.IFNA(IF(ISBLANK(TAB_CS[[#This Row],[Ressource]]),,VLOOKUP(TAB_CS[[#This Row],[Reference]],TAB_Offres[[Reference]:[CS end date]],COLUMNS(TAB_Offres[[Reference]:[CS end date]]),FALSE)),"")</f>
        <v>0</v>
      </c>
      <c r="M174" s="150">
        <f>_xlfn.IFNA(IF(ISBLANK(TAB_CS[[#This Row],[Ressource]]),,VLOOKUP(TAB_CS[[#This Row],[Reference]],TAB_Offres[[Reference]:[CS State]],COLUMNS(TAB_Offres[[Reference]:[CS State]]),FALSE)),"")</f>
        <v>0</v>
      </c>
      <c r="N174" s="26"/>
      <c r="O174" s="150">
        <f>_xlfn.IFNA(IF(ISBLANK(TAB_CS[[#This Row],[Ressource]]),,VLOOKUP(TAB_CS[[#This Row],[Reference]],TAB_Offres[[Reference]:[Company]],COLUMNS(TAB_Offres[[Reference]:[Company]]),FALSE)),"")</f>
        <v>0</v>
      </c>
      <c r="P174" s="150" t="str">
        <f>_xlfn.CONCAT(TAB_CS[[#This Row],[Ressource]],TAB_CS[[#This Row],[Profile in €]])</f>
        <v>0</v>
      </c>
      <c r="Q174" s="150" t="str">
        <f>_xlfn.CONCAT(TAB_CS[[#This Row],[Company]],TAB_CS[[#This Row],[Business perimeter]])</f>
        <v>0</v>
      </c>
      <c r="R174" s="150" t="str">
        <f>_xlfn.IFNA(IF(ISBLANK(TAB_CS[[#This Row],[Ressource]]),"",VLOOKUP(TAB_CS[[#This Row],[Reference]],TAB_Offres[[Reference]:[Profile]],COLUMNS(TAB_Offres[[Reference]:[Profile]]),FALSE)),"")</f>
        <v/>
      </c>
      <c r="S174" s="150" t="str">
        <f>_xlfn.IFNA(IF(ISBLANK(TAB_CS[[#This Row],[Ressource]]),"",VLOOKUP(TAB_CS[[#This Row],[Reference]],TAB_Offres[[Reference]:[Level]],COLUMNS(TAB_Offres[[Reference]:[Level]]),FALSE)),"")</f>
        <v/>
      </c>
      <c r="T174" s="156">
        <f>_xlfn.IFNA(IF(OR(ISBLANK(TAB_CS[[#This Row],[Level]]),TAB_CS[[#This Row],[Level]]=""),,VLOOKUP(TAB_CS[[#This Row],[Profile]],TAB_prix[],2+TAB_CS[[#This Row],[Level]],FALSE)),)</f>
        <v>0</v>
      </c>
      <c r="U174" s="151"/>
      <c r="V174" s="205">
        <f>IF(OR(ISBLANK(TAB_CS[[#This Row],[Commited days]]),TAB_CS[[#This Row],[Commited days]]=0),,TAB_CS[[#This Row],[Commited days]]*TAB_CS[[#This Row],[Profile in €]])</f>
        <v>0</v>
      </c>
      <c r="W174" s="156">
        <f>SUM(TAB_CS[[#This Row],[F]:[P+1]])-TAB_CS[[#This Row],[P+1]]</f>
        <v>0</v>
      </c>
      <c r="X174" s="205">
        <f>IF(OR(ISBLANK(TAB_CS[[#This Row],[Producted days]]),TAB_CS[[#This Row],[Producted days]]=0),,TAB_CS[[#This Row],[Producted days]]*TAB_CS[[#This Row],[Profile in €]])</f>
        <v>0</v>
      </c>
      <c r="Y174" s="206">
        <f>TAB_CS[[#This Row],[Commited days]]-TAB_CS[[#This Row],[Producted days]]</f>
        <v>0</v>
      </c>
      <c r="Z174" s="205">
        <f>IF(OR(ISBLANK(TAB_CS[[#This Row],[Remaining days]]),TAB_CS[[#This Row],[Remaining days]]=0),,TAB_CS[[#This Row],[Remaining days]]*TAB_CS[[#This Row],[Profile in €]])</f>
        <v>0</v>
      </c>
      <c r="AA174" s="207">
        <f>SUM(TAB_CS[[#This Row],[P+1]:[FP]])</f>
        <v>0</v>
      </c>
      <c r="AB174" s="208">
        <f>IF(OR(ISBLANK(TAB_CS[[#This Row],[Expected days]]),TAB_CS[[#This Row],[Expected days]]=0),,TAB_CS[[#This Row],[Expected days]]*TAB_CS[[#This Row],[Profile in €]])</f>
        <v>0</v>
      </c>
      <c r="AC174" s="322" t="str">
        <f>CONCATENATE(TAB_CS[[#This Row],[DG]],TAB_CS[[#This Row],[Company]])</f>
        <v>0</v>
      </c>
      <c r="AD174" s="209"/>
      <c r="AE174" s="150"/>
      <c r="AF174" s="151"/>
      <c r="AG174" s="151"/>
      <c r="AH174" s="151"/>
      <c r="AI174" s="150"/>
      <c r="AJ174" s="151"/>
      <c r="AK174" s="156"/>
      <c r="AL174" s="156"/>
      <c r="AM174" s="150"/>
      <c r="AN174" s="150"/>
      <c r="AO174" s="150"/>
      <c r="AP174" s="150"/>
      <c r="AQ174" s="150"/>
      <c r="AR174" s="150"/>
      <c r="AS174" s="150"/>
      <c r="AT174" s="156"/>
      <c r="AU174" s="156"/>
      <c r="AV174" s="171"/>
      <c r="AW174" s="171"/>
      <c r="AX174" s="171"/>
      <c r="AY174" s="171"/>
      <c r="AZ174" s="171"/>
      <c r="BA174" s="171"/>
      <c r="BB174" s="171"/>
      <c r="BC174" s="171"/>
      <c r="BD174" s="171"/>
      <c r="BE174" s="171"/>
      <c r="BF174" s="171"/>
      <c r="BG174" s="171"/>
      <c r="BH174" s="171"/>
      <c r="BI174" s="323"/>
      <c r="BJ174" s="171"/>
      <c r="BK174" s="171"/>
      <c r="BL174" s="171"/>
      <c r="BM174" s="323"/>
      <c r="BN174" s="171"/>
      <c r="BO174" s="171"/>
      <c r="BP174" s="171"/>
      <c r="BQ174" s="171"/>
      <c r="BR174" s="171"/>
      <c r="BS174" s="171"/>
      <c r="BT174" s="171"/>
      <c r="BU174" s="171"/>
      <c r="BV174" s="171"/>
      <c r="BW174" s="171"/>
      <c r="BX174" s="171"/>
      <c r="BY174" s="171"/>
      <c r="BZ174" s="224"/>
    </row>
    <row r="175" spans="1:78" s="4" customFormat="1" ht="14.4" x14ac:dyDescent="0.3">
      <c r="A175" s="1" t="str">
        <f>IF(ISBLANK(TAB_CS[[#This Row],[Reference]]),"",INDEX(TAB_Offres[ID],MATCH(TAB_CS[[#This Row],[Reference]],TAB_Offres[Reference],0)))</f>
        <v/>
      </c>
      <c r="B175" s="26"/>
      <c r="C175" s="294"/>
      <c r="D175" s="1" t="str">
        <f>IF(ISBLANK(TAB_CS[[#This Row],[Reference]]),"",VLOOKUP(TAB_CS[[#This Row],[ID]],TAB_Offres[],2,FALSE))</f>
        <v/>
      </c>
      <c r="E175" s="1"/>
      <c r="F175" s="26" t="str">
        <f>_xlfn.IFNA(IF(ISBLANK(TAB_CS[[#This Row],[Reference]]),"",VLOOKUP(TAB_CS[[#This Row],[Reference]],TAB_Offres[[Reference]:[Modification Request]],COLUMNS(TAB_Offres[[Reference]:[Modification Request]]),FALSE)),)</f>
        <v/>
      </c>
      <c r="G175" s="1" t="str">
        <f>IF(ISBLANK(TAB_CS[[#This Row],[Reference]]),"",INDEX(TAB_Offres[Institution/agency],MATCH(TAB_CS[[#This Row],[Reference]],TAB_Offres[Reference],0)))</f>
        <v/>
      </c>
      <c r="H175" s="1" t="str">
        <f>IF(ISBLANK(TAB_CS[[#This Row],[Reference]]),"",INDEX(TAB_Offres[DG],MATCH(TAB_CS[[#This Row],[Reference]],TAB_Offres[Reference],0)))</f>
        <v/>
      </c>
      <c r="I175" t="str">
        <f>IF(ISBLANK(TAB_CS[[#This Row],[Reference]]),"",INDEX(TAB_Offres[Offer description],MATCH(TAB_CS[[#This Row],[Reference]],TAB_Offres[Reference],0)))</f>
        <v/>
      </c>
      <c r="J175" s="155">
        <f>_xlfn.IFNA(IF(ISBLANK(TAB_CS[[#This Row],[Ressource]]),,VLOOKUP(TAB_CS[[#This Row],[Reference]],TAB_Offres[[Reference]:[CS signature date]],COLUMNS(TAB_Offres[[Reference]:[CS signature date]]),FALSE)),"")</f>
        <v>0</v>
      </c>
      <c r="K175" s="155">
        <f>_xlfn.IFNA(IF(ISBLANK(TAB_CS[[#This Row],[Ressource]]),,VLOOKUP(TAB_CS[[#This Row],[Reference]],TAB_Offres[[Reference]:[CS start date]],COLUMNS(TAB_Offres[[Reference]:[CS start date]]),FALSE)),"")</f>
        <v>0</v>
      </c>
      <c r="L175" s="155">
        <f>_xlfn.IFNA(IF(ISBLANK(TAB_CS[[#This Row],[Ressource]]),,VLOOKUP(TAB_CS[[#This Row],[Reference]],TAB_Offres[[Reference]:[CS end date]],COLUMNS(TAB_Offres[[Reference]:[CS end date]]),FALSE)),"")</f>
        <v>0</v>
      </c>
      <c r="M175" s="1">
        <f>_xlfn.IFNA(IF(ISBLANK(TAB_CS[[#This Row],[Ressource]]),,VLOOKUP(TAB_CS[[#This Row],[Reference]],TAB_Offres[[Reference]:[CS State]],COLUMNS(TAB_Offres[[Reference]:[CS State]]),FALSE)),"")</f>
        <v>0</v>
      </c>
      <c r="N175" s="26"/>
      <c r="O175" s="1">
        <f>_xlfn.IFNA(IF(ISBLANK(TAB_CS[[#This Row],[Ressource]]),,VLOOKUP(TAB_CS[[#This Row],[Reference]],TAB_Offres[[Reference]:[Company]],COLUMNS(TAB_Offres[[Reference]:[Company]]),FALSE)),"")</f>
        <v>0</v>
      </c>
      <c r="P175" s="1" t="str">
        <f>_xlfn.CONCAT(TAB_CS[[#This Row],[Ressource]],TAB_CS[[#This Row],[Profile in €]])</f>
        <v>0</v>
      </c>
      <c r="Q175" s="1" t="str">
        <f>_xlfn.CONCAT(TAB_CS[[#This Row],[Company]],TAB_CS[[#This Row],[Business perimeter]])</f>
        <v>0</v>
      </c>
      <c r="R175" s="1" t="str">
        <f>_xlfn.IFNA(IF(ISBLANK(TAB_CS[[#This Row],[Ressource]]),"",VLOOKUP(TAB_CS[[#This Row],[Reference]],TAB_Offres[[Reference]:[Profile]],COLUMNS(TAB_Offres[[Reference]:[Profile]]),FALSE)),"")</f>
        <v/>
      </c>
      <c r="S175" s="1" t="str">
        <f>_xlfn.IFNA(IF(ISBLANK(TAB_CS[[#This Row],[Ressource]]),"",VLOOKUP(TAB_CS[[#This Row],[Reference]],TAB_Offres[[Reference]:[Level]],COLUMNS(TAB_Offres[[Reference]:[Level]]),FALSE)),"")</f>
        <v/>
      </c>
      <c r="T175" s="127">
        <f>_xlfn.IFNA(IF(OR(ISBLANK(TAB_CS[[#This Row],[Level]]),TAB_CS[[#This Row],[Level]]=""),,VLOOKUP(TAB_CS[[#This Row],[Profile]],TAB_prix[],2+TAB_CS[[#This Row],[Level]],FALSE)),)</f>
        <v>0</v>
      </c>
      <c r="U175" s="13"/>
      <c r="V175" s="298">
        <f>IF(OR(ISBLANK(TAB_CS[[#This Row],[Commited days]]),TAB_CS[[#This Row],[Commited days]]=0),,TAB_CS[[#This Row],[Commited days]]*TAB_CS[[#This Row],[Profile in €]])</f>
        <v>0</v>
      </c>
      <c r="W175" s="297">
        <f>SUM(TAB_CS[[#This Row],[F]:[P+1]])-TAB_CS[[#This Row],[P+1]]</f>
        <v>0</v>
      </c>
      <c r="X175" s="298">
        <f>IF(OR(ISBLANK(TAB_CS[[#This Row],[Producted days]]),TAB_CS[[#This Row],[Producted days]]=0),,TAB_CS[[#This Row],[Producted days]]*TAB_CS[[#This Row],[Profile in €]])</f>
        <v>0</v>
      </c>
      <c r="Y175" s="299">
        <f>TAB_CS[[#This Row],[Commited days]]-TAB_CS[[#This Row],[Producted days]]</f>
        <v>0</v>
      </c>
      <c r="Z175" s="298">
        <f>IF(OR(ISBLANK(TAB_CS[[#This Row],[Remaining days]]),TAB_CS[[#This Row],[Remaining days]]=0),,TAB_CS[[#This Row],[Remaining days]]*TAB_CS[[#This Row],[Profile in €]])</f>
        <v>0</v>
      </c>
      <c r="AA175" s="207">
        <f>SUM(TAB_CS[[#This Row],[P+1]:[FP]])</f>
        <v>0</v>
      </c>
      <c r="AB175" s="301">
        <f>IF(OR(ISBLANK(TAB_CS[[#This Row],[Expected days]]),TAB_CS[[#This Row],[Expected days]]=0),,TAB_CS[[#This Row],[Expected days]]*TAB_CS[[#This Row],[Profile in €]])</f>
        <v>0</v>
      </c>
      <c r="AC175" s="302" t="str">
        <f>CONCATENATE(TAB_CS[[#This Row],[DG]],TAB_CS[[#This Row],[Company]])</f>
        <v>0</v>
      </c>
      <c r="AD175" s="144"/>
      <c r="AE175" s="150"/>
      <c r="AF175" s="151"/>
      <c r="AG175" s="151"/>
      <c r="AH175" s="13"/>
      <c r="AI175" s="1"/>
      <c r="AJ175" s="13"/>
      <c r="AK175" s="127"/>
      <c r="AL175" s="127"/>
      <c r="AM175" s="1"/>
      <c r="AN175" s="1"/>
      <c r="AO175" s="1"/>
      <c r="AP175" s="1"/>
      <c r="AQ175" s="1"/>
      <c r="AR175" s="1"/>
      <c r="AS175" s="1"/>
      <c r="AT175" s="127"/>
      <c r="AU175" s="127"/>
      <c r="AV175" s="364"/>
      <c r="AW175" s="364"/>
      <c r="AX175" s="364"/>
      <c r="AY175" s="364"/>
      <c r="AZ175" s="364"/>
      <c r="BA175" s="171"/>
      <c r="BB175" s="171"/>
      <c r="BC175" s="171"/>
      <c r="BD175" s="171"/>
      <c r="BE175" s="171"/>
      <c r="BF175" s="171"/>
      <c r="BG175" s="171"/>
      <c r="BH175" s="171"/>
      <c r="BI175" s="350"/>
      <c r="BJ175" s="171"/>
      <c r="BK175" s="171"/>
      <c r="BL175" s="171"/>
      <c r="BM175" s="350"/>
      <c r="BN175" s="171"/>
      <c r="BO175" s="171"/>
      <c r="BP175" s="171"/>
      <c r="BQ175" s="171"/>
      <c r="BR175" s="171"/>
      <c r="BS175" s="171"/>
      <c r="BT175" s="171"/>
      <c r="BU175" s="171"/>
      <c r="BV175" s="171"/>
      <c r="BW175" s="171"/>
      <c r="BX175" s="171"/>
      <c r="BY175" s="171"/>
      <c r="BZ175" s="224"/>
    </row>
    <row r="176" spans="1:78" ht="14.4" x14ac:dyDescent="0.3">
      <c r="A176" s="150"/>
      <c r="B176" s="154"/>
      <c r="C176" s="606"/>
      <c r="D176" s="150" t="str">
        <f>IF(ISBLANK(TAB_CS[[#This Row],[Reference]]),"",VLOOKUP(TAB_CS[[#This Row],[ID]],TAB_Offres[],2,FALSE))</f>
        <v/>
      </c>
      <c r="E176" s="150"/>
      <c r="F176" s="154" t="str">
        <f>_xlfn.IFNA(IF(ISBLANK(TAB_CS[[#This Row],[Reference]]),"",VLOOKUP(TAB_CS[[#This Row],[Reference]],TAB_Offres[[Reference]:[Modification Request]],COLUMNS(TAB_Offres[[Reference]:[Modification Request]]),FALSE)),)</f>
        <v/>
      </c>
      <c r="G176" s="150" t="str">
        <f>IF(ISBLANK(TAB_CS[[#This Row],[Reference]]),"",INDEX(TAB_Offres[Institution/agency],MATCH(TAB_CS[[#This Row],[Reference]],TAB_Offres[Reference],0)))</f>
        <v/>
      </c>
      <c r="H176" s="150" t="str">
        <f>IF(ISBLANK(TAB_CS[[#This Row],[Reference]]),"",INDEX(TAB_Offres[DG],MATCH(TAB_CS[[#This Row],[Reference]],TAB_Offres[Reference],0)))</f>
        <v/>
      </c>
      <c r="I176" s="4" t="str">
        <f>IF(ISBLANK(TAB_CS[[#This Row],[Reference]]),"",INDEX(TAB_Offres[Offer description],MATCH(TAB_CS[[#This Row],[Reference]],TAB_Offres[Reference],0)))</f>
        <v/>
      </c>
      <c r="J176" s="204">
        <f>_xlfn.IFNA(IF(ISBLANK(TAB_CS[[#This Row],[Ressource]]),,VLOOKUP(TAB_CS[[#This Row],[Reference]],TAB_Offres[[Reference]:[CS signature date]],COLUMNS(TAB_Offres[[Reference]:[CS signature date]]),FALSE)),"")</f>
        <v>0</v>
      </c>
      <c r="K176" s="204">
        <f>_xlfn.IFNA(IF(ISBLANK(TAB_CS[[#This Row],[Ressource]]),,VLOOKUP(TAB_CS[[#This Row],[Reference]],TAB_Offres[[Reference]:[CS start date]],COLUMNS(TAB_Offres[[Reference]:[CS start date]]),FALSE)),"")</f>
        <v>0</v>
      </c>
      <c r="L176" s="204">
        <f>_xlfn.IFNA(IF(ISBLANK(TAB_CS[[#This Row],[Ressource]]),,VLOOKUP(TAB_CS[[#This Row],[Reference]],TAB_Offres[[Reference]:[CS end date]],COLUMNS(TAB_Offres[[Reference]:[CS end date]]),FALSE)),"")</f>
        <v>0</v>
      </c>
      <c r="M176" s="150">
        <f>_xlfn.IFNA(IF(ISBLANK(TAB_CS[[#This Row],[Ressource]]),,VLOOKUP(TAB_CS[[#This Row],[Reference]],TAB_Offres[[Reference]:[CS State]],COLUMNS(TAB_Offres[[Reference]:[CS State]]),FALSE)),"")</f>
        <v>0</v>
      </c>
      <c r="O176" s="150">
        <f>_xlfn.IFNA(IF(ISBLANK(TAB_CS[[#This Row],[Ressource]]),,VLOOKUP(TAB_CS[[#This Row],[Reference]],TAB_Offres[[Reference]:[Company]],COLUMNS(TAB_Offres[[Reference]:[Company]]),FALSE)),"")</f>
        <v>0</v>
      </c>
      <c r="P176" s="150" t="str">
        <f>_xlfn.CONCAT(TAB_CS[[#This Row],[Ressource]],TAB_CS[[#This Row],[Profile in €]])</f>
        <v>0</v>
      </c>
      <c r="Q176" s="150" t="str">
        <f>_xlfn.CONCAT(TAB_CS[[#This Row],[Company]],TAB_CS[[#This Row],[Business perimeter]])</f>
        <v>0</v>
      </c>
      <c r="R176" s="150" t="str">
        <f>_xlfn.IFNA(IF(ISBLANK(TAB_CS[[#This Row],[Ressource]]),"",VLOOKUP(TAB_CS[[#This Row],[Reference]],TAB_Offres[[Reference]:[Profile]],COLUMNS(TAB_Offres[[Reference]:[Profile]]),FALSE)),"")</f>
        <v/>
      </c>
      <c r="S176" s="150" t="str">
        <f>_xlfn.IFNA(IF(ISBLANK(TAB_CS[[#This Row],[Ressource]]),"",VLOOKUP(TAB_CS[[#This Row],[Reference]],TAB_Offres[[Reference]:[Level]],COLUMNS(TAB_Offres[[Reference]:[Level]]),FALSE)),"")</f>
        <v/>
      </c>
      <c r="T176" s="156">
        <f>_xlfn.IFNA(IF(OR(ISBLANK(TAB_CS[[#This Row],[Level]]),TAB_CS[[#This Row],[Level]]=""),,VLOOKUP(TAB_CS[[#This Row],[Profile]],TAB_prix[],2+TAB_CS[[#This Row],[Level]],FALSE)),)</f>
        <v>0</v>
      </c>
      <c r="U176" s="151"/>
      <c r="V176" s="205">
        <f>IF(OR(ISBLANK(TAB_CS[[#This Row],[Commited days]]),TAB_CS[[#This Row],[Commited days]]=0),,TAB_CS[[#This Row],[Commited days]]*TAB_CS[[#This Row],[Profile in €]])</f>
        <v>0</v>
      </c>
      <c r="W176" s="156">
        <f>SUM(TAB_CS[[#This Row],[F]:[P+1]])-TAB_CS[[#This Row],[P+1]]</f>
        <v>0</v>
      </c>
      <c r="X176" s="205">
        <f>IF(OR(ISBLANK(TAB_CS[[#This Row],[Producted days]]),TAB_CS[[#This Row],[Producted days]]=0),,TAB_CS[[#This Row],[Producted days]]*TAB_CS[[#This Row],[Profile in €]])</f>
        <v>0</v>
      </c>
      <c r="Y176" s="206">
        <f>TAB_CS[[#This Row],[Commited days]]-TAB_CS[[#This Row],[Producted days]]</f>
        <v>0</v>
      </c>
      <c r="Z176" s="205">
        <f>IF(OR(ISBLANK(TAB_CS[[#This Row],[Remaining days]]),TAB_CS[[#This Row],[Remaining days]]=0),,TAB_CS[[#This Row],[Remaining days]]*TAB_CS[[#This Row],[Profile in €]])</f>
        <v>0</v>
      </c>
      <c r="AA176" s="207">
        <f>SUM(TAB_CS[[#This Row],[P+1]:[FP]])</f>
        <v>0</v>
      </c>
      <c r="AB176" s="208">
        <f>IF(OR(ISBLANK(TAB_CS[[#This Row],[Expected days]]),TAB_CS[[#This Row],[Expected days]]=0),,TAB_CS[[#This Row],[Expected days]]*TAB_CS[[#This Row],[Profile in €]])</f>
        <v>0</v>
      </c>
      <c r="AC176" s="322" t="str">
        <f>CONCATENATE(TAB_CS[[#This Row],[DG]],TAB_CS[[#This Row],[Company]])</f>
        <v>0</v>
      </c>
      <c r="AD176" s="209"/>
      <c r="AE176" s="150"/>
      <c r="AF176" s="151"/>
      <c r="AG176" s="151"/>
      <c r="AH176" s="151"/>
      <c r="AI176" s="150"/>
      <c r="AJ176" s="151"/>
      <c r="AK176" s="156"/>
      <c r="AL176" s="156"/>
      <c r="AM176" s="150"/>
      <c r="AN176" s="150"/>
      <c r="AO176" s="150"/>
      <c r="AP176" s="150"/>
      <c r="AQ176" s="150"/>
      <c r="AR176" s="150"/>
      <c r="AS176" s="150"/>
      <c r="AT176" s="156"/>
      <c r="AU176" s="156"/>
      <c r="AV176" s="171"/>
      <c r="AW176" s="171"/>
      <c r="AX176" s="171"/>
      <c r="AY176" s="171"/>
      <c r="AZ176" s="171"/>
      <c r="BA176" s="171"/>
      <c r="BB176" s="171"/>
      <c r="BC176" s="171"/>
      <c r="BD176" s="171"/>
      <c r="BE176" s="171"/>
      <c r="BF176" s="171"/>
      <c r="BG176" s="171"/>
      <c r="BH176" s="171"/>
      <c r="BI176" s="323"/>
      <c r="BJ176" s="171"/>
      <c r="BK176" s="171"/>
      <c r="BL176" s="171"/>
      <c r="BM176" s="323"/>
      <c r="BN176" s="171"/>
      <c r="BO176" s="171"/>
      <c r="BP176" s="171"/>
      <c r="BQ176" s="171"/>
      <c r="BR176" s="171"/>
      <c r="BS176" s="171"/>
      <c r="BT176" s="171"/>
      <c r="BU176" s="171"/>
      <c r="BV176" s="171"/>
      <c r="BW176" s="171"/>
      <c r="BX176" s="171"/>
      <c r="BY176" s="171"/>
      <c r="BZ176" s="224"/>
    </row>
    <row r="177" spans="1:78" ht="14.4" x14ac:dyDescent="0.3">
      <c r="A177" s="1"/>
      <c r="B177" s="26"/>
      <c r="D177" s="1"/>
      <c r="E177" s="1"/>
      <c r="F177" s="26"/>
      <c r="G177" s="150"/>
      <c r="H177" s="150"/>
      <c r="J177" s="155"/>
      <c r="K177" s="155"/>
      <c r="L177" s="155"/>
      <c r="O177" s="1"/>
      <c r="P177" s="1" t="str">
        <f>_xlfn.CONCAT(TAB_CS[[#This Row],[Ressource]],TAB_CS[[#This Row],[Profile in €]])</f>
        <v/>
      </c>
      <c r="Q177" s="1" t="str">
        <f>_xlfn.CONCAT(TAB_CS[[#This Row],[Company]],TAB_CS[[#This Row],[Business perimeter]])</f>
        <v/>
      </c>
      <c r="R177" s="1"/>
      <c r="S177" s="150"/>
      <c r="T177" s="127"/>
      <c r="U177" s="13"/>
      <c r="V177" s="298">
        <f>IF(OR(ISBLANK(TAB_CS[[#This Row],[Commited days]]),TAB_CS[[#This Row],[Commited days]]=0),,TAB_CS[[#This Row],[Commited days]]*TAB_CS[[#This Row],[Profile in €]])</f>
        <v>0</v>
      </c>
      <c r="W177" s="297">
        <f>SUM(TAB_CS[[#This Row],[F]:[P+1]])-TAB_CS[[#This Row],[P+1]]</f>
        <v>0</v>
      </c>
      <c r="X177" s="298">
        <f>IF(OR(ISBLANK(TAB_CS[[#This Row],[Producted days]]),TAB_CS[[#This Row],[Producted days]]=0),,TAB_CS[[#This Row],[Producted days]]*TAB_CS[[#This Row],[Profile in €]])</f>
        <v>0</v>
      </c>
      <c r="Y177" s="299">
        <f>TAB_CS[[#This Row],[Commited days]]-TAB_CS[[#This Row],[Producted days]]</f>
        <v>0</v>
      </c>
      <c r="Z177" s="298">
        <f>IF(OR(ISBLANK(TAB_CS[[#This Row],[Remaining days]]),TAB_CS[[#This Row],[Remaining days]]=0),,TAB_CS[[#This Row],[Remaining days]]*TAB_CS[[#This Row],[Profile in €]])</f>
        <v>0</v>
      </c>
      <c r="AA177" s="300">
        <f>SUM(TAB_CS[[#This Row],[P+1]:[FP]])</f>
        <v>0</v>
      </c>
      <c r="AB177" s="301">
        <f>IF(OR(ISBLANK(TAB_CS[[#This Row],[Expected days]]),TAB_CS[[#This Row],[Expected days]]=0),,TAB_CS[[#This Row],[Expected days]]*TAB_CS[[#This Row],[Profile in €]])</f>
        <v>0</v>
      </c>
      <c r="AC177" s="302" t="str">
        <f>CONCATENATE(TAB_CS[[#This Row],[DG]],TAB_CS[[#This Row],[Company]])</f>
        <v/>
      </c>
      <c r="AD177" s="144"/>
      <c r="AE177" s="150"/>
      <c r="AF177" s="151"/>
      <c r="AG177" s="151"/>
      <c r="AH177" s="151"/>
      <c r="AI177" s="150"/>
      <c r="AJ177" s="151"/>
      <c r="AK177" s="156"/>
      <c r="AL177" s="156"/>
      <c r="AM177" s="150"/>
      <c r="AN177" s="150"/>
      <c r="AO177" s="150"/>
      <c r="AP177" s="150"/>
      <c r="AQ177" s="150"/>
      <c r="AR177" s="150"/>
      <c r="AS177" s="150"/>
      <c r="AT177" s="156"/>
      <c r="AU177" s="156"/>
      <c r="AV177" s="171"/>
      <c r="AW177" s="171"/>
      <c r="AX177" s="171"/>
      <c r="AY177" s="171"/>
      <c r="AZ177" s="171"/>
      <c r="BA177" s="171"/>
      <c r="BB177" s="171"/>
      <c r="BC177" s="171"/>
      <c r="BD177" s="171"/>
      <c r="BE177" s="171"/>
      <c r="BF177" s="171"/>
      <c r="BG177" s="171"/>
      <c r="BH177" s="171"/>
      <c r="BI177" s="173"/>
      <c r="BJ177" s="171"/>
      <c r="BK177" s="171"/>
      <c r="BL177" s="171"/>
      <c r="BM177" s="173"/>
      <c r="BN177" s="171"/>
      <c r="BO177" s="171"/>
      <c r="BP177" s="171"/>
      <c r="BQ177" s="171"/>
      <c r="BR177" s="171"/>
      <c r="BS177" s="171"/>
      <c r="BT177" s="171"/>
      <c r="BU177" s="171"/>
      <c r="BV177" s="171"/>
      <c r="BW177" s="171"/>
      <c r="BX177" s="171"/>
      <c r="BY177" s="171"/>
      <c r="BZ177" s="223"/>
    </row>
    <row r="178" spans="1:78" ht="14.4" x14ac:dyDescent="0.3">
      <c r="A178" s="1"/>
      <c r="B178" s="1"/>
      <c r="D178" s="1"/>
      <c r="E178" s="1"/>
      <c r="F178" s="1"/>
      <c r="G178" s="150"/>
      <c r="H178" s="150"/>
      <c r="K178" s="1"/>
      <c r="L178" s="1"/>
      <c r="O178" s="1"/>
      <c r="P178" s="1"/>
      <c r="Q178" s="1"/>
      <c r="R178" s="1"/>
      <c r="S178" s="1"/>
      <c r="T178" s="150" t="s">
        <v>13</v>
      </c>
      <c r="U178" s="141">
        <f>SUBTOTAL(109,TAB_CS[Commited days])</f>
        <v>22645.5</v>
      </c>
      <c r="V178" s="24">
        <f>SUBTOTAL(109,TAB_CS[Commited amount])</f>
        <v>14318505.794999998</v>
      </c>
      <c r="W178" s="13">
        <f>SUBTOTAL(109,TAB_CS[Producted days])</f>
        <v>18729.5</v>
      </c>
      <c r="X178" s="14">
        <f>SUBTOTAL(109,TAB_CS[Producted amounts])</f>
        <v>11666324.039999999</v>
      </c>
      <c r="Y178" s="15">
        <f>SUBTOTAL(109,TAB_CS[Remaining days])</f>
        <v>3916</v>
      </c>
      <c r="Z178" s="14">
        <f>SUBTOTAL(109,TAB_CS[Remaining amount])</f>
        <v>2642990.6750000003</v>
      </c>
      <c r="AA178" s="127">
        <f>SUBTOTAL(109,TAB_CS[Expected days])</f>
        <v>1996.5</v>
      </c>
      <c r="AB178" s="14">
        <f>SUBTOTAL(109,TAB_CS[Expected amounts])</f>
        <v>1293439.7550000001</v>
      </c>
      <c r="AC178" s="14"/>
      <c r="AD178" s="153"/>
      <c r="AE178" s="13">
        <f>SUBTOTAL(109,TAB_CS[Apr-2022])</f>
        <v>0</v>
      </c>
      <c r="AF178" s="13">
        <f>SUBTOTAL(109,TAB_CS[May-2022])</f>
        <v>0</v>
      </c>
      <c r="AG178" s="13">
        <f>SUBTOTAL(109,TAB_CS[Jun-2022])</f>
        <v>0</v>
      </c>
      <c r="AH178" s="36">
        <f>SUBTOTAL(109,TAB_CS[Jul-2022])</f>
        <v>0</v>
      </c>
      <c r="AI178" s="13">
        <f>SUBTOTAL(109,TAB_CS[Aug-2022])</f>
        <v>0</v>
      </c>
      <c r="AJ178" s="13">
        <f>SUBTOTAL(109,TAB_CS[Sep-2022])</f>
        <v>23</v>
      </c>
      <c r="AK178" s="13">
        <f>SUBTOTAL(109,TAB_CS[Oct-2022])</f>
        <v>86</v>
      </c>
      <c r="AL178" s="13">
        <f>SUBTOTAL(109,TAB_CS[Nov-2022])</f>
        <v>201.5</v>
      </c>
      <c r="AM178" s="13">
        <f>SUBTOTAL(109,TAB_CS[Dec-2022])</f>
        <v>360.5</v>
      </c>
      <c r="AN178" s="13">
        <f>SUBTOTAL(109,TAB_CS[Jan-2023])</f>
        <v>600</v>
      </c>
      <c r="AO178" s="13">
        <f>SUBTOTAL(109,TAB_CS[Feb-2023])</f>
        <v>589.5</v>
      </c>
      <c r="AP178" s="13">
        <f>SUBTOTAL(109,TAB_CS[Mar-2023])</f>
        <v>685</v>
      </c>
      <c r="AQ178" s="13">
        <f>SUBTOTAL(109,TAB_CS[Apr-2023])</f>
        <v>532.5</v>
      </c>
      <c r="AR178" s="13">
        <f>SUBTOTAL(109,TAB_CS[May-2023])</f>
        <v>558.5</v>
      </c>
      <c r="AS178" s="13">
        <f>SUBTOTAL(109,TAB_CS[Jun-2023])</f>
        <v>676</v>
      </c>
      <c r="AT178" s="13">
        <f>SUBTOTAL(109,TAB_CS[Jul-2023])</f>
        <v>589.5</v>
      </c>
      <c r="AU178" s="13">
        <f>SUBTOTAL(109,TAB_CS[Aug-2023])</f>
        <v>628.5</v>
      </c>
      <c r="AV178" s="13">
        <f>SUBTOTAL(109,TAB_CS[Sep-2023])</f>
        <v>738</v>
      </c>
      <c r="AW178" s="13">
        <f>SUBTOTAL(109,TAB_CS[Oct-2023])</f>
        <v>838.5</v>
      </c>
      <c r="AX178" s="13">
        <f>SUBTOTAL(109,TAB_CS[Nov-2023])</f>
        <v>816.5</v>
      </c>
      <c r="AY178" s="13">
        <f>SUBTOTAL(109,TAB_CS[Dec-2023])</f>
        <v>638</v>
      </c>
      <c r="AZ178" s="13">
        <f>SUBTOTAL(109,TAB_CS[Jan-2024])</f>
        <v>853.5</v>
      </c>
      <c r="BA178" s="13">
        <f>SUBTOTAL(109,TAB_CS[Feb-2024])</f>
        <v>865</v>
      </c>
      <c r="BB178" s="13">
        <f>SUBTOTAL(109,TAB_CS[Mar-2024])</f>
        <v>810.5</v>
      </c>
      <c r="BC178" s="13">
        <f>SUBTOTAL(109,TAB_CS[Apr-2024])</f>
        <v>848.5</v>
      </c>
      <c r="BD178" s="13">
        <f>SUBTOTAL(109,TAB_CS[May-2024])</f>
        <v>777</v>
      </c>
      <c r="BE178" s="13">
        <f>SUBTOTAL(109,TAB_CS[Jun-2024])</f>
        <v>818.5</v>
      </c>
      <c r="BF178" s="13">
        <f>SUBTOTAL(109,TAB_CS[Jul-2024])</f>
        <v>893</v>
      </c>
      <c r="BG178" s="13">
        <f>SUBTOTAL(109,TAB_CS[Aug-2024])</f>
        <v>745.5</v>
      </c>
      <c r="BH178" s="13">
        <f>SUBTOTAL(109,TAB_CS[Sep-2024])</f>
        <v>874.5</v>
      </c>
      <c r="BI178" s="13">
        <f>SUBTOTAL(109,TAB_CS[P])</f>
        <v>0</v>
      </c>
      <c r="BJ178" s="13">
        <f>SUBTOTAL(109,TAB_CS[Oct-2024])</f>
        <v>957.5</v>
      </c>
      <c r="BK178" s="13">
        <f>SUBTOTAL(109,TAB_CS[Nov-2024])</f>
        <v>864</v>
      </c>
      <c r="BL178" s="13">
        <f>SUBTOTAL(109,TAB_CS[Dec-2024])</f>
        <v>860.5</v>
      </c>
      <c r="BM178" s="13">
        <f>SUBTOTAL(109,TAB_CS[P+1])</f>
        <v>0</v>
      </c>
      <c r="BN178" s="13">
        <f>SUBTOTAL(109,TAB_CS[Jan-2025])</f>
        <v>793.5</v>
      </c>
      <c r="BO178" s="13">
        <f>SUBTOTAL(109,TAB_CS[Feb-2025])</f>
        <v>705</v>
      </c>
      <c r="BP178" s="13">
        <f>SUBTOTAL(109,TAB_CS[Mar-2025])</f>
        <v>654</v>
      </c>
      <c r="BQ178" s="13">
        <f>SUBTOTAL(109,TAB_CS[Apr-2025])</f>
        <v>531.5</v>
      </c>
      <c r="BR178" s="13">
        <f>SUBTOTAL(109,TAB_CS[May-2025])</f>
        <v>315.5</v>
      </c>
      <c r="BS178" s="13">
        <f>SUBTOTAL(109,TAB_CS[Jun-2025])</f>
        <v>186</v>
      </c>
      <c r="BT178" s="13">
        <f>SUBTOTAL(109,TAB_CS[Jul-2025])</f>
        <v>144</v>
      </c>
      <c r="BU178" s="13">
        <f>SUBTOTAL(109,TAB_CS[Aug-2025])</f>
        <v>98.5</v>
      </c>
      <c r="BV178" s="13">
        <f>SUBTOTAL(109,TAB_CS[Sep-2025])</f>
        <v>72</v>
      </c>
      <c r="BW178" s="13">
        <f>SUBTOTAL(109,TAB_CS[Oct-2025])</f>
        <v>67.5</v>
      </c>
      <c r="BX178" s="13">
        <f>SUBTOTAL(109,TAB_CS[Nov-2025])</f>
        <v>47.5</v>
      </c>
      <c r="BY178" s="13">
        <f>SUBTOTAL(109,TAB_CS[Dec-2025])</f>
        <v>29.5</v>
      </c>
      <c r="BZ178" s="153"/>
    </row>
    <row r="180" spans="1:78" x14ac:dyDescent="0.25">
      <c r="S180" s="4"/>
    </row>
    <row r="181" spans="1:78" x14ac:dyDescent="0.25">
      <c r="S181" s="4"/>
    </row>
    <row r="184" spans="1:78" x14ac:dyDescent="0.25">
      <c r="S184" s="4"/>
    </row>
    <row r="185" spans="1:78" x14ac:dyDescent="0.25">
      <c r="AX185" s="365"/>
      <c r="AY185" s="365"/>
      <c r="AZ185" s="365"/>
    </row>
    <row r="186" spans="1:78" x14ac:dyDescent="0.25">
      <c r="AX186" s="365"/>
      <c r="AY186" s="365"/>
      <c r="AZ186" s="365"/>
    </row>
    <row r="187" spans="1:78" x14ac:dyDescent="0.25">
      <c r="AX187" s="365"/>
      <c r="AY187" s="365"/>
      <c r="AZ187" s="365"/>
    </row>
    <row r="188" spans="1:78" x14ac:dyDescent="0.25">
      <c r="AX188" s="365"/>
      <c r="AY188" s="365"/>
      <c r="AZ188" s="365"/>
    </row>
    <row r="189" spans="1:78" x14ac:dyDescent="0.25">
      <c r="F189" s="4"/>
      <c r="AX189" s="365"/>
      <c r="AY189" s="365"/>
      <c r="AZ189" s="365"/>
    </row>
  </sheetData>
  <mergeCells count="5">
    <mergeCell ref="AE1:AI1"/>
    <mergeCell ref="U1:V1"/>
    <mergeCell ref="W1:X1"/>
    <mergeCell ref="Y1:Z1"/>
    <mergeCell ref="AA1:AB1"/>
  </mergeCells>
  <phoneticPr fontId="66" type="noConversion"/>
  <dataValidations count="6">
    <dataValidation type="list" allowBlank="1" showInputMessage="1" showErrorMessage="1" sqref="R3:R41" xr:uid="{00000000-0002-0000-0600-000003000000}">
      <formula1>VALUES_PROFILE</formula1>
    </dataValidation>
    <dataValidation type="list" allowBlank="1" showInputMessage="1" showErrorMessage="1" errorTitle="Erreur" error="Lot non defini" sqref="D4:D41" xr:uid="{00000000-0002-0000-0600-000004000000}">
      <formula1>VALUES_LOT</formula1>
    </dataValidation>
    <dataValidation type="list" allowBlank="1" showInputMessage="1" showErrorMessage="1" sqref="B105:B176 C176" xr:uid="{00000000-0002-0000-0600-000001000000}">
      <formula1>VALUES_REFERENCE</formula1>
    </dataValidation>
    <dataValidation type="list" allowBlank="1" showInputMessage="1" showErrorMessage="1" sqref="S3:S177" xr:uid="{00000000-0002-0000-0600-000006000000}">
      <formula1>VALUES_LEVEL</formula1>
    </dataValidation>
    <dataValidation type="list" allowBlank="1" showInputMessage="1" showErrorMessage="1" sqref="O3:O177" xr:uid="{00000000-0002-0000-0600-000007000000}">
      <formula1>VALUES_CONSORTIUM</formula1>
    </dataValidation>
    <dataValidation allowBlank="1" showInputMessage="1" showErrorMessage="1" errorTitle="Erreur" error="Lot non defini" sqref="E3:F177" xr:uid="{00000000-0002-0000-0600-000008000000}"/>
  </dataValidations>
  <pageMargins left="0.7" right="0.7" top="0.75" bottom="0.75" header="0.3" footer="0.3"/>
  <pageSetup paperSize="9" orientation="portrait" r:id="rId1"/>
  <headerFooter>
    <oddFooter>&amp;C_x000D_&amp;1#&amp;"Arial"&amp;9&amp;K000000 Confidential</oddFooter>
  </headerFooter>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9000000}">
          <x14:formula1>
            <xm:f>Params!$R:$R</xm:f>
          </x14:formula1>
          <xm:sqref>R42:R43 R45:R59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9">
    <tabColor rgb="FFFF6A00"/>
  </sheetPr>
  <dimension ref="A1:BR46"/>
  <sheetViews>
    <sheetView zoomScaleNormal="100" workbookViewId="0">
      <pane xSplit="20" ySplit="2" topLeftCell="AO9" activePane="bottomRight" state="frozen"/>
      <selection pane="topRight" activeCell="W1" sqref="W1"/>
      <selection pane="bottomLeft" activeCell="A3" sqref="A3"/>
      <selection pane="bottomRight"/>
    </sheetView>
  </sheetViews>
  <sheetFormatPr baseColWidth="10" defaultColWidth="9.109375" defaultRowHeight="13.2" outlineLevelCol="1" x14ac:dyDescent="0.25"/>
  <cols>
    <col min="2" max="2" width="45.6640625" customWidth="1"/>
    <col min="3" max="3" width="14.6640625" customWidth="1"/>
    <col min="4" max="4" width="12.44140625" customWidth="1"/>
    <col min="5" max="7" width="9.109375" hidden="1" customWidth="1" outlineLevel="1"/>
    <col min="8" max="8" width="24.5546875" hidden="1" customWidth="1" outlineLevel="1"/>
    <col min="9" max="9" width="11.109375" style="1" hidden="1" customWidth="1" outlineLevel="1"/>
    <col min="10" max="11" width="11.109375" hidden="1" customWidth="1" outlineLevel="1"/>
    <col min="12" max="12" width="10.109375" style="1" hidden="1" customWidth="1" outlineLevel="1"/>
    <col min="13" max="13" width="26" style="26" bestFit="1" customWidth="1" collapsed="1"/>
    <col min="14" max="14" width="11.44140625" customWidth="1"/>
    <col min="15" max="15" width="31.88671875" customWidth="1"/>
    <col min="16" max="16" width="12.6640625" bestFit="1" customWidth="1"/>
    <col min="17" max="17" width="12.6640625" customWidth="1"/>
    <col min="18" max="18" width="15.5546875" customWidth="1" outlineLevel="1"/>
    <col min="19" max="19" width="13.88671875" customWidth="1" outlineLevel="1"/>
    <col min="20" max="20" width="15.109375" style="215" customWidth="1" outlineLevel="1"/>
    <col min="21" max="21" width="13.88671875" customWidth="1" outlineLevel="1"/>
    <col min="22" max="22" width="3.109375" customWidth="1"/>
    <col min="24" max="24" width="9.6640625" bestFit="1" customWidth="1"/>
    <col min="25" max="25" width="9.109375" customWidth="1"/>
    <col min="28" max="28" width="14.33203125" bestFit="1" customWidth="1"/>
    <col min="29" max="29" width="9.5546875" customWidth="1"/>
    <col min="31" max="31" width="9.6640625" bestFit="1" customWidth="1"/>
    <col min="32" max="32" width="9.5546875" customWidth="1"/>
    <col min="34" max="34" width="9.5546875" style="215" customWidth="1"/>
    <col min="35" max="35" width="10.109375" customWidth="1"/>
    <col min="36" max="36" width="10" customWidth="1"/>
    <col min="37" max="37" width="8.44140625" customWidth="1"/>
    <col min="38" max="38" width="8.44140625" bestFit="1" customWidth="1"/>
    <col min="40" max="40" width="10.6640625" bestFit="1" customWidth="1"/>
    <col min="41" max="42" width="8.44140625" customWidth="1"/>
    <col min="43" max="43" width="10.33203125" customWidth="1"/>
    <col min="44" max="47" width="8.44140625" customWidth="1"/>
    <col min="48" max="48" width="10.6640625" customWidth="1"/>
    <col min="49" max="49" width="9.44140625" customWidth="1"/>
    <col min="50" max="51" width="8.44140625" customWidth="1"/>
    <col min="52" max="52" width="11.109375" customWidth="1"/>
    <col min="53" max="64" width="8.44140625" customWidth="1"/>
    <col min="66" max="66" width="11.5546875" customWidth="1"/>
    <col min="67" max="67" width="12.33203125" customWidth="1"/>
    <col min="68" max="68" width="10.6640625" style="215" bestFit="1" customWidth="1"/>
    <col min="69" max="69" width="10.6640625" bestFit="1" customWidth="1"/>
    <col min="70" max="73" width="6.88671875" customWidth="1"/>
    <col min="74" max="74" width="3.44140625" customWidth="1"/>
  </cols>
  <sheetData>
    <row r="1" spans="1:68" ht="12.75" customHeight="1" x14ac:dyDescent="0.25">
      <c r="A1" s="11"/>
      <c r="B1" s="11"/>
      <c r="C1" s="11"/>
      <c r="D1" s="11"/>
      <c r="E1" s="11"/>
      <c r="F1" s="11"/>
      <c r="G1" s="11"/>
      <c r="H1" s="11"/>
      <c r="I1" s="16"/>
      <c r="J1" s="11"/>
      <c r="K1" s="11"/>
      <c r="L1" s="16"/>
      <c r="M1" s="34"/>
      <c r="N1" s="11"/>
      <c r="O1" s="11"/>
      <c r="P1" s="11"/>
      <c r="Q1" s="11"/>
      <c r="R1" s="167"/>
      <c r="S1" s="167"/>
      <c r="T1" s="216"/>
      <c r="U1" s="140"/>
      <c r="W1" s="136"/>
      <c r="X1" s="136"/>
      <c r="Y1" s="136"/>
      <c r="Z1" s="136"/>
      <c r="AA1" s="142"/>
      <c r="AB1" s="88"/>
      <c r="AC1" s="88"/>
      <c r="AD1" s="88"/>
      <c r="AE1" s="88"/>
      <c r="AF1" s="88"/>
      <c r="AG1" s="88"/>
      <c r="AH1" s="88"/>
      <c r="AI1" s="88"/>
      <c r="AJ1" s="88"/>
      <c r="AK1" s="88"/>
      <c r="AL1" s="88"/>
      <c r="AM1" s="88"/>
      <c r="AN1" s="88"/>
      <c r="AO1" s="88"/>
      <c r="AP1" s="88"/>
      <c r="AQ1" s="88"/>
      <c r="AR1" s="88"/>
      <c r="AS1" s="88"/>
      <c r="AT1" s="88"/>
      <c r="AU1" s="88"/>
      <c r="AV1" s="211"/>
      <c r="AW1" s="88"/>
      <c r="AX1" s="88"/>
      <c r="AY1" s="88"/>
      <c r="AZ1" s="215"/>
      <c r="BA1" s="88"/>
      <c r="BB1" s="88"/>
      <c r="BC1" s="88"/>
      <c r="BD1" s="88"/>
      <c r="BE1" s="88"/>
      <c r="BF1" s="88"/>
      <c r="BG1" s="88"/>
      <c r="BH1" s="88"/>
      <c r="BI1" s="88"/>
      <c r="BJ1" s="88"/>
      <c r="BK1" s="88"/>
      <c r="BL1" s="88"/>
      <c r="BP1"/>
    </row>
    <row r="2" spans="1:68" ht="76.5" customHeight="1" x14ac:dyDescent="0.25">
      <c r="A2" s="7" t="s">
        <v>3</v>
      </c>
      <c r="B2" s="7" t="s">
        <v>159</v>
      </c>
      <c r="C2" s="7" t="s">
        <v>310</v>
      </c>
      <c r="D2" s="7" t="s">
        <v>48</v>
      </c>
      <c r="E2" s="7" t="s">
        <v>187</v>
      </c>
      <c r="F2" s="7" t="s">
        <v>137</v>
      </c>
      <c r="G2" s="7" t="s">
        <v>4</v>
      </c>
      <c r="H2" s="7" t="s">
        <v>5</v>
      </c>
      <c r="I2" s="7" t="s">
        <v>180</v>
      </c>
      <c r="J2" s="7" t="s">
        <v>188</v>
      </c>
      <c r="K2" s="7" t="s">
        <v>176</v>
      </c>
      <c r="L2" s="7" t="s">
        <v>192</v>
      </c>
      <c r="M2" s="35" t="s">
        <v>1</v>
      </c>
      <c r="N2" s="7" t="s">
        <v>161</v>
      </c>
      <c r="O2" s="7" t="s">
        <v>183</v>
      </c>
      <c r="P2" s="7" t="s">
        <v>348</v>
      </c>
      <c r="Q2" s="7" t="s">
        <v>226</v>
      </c>
      <c r="R2" s="7" t="s">
        <v>182</v>
      </c>
      <c r="S2" s="7" t="s">
        <v>195</v>
      </c>
      <c r="T2" s="217" t="s">
        <v>197</v>
      </c>
      <c r="U2" s="12" t="s">
        <v>227</v>
      </c>
      <c r="V2" s="12" t="s">
        <v>6</v>
      </c>
      <c r="W2" s="28" t="s">
        <v>205</v>
      </c>
      <c r="X2" s="28" t="s">
        <v>206</v>
      </c>
      <c r="Y2" s="28" t="s">
        <v>207</v>
      </c>
      <c r="Z2" s="28" t="s">
        <v>208</v>
      </c>
      <c r="AA2" s="28" t="s">
        <v>210</v>
      </c>
      <c r="AB2" s="28" t="s">
        <v>211</v>
      </c>
      <c r="AC2" s="28" t="s">
        <v>212</v>
      </c>
      <c r="AD2" s="28" t="s">
        <v>213</v>
      </c>
      <c r="AE2" s="28" t="s">
        <v>209</v>
      </c>
      <c r="AF2" s="28" t="s">
        <v>214</v>
      </c>
      <c r="AG2" s="28" t="s">
        <v>215</v>
      </c>
      <c r="AH2" s="28" t="s">
        <v>216</v>
      </c>
      <c r="AI2" s="28" t="s">
        <v>217</v>
      </c>
      <c r="AJ2" s="28" t="s">
        <v>218</v>
      </c>
      <c r="AK2" s="28" t="s">
        <v>219</v>
      </c>
      <c r="AL2" s="28" t="s">
        <v>220</v>
      </c>
      <c r="AM2" s="28" t="s">
        <v>221</v>
      </c>
      <c r="AN2" s="28" t="s">
        <v>5527</v>
      </c>
      <c r="AO2" s="28" t="s">
        <v>5539</v>
      </c>
      <c r="AP2" s="28" t="s">
        <v>5541</v>
      </c>
      <c r="AQ2" s="28" t="s">
        <v>5540</v>
      </c>
      <c r="AR2" s="28" t="s">
        <v>5542</v>
      </c>
      <c r="AS2" s="28" t="s">
        <v>5543</v>
      </c>
      <c r="AT2" s="28" t="s">
        <v>5544</v>
      </c>
      <c r="AU2" s="28" t="s">
        <v>6048</v>
      </c>
      <c r="AV2" s="212" t="s">
        <v>7</v>
      </c>
      <c r="AW2" s="594" t="s">
        <v>5538</v>
      </c>
      <c r="AX2" s="594" t="s">
        <v>5546</v>
      </c>
      <c r="AY2" s="594" t="s">
        <v>5547</v>
      </c>
      <c r="AZ2" s="220" t="s">
        <v>8</v>
      </c>
      <c r="BA2" s="594" t="s">
        <v>5526</v>
      </c>
      <c r="BB2" s="594" t="s">
        <v>5797</v>
      </c>
      <c r="BC2" s="594" t="s">
        <v>5798</v>
      </c>
      <c r="BD2" s="594" t="s">
        <v>5799</v>
      </c>
      <c r="BE2" s="594" t="s">
        <v>5800</v>
      </c>
      <c r="BF2" s="594" t="s">
        <v>5886</v>
      </c>
      <c r="BG2" s="594" t="s">
        <v>5885</v>
      </c>
      <c r="BH2" s="594" t="s">
        <v>5884</v>
      </c>
      <c r="BI2" s="594" t="s">
        <v>6202</v>
      </c>
      <c r="BJ2" s="594" t="s">
        <v>5882</v>
      </c>
      <c r="BK2" s="594" t="s">
        <v>5881</v>
      </c>
      <c r="BL2" s="594" t="s">
        <v>5880</v>
      </c>
      <c r="BP2"/>
    </row>
    <row r="3" spans="1:68" ht="12.75" customHeight="1" x14ac:dyDescent="0.3">
      <c r="A3" s="1">
        <f ca="1">IF(ISBLANK(TAB_CSEXPENSES[[#This Row],[Reference]]),"",INDIRECT(CONCATENATE("'Offer management'!A",MATCH(TAB_CSEXPENSES[[#This Row],[Reference]],'Offer management'!E:E,0))))</f>
        <v>12</v>
      </c>
      <c r="B3" s="150" t="s">
        <v>281</v>
      </c>
      <c r="C3" s="150" t="s">
        <v>5610</v>
      </c>
      <c r="D3" s="1" t="str">
        <f ca="1">IF(ISBLANK(TAB_CSEXPENSES[[#This Row],[Reference]]),"",VLOOKUP(TAB_CSEXPENSES[[#This Row],[ID]],TAB_Offres[],2,FALSE))</f>
        <v>Lot 1</v>
      </c>
      <c r="E3" s="1" t="str">
        <f>IF(ISBLANK(TAB_CSEXPENSES[[#This Row],[Reference]]),"",INDEX(TAB_Offres[Institution/agency],MATCH(TAB_CSEXPENSES[[#This Row],[Reference]],TAB_Offres[Reference],0)))</f>
        <v>EC</v>
      </c>
      <c r="F3" s="1" t="str">
        <f>IF(ISBLANK(TAB_CSEXPENSES[[#This Row],[Reference]]),"",INDEX(TAB_Offres[DG],MATCH(TAB_CSEXPENSES[[#This Row],[Reference]],TAB_Offres[Reference],0)))</f>
        <v>DIGIT.D.1</v>
      </c>
      <c r="G3" s="1" t="e">
        <f>IF(ISBLANK(TAB_CSEXPENSES[[#This Row],[Reference]]),"",INDEX(#REF!,MATCH(TAB_CSEXPENSES[[#This Row],[Reference]],TAB_Offres[Reference],0)))</f>
        <v>#REF!</v>
      </c>
      <c r="H3" t="str">
        <f>IF(ISBLANK(TAB_CSEXPENSES[[#This Row],[Reference]]),"",INDEX(TAB_Offres[Offer description],MATCH(TAB_CSEXPENSES[[#This Row],[Reference]],TAB_Offres[Reference],0)))</f>
        <v>2022-D1.003.370 - NEW - DIGIT TMII - Full Stack Developer L6/7</v>
      </c>
      <c r="I3" s="155">
        <f>_xlfn.IFNA(IF(ISBLANK(TAB_CSEXPENSES[[#This Row],[Ressource]]),"",VLOOKUP(TAB_CSEXPENSES[[#This Row],[Reference]],TAB_Offres[[Reference]:[CS signature date]],COLUMNS(TAB_Offres[[Reference]:[CS signature date]]),FALSE)),"")</f>
        <v>44855</v>
      </c>
      <c r="J3" s="155">
        <f>_xlfn.IFNA(IF(ISBLANK(TAB_CSEXPENSES[[#This Row],[Ressource]]),"",VLOOKUP(TAB_CSEXPENSES[[#This Row],[Reference]],TAB_Offres[[Reference]:[CS start date]],COLUMNS(TAB_Offres[[Reference]:[CS start date]]),FALSE)),"")</f>
        <v>44855</v>
      </c>
      <c r="K3" s="155">
        <f>_xlfn.IFNA(IF(ISBLANK(TAB_CSEXPENSES[[#This Row],[Ressource]]),"",VLOOKUP(TAB_CSEXPENSES[[#This Row],[Reference]],TAB_Offres[[Reference]:[CS start date]],COLUMNS(TAB_Offres[[Reference]:[CS start date]]),FALSE)),"")</f>
        <v>44855</v>
      </c>
      <c r="L3" s="1" t="str">
        <f>_xlfn.IFNA(IF(ISBLANK(TAB_CSEXPENSES[[#This Row],[Ressource]]),"",VLOOKUP(TAB_CSEXPENSES[[#This Row],[Reference]],TAB_Offres[[Reference]:[CS State]],COLUMNS(TAB_Offres[[Reference]:[CS State]]),FALSE)),"")</f>
        <v>START</v>
      </c>
      <c r="M3" s="154" t="s">
        <v>282</v>
      </c>
      <c r="N3" s="1" t="str">
        <f>_xlfn.IFNA(IF(ISBLANK(TAB_CSEXPENSES[[#This Row],[Ressource]]),"",VLOOKUP(TAB_CSEXPENSES[[#This Row],[Reference]],TAB_Offres[[Reference]:[Company]],COLUMNS(TAB_Offres[[Reference]:[Company]]),FALSE)),)</f>
        <v>TALAN</v>
      </c>
      <c r="O3" s="150" t="s">
        <v>317</v>
      </c>
      <c r="P3" s="150">
        <f>IF(ISBLANK(TAB_CSEXPENSES[[#This Row],[Ressource]]),,_xlfn.IFNA(VLOOKUP(TAB_CSEXPENSES[[#This Row],[Profile]],TAB_prix[],2,FALSE),"/"))</f>
        <v>10</v>
      </c>
      <c r="Q3" s="150">
        <f>_xlfn.IFNA(
IF(
OR(ISBLANK(TAB_CSEXPENSES[[#This Row],[Cost/day]]),TAB_CSEXPENSES[[#This Row],[Cost/day]]="/"),
"/",
VLOOKUP(TAB_CSEXPENSES[[#This Row],[Ressource]],TAB_CS[[Ressource]:[Commited days]],COLUMNS(TAB_CS[[Ressource]:[Commited days]]),FALSE)),)</f>
        <v>0</v>
      </c>
      <c r="R3" s="24">
        <f>IF(TAB_CSEXPENSES[[#This Row],[Cost/day]]&lt;&gt;"/",TAB_CSEXPENSES[[#This Row],[Cost/day]]*TAB_CSEXPENSES[[#This Row],[Expected days]],)</f>
        <v>0</v>
      </c>
      <c r="S3" s="157">
        <f ca="1">IF(TAB_CSEXPENSES[[#This Row],[P]]="",, SUM(TAB_CSEXPENSES[[#This Row],[F]:[P]])-TAB_CSEXPENSES[[#This Row],[P]])</f>
        <v>680</v>
      </c>
      <c r="T3" s="218">
        <f t="shared" ref="T3:T37" ca="1" si="0">R:R-S:S</f>
        <v>-680</v>
      </c>
      <c r="U3" s="10">
        <f ca="1">SUM(TAB_CSEXPENSES[[#This Row],[P]:[FP]])</f>
        <v>0</v>
      </c>
      <c r="V3" s="144"/>
      <c r="W3" s="170"/>
      <c r="X3" s="170"/>
      <c r="Y3" s="170"/>
      <c r="Z3" s="170"/>
      <c r="AA3" s="170"/>
      <c r="AB3" s="170"/>
      <c r="AC3" s="170"/>
      <c r="AD3" s="170">
        <v>180</v>
      </c>
      <c r="AE3" s="170">
        <v>180</v>
      </c>
      <c r="AF3" s="170">
        <v>180</v>
      </c>
      <c r="AG3" s="170">
        <v>140</v>
      </c>
      <c r="AH3" s="170"/>
      <c r="AI3" s="170"/>
      <c r="AJ3" s="170"/>
      <c r="AK3" s="170"/>
      <c r="AL3" s="170"/>
      <c r="AM3" s="170"/>
      <c r="AN3" s="170"/>
      <c r="AO3" s="170"/>
      <c r="AP3" s="170"/>
      <c r="AQ3" s="170"/>
      <c r="AR3" s="170"/>
      <c r="AS3" s="170"/>
      <c r="AT3" s="170"/>
      <c r="AU3" s="170"/>
      <c r="AV3" s="213">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0</v>
      </c>
      <c r="AW3" s="170"/>
      <c r="AX3" s="170"/>
      <c r="AY3" s="170"/>
      <c r="AZ3" s="213"/>
      <c r="BA3" s="170"/>
      <c r="BB3" s="170"/>
      <c r="BC3" s="170"/>
      <c r="BD3" s="170"/>
      <c r="BE3" s="170"/>
      <c r="BF3" s="170"/>
      <c r="BG3" s="170"/>
      <c r="BH3" s="170"/>
      <c r="BI3" s="170"/>
      <c r="BJ3" s="170"/>
      <c r="BK3" s="170"/>
      <c r="BL3" s="170"/>
      <c r="BP3"/>
    </row>
    <row r="4" spans="1:68" ht="12.75" customHeight="1" x14ac:dyDescent="0.3">
      <c r="A4" s="1">
        <f ca="1">IF(ISBLANK(TAB_CSEXPENSES[[#This Row],[Reference]]),"",INDIRECT(CONCATENATE("'Offer management'!A",MATCH(TAB_CSEXPENSES[[#This Row],[Reference]],'Offer management'!E:E,0))))</f>
        <v>12</v>
      </c>
      <c r="B4" s="150" t="s">
        <v>281</v>
      </c>
      <c r="C4" s="150" t="s">
        <v>5610</v>
      </c>
      <c r="D4" s="1" t="str">
        <f ca="1">IF(ISBLANK(TAB_CSEXPENSES[[#This Row],[Reference]]),"",VLOOKUP(TAB_CSEXPENSES[[#This Row],[ID]],TAB_Offres[],2,FALSE))</f>
        <v>Lot 1</v>
      </c>
      <c r="E4" s="150" t="str">
        <f>IF(ISBLANK(TAB_CSEXPENSES[[#This Row],[Reference]]),"",INDEX(TAB_Offres[Institution/agency],MATCH(TAB_CSEXPENSES[[#This Row],[Reference]],TAB_Offres[Reference],0)))</f>
        <v>EC</v>
      </c>
      <c r="F4" s="150" t="str">
        <f>IF(ISBLANK(TAB_CSEXPENSES[[#This Row],[Reference]]),"",INDEX(TAB_Offres[DG],MATCH(TAB_CSEXPENSES[[#This Row],[Reference]],TAB_Offres[Reference],0)))</f>
        <v>DIGIT.D.1</v>
      </c>
      <c r="G4" s="150" t="e">
        <f>IF(ISBLANK(TAB_CSEXPENSES[[#This Row],[Reference]]),"",INDEX(#REF!,MATCH(TAB_CSEXPENSES[[#This Row],[Reference]],TAB_Offres[Reference],0)))</f>
        <v>#REF!</v>
      </c>
      <c r="H4" t="str">
        <f>IF(ISBLANK(TAB_CSEXPENSES[[#This Row],[Reference]]),"",INDEX(TAB_Offres[Offer description],MATCH(TAB_CSEXPENSES[[#This Row],[Reference]],TAB_Offres[Reference],0)))</f>
        <v>2022-D1.003.370 - NEW - DIGIT TMII - Full Stack Developer L6/7</v>
      </c>
      <c r="I4" s="155">
        <f>_xlfn.IFNA(IF(ISBLANK(TAB_CSEXPENSES[[#This Row],[Ressource]]),"",VLOOKUP(TAB_CSEXPENSES[[#This Row],[Reference]],TAB_Offres[[Reference]:[CS signature date]],COLUMNS(TAB_Offres[[Reference]:[CS signature date]]),FALSE)),"")</f>
        <v>44855</v>
      </c>
      <c r="J4" s="155">
        <f>_xlfn.IFNA(IF(ISBLANK(TAB_CSEXPENSES[[#This Row],[Ressource]]),"",VLOOKUP(TAB_CSEXPENSES[[#This Row],[Reference]],TAB_Offres[[Reference]:[CS start date]],COLUMNS(TAB_Offres[[Reference]:[CS start date]]),FALSE)),"")</f>
        <v>44855</v>
      </c>
      <c r="K4" s="155">
        <f>_xlfn.IFNA(IF(ISBLANK(TAB_CSEXPENSES[[#This Row],[Ressource]]),"",VLOOKUP(TAB_CSEXPENSES[[#This Row],[Reference]],TAB_Offres[[Reference]:[CS start date]],COLUMNS(TAB_Offres[[Reference]:[CS start date]]),FALSE)),"")</f>
        <v>44855</v>
      </c>
      <c r="L4" s="1" t="str">
        <f>_xlfn.IFNA(IF(ISBLANK(TAB_CSEXPENSES[[#This Row],[Ressource]]),"",VLOOKUP(TAB_CSEXPENSES[[#This Row],[Reference]],TAB_Offres[[Reference]:[CS State]],COLUMNS(TAB_Offres[[Reference]:[CS State]]),FALSE)),"")</f>
        <v>START</v>
      </c>
      <c r="M4" s="26" t="s">
        <v>349</v>
      </c>
      <c r="N4" s="1" t="str">
        <f>_xlfn.IFNA(IF(ISBLANK(TAB_CSEXPENSES[[#This Row],[Ressource]]),"",VLOOKUP(TAB_CSEXPENSES[[#This Row],[Reference]],TAB_Offres[[Reference]:[Company]],COLUMNS(TAB_Offres[[Reference]:[Company]]),FALSE)),)</f>
        <v>TALAN</v>
      </c>
      <c r="O4" s="150" t="s">
        <v>317</v>
      </c>
      <c r="P4" s="150">
        <f>IF(ISBLANK(TAB_CSEXPENSES[[#This Row],[Ressource]]),,_xlfn.IFNA(VLOOKUP(TAB_CSEXPENSES[[#This Row],[Profile]],TAB_prix[],2,FALSE),"/"))</f>
        <v>10</v>
      </c>
      <c r="Q4" s="150">
        <f>_xlfn.IFNA(
IF(
OR(ISBLANK(TAB_CSEXPENSES[[#This Row],[Cost/day]]),TAB_CSEXPENSES[[#This Row],[Cost/day]]="/"),
"/",
VLOOKUP(TAB_CSEXPENSES[[#This Row],[Ressource]],TAB_CS[[Ressource]:[Commited days]],COLUMNS(TAB_CS[[Ressource]:[Commited days]]),FALSE)),)</f>
        <v>60</v>
      </c>
      <c r="R4" s="24">
        <f>IF(TAB_CSEXPENSES[[#This Row],[Cost/day]]&lt;&gt;"/",TAB_CSEXPENSES[[#This Row],[Cost/day]]*TAB_CSEXPENSES[[#This Row],[Expected days]],)</f>
        <v>600</v>
      </c>
      <c r="S4" s="157">
        <f ca="1">IF(TAB_CSEXPENSES[[#This Row],[P]]="",, SUM(TAB_CSEXPENSES[[#This Row],[F]:[P]])-TAB_CSEXPENSES[[#This Row],[P]])</f>
        <v>205</v>
      </c>
      <c r="T4" s="218">
        <f t="shared" ca="1" si="0"/>
        <v>395</v>
      </c>
      <c r="U4" s="10">
        <f ca="1">SUM(TAB_CSEXPENSES[[#This Row],[P]:[FP]])</f>
        <v>570</v>
      </c>
      <c r="V4" s="144"/>
      <c r="W4" s="170"/>
      <c r="X4" s="170"/>
      <c r="Y4" s="170"/>
      <c r="Z4" s="170"/>
      <c r="AA4" s="170"/>
      <c r="AB4" s="170"/>
      <c r="AC4" s="170"/>
      <c r="AD4" s="170">
        <v>180</v>
      </c>
      <c r="AE4" s="170">
        <v>25</v>
      </c>
      <c r="AF4" s="170"/>
      <c r="AG4" s="170"/>
      <c r="AH4" s="170"/>
      <c r="AI4" s="172"/>
      <c r="AJ4" s="172"/>
      <c r="AK4" s="172"/>
      <c r="AL4" s="172"/>
      <c r="AM4" s="172"/>
      <c r="AN4" s="172"/>
      <c r="AO4" s="172"/>
      <c r="AP4" s="172"/>
      <c r="AQ4" s="172"/>
      <c r="AR4" s="172"/>
      <c r="AS4" s="172"/>
      <c r="AT4" s="172"/>
      <c r="AU4" s="172"/>
      <c r="AV4" s="213">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570</v>
      </c>
      <c r="AW4" s="172"/>
      <c r="AX4" s="172"/>
      <c r="AY4" s="172"/>
      <c r="AZ4" s="213"/>
      <c r="BA4" s="172"/>
      <c r="BB4" s="172"/>
      <c r="BC4" s="172"/>
      <c r="BD4" s="172"/>
      <c r="BE4" s="172"/>
      <c r="BF4" s="172"/>
      <c r="BG4" s="172"/>
      <c r="BH4" s="172"/>
      <c r="BI4" s="172"/>
      <c r="BJ4" s="172"/>
      <c r="BK4" s="172"/>
      <c r="BL4" s="172"/>
      <c r="BP4"/>
    </row>
    <row r="5" spans="1:68" ht="12.75" customHeight="1" x14ac:dyDescent="0.3">
      <c r="A5" s="1">
        <f ca="1">IF(ISBLANK(TAB_CSEXPENSES[[#This Row],[Reference]]),"",INDIRECT(CONCATENATE("'Offer management'!A",MATCH(TAB_CSEXPENSES[[#This Row],[Reference]],'Offer management'!E:E,0))))</f>
        <v>21</v>
      </c>
      <c r="B5" s="1" t="s">
        <v>291</v>
      </c>
      <c r="C5" s="150" t="s">
        <v>5619</v>
      </c>
      <c r="D5" s="1" t="str">
        <f ca="1">IF(ISBLANK(TAB_CSEXPENSES[[#This Row],[Reference]]),"",VLOOKUP(TAB_CSEXPENSES[[#This Row],[ID]],TAB_Offres[],2,FALSE))</f>
        <v>Lot 2</v>
      </c>
      <c r="E5" s="150" t="str">
        <f>IF(ISBLANK(TAB_CSEXPENSES[[#This Row],[Reference]]),"",INDEX(TAB_Offres[Institution/agency],MATCH(TAB_CSEXPENSES[[#This Row],[Reference]],TAB_Offres[Reference],0)))</f>
        <v>EC</v>
      </c>
      <c r="F5" s="150" t="str">
        <f>IF(ISBLANK(TAB_CSEXPENSES[[#This Row],[Reference]]),"",INDEX(TAB_Offres[DG],MATCH(TAB_CSEXPENSES[[#This Row],[Reference]],TAB_Offres[Reference],0)))</f>
        <v>DIGIT.D.1</v>
      </c>
      <c r="G5" s="150" t="e">
        <f>IF(ISBLANK(TAB_CSEXPENSES[[#This Row],[Reference]]),"",INDEX(#REF!,MATCH(TAB_CSEXPENSES[[#This Row],[Reference]],TAB_Offres[Reference],0)))</f>
        <v>#REF!</v>
      </c>
      <c r="H5" t="str">
        <f>IF(ISBLANK(TAB_CSEXPENSES[[#This Row],[Reference]]),"",INDEX(TAB_Offres[Offer description],MATCH(TAB_CSEXPENSES[[#This Row],[Reference]],TAB_Offres[Reference],0)))</f>
        <v>2022-D1.001.505 - NEW - DIGIT TMII - DS- L6/7</v>
      </c>
      <c r="I5" s="155">
        <f>_xlfn.IFNA(IF(ISBLANK(TAB_CSEXPENSES[[#This Row],[Ressource]]),"",VLOOKUP(TAB_CSEXPENSES[[#This Row],[Reference]],TAB_Offres[[Reference]:[CS signature date]],COLUMNS(TAB_Offres[[Reference]:[CS signature date]]),FALSE)),"")</f>
        <v>44879</v>
      </c>
      <c r="J5" s="155">
        <f>_xlfn.IFNA(IF(ISBLANK(TAB_CSEXPENSES[[#This Row],[Ressource]]),"",VLOOKUP(TAB_CSEXPENSES[[#This Row],[Reference]],TAB_Offres[[Reference]:[CS start date]],COLUMNS(TAB_Offres[[Reference]:[CS start date]]),FALSE)),"")</f>
        <v>44879</v>
      </c>
      <c r="K5" s="155">
        <f>_xlfn.IFNA(IF(ISBLANK(TAB_CSEXPENSES[[#This Row],[Ressource]]),"",VLOOKUP(TAB_CSEXPENSES[[#This Row],[Reference]],TAB_Offres[[Reference]:[CS start date]],COLUMNS(TAB_Offres[[Reference]:[CS start date]]),FALSE)),"")</f>
        <v>44879</v>
      </c>
      <c r="L5" s="1" t="str">
        <f>_xlfn.IFNA(IF(ISBLANK(TAB_CSEXPENSES[[#This Row],[Ressource]]),"",VLOOKUP(TAB_CSEXPENSES[[#This Row],[Reference]],TAB_Offres[[Reference]:[CS State]],COLUMNS(TAB_Offres[[Reference]:[CS State]]),FALSE)),"")</f>
        <v>CLOSE</v>
      </c>
      <c r="M5" s="26" t="s">
        <v>292</v>
      </c>
      <c r="N5" s="1" t="str">
        <f>_xlfn.IFNA(IF(ISBLANK(TAB_CSEXPENSES[[#This Row],[Ressource]]),"",VLOOKUP(TAB_CSEXPENSES[[#This Row],[Reference]],TAB_Offres[[Reference]:[Company]],COLUMNS(TAB_Offres[[Reference]:[Company]]),FALSE)),)</f>
        <v>EDDA</v>
      </c>
      <c r="O5" s="150" t="s">
        <v>318</v>
      </c>
      <c r="P5" s="150">
        <f>IF(ISBLANK(TAB_CSEXPENSES[[#This Row],[Ressource]]),,_xlfn.IFNA(VLOOKUP(TAB_CSEXPENSES[[#This Row],[Profile]],TAB_prix[],2,FALSE),"/"))</f>
        <v>30</v>
      </c>
      <c r="Q5" s="150">
        <f>_xlfn.IFNA(
IF(
OR(ISBLANK(TAB_CSEXPENSES[[#This Row],[Cost/day]]),TAB_CSEXPENSES[[#This Row],[Cost/day]]="/"),
"/",
VLOOKUP(TAB_CSEXPENSES[[#This Row],[Ressource]],TAB_CS[[Ressource]:[Commited days]],COLUMNS(TAB_CS[[Ressource]:[Commited days]]),FALSE)),)</f>
        <v>100</v>
      </c>
      <c r="R5" s="24">
        <f>IF(TAB_CSEXPENSES[[#This Row],[Cost/day]]&lt;&gt;"/",TAB_CSEXPENSES[[#This Row],[Cost/day]]*TAB_CSEXPENSES[[#This Row],[Expected days]],)</f>
        <v>3000</v>
      </c>
      <c r="S5" s="157">
        <f ca="1">IF(TAB_CSEXPENSES[[#This Row],[P]]="",, SUM(TAB_CSEXPENSES[[#This Row],[F]:[P]])-TAB_CSEXPENSES[[#This Row],[P]])</f>
        <v>735</v>
      </c>
      <c r="T5" s="218">
        <f t="shared" ca="1" si="0"/>
        <v>2265</v>
      </c>
      <c r="U5" s="10">
        <f ca="1">SUM(TAB_CSEXPENSES[[#This Row],[P]:[FP]])</f>
        <v>2265</v>
      </c>
      <c r="V5" s="144"/>
      <c r="W5" s="170"/>
      <c r="X5" s="170"/>
      <c r="Y5" s="170"/>
      <c r="Z5" s="170"/>
      <c r="AA5" s="170"/>
      <c r="AB5" s="170"/>
      <c r="AC5" s="170"/>
      <c r="AD5" s="170">
        <v>540</v>
      </c>
      <c r="AE5" s="170">
        <v>195</v>
      </c>
      <c r="AF5" s="170"/>
      <c r="AG5" s="170"/>
      <c r="AH5" s="170"/>
      <c r="AI5" s="170"/>
      <c r="AJ5" s="170"/>
      <c r="AK5" s="170"/>
      <c r="AL5" s="170"/>
      <c r="AM5" s="170"/>
      <c r="AN5" s="170"/>
      <c r="AO5" s="170"/>
      <c r="AP5" s="170"/>
      <c r="AQ5" s="170"/>
      <c r="AR5" s="170"/>
      <c r="AS5" s="170"/>
      <c r="AT5" s="170"/>
      <c r="AU5" s="170"/>
      <c r="AV5" s="213">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2265</v>
      </c>
      <c r="AW5" s="170"/>
      <c r="AX5" s="170"/>
      <c r="AY5" s="170"/>
      <c r="AZ5" s="213"/>
      <c r="BA5" s="170"/>
      <c r="BB5" s="170"/>
      <c r="BC5" s="170"/>
      <c r="BD5" s="170"/>
      <c r="BE5" s="170"/>
      <c r="BF5" s="170"/>
      <c r="BG5" s="170"/>
      <c r="BH5" s="170"/>
      <c r="BI5" s="170"/>
      <c r="BJ5" s="170"/>
      <c r="BK5" s="170"/>
      <c r="BL5" s="170"/>
      <c r="BP5"/>
    </row>
    <row r="6" spans="1:68" ht="12.75" customHeight="1" x14ac:dyDescent="0.3">
      <c r="A6" s="1">
        <f ca="1">IF(ISBLANK(TAB_CSEXPENSES[[#This Row],[Reference]]),"",INDIRECT(CONCATENATE("'Offer management'!A",MATCH(TAB_CSEXPENSES[[#This Row],[Reference]],'Offer management'!E:E,0))))</f>
        <v>36</v>
      </c>
      <c r="B6" s="150" t="s">
        <v>329</v>
      </c>
      <c r="C6" s="150" t="s">
        <v>5636</v>
      </c>
      <c r="D6" s="1" t="str">
        <f ca="1">IF(ISBLANK(TAB_CSEXPENSES[[#This Row],[Reference]]),"",VLOOKUP(TAB_CSEXPENSES[[#This Row],[ID]],TAB_Offres[],2,FALSE))</f>
        <v>Lot 2</v>
      </c>
      <c r="E6" s="150" t="str">
        <f>IF(ISBLANK(TAB_CSEXPENSES[[#This Row],[Reference]]),"",INDEX(TAB_Offres[Institution/agency],MATCH(TAB_CSEXPENSES[[#This Row],[Reference]],TAB_Offres[Reference],0)))</f>
        <v>EC</v>
      </c>
      <c r="F6" s="150" t="str">
        <f>IF(ISBLANK(TAB_CSEXPENSES[[#This Row],[Reference]]),"",INDEX(TAB_Offres[DG],MATCH(TAB_CSEXPENSES[[#This Row],[Reference]],TAB_Offres[Reference],0)))</f>
        <v>JUST B.1</v>
      </c>
      <c r="G6" s="150" t="e">
        <f>IF(ISBLANK(TAB_CSEXPENSES[[#This Row],[Reference]]),"",INDEX(#REF!,MATCH(TAB_CSEXPENSES[[#This Row],[Reference]],TAB_Offres[Reference],0)))</f>
        <v>#REF!</v>
      </c>
      <c r="H6" t="str">
        <f>IF(ISBLANK(TAB_CSEXPENSES[[#This Row],[Reference]]),"",INDEX(TAB_Offres[Offer description],MATCH(TAB_CSEXPENSES[[#This Row],[Reference]],TAB_Offres[Reference],0)))</f>
        <v>Project Manager (PM)</v>
      </c>
      <c r="I6" s="155">
        <f>_xlfn.IFNA(IF(ISBLANK(TAB_CSEXPENSES[[#This Row],[Ressource]]),"",VLOOKUP(TAB_CSEXPENSES[[#This Row],[Reference]],TAB_Offres[[Reference]:[CS signature date]],COLUMNS(TAB_Offres[[Reference]:[CS signature date]]),FALSE)),"")</f>
        <v>44911</v>
      </c>
      <c r="J6" s="155">
        <f>_xlfn.IFNA(IF(ISBLANK(TAB_CSEXPENSES[[#This Row],[Ressource]]),"",VLOOKUP(TAB_CSEXPENSES[[#This Row],[Reference]],TAB_Offres[[Reference]:[CS start date]],COLUMNS(TAB_Offres[[Reference]:[CS start date]]),FALSE)),"")</f>
        <v>44929</v>
      </c>
      <c r="K6" s="155">
        <f>_xlfn.IFNA(IF(ISBLANK(TAB_CSEXPENSES[[#This Row],[Ressource]]),"",VLOOKUP(TAB_CSEXPENSES[[#This Row],[Reference]],TAB_Offres[[Reference]:[CS start date]],COLUMNS(TAB_Offres[[Reference]:[CS start date]]),FALSE)),"")</f>
        <v>44929</v>
      </c>
      <c r="L6" s="1" t="str">
        <f>_xlfn.IFNA(IF(ISBLANK(TAB_CSEXPENSES[[#This Row],[Ressource]]),"",VLOOKUP(TAB_CSEXPENSES[[#This Row],[Reference]],TAB_Offres[[Reference]:[CS State]],COLUMNS(TAB_Offres[[Reference]:[CS State]]),FALSE)),"")</f>
        <v>START</v>
      </c>
      <c r="M6" s="154" t="s">
        <v>330</v>
      </c>
      <c r="N6" s="1" t="str">
        <f>_xlfn.IFNA(IF(ISBLANK(TAB_CSEXPENSES[[#This Row],[Ressource]]),"",VLOOKUP(TAB_CSEXPENSES[[#This Row],[Reference]],TAB_Offres[[Reference]:[Company]],COLUMNS(TAB_Offres[[Reference]:[Company]]),FALSE)),)</f>
        <v>TREMEND</v>
      </c>
      <c r="O6" s="150" t="s">
        <v>331</v>
      </c>
      <c r="P6" s="150" t="str">
        <f>IF(ISBLANK(TAB_CSEXPENSES[[#This Row],[Ressource]]),,_xlfn.IFNA(VLOOKUP(TAB_CSEXPENSES[[#This Row],[Profile]],TAB_prix[],2,FALSE),"/"))</f>
        <v>/</v>
      </c>
      <c r="Q6" s="150" t="str">
        <f>_xlfn.IFNA(
IF(
OR(ISBLANK(TAB_CSEXPENSES[[#This Row],[Cost/day]]),TAB_CSEXPENSES[[#This Row],[Cost/day]]="/"),
"/",
VLOOKUP(TAB_CSEXPENSES[[#This Row],[Ressource]],TAB_CS[[Ressource]:[Commited days]],COLUMNS(TAB_CS[[Ressource]:[Commited days]]),FALSE)),)</f>
        <v>/</v>
      </c>
      <c r="R6" s="24">
        <v>10000</v>
      </c>
      <c r="S6" s="157">
        <f ca="1">IF(TAB_CSEXPENSES[[#This Row],[P]]="",, SUM(TAB_CSEXPENSES[[#This Row],[F]:[P]])-TAB_CSEXPENSES[[#This Row],[P]])</f>
        <v>0</v>
      </c>
      <c r="T6" s="218">
        <f t="shared" ca="1" si="0"/>
        <v>10000</v>
      </c>
      <c r="U6" s="10">
        <f ca="1">SUM(TAB_CSEXPENSES[[#This Row],[P]:[FP]])</f>
        <v>0</v>
      </c>
      <c r="V6" s="144"/>
      <c r="W6" s="170"/>
      <c r="X6" s="170"/>
      <c r="Y6" s="170"/>
      <c r="Z6" s="170"/>
      <c r="AA6" s="170"/>
      <c r="AB6" s="170"/>
      <c r="AC6" s="170"/>
      <c r="AD6" s="170"/>
      <c r="AE6" s="170"/>
      <c r="AF6" s="170"/>
      <c r="AG6" s="170"/>
      <c r="AH6" s="170"/>
      <c r="AI6" s="170"/>
      <c r="AJ6" s="170"/>
      <c r="AK6" s="170"/>
      <c r="AL6" s="170"/>
      <c r="AM6" s="170"/>
      <c r="AN6" s="170"/>
      <c r="AO6" s="170"/>
      <c r="AP6" s="170"/>
      <c r="AQ6" s="170"/>
      <c r="AR6" s="170"/>
      <c r="AS6" s="170"/>
      <c r="AT6" s="170"/>
      <c r="AU6" s="170"/>
      <c r="AV6" s="213">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0</v>
      </c>
      <c r="AW6" s="170"/>
      <c r="AX6" s="170"/>
      <c r="AY6" s="170"/>
      <c r="AZ6" s="213"/>
      <c r="BA6" s="170"/>
      <c r="BB6" s="170"/>
      <c r="BC6" s="170"/>
      <c r="BD6" s="170"/>
      <c r="BE6" s="170"/>
      <c r="BF6" s="170"/>
      <c r="BG6" s="170"/>
      <c r="BH6" s="170"/>
      <c r="BI6" s="170"/>
      <c r="BJ6" s="170"/>
      <c r="BK6" s="170"/>
      <c r="BL6" s="170"/>
      <c r="BP6"/>
    </row>
    <row r="7" spans="1:68" ht="12.75" customHeight="1" x14ac:dyDescent="0.3">
      <c r="A7" s="1">
        <f ca="1">IF(ISBLANK(TAB_CSEXPENSES[[#This Row],[Reference]]),"",INDIRECT(CONCATENATE("'Offer management'!A",MATCH(TAB_CSEXPENSES[[#This Row],[Reference]],'Offer management'!E:E,0))))</f>
        <v>38</v>
      </c>
      <c r="B7" s="1" t="s">
        <v>510</v>
      </c>
      <c r="C7" s="605" t="s">
        <v>6077</v>
      </c>
      <c r="D7" s="1" t="str">
        <f ca="1">IF(ISBLANK(TAB_CSEXPENSES[[#This Row],[Reference]]),"",VLOOKUP(TAB_CSEXPENSES[[#This Row],[ID]],TAB_Offres[],2,FALSE))</f>
        <v>Lot 3</v>
      </c>
      <c r="E7" s="150" t="str">
        <f>IF(ISBLANK(TAB_CSEXPENSES[[#This Row],[Reference]]),"",INDEX(TAB_Offres[Institution/agency],MATCH(TAB_CSEXPENSES[[#This Row],[Reference]],TAB_Offres[Reference],0)))</f>
        <v>EC</v>
      </c>
      <c r="F7" s="150" t="str">
        <f>IF(ISBLANK(TAB_CSEXPENSES[[#This Row],[Reference]]),"",INDEX(TAB_Offres[DG],MATCH(TAB_CSEXPENSES[[#This Row],[Reference]],TAB_Offres[Reference],0)))</f>
        <v>RTD.I.3</v>
      </c>
      <c r="G7" s="150" t="e">
        <f>IF(ISBLANK(TAB_CSEXPENSES[[#This Row],[Reference]]),"",INDEX(#REF!,MATCH(TAB_CSEXPENSES[[#This Row],[Reference]],TAB_Offres[Reference],0)))</f>
        <v>#REF!</v>
      </c>
      <c r="H7" t="str">
        <f>IF(ISBLANK(TAB_CSEXPENSES[[#This Row],[Reference]]),"",INDEX(TAB_Offres[Offer description],MATCH(TAB_CSEXPENSES[[#This Row],[Reference]],TAB_Offres[Reference],0)))</f>
        <v>Provision of extra services for FAR SITE consultant
2 travels per year included travel + daily allowance + accommodation</v>
      </c>
      <c r="I7" s="155">
        <f>_xlfn.IFNA(IF(ISBLANK(TAB_CSEXPENSES[[#This Row],[Ressource]]),"",VLOOKUP(TAB_CSEXPENSES[[#This Row],[Reference]],TAB_Offres[[Reference]:[CS signature date]],COLUMNS(TAB_Offres[[Reference]:[CS signature date]]),FALSE)),"")</f>
        <v>44910</v>
      </c>
      <c r="J7" s="155">
        <f>_xlfn.IFNA(IF(ISBLANK(TAB_CSEXPENSES[[#This Row],[Ressource]]),"",VLOOKUP(TAB_CSEXPENSES[[#This Row],[Reference]],TAB_Offres[[Reference]:[CS start date]],COLUMNS(TAB_Offres[[Reference]:[CS start date]]),FALSE)),"")</f>
        <v>0</v>
      </c>
      <c r="K7" s="155">
        <f>_xlfn.IFNA(IF(ISBLANK(TAB_CSEXPENSES[[#This Row],[Ressource]]),"",VLOOKUP(TAB_CSEXPENSES[[#This Row],[Reference]],TAB_Offres[[Reference]:[CS start date]],COLUMNS(TAB_Offres[[Reference]:[CS start date]]),FALSE)),"")</f>
        <v>0</v>
      </c>
      <c r="L7" s="1" t="str">
        <f>_xlfn.IFNA(IF(ISBLANK(TAB_CSEXPENSES[[#This Row],[Ressource]]),"",VLOOKUP(TAB_CSEXPENSES[[#This Row],[Reference]],TAB_Offres[[Reference]:[CS State]],COLUMNS(TAB_Offres[[Reference]:[CS State]]),FALSE)),"")</f>
        <v>START</v>
      </c>
      <c r="M7" s="26" t="s">
        <v>296</v>
      </c>
      <c r="N7" s="1" t="str">
        <f>_xlfn.IFNA(IF(ISBLANK(TAB_CSEXPENSES[[#This Row],[Ressource]]),"",VLOOKUP(TAB_CSEXPENSES[[#This Row],[Reference]],TAB_Offres[[Reference]:[Company]],COLUMNS(TAB_Offres[[Reference]:[Company]]),FALSE)),)</f>
        <v>EDDA</v>
      </c>
      <c r="O7" s="150" t="s">
        <v>512</v>
      </c>
      <c r="P7" s="150" t="str">
        <f>IF(ISBLANK(TAB_CSEXPENSES[[#This Row],[Ressource]]),,_xlfn.IFNA(VLOOKUP(TAB_CSEXPENSES[[#This Row],[Profile]],TAB_prix[],2,FALSE),"/"))</f>
        <v>/</v>
      </c>
      <c r="Q7" s="150" t="str">
        <f>_xlfn.IFNA(
IF(
OR(ISBLANK(TAB_CSEXPENSES[[#This Row],[Cost/day]]),TAB_CSEXPENSES[[#This Row],[Cost/day]]="/"),
"/",
VLOOKUP(TAB_CSEXPENSES[[#This Row],[Ressource]],TAB_CS[[Ressource]:[Commited days]],COLUMNS(TAB_CS[[Ressource]:[Commited days]]),FALSE)),)</f>
        <v>/</v>
      </c>
      <c r="R7" s="24">
        <v>2000</v>
      </c>
      <c r="S7" s="157">
        <f ca="1">IF(TAB_CSEXPENSES[[#This Row],[P]]="",, SUM(TAB_CSEXPENSES[[#This Row],[F]:[P]])-TAB_CSEXPENSES[[#This Row],[P]])</f>
        <v>0</v>
      </c>
      <c r="T7" s="218">
        <f t="shared" ca="1" si="0"/>
        <v>2000</v>
      </c>
      <c r="U7" s="10">
        <f ca="1">SUM(TAB_CSEXPENSES[[#This Row],[P]:[FP]])</f>
        <v>0</v>
      </c>
      <c r="V7" s="144"/>
      <c r="W7" s="170"/>
      <c r="X7" s="170"/>
      <c r="Y7" s="170"/>
      <c r="Z7" s="170"/>
      <c r="AA7" s="170"/>
      <c r="AB7" s="170"/>
      <c r="AC7" s="170"/>
      <c r="AD7" s="170"/>
      <c r="AE7" s="170"/>
      <c r="AF7" s="170"/>
      <c r="AG7" s="170"/>
      <c r="AH7" s="170"/>
      <c r="AI7" s="170"/>
      <c r="AJ7" s="170"/>
      <c r="AK7" s="170"/>
      <c r="AL7" s="170"/>
      <c r="AM7" s="170"/>
      <c r="AN7" s="170"/>
      <c r="AO7" s="170"/>
      <c r="AP7" s="170"/>
      <c r="AQ7" s="170"/>
      <c r="AR7" s="170"/>
      <c r="AS7" s="170"/>
      <c r="AT7" s="170"/>
      <c r="AU7" s="170"/>
      <c r="AV7" s="213">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0</v>
      </c>
      <c r="AW7" s="170"/>
      <c r="AX7" s="170"/>
      <c r="AY7" s="170"/>
      <c r="AZ7" s="213"/>
      <c r="BA7" s="170"/>
      <c r="BB7" s="170"/>
      <c r="BC7" s="170"/>
      <c r="BD7" s="170"/>
      <c r="BE7" s="170"/>
      <c r="BF7" s="170"/>
      <c r="BG7" s="170"/>
      <c r="BH7" s="170"/>
      <c r="BI7" s="170"/>
      <c r="BJ7" s="170"/>
      <c r="BK7" s="170"/>
      <c r="BL7" s="170"/>
      <c r="BP7"/>
    </row>
    <row r="8" spans="1:68" ht="12.75" customHeight="1" x14ac:dyDescent="0.3">
      <c r="A8" s="1">
        <f ca="1">IF(ISBLANK(TAB_CSEXPENSES[[#This Row],[Reference]]),"",INDIRECT(CONCATENATE("'Offer management'!A",MATCH(TAB_CSEXPENSES[[#This Row],[Reference]],'Offer management'!E:E,0))))</f>
        <v>40</v>
      </c>
      <c r="B8" s="1" t="s">
        <v>513</v>
      </c>
      <c r="C8" s="605" t="s">
        <v>6078</v>
      </c>
      <c r="D8" s="1" t="str">
        <f ca="1">IF(ISBLANK(TAB_CSEXPENSES[[#This Row],[Reference]]),"",VLOOKUP(TAB_CSEXPENSES[[#This Row],[ID]],TAB_Offres[],2,FALSE))</f>
        <v>Lot 2</v>
      </c>
      <c r="E8" s="150" t="str">
        <f>IF(ISBLANK(TAB_CSEXPENSES[[#This Row],[Reference]]),"",INDEX(TAB_Offres[Institution/agency],MATCH(TAB_CSEXPENSES[[#This Row],[Reference]],TAB_Offres[Reference],0)))</f>
        <v>EC</v>
      </c>
      <c r="F8" s="150" t="str">
        <f>IF(ISBLANK(TAB_CSEXPENSES[[#This Row],[Reference]]),"",INDEX(TAB_Offres[DG],MATCH(TAB_CSEXPENSES[[#This Row],[Reference]],TAB_Offres[Reference],0)))</f>
        <v>DIGIT.B.4</v>
      </c>
      <c r="G8" s="150" t="e">
        <f>IF(ISBLANK(TAB_CSEXPENSES[[#This Row],[Reference]]),"",INDEX(#REF!,MATCH(TAB_CSEXPENSES[[#This Row],[Reference]],TAB_Offres[Reference],0)))</f>
        <v>#REF!</v>
      </c>
      <c r="H8" t="str">
        <f>IF(ISBLANK(TAB_CSEXPENSES[[#This Row],[Reference]]),"",INDEX(TAB_Offres[Offer description],MATCH(TAB_CSEXPENSES[[#This Row],[Reference]],TAB_Offres[Reference],0)))</f>
        <v xml:space="preserve">provision for missions that are to be performed in other locations
than the normal place of work – and on the explicit written request of the Commission.
</v>
      </c>
      <c r="I8" s="155">
        <f>_xlfn.IFNA(IF(ISBLANK(TAB_CSEXPENSES[[#This Row],[Ressource]]),"",VLOOKUP(TAB_CSEXPENSES[[#This Row],[Reference]],TAB_Offres[[Reference]:[CS signature date]],COLUMNS(TAB_Offres[[Reference]:[CS signature date]]),FALSE)),"")</f>
        <v>44971</v>
      </c>
      <c r="J8" s="155">
        <f>_xlfn.IFNA(IF(ISBLANK(TAB_CSEXPENSES[[#This Row],[Ressource]]),"",VLOOKUP(TAB_CSEXPENSES[[#This Row],[Reference]],TAB_Offres[[Reference]:[CS start date]],COLUMNS(TAB_Offres[[Reference]:[CS start date]]),FALSE)),"")</f>
        <v>0</v>
      </c>
      <c r="K8" s="155">
        <f>_xlfn.IFNA(IF(ISBLANK(TAB_CSEXPENSES[[#This Row],[Ressource]]),"",VLOOKUP(TAB_CSEXPENSES[[#This Row],[Reference]],TAB_Offres[[Reference]:[CS start date]],COLUMNS(TAB_Offres[[Reference]:[CS start date]]),FALSE)),"")</f>
        <v>0</v>
      </c>
      <c r="L8" s="1" t="str">
        <f>_xlfn.IFNA(IF(ISBLANK(TAB_CSEXPENSES[[#This Row],[Ressource]]),"",VLOOKUP(TAB_CSEXPENSES[[#This Row],[Reference]],TAB_Offres[[Reference]:[CS State]],COLUMNS(TAB_Offres[[Reference]:[CS State]]),FALSE)),"")</f>
        <v>START</v>
      </c>
      <c r="M8" s="26" t="s">
        <v>263</v>
      </c>
      <c r="N8" s="1" t="str">
        <f>_xlfn.IFNA(IF(ISBLANK(TAB_CSEXPENSES[[#This Row],[Ressource]]),"",VLOOKUP(TAB_CSEXPENSES[[#This Row],[Reference]],TAB_Offres[[Reference]:[Company]],COLUMNS(TAB_Offres[[Reference]:[Company]]),FALSE)),)</f>
        <v>CGI LUX</v>
      </c>
      <c r="O8" s="150" t="s">
        <v>512</v>
      </c>
      <c r="P8" s="150" t="str">
        <f>IF(ISBLANK(TAB_CSEXPENSES[[#This Row],[Ressource]]),,_xlfn.IFNA(VLOOKUP(TAB_CSEXPENSES[[#This Row],[Profile]],TAB_prix[],2,FALSE),"/"))</f>
        <v>/</v>
      </c>
      <c r="Q8" s="150" t="str">
        <f>_xlfn.IFNA(
IF(
OR(ISBLANK(TAB_CSEXPENSES[[#This Row],[Cost/day]]),TAB_CSEXPENSES[[#This Row],[Cost/day]]="/"),
"/",
VLOOKUP(TAB_CSEXPENSES[[#This Row],[Ressource]],TAB_CS[[Ressource]:[Commited days]],COLUMNS(TAB_CS[[Ressource]:[Commited days]]),FALSE)),)</f>
        <v>/</v>
      </c>
      <c r="R8" s="24">
        <v>5000</v>
      </c>
      <c r="S8" s="157">
        <f ca="1">IF(TAB_CSEXPENSES[[#This Row],[P]]="",, SUM(TAB_CSEXPENSES[[#This Row],[F]:[P]])-TAB_CSEXPENSES[[#This Row],[P]])</f>
        <v>0</v>
      </c>
      <c r="T8" s="218">
        <f t="shared" ca="1" si="0"/>
        <v>5000</v>
      </c>
      <c r="U8" s="10">
        <f ca="1">SUM(TAB_CSEXPENSES[[#This Row],[P]:[FP]])</f>
        <v>0</v>
      </c>
      <c r="V8" s="144"/>
      <c r="W8" s="170"/>
      <c r="X8" s="170"/>
      <c r="Y8" s="170"/>
      <c r="Z8" s="170"/>
      <c r="AA8" s="170"/>
      <c r="AB8" s="170"/>
      <c r="AC8" s="170"/>
      <c r="AD8" s="170"/>
      <c r="AE8" s="170"/>
      <c r="AF8" s="170"/>
      <c r="AG8" s="170"/>
      <c r="AH8" s="170"/>
      <c r="AI8" s="170"/>
      <c r="AJ8" s="170"/>
      <c r="AK8" s="170"/>
      <c r="AL8" s="170"/>
      <c r="AM8" s="170"/>
      <c r="AN8" s="170"/>
      <c r="AO8" s="170"/>
      <c r="AP8" s="170"/>
      <c r="AQ8" s="170"/>
      <c r="AR8" s="170"/>
      <c r="AS8" s="170"/>
      <c r="AT8" s="170"/>
      <c r="AU8" s="170"/>
      <c r="AV8" s="213">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0</v>
      </c>
      <c r="AW8" s="170"/>
      <c r="AX8" s="170"/>
      <c r="AY8" s="170"/>
      <c r="AZ8" s="213"/>
      <c r="BA8" s="170"/>
      <c r="BB8" s="170"/>
      <c r="BC8" s="170"/>
      <c r="BD8" s="170"/>
      <c r="BE8" s="170"/>
      <c r="BF8" s="170"/>
      <c r="BG8" s="170"/>
      <c r="BH8" s="170"/>
      <c r="BI8" s="170"/>
      <c r="BJ8" s="170"/>
      <c r="BK8" s="170"/>
      <c r="BL8" s="170"/>
      <c r="BP8"/>
    </row>
    <row r="9" spans="1:68" ht="12.6" customHeight="1" x14ac:dyDescent="0.3">
      <c r="A9" s="1">
        <f ca="1">IF(ISBLANK(TAB_CSEXPENSES[[#This Row],[Reference]]),"",INDIRECT(CONCATENATE("'Offer management'!A",MATCH(TAB_CSEXPENSES[[#This Row],[Reference]],'Offer management'!E:E,0))))</f>
        <v>39</v>
      </c>
      <c r="B9" s="1" t="s">
        <v>516</v>
      </c>
      <c r="C9" s="150" t="s">
        <v>5637</v>
      </c>
      <c r="D9" s="1" t="str">
        <f ca="1">IF(ISBLANK(TAB_CSEXPENSES[[#This Row],[Reference]]),"",VLOOKUP(TAB_CSEXPENSES[[#This Row],[ID]],TAB_Offres[],2,FALSE))</f>
        <v>Lot 3</v>
      </c>
      <c r="E9" s="150" t="str">
        <f>IF(ISBLANK(TAB_CSEXPENSES[[#This Row],[Reference]]),"",INDEX(TAB_Offres[Institution/agency],MATCH(TAB_CSEXPENSES[[#This Row],[Reference]],TAB_Offres[Reference],0)))</f>
        <v>EC</v>
      </c>
      <c r="F9" s="150" t="str">
        <f>IF(ISBLANK(TAB_CSEXPENSES[[#This Row],[Reference]]),"",INDEX(TAB_Offres[DG],MATCH(TAB_CSEXPENSES[[#This Row],[Reference]],TAB_Offres[Reference],0)))</f>
        <v>DIGIT.D.2</v>
      </c>
      <c r="G9" s="150" t="e">
        <f>IF(ISBLANK(TAB_CSEXPENSES[[#This Row],[Reference]]),"",INDEX(#REF!,MATCH(TAB_CSEXPENSES[[#This Row],[Reference]],TAB_Offres[Reference],0)))</f>
        <v>#REF!</v>
      </c>
      <c r="H9" t="str">
        <f>IF(ISBLANK(TAB_CSEXPENSES[[#This Row],[Reference]]),"",INDEX(TAB_Offres[Offer description],MATCH(TAB_CSEXPENSES[[#This Row],[Reference]],TAB_Offres[Reference],0)))</f>
        <v>LIOP - IT Expert</v>
      </c>
      <c r="I9" s="155">
        <f>_xlfn.IFNA(IF(ISBLANK(TAB_CSEXPENSES[[#This Row],[Ressource]]),"",VLOOKUP(TAB_CSEXPENSES[[#This Row],[Reference]],TAB_Offres[[Reference]:[CS signature date]],COLUMNS(TAB_Offres[[Reference]:[CS signature date]]),FALSE)),"")</f>
        <v>44988</v>
      </c>
      <c r="J9" s="155">
        <f>_xlfn.IFNA(IF(ISBLANK(TAB_CSEXPENSES[[#This Row],[Ressource]]),"",VLOOKUP(TAB_CSEXPENSES[[#This Row],[Reference]],TAB_Offres[[Reference]:[CS start date]],COLUMNS(TAB_Offres[[Reference]:[CS start date]]),FALSE)),"")</f>
        <v>44988</v>
      </c>
      <c r="K9" s="155">
        <f>_xlfn.IFNA(IF(ISBLANK(TAB_CSEXPENSES[[#This Row],[Ressource]]),"",VLOOKUP(TAB_CSEXPENSES[[#This Row],[Reference]],TAB_Offres[[Reference]:[CS start date]],COLUMNS(TAB_Offres[[Reference]:[CS start date]]),FALSE)),"")</f>
        <v>44988</v>
      </c>
      <c r="L9" s="1" t="str">
        <f>_xlfn.IFNA(IF(ISBLANK(TAB_CSEXPENSES[[#This Row],[Ressource]]),"",VLOOKUP(TAB_CSEXPENSES[[#This Row],[Reference]],TAB_Offres[[Reference]:[CS State]],COLUMNS(TAB_Offres[[Reference]:[CS State]]),FALSE)),"")</f>
        <v>START</v>
      </c>
      <c r="M9" s="26" t="s">
        <v>518</v>
      </c>
      <c r="N9" s="1" t="str">
        <f>_xlfn.IFNA(IF(ISBLANK(TAB_CSEXPENSES[[#This Row],[Ressource]]),"",VLOOKUP(TAB_CSEXPENSES[[#This Row],[Reference]],TAB_Offres[[Reference]:[Company]],COLUMNS(TAB_Offres[[Reference]:[Company]]),FALSE)),)</f>
        <v>Wavestone</v>
      </c>
      <c r="O9" s="150" t="s">
        <v>524</v>
      </c>
      <c r="P9" s="150" t="str">
        <f>IF(ISBLANK(TAB_CSEXPENSES[[#This Row],[Ressource]]),,_xlfn.IFNA(VLOOKUP(TAB_CSEXPENSES[[#This Row],[Profile]],TAB_prix[],2,FALSE),"/"))</f>
        <v>/</v>
      </c>
      <c r="Q9" s="150" t="str">
        <f>_xlfn.IFNA(
IF(
OR(ISBLANK(TAB_CSEXPENSES[[#This Row],[Cost/day]]),TAB_CSEXPENSES[[#This Row],[Cost/day]]="/"),
"/",
VLOOKUP(TAB_CSEXPENSES[[#This Row],[Ressource]],TAB_CS[[Ressource]:[Commited days]],COLUMNS(TAB_CS[[Ressource]:[Commited days]]),FALSE)),)</f>
        <v>/</v>
      </c>
      <c r="R9" s="24">
        <v>1000</v>
      </c>
      <c r="S9" s="157">
        <f ca="1">IF(TAB_CSEXPENSES[[#This Row],[P]]="",, SUM(TAB_CSEXPENSES[[#This Row],[F]:[P]])-TAB_CSEXPENSES[[#This Row],[P]])</f>
        <v>0</v>
      </c>
      <c r="T9" s="218">
        <f t="shared" ca="1" si="0"/>
        <v>1000</v>
      </c>
      <c r="U9" s="10">
        <f ca="1">SUM(TAB_CSEXPENSES[[#This Row],[P]:[FP]])</f>
        <v>0</v>
      </c>
      <c r="V9" s="144"/>
      <c r="W9" s="170"/>
      <c r="X9" s="170"/>
      <c r="Y9" s="170"/>
      <c r="Z9" s="170"/>
      <c r="AA9" s="170"/>
      <c r="AB9" s="170"/>
      <c r="AC9" s="170"/>
      <c r="AD9" s="170"/>
      <c r="AE9" s="170"/>
      <c r="AF9" s="170"/>
      <c r="AG9" s="170"/>
      <c r="AH9" s="170"/>
      <c r="AI9" s="170"/>
      <c r="AJ9" s="170"/>
      <c r="AK9" s="170"/>
      <c r="AL9" s="170"/>
      <c r="AM9" s="170"/>
      <c r="AN9" s="170"/>
      <c r="AO9" s="170"/>
      <c r="AP9" s="170"/>
      <c r="AQ9" s="170"/>
      <c r="AR9" s="170"/>
      <c r="AS9" s="170"/>
      <c r="AT9" s="170"/>
      <c r="AU9" s="170"/>
      <c r="AV9" s="213">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0</v>
      </c>
      <c r="AW9" s="170"/>
      <c r="AX9" s="170"/>
      <c r="AY9" s="170"/>
      <c r="AZ9" s="213"/>
      <c r="BA9" s="170"/>
      <c r="BB9" s="170"/>
      <c r="BC9" s="170"/>
      <c r="BD9" s="170"/>
      <c r="BE9" s="170"/>
      <c r="BF9" s="170"/>
      <c r="BG9" s="170"/>
      <c r="BH9" s="170"/>
      <c r="BI9" s="170"/>
      <c r="BJ9" s="170"/>
      <c r="BK9" s="170"/>
      <c r="BL9" s="170"/>
      <c r="BP9"/>
    </row>
    <row r="10" spans="1:68" ht="12.75" customHeight="1" x14ac:dyDescent="0.3">
      <c r="A10" s="1">
        <f ca="1">IF(ISBLANK(TAB_CSEXPENSES[[#This Row],[Reference]]),"",INDIRECT(CONCATENATE("'Offer management'!A",MATCH(TAB_CSEXPENSES[[#This Row],[Reference]],'Offer management'!E:E,0))))</f>
        <v>33</v>
      </c>
      <c r="B10" s="1" t="s">
        <v>525</v>
      </c>
      <c r="C10" s="150" t="s">
        <v>5632</v>
      </c>
      <c r="D10" s="1" t="str">
        <f ca="1">IF(ISBLANK(TAB_CSEXPENSES[[#This Row],[Reference]]),"",VLOOKUP(TAB_CSEXPENSES[[#This Row],[ID]],TAB_Offres[],2,FALSE))</f>
        <v>Lot 1</v>
      </c>
      <c r="E10" s="150" t="str">
        <f>IF(ISBLANK(TAB_CSEXPENSES[[#This Row],[Reference]]),"",INDEX(TAB_Offres[Institution/agency],MATCH(TAB_CSEXPENSES[[#This Row],[Reference]],TAB_Offres[Reference],0)))</f>
        <v>EC</v>
      </c>
      <c r="F10" s="150" t="str">
        <f>IF(ISBLANK(TAB_CSEXPENSES[[#This Row],[Reference]]),"",INDEX(TAB_Offres[DG],MATCH(TAB_CSEXPENSES[[#This Row],[Reference]],TAB_Offres[Reference],0)))</f>
        <v>RTD</v>
      </c>
      <c r="G10" s="150" t="e">
        <f>IF(ISBLANK(TAB_CSEXPENSES[[#This Row],[Reference]]),"",INDEX(#REF!,MATCH(TAB_CSEXPENSES[[#This Row],[Reference]],TAB_Offres[Reference],0)))</f>
        <v>#REF!</v>
      </c>
      <c r="H10" t="str">
        <f>IF(ISBLANK(TAB_CSEXPENSES[[#This Row],[Reference]]),"",INDEX(TAB_Offres[Offer description],MATCH(TAB_CSEXPENSES[[#This Row],[Reference]],TAB_Offres[Reference],0)))</f>
        <v>Request for a FSD</v>
      </c>
      <c r="I10" s="155">
        <f>_xlfn.IFNA(IF(ISBLANK(TAB_CSEXPENSES[[#This Row],[Ressource]]),"",VLOOKUP(TAB_CSEXPENSES[[#This Row],[Reference]],TAB_Offres[[Reference]:[CS signature date]],COLUMNS(TAB_Offres[[Reference]:[CS signature date]]),FALSE)),"")</f>
        <v>44992</v>
      </c>
      <c r="J10" s="155">
        <f>_xlfn.IFNA(IF(ISBLANK(TAB_CSEXPENSES[[#This Row],[Ressource]]),"",VLOOKUP(TAB_CSEXPENSES[[#This Row],[Reference]],TAB_Offres[[Reference]:[CS start date]],COLUMNS(TAB_Offres[[Reference]:[CS start date]]),FALSE)),"")</f>
        <v>44992</v>
      </c>
      <c r="K10" s="155">
        <f>_xlfn.IFNA(IF(ISBLANK(TAB_CSEXPENSES[[#This Row],[Ressource]]),"",VLOOKUP(TAB_CSEXPENSES[[#This Row],[Reference]],TAB_Offres[[Reference]:[CS start date]],COLUMNS(TAB_Offres[[Reference]:[CS start date]]),FALSE)),"")</f>
        <v>44992</v>
      </c>
      <c r="L10" s="1" t="str">
        <f>_xlfn.IFNA(IF(ISBLANK(TAB_CSEXPENSES[[#This Row],[Ressource]]),"",VLOOKUP(TAB_CSEXPENSES[[#This Row],[Reference]],TAB_Offres[[Reference]:[CS State]],COLUMNS(TAB_Offres[[Reference]:[CS State]]),FALSE)),"")</f>
        <v>START</v>
      </c>
      <c r="M10" s="26" t="s">
        <v>532</v>
      </c>
      <c r="N10" s="1" t="str">
        <f>_xlfn.IFNA(IF(ISBLANK(TAB_CSEXPENSES[[#This Row],[Ressource]]),"",VLOOKUP(TAB_CSEXPENSES[[#This Row],[Reference]],TAB_Offres[[Reference]:[Company]],COLUMNS(TAB_Offres[[Reference]:[Company]]),FALSE)),)</f>
        <v>TREMEND</v>
      </c>
      <c r="O10" s="150" t="s">
        <v>317</v>
      </c>
      <c r="P10" s="150">
        <f>IF(ISBLANK(TAB_CSEXPENSES[[#This Row],[Ressource]]),,_xlfn.IFNA(VLOOKUP(TAB_CSEXPENSES[[#This Row],[Profile]],TAB_prix[],2,FALSE),"/"))</f>
        <v>10</v>
      </c>
      <c r="Q10" s="150">
        <v>220</v>
      </c>
      <c r="R10" s="24">
        <f>IF(TAB_CSEXPENSES[[#This Row],[Cost/day]]&lt;&gt;"/",TAB_CSEXPENSES[[#This Row],[Cost/day]]*TAB_CSEXPENSES[[#This Row],[Expected days]],)</f>
        <v>2200</v>
      </c>
      <c r="S10" s="157">
        <f ca="1">IF(TAB_CSEXPENSES[[#This Row],[P]]="",, SUM(TAB_CSEXPENSES[[#This Row],[F]:[P]])-TAB_CSEXPENSES[[#This Row],[P]])</f>
        <v>1770</v>
      </c>
      <c r="T10" s="218">
        <f t="shared" ca="1" si="0"/>
        <v>430</v>
      </c>
      <c r="U10" s="10">
        <f ca="1">SUM(TAB_CSEXPENSES[[#This Row],[P]:[FP]])</f>
        <v>430</v>
      </c>
      <c r="V10" s="144"/>
      <c r="W10" s="170"/>
      <c r="X10" s="170"/>
      <c r="Y10" s="170"/>
      <c r="Z10" s="170"/>
      <c r="AA10" s="170"/>
      <c r="AB10" s="170"/>
      <c r="AC10" s="170"/>
      <c r="AD10" s="170">
        <v>180</v>
      </c>
      <c r="AE10" s="170">
        <v>180</v>
      </c>
      <c r="AF10" s="170">
        <v>180</v>
      </c>
      <c r="AG10" s="170">
        <v>180</v>
      </c>
      <c r="AH10" s="170">
        <v>180</v>
      </c>
      <c r="AI10" s="170">
        <v>180</v>
      </c>
      <c r="AJ10" s="170">
        <v>180</v>
      </c>
      <c r="AK10" s="170">
        <v>150</v>
      </c>
      <c r="AL10" s="170">
        <v>180</v>
      </c>
      <c r="AM10" s="170">
        <v>180</v>
      </c>
      <c r="AN10" s="170"/>
      <c r="AO10" s="170"/>
      <c r="AP10" s="170"/>
      <c r="AQ10" s="170"/>
      <c r="AR10" s="170"/>
      <c r="AS10" s="170"/>
      <c r="AT10" s="170"/>
      <c r="AU10" s="170"/>
      <c r="AV10" s="213">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430</v>
      </c>
      <c r="AW10" s="170"/>
      <c r="AX10" s="170"/>
      <c r="AY10" s="170"/>
      <c r="AZ10" s="213"/>
      <c r="BA10" s="170"/>
      <c r="BB10" s="170"/>
      <c r="BC10" s="170"/>
      <c r="BD10" s="170"/>
      <c r="BE10" s="170"/>
      <c r="BF10" s="170"/>
      <c r="BG10" s="170"/>
      <c r="BH10" s="170"/>
      <c r="BI10" s="170"/>
      <c r="BJ10" s="170"/>
      <c r="BK10" s="170"/>
      <c r="BL10" s="170"/>
      <c r="BP10"/>
    </row>
    <row r="11" spans="1:68" ht="12.75" customHeight="1" x14ac:dyDescent="0.3">
      <c r="A11" s="1">
        <f ca="1">IF(ISBLANK(TAB_CSEXPENSES[[#This Row],[Reference]]),"",INDIRECT(CONCATENATE("'Offer management'!A",MATCH(TAB_CSEXPENSES[[#This Row],[Reference]],'Offer management'!E:E,0))))</f>
        <v>53</v>
      </c>
      <c r="B11" s="1" t="s">
        <v>556</v>
      </c>
      <c r="C11" s="150" t="s">
        <v>5648</v>
      </c>
      <c r="D11" s="1" t="str">
        <f ca="1">IF(ISBLANK(TAB_CSEXPENSES[[#This Row],[Reference]]),"",VLOOKUP(TAB_CSEXPENSES[[#This Row],[ID]],TAB_Offres[],2,FALSE))</f>
        <v>Lot 2</v>
      </c>
      <c r="E11" s="150" t="str">
        <f>IF(ISBLANK(TAB_CSEXPENSES[[#This Row],[Reference]]),"",INDEX(TAB_Offres[Institution/agency],MATCH(TAB_CSEXPENSES[[#This Row],[Reference]],TAB_Offres[Reference],0)))</f>
        <v>EC</v>
      </c>
      <c r="F11" s="150" t="str">
        <f>IF(ISBLANK(TAB_CSEXPENSES[[#This Row],[Reference]]),"",INDEX(TAB_Offres[DG],MATCH(TAB_CSEXPENSES[[#This Row],[Reference]],TAB_Offres[Reference],0)))</f>
        <v>REGIO</v>
      </c>
      <c r="G11" s="150" t="e">
        <f>IF(ISBLANK(TAB_CSEXPENSES[[#This Row],[Reference]]),"",INDEX(#REF!,MATCH(TAB_CSEXPENSES[[#This Row],[Reference]],TAB_Offres[Reference],0)))</f>
        <v>#REF!</v>
      </c>
      <c r="H11" t="str">
        <f>IF(ISBLANK(TAB_CSEXPENSES[[#This Row],[Reference]]),"",INDEX(TAB_Offres[Offer description],MATCH(TAB_CSEXPENSES[[#This Row],[Reference]],TAB_Offres[Reference],0)))</f>
        <v>Data-warehouse &amp; report. devel</v>
      </c>
      <c r="I11" s="155">
        <f>_xlfn.IFNA(IF(ISBLANK(TAB_CSEXPENSES[[#This Row],[Ressource]]),"",VLOOKUP(TAB_CSEXPENSES[[#This Row],[Reference]],TAB_Offres[[Reference]:[CS signature date]],COLUMNS(TAB_Offres[[Reference]:[CS signature date]]),FALSE)),"")</f>
        <v>45044</v>
      </c>
      <c r="J11" s="155">
        <f>_xlfn.IFNA(IF(ISBLANK(TAB_CSEXPENSES[[#This Row],[Ressource]]),"",VLOOKUP(TAB_CSEXPENSES[[#This Row],[Reference]],TAB_Offres[[Reference]:[CS start date]],COLUMNS(TAB_Offres[[Reference]:[CS start date]]),FALSE)),"")</f>
        <v>0</v>
      </c>
      <c r="K11" s="155">
        <f>_xlfn.IFNA(IF(ISBLANK(TAB_CSEXPENSES[[#This Row],[Ressource]]),"",VLOOKUP(TAB_CSEXPENSES[[#This Row],[Reference]],TAB_Offres[[Reference]:[CS start date]],COLUMNS(TAB_Offres[[Reference]:[CS start date]]),FALSE)),"")</f>
        <v>0</v>
      </c>
      <c r="L11" s="1" t="str">
        <f>_xlfn.IFNA(IF(ISBLANK(TAB_CSEXPENSES[[#This Row],[Ressource]]),"",VLOOKUP(TAB_CSEXPENSES[[#This Row],[Reference]],TAB_Offres[[Reference]:[CS State]],COLUMNS(TAB_Offres[[Reference]:[CS State]]),FALSE)),"")</f>
        <v>PENDING</v>
      </c>
      <c r="M11" s="26" t="s">
        <v>261</v>
      </c>
      <c r="N11" s="1" t="str">
        <f>_xlfn.IFNA(IF(ISBLANK(TAB_CSEXPENSES[[#This Row],[Ressource]]),"",VLOOKUP(TAB_CSEXPENSES[[#This Row],[Reference]],TAB_Offres[[Reference]:[Company]],COLUMNS(TAB_Offres[[Reference]:[Company]]),FALSE)),)</f>
        <v>TALAN</v>
      </c>
      <c r="O11" s="150" t="s">
        <v>524</v>
      </c>
      <c r="P11" s="150" t="str">
        <f>IF(ISBLANK(TAB_CSEXPENSES[[#This Row],[Ressource]]),,_xlfn.IFNA(VLOOKUP(TAB_CSEXPENSES[[#This Row],[Profile]],TAB_prix[],2,FALSE),"/"))</f>
        <v>/</v>
      </c>
      <c r="Q11" s="150" t="s">
        <v>585</v>
      </c>
      <c r="R11" s="24">
        <v>10000</v>
      </c>
      <c r="S11" s="157">
        <f ca="1">IF(TAB_CSEXPENSES[[#This Row],[P]]="",, SUM(TAB_CSEXPENSES[[#This Row],[F]:[P]])-TAB_CSEXPENSES[[#This Row],[P]])</f>
        <v>0</v>
      </c>
      <c r="T11" s="218">
        <f t="shared" ca="1" si="0"/>
        <v>10000</v>
      </c>
      <c r="U11" s="10">
        <f ca="1">SUM(TAB_CSEXPENSES[[#This Row],[P]:[FP]])</f>
        <v>0</v>
      </c>
      <c r="V11" s="144"/>
      <c r="W11" s="170"/>
      <c r="X11" s="170"/>
      <c r="Y11" s="170"/>
      <c r="Z11" s="170"/>
      <c r="AA11" s="170"/>
      <c r="AB11" s="170"/>
      <c r="AC11" s="170"/>
      <c r="AD11" s="170"/>
      <c r="AE11" s="170"/>
      <c r="AF11" s="170"/>
      <c r="AG11" s="170"/>
      <c r="AH11" s="170"/>
      <c r="AI11" s="170"/>
      <c r="AJ11" s="170"/>
      <c r="AK11" s="170"/>
      <c r="AL11" s="170"/>
      <c r="AM11" s="170"/>
      <c r="AN11" s="170"/>
      <c r="AO11" s="170"/>
      <c r="AP11" s="170"/>
      <c r="AQ11" s="170"/>
      <c r="AR11" s="170"/>
      <c r="AS11" s="170"/>
      <c r="AT11" s="170"/>
      <c r="AU11" s="170"/>
      <c r="AV11" s="213">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0</v>
      </c>
      <c r="AW11" s="170"/>
      <c r="AX11" s="170"/>
      <c r="AY11" s="170"/>
      <c r="AZ11" s="213"/>
      <c r="BA11" s="170"/>
      <c r="BB11" s="170"/>
      <c r="BC11" s="170"/>
      <c r="BD11" s="170"/>
      <c r="BE11" s="170"/>
      <c r="BF11" s="170"/>
      <c r="BG11" s="170"/>
      <c r="BH11" s="170"/>
      <c r="BI11" s="170"/>
      <c r="BJ11" s="170"/>
      <c r="BK11" s="170"/>
      <c r="BL11" s="170"/>
      <c r="BP11"/>
    </row>
    <row r="12" spans="1:68" ht="12.75" customHeight="1" x14ac:dyDescent="0.3">
      <c r="A12" s="1">
        <f ca="1">IF(ISBLANK(TAB_CSEXPENSES[[#This Row],[Reference]]),"",INDIRECT(CONCATENATE("'Offer management'!A",MATCH(TAB_CSEXPENSES[[#This Row],[Reference]],'Offer management'!E:E,0))))</f>
        <v>55</v>
      </c>
      <c r="B12" s="1" t="s">
        <v>563</v>
      </c>
      <c r="C12" s="150" t="s">
        <v>5650</v>
      </c>
      <c r="D12" s="1" t="str">
        <f ca="1">IF(ISBLANK(TAB_CSEXPENSES[[#This Row],[Reference]]),"",VLOOKUP(TAB_CSEXPENSES[[#This Row],[ID]],TAB_Offres[],2,FALSE))</f>
        <v>Lot 1</v>
      </c>
      <c r="E12" s="150" t="str">
        <f>IF(ISBLANK(TAB_CSEXPENSES[[#This Row],[Reference]]),"",INDEX(TAB_Offres[Institution/agency],MATCH(TAB_CSEXPENSES[[#This Row],[Reference]],TAB_Offres[Reference],0)))</f>
        <v>EC</v>
      </c>
      <c r="F12" s="150" t="str">
        <f>IF(ISBLANK(TAB_CSEXPENSES[[#This Row],[Reference]]),"",INDEX(TAB_Offres[DG],MATCH(TAB_CSEXPENSES[[#This Row],[Reference]],TAB_Offres[Reference],0)))</f>
        <v>DIGIT.B.1</v>
      </c>
      <c r="G12" s="150" t="e">
        <f>IF(ISBLANK(TAB_CSEXPENSES[[#This Row],[Reference]]),"",INDEX(#REF!,MATCH(TAB_CSEXPENSES[[#This Row],[Reference]],TAB_Offres[Reference],0)))</f>
        <v>#REF!</v>
      </c>
      <c r="H12" t="str">
        <f>IF(ISBLANK(TAB_CSEXPENSES[[#This Row],[Reference]]),"",INDEX(TAB_Offres[Offer description],MATCH(TAB_CSEXPENSES[[#This Row],[Reference]],TAB_Offres[Reference],0)))</f>
        <v>2022-D1.003.372 - NEW - DIGIT TMII - Full Stack Developer L6/7</v>
      </c>
      <c r="I12" s="155">
        <f>_xlfn.IFNA(IF(ISBLANK(TAB_CSEXPENSES[[#This Row],[Ressource]]),"",VLOOKUP(TAB_CSEXPENSES[[#This Row],[Reference]],TAB_Offres[[Reference]:[CS signature date]],COLUMNS(TAB_Offres[[Reference]:[CS signature date]]),FALSE)),"")</f>
        <v>45037</v>
      </c>
      <c r="J12" s="155">
        <f>_xlfn.IFNA(IF(ISBLANK(TAB_CSEXPENSES[[#This Row],[Ressource]]),"",VLOOKUP(TAB_CSEXPENSES[[#This Row],[Reference]],TAB_Offres[[Reference]:[CS start date]],COLUMNS(TAB_Offres[[Reference]:[CS start date]]),FALSE)),"")</f>
        <v>0</v>
      </c>
      <c r="K12" s="155">
        <f>_xlfn.IFNA(IF(ISBLANK(TAB_CSEXPENSES[[#This Row],[Ressource]]),"",VLOOKUP(TAB_CSEXPENSES[[#This Row],[Reference]],TAB_Offres[[Reference]:[CS start date]],COLUMNS(TAB_Offres[[Reference]:[CS start date]]),FALSE)),"")</f>
        <v>0</v>
      </c>
      <c r="L12" s="1" t="str">
        <f>_xlfn.IFNA(IF(ISBLANK(TAB_CSEXPENSES[[#This Row],[Ressource]]),"",VLOOKUP(TAB_CSEXPENSES[[#This Row],[Reference]],TAB_Offres[[Reference]:[CS State]],COLUMNS(TAB_Offres[[Reference]:[CS State]]),FALSE)),"")</f>
        <v>CLOSE</v>
      </c>
      <c r="M12" s="26" t="s">
        <v>282</v>
      </c>
      <c r="N12" s="1" t="s">
        <v>85</v>
      </c>
      <c r="O12" s="150" t="s">
        <v>317</v>
      </c>
      <c r="P12" s="150">
        <f>IF(ISBLANK(TAB_CSEXPENSES[[#This Row],[Ressource]]),,_xlfn.IFNA(VLOOKUP(TAB_CSEXPENSES[[#This Row],[Profile]],TAB_prix[],2,FALSE),"/"))</f>
        <v>10</v>
      </c>
      <c r="Q12" s="150">
        <v>20</v>
      </c>
      <c r="R12" s="24">
        <f>IF(TAB_CSEXPENSES[[#This Row],[Cost/day]]&lt;&gt;"/",TAB_CSEXPENSES[[#This Row],[Cost/day]]*TAB_CSEXPENSES[[#This Row],[Expected days]],)</f>
        <v>200</v>
      </c>
      <c r="S12" s="157">
        <f ca="1">IF(TAB_CSEXPENSES[[#This Row],[P]]="",, SUM(TAB_CSEXPENSES[[#This Row],[F]:[P]])-TAB_CSEXPENSES[[#This Row],[P]])</f>
        <v>1120</v>
      </c>
      <c r="T12" s="218">
        <f t="shared" ca="1" si="0"/>
        <v>-920</v>
      </c>
      <c r="U12" s="10">
        <f ca="1">SUM(TAB_CSEXPENSES[[#This Row],[P]:[FP]])</f>
        <v>0</v>
      </c>
      <c r="V12" s="144"/>
      <c r="W12" s="170"/>
      <c r="X12" s="170"/>
      <c r="Y12" s="170"/>
      <c r="Z12" s="170"/>
      <c r="AA12" s="170"/>
      <c r="AB12" s="170"/>
      <c r="AC12" s="170"/>
      <c r="AD12" s="170"/>
      <c r="AE12" s="170"/>
      <c r="AF12" s="170"/>
      <c r="AG12" s="170">
        <v>40</v>
      </c>
      <c r="AH12" s="170">
        <v>180</v>
      </c>
      <c r="AI12" s="170">
        <v>180</v>
      </c>
      <c r="AJ12" s="170">
        <v>180</v>
      </c>
      <c r="AK12" s="170">
        <v>180</v>
      </c>
      <c r="AL12" s="170">
        <v>180</v>
      </c>
      <c r="AM12" s="170">
        <v>180</v>
      </c>
      <c r="AN12" s="170"/>
      <c r="AO12" s="170"/>
      <c r="AP12" s="170"/>
      <c r="AQ12" s="170"/>
      <c r="AR12" s="170"/>
      <c r="AS12" s="170"/>
      <c r="AT12" s="170"/>
      <c r="AU12" s="170"/>
      <c r="AV12" s="213">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0</v>
      </c>
      <c r="AW12" s="170"/>
      <c r="AX12" s="170"/>
      <c r="AY12" s="170"/>
      <c r="AZ12" s="213"/>
      <c r="BA12" s="170"/>
      <c r="BB12" s="170"/>
      <c r="BC12" s="170"/>
      <c r="BD12" s="170"/>
      <c r="BE12" s="170"/>
      <c r="BF12" s="170"/>
      <c r="BG12" s="170"/>
      <c r="BH12" s="170"/>
      <c r="BI12" s="170"/>
      <c r="BJ12" s="170"/>
      <c r="BK12" s="170"/>
      <c r="BL12" s="170"/>
      <c r="BP12"/>
    </row>
    <row r="13" spans="1:68" ht="12.75" customHeight="1" x14ac:dyDescent="0.3">
      <c r="A13" s="1">
        <f ca="1">IF(ISBLANK(TAB_CSEXPENSES[[#This Row],[Reference]]),"",INDIRECT(CONCATENATE("'Offer management'!A",MATCH(TAB_CSEXPENSES[[#This Row],[Reference]],'Offer management'!E:E,0))))</f>
        <v>55</v>
      </c>
      <c r="B13" s="1" t="s">
        <v>563</v>
      </c>
      <c r="C13" s="150" t="s">
        <v>5650</v>
      </c>
      <c r="D13" s="1" t="str">
        <f ca="1">IF(ISBLANK(TAB_CSEXPENSES[[#This Row],[Reference]]),"",VLOOKUP(TAB_CSEXPENSES[[#This Row],[ID]],TAB_Offres[],2,FALSE))</f>
        <v>Lot 1</v>
      </c>
      <c r="E13" s="150" t="str">
        <f>IF(ISBLANK(TAB_CSEXPENSES[[#This Row],[Reference]]),"",INDEX(TAB_Offres[Institution/agency],MATCH(TAB_CSEXPENSES[[#This Row],[Reference]],TAB_Offres[Reference],0)))</f>
        <v>EC</v>
      </c>
      <c r="F13" s="150" t="str">
        <f>IF(ISBLANK(TAB_CSEXPENSES[[#This Row],[Reference]]),"",INDEX(TAB_Offres[DG],MATCH(TAB_CSEXPENSES[[#This Row],[Reference]],TAB_Offres[Reference],0)))</f>
        <v>DIGIT.B.1</v>
      </c>
      <c r="G13" s="150" t="e">
        <f>IF(ISBLANK(TAB_CSEXPENSES[[#This Row],[Reference]]),"",INDEX(#REF!,MATCH(TAB_CSEXPENSES[[#This Row],[Reference]],TAB_Offres[Reference],0)))</f>
        <v>#REF!</v>
      </c>
      <c r="H13" t="str">
        <f>IF(ISBLANK(TAB_CSEXPENSES[[#This Row],[Reference]]),"",INDEX(TAB_Offres[Offer description],MATCH(TAB_CSEXPENSES[[#This Row],[Reference]],TAB_Offres[Reference],0)))</f>
        <v>2022-D1.003.372 - NEW - DIGIT TMII - Full Stack Developer L6/7</v>
      </c>
      <c r="I13" s="155">
        <f>_xlfn.IFNA(IF(ISBLANK(TAB_CSEXPENSES[[#This Row],[Ressource]]),"",VLOOKUP(TAB_CSEXPENSES[[#This Row],[Reference]],TAB_Offres[[Reference]:[CS signature date]],COLUMNS(TAB_Offres[[Reference]:[CS signature date]]),FALSE)),"")</f>
        <v>45037</v>
      </c>
      <c r="J13" s="155">
        <f>_xlfn.IFNA(IF(ISBLANK(TAB_CSEXPENSES[[#This Row],[Ressource]]),"",VLOOKUP(TAB_CSEXPENSES[[#This Row],[Reference]],TAB_Offres[[Reference]:[CS start date]],COLUMNS(TAB_Offres[[Reference]:[CS start date]]),FALSE)),"")</f>
        <v>0</v>
      </c>
      <c r="K13" s="155">
        <f>_xlfn.IFNA(IF(ISBLANK(TAB_CSEXPENSES[[#This Row],[Ressource]]),"",VLOOKUP(TAB_CSEXPENSES[[#This Row],[Reference]],TAB_Offres[[Reference]:[CS end date]],COLUMNS(TAB_Offres[[Reference]:[CS end date]]),FALSE)),"")</f>
        <v>45565</v>
      </c>
      <c r="L13" s="1" t="str">
        <f>_xlfn.IFNA(IF(ISBLANK(TAB_CSEXPENSES[[#This Row],[Ressource]]),"",VLOOKUP(TAB_CSEXPENSES[[#This Row],[Reference]],TAB_Offres[[Reference]:[CS State]],COLUMNS(TAB_Offres[[Reference]:[CS State]]),FALSE)),"")</f>
        <v>CLOSE</v>
      </c>
      <c r="M13" s="154" t="s">
        <v>349</v>
      </c>
      <c r="N13" s="1" t="str">
        <f>_xlfn.IFNA(IF(ISBLANK(TAB_CSEXPENSES[[#This Row],[Ressource]]),"",VLOOKUP(TAB_CSEXPENSES[[#This Row],[Reference]],TAB_Offres[[Reference]:[Company]],COLUMNS(TAB_Offres[[Reference]:[Company]]),FALSE)),)</f>
        <v>TALAN</v>
      </c>
      <c r="O13" s="150" t="s">
        <v>317</v>
      </c>
      <c r="P13" s="150">
        <f>IF(ISBLANK(TAB_CSEXPENSES[[#This Row],[Ressource]]),,_xlfn.IFNA(VLOOKUP(TAB_CSEXPENSES[[#This Row],[Profile]],TAB_prix[],2,FALSE),"/"))</f>
        <v>10</v>
      </c>
      <c r="Q13" s="150">
        <v>200</v>
      </c>
      <c r="R13" s="24">
        <f>IF(TAB_CSEXPENSES[[#This Row],[Cost/day]]&lt;&gt;"/",TAB_CSEXPENSES[[#This Row],[Cost/day]]*TAB_CSEXPENSES[[#This Row],[Expected days]],)</f>
        <v>2000</v>
      </c>
      <c r="S13" s="157">
        <f ca="1">IF(TAB_CSEXPENSES[[#This Row],[P]]="",, SUM(TAB_CSEXPENSES[[#This Row],[F]:[P]])-TAB_CSEXPENSES[[#This Row],[P]])</f>
        <v>0</v>
      </c>
      <c r="T13" s="218">
        <f t="shared" ca="1" si="0"/>
        <v>2000</v>
      </c>
      <c r="U13" s="10">
        <f ca="1">SUM(TAB_CSEXPENSES[[#This Row],[P]:[FP]])</f>
        <v>775</v>
      </c>
      <c r="V13" s="144"/>
      <c r="W13" s="170"/>
      <c r="X13" s="170"/>
      <c r="Y13" s="170"/>
      <c r="Z13" s="170"/>
      <c r="AA13" s="170"/>
      <c r="AB13" s="170"/>
      <c r="AC13" s="170"/>
      <c r="AD13" s="170"/>
      <c r="AE13" s="170"/>
      <c r="AF13" s="170"/>
      <c r="AG13" s="170"/>
      <c r="AH13" s="170"/>
      <c r="AI13" s="172"/>
      <c r="AJ13" s="172"/>
      <c r="AK13" s="172"/>
      <c r="AL13" s="172"/>
      <c r="AM13" s="172"/>
      <c r="AN13" s="172"/>
      <c r="AO13" s="172"/>
      <c r="AP13" s="172"/>
      <c r="AQ13" s="172"/>
      <c r="AR13" s="172"/>
      <c r="AS13" s="172"/>
      <c r="AT13" s="172"/>
      <c r="AU13" s="172"/>
      <c r="AV13" s="213">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775</v>
      </c>
      <c r="AW13" s="172"/>
      <c r="AX13" s="172"/>
      <c r="AY13" s="172"/>
      <c r="AZ13" s="213"/>
      <c r="BA13" s="172"/>
      <c r="BB13" s="172"/>
      <c r="BC13" s="172"/>
      <c r="BD13" s="172"/>
      <c r="BE13" s="172"/>
      <c r="BF13" s="172"/>
      <c r="BG13" s="172"/>
      <c r="BH13" s="172"/>
      <c r="BI13" s="172"/>
      <c r="BJ13" s="172"/>
      <c r="BK13" s="172"/>
      <c r="BL13" s="172"/>
      <c r="BP13"/>
    </row>
    <row r="14" spans="1:68" ht="12.75" customHeight="1" x14ac:dyDescent="0.3">
      <c r="A14" s="1">
        <f ca="1">IF(ISBLANK(TAB_CSEXPENSES[[#This Row],[Reference]]),"",INDIRECT(CONCATENATE("'Offer management'!A",MATCH(TAB_CSEXPENSES[[#This Row],[Reference]],'Offer management'!E:E,0))))</f>
        <v>56</v>
      </c>
      <c r="B14" s="1" t="s">
        <v>566</v>
      </c>
      <c r="C14" s="150" t="s">
        <v>5651</v>
      </c>
      <c r="D14" s="1" t="str">
        <f ca="1">IF(ISBLANK(TAB_CSEXPENSES[[#This Row],[Reference]]),"",VLOOKUP(TAB_CSEXPENSES[[#This Row],[ID]],TAB_Offres[],2,FALSE))</f>
        <v>Lot 2</v>
      </c>
      <c r="E14" s="150" t="str">
        <f>IF(ISBLANK(TAB_CSEXPENSES[[#This Row],[Reference]]),"",INDEX(TAB_Offres[Institution/agency],MATCH(TAB_CSEXPENSES[[#This Row],[Reference]],TAB_Offres[Reference],0)))</f>
        <v>EC</v>
      </c>
      <c r="F14" s="150" t="str">
        <f>IF(ISBLANK(TAB_CSEXPENSES[[#This Row],[Reference]]),"",INDEX(TAB_Offres[DG],MATCH(TAB_CSEXPENSES[[#This Row],[Reference]],TAB_Offres[Reference],0)))</f>
        <v>DIGIT.B.1</v>
      </c>
      <c r="G14" s="150" t="e">
        <f>IF(ISBLANK(TAB_CSEXPENSES[[#This Row],[Reference]]),"",INDEX(#REF!,MATCH(TAB_CSEXPENSES[[#This Row],[Reference]],TAB_Offres[Reference],0)))</f>
        <v>#REF!</v>
      </c>
      <c r="H14" t="str">
        <f>IF(ISBLANK(TAB_CSEXPENSES[[#This Row],[Reference]]),"",INDEX(TAB_Offres[Offer description],MATCH(TAB_CSEXPENSES[[#This Row],[Reference]],TAB_Offres[Reference],0)))</f>
        <v>2023-B1.001.032 - EXT - DIGIT TMII - Douhaizenet - suite CS 2931</v>
      </c>
      <c r="I14" s="155">
        <f>_xlfn.IFNA(IF(ISBLANK(TAB_CSEXPENSES[[#This Row],[Ressource]]),"",VLOOKUP(TAB_CSEXPENSES[[#This Row],[Reference]],TAB_Offres[[Reference]:[CS signature date]],COLUMNS(TAB_Offres[[Reference]:[CS signature date]]),FALSE)),"")</f>
        <v>45031</v>
      </c>
      <c r="J14" s="155">
        <f>_xlfn.IFNA(IF(ISBLANK(TAB_CSEXPENSES[[#This Row],[Ressource]]),"",VLOOKUP(TAB_CSEXPENSES[[#This Row],[Reference]],TAB_Offres[[Reference]:[CS start date]],COLUMNS(TAB_Offres[[Reference]:[CS start date]]),FALSE)),"")</f>
        <v>0</v>
      </c>
      <c r="K14" s="155">
        <f>_xlfn.IFNA(IF(ISBLANK(TAB_CSEXPENSES[[#This Row],[Ressource]]),"",VLOOKUP(TAB_CSEXPENSES[[#This Row],[Reference]],TAB_Offres[[Reference]:[CS start date]],COLUMNS(TAB_Offres[[Reference]:[CS start date]]),FALSE)),"")</f>
        <v>0</v>
      </c>
      <c r="L14" s="1" t="str">
        <f>_xlfn.IFNA(IF(ISBLANK(TAB_CSEXPENSES[[#This Row],[Ressource]]),"",VLOOKUP(TAB_CSEXPENSES[[#This Row],[Reference]],TAB_Offres[[Reference]:[CS State]],COLUMNS(TAB_Offres[[Reference]:[CS State]]),FALSE)),"")</f>
        <v>CLOSE</v>
      </c>
      <c r="M14" s="26" t="s">
        <v>292</v>
      </c>
      <c r="N14" s="1" t="str">
        <f>_xlfn.IFNA(IF(ISBLANK(TAB_CSEXPENSES[[#This Row],[Ressource]]),"",VLOOKUP(TAB_CSEXPENSES[[#This Row],[Reference]],TAB_Offres[[Reference]:[Company]],COLUMNS(TAB_Offres[[Reference]:[Company]]),FALSE)),)</f>
        <v>EDDA</v>
      </c>
      <c r="O14" s="150" t="s">
        <v>318</v>
      </c>
      <c r="P14" s="150">
        <f>IF(ISBLANK(TAB_CSEXPENSES[[#This Row],[Ressource]]),,_xlfn.IFNA(VLOOKUP(TAB_CSEXPENSES[[#This Row],[Profile]],TAB_prix[],2,FALSE),"/"))</f>
        <v>30</v>
      </c>
      <c r="Q14" s="150">
        <v>121</v>
      </c>
      <c r="R14" s="24">
        <f>IF(TAB_CSEXPENSES[[#This Row],[Cost/day]]&lt;&gt;"/",TAB_CSEXPENSES[[#This Row],[Cost/day]]*TAB_CSEXPENSES[[#This Row],[Expected days]],)</f>
        <v>3630</v>
      </c>
      <c r="S14" s="157">
        <f ca="1">IF(TAB_CSEXPENSES[[#This Row],[P]]="",, SUM(TAB_CSEXPENSES[[#This Row],[F]:[P]])-TAB_CSEXPENSES[[#This Row],[P]])</f>
        <v>3630</v>
      </c>
      <c r="T14" s="218">
        <f t="shared" ca="1" si="0"/>
        <v>0</v>
      </c>
      <c r="U14" s="10">
        <f ca="1">SUM(TAB_CSEXPENSES[[#This Row],[P]:[FP]])</f>
        <v>-630</v>
      </c>
      <c r="V14" s="144"/>
      <c r="W14" s="170"/>
      <c r="X14" s="170"/>
      <c r="Y14" s="170"/>
      <c r="Z14" s="170"/>
      <c r="AA14" s="170"/>
      <c r="AB14" s="170"/>
      <c r="AC14" s="170"/>
      <c r="AD14" s="170"/>
      <c r="AE14" s="170">
        <v>345</v>
      </c>
      <c r="AF14" s="170">
        <v>540</v>
      </c>
      <c r="AG14" s="170">
        <v>540</v>
      </c>
      <c r="AH14" s="170">
        <v>540</v>
      </c>
      <c r="AI14" s="170">
        <v>540</v>
      </c>
      <c r="AJ14" s="170">
        <v>540</v>
      </c>
      <c r="AK14" s="170">
        <v>540</v>
      </c>
      <c r="AL14" s="170">
        <v>45</v>
      </c>
      <c r="AM14" s="170"/>
      <c r="AN14" s="170"/>
      <c r="AO14" s="170"/>
      <c r="AP14" s="170"/>
      <c r="AQ14" s="170"/>
      <c r="AR14" s="170"/>
      <c r="AS14" s="170"/>
      <c r="AT14" s="170"/>
      <c r="AU14" s="170"/>
      <c r="AV14" s="213">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-630</v>
      </c>
      <c r="AW14" s="170"/>
      <c r="AX14" s="170"/>
      <c r="AY14" s="170"/>
      <c r="AZ14" s="213"/>
      <c r="BA14" s="170"/>
      <c r="BB14" s="170"/>
      <c r="BC14" s="170"/>
      <c r="BD14" s="170"/>
      <c r="BE14" s="170"/>
      <c r="BF14" s="170"/>
      <c r="BG14" s="170"/>
      <c r="BH14" s="170"/>
      <c r="BI14" s="170"/>
      <c r="BJ14" s="170"/>
      <c r="BK14" s="170"/>
      <c r="BL14" s="170"/>
      <c r="BP14"/>
    </row>
    <row r="15" spans="1:68" ht="12.75" customHeight="1" x14ac:dyDescent="0.3">
      <c r="A15" s="1">
        <f ca="1">IF(ISBLANK(TAB_CSEXPENSES[[#This Row],[Reference]]),"",INDIRECT(CONCATENATE("'Offer management'!A",MATCH(TAB_CSEXPENSES[[#This Row],[Reference]],'Offer management'!E:E,0))))</f>
        <v>58</v>
      </c>
      <c r="B15" s="1" t="s">
        <v>572</v>
      </c>
      <c r="C15" s="150" t="s">
        <v>5653</v>
      </c>
      <c r="D15" s="1" t="str">
        <f ca="1">IF(ISBLANK(TAB_CSEXPENSES[[#This Row],[Reference]]),"",VLOOKUP(TAB_CSEXPENSES[[#This Row],[ID]],TAB_Offres[],2,FALSE))</f>
        <v>Lot 3</v>
      </c>
      <c r="E15" s="1" t="str">
        <f>IF(ISBLANK(TAB_CSEXPENSES[[#This Row],[Reference]]),"",INDEX(TAB_Offres[Institution/agency],MATCH(TAB_CSEXPENSES[[#This Row],[Reference]],TAB_Offres[Reference],0)))</f>
        <v>REA</v>
      </c>
      <c r="F15" s="1" t="str">
        <f>IF(ISBLANK(TAB_CSEXPENSES[[#This Row],[Reference]]),"",INDEX(TAB_Offres[DG],MATCH(TAB_CSEXPENSES[[#This Row],[Reference]],TAB_Offres[Reference],0)))</f>
        <v>REA</v>
      </c>
      <c r="G15" s="1" t="e">
        <f>IF(ISBLANK(TAB_CSEXPENSES[[#This Row],[Reference]]),"",INDEX(#REF!,MATCH(TAB_CSEXPENSES[[#This Row],[Reference]],TAB_Offres[Reference],0)))</f>
        <v>#REF!</v>
      </c>
      <c r="H15" t="str">
        <f>IF(ISBLANK(TAB_CSEXPENSES[[#This Row],[Reference]]),"",INDEX(TAB_Offres[Offer description],MATCH(TAB_CSEXPENSES[[#This Row],[Reference]],TAB_Offres[Reference],0)))</f>
        <v>Expert in BI - 1</v>
      </c>
      <c r="I15" s="155">
        <f>_xlfn.IFNA(IF(ISBLANK(TAB_CSEXPENSES[[#This Row],[Ressource]]),"",VLOOKUP(TAB_CSEXPENSES[[#This Row],[Reference]],TAB_Offres[[Reference]:[CS signature date]],COLUMNS(TAB_Offres[[Reference]:[CS signature date]]),FALSE)),"")</f>
        <v>45051</v>
      </c>
      <c r="J15" s="155">
        <f>_xlfn.IFNA(IF(ISBLANK(TAB_CSEXPENSES[[#This Row],[Ressource]]),"",VLOOKUP(TAB_CSEXPENSES[[#This Row],[Reference]],TAB_Offres[[Reference]:[CS start date]],COLUMNS(TAB_Offres[[Reference]:[CS start date]]),FALSE)),"")</f>
        <v>0</v>
      </c>
      <c r="K15" s="155">
        <f>_xlfn.IFNA(IF(ISBLANK(TAB_CSEXPENSES[[#This Row],[Ressource]]),"",VLOOKUP(TAB_CSEXPENSES[[#This Row],[Reference]],TAB_Offres[[Reference]:[CS start date]],COLUMNS(TAB_Offres[[Reference]:[CS start date]]),FALSE)),"")</f>
        <v>0</v>
      </c>
      <c r="L15" s="1" t="str">
        <f>_xlfn.IFNA(IF(ISBLANK(TAB_CSEXPENSES[[#This Row],[Ressource]]),"",VLOOKUP(TAB_CSEXPENSES[[#This Row],[Reference]],TAB_Offres[[Reference]:[CS State]],COLUMNS(TAB_Offres[[Reference]:[CS State]]),FALSE)),"")</f>
        <v>PENDING</v>
      </c>
      <c r="M15" s="26" t="s">
        <v>574</v>
      </c>
      <c r="N15" s="1" t="str">
        <f>_xlfn.IFNA(IF(ISBLANK(TAB_CSEXPENSES[[#This Row],[Ressource]]),"",VLOOKUP(TAB_CSEXPENSES[[#This Row],[Reference]],TAB_Offres[[Reference]:[Company]],COLUMNS(TAB_Offres[[Reference]:[Company]]),FALSE)),)</f>
        <v>EDDA</v>
      </c>
      <c r="O15" s="150" t="s">
        <v>331</v>
      </c>
      <c r="P15" s="150" t="str">
        <f>IF(ISBLANK(TAB_CSEXPENSES[[#This Row],[Ressource]]),,_xlfn.IFNA(VLOOKUP(TAB_CSEXPENSES[[#This Row],[Profile]],TAB_prix[],2,FALSE),"/"))</f>
        <v>/</v>
      </c>
      <c r="Q15" s="150" t="str">
        <f>_xlfn.IFNA(
IF(
OR(ISBLANK(TAB_CSEXPENSES[[#This Row],[Cost/day]]),TAB_CSEXPENSES[[#This Row],[Cost/day]]="/"),
"/",
VLOOKUP(TAB_CSEXPENSES[[#This Row],[Ressource]],TAB_CS[[Ressource]:[Commited days]],COLUMNS(TAB_CS[[Ressource]:[Commited days]]),FALSE)),)</f>
        <v>/</v>
      </c>
      <c r="R15" s="24">
        <v>2000</v>
      </c>
      <c r="S15" s="157">
        <f ca="1">IF(TAB_CSEXPENSES[[#This Row],[P]]="",, SUM(TAB_CSEXPENSES[[#This Row],[F]:[P]])-TAB_CSEXPENSES[[#This Row],[P]])</f>
        <v>0</v>
      </c>
      <c r="T15" s="218">
        <f t="shared" ca="1" si="0"/>
        <v>2000</v>
      </c>
      <c r="U15" s="10">
        <f ca="1">SUM(TAB_CSEXPENSES[[#This Row],[P]:[FP]])</f>
        <v>0</v>
      </c>
      <c r="V15" s="144"/>
      <c r="W15" s="157"/>
      <c r="X15" s="157"/>
      <c r="Y15" s="157"/>
      <c r="Z15" s="157"/>
      <c r="AA15" s="157"/>
      <c r="AB15" s="157"/>
      <c r="AC15" s="157"/>
      <c r="AD15" s="157"/>
      <c r="AE15" s="157"/>
      <c r="AF15" s="157"/>
      <c r="AG15" s="170"/>
      <c r="AH15" s="170"/>
      <c r="AI15" s="170"/>
      <c r="AJ15" s="170"/>
      <c r="AK15" s="170"/>
      <c r="AL15" s="170"/>
      <c r="AM15" s="170"/>
      <c r="AN15" s="170"/>
      <c r="AO15" s="170"/>
      <c r="AP15" s="170"/>
      <c r="AQ15" s="170"/>
      <c r="AR15" s="170"/>
      <c r="AS15" s="170"/>
      <c r="AT15" s="170"/>
      <c r="AU15" s="170"/>
      <c r="AV15" s="213">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0</v>
      </c>
      <c r="AW15" s="170"/>
      <c r="AX15" s="170"/>
      <c r="AY15" s="170"/>
      <c r="AZ15" s="213"/>
      <c r="BA15" s="170"/>
      <c r="BB15" s="170"/>
      <c r="BC15" s="170"/>
      <c r="BD15" s="170"/>
      <c r="BE15" s="170"/>
      <c r="BF15" s="170"/>
      <c r="BG15" s="170"/>
      <c r="BH15" s="170"/>
      <c r="BI15" s="170"/>
      <c r="BJ15" s="170"/>
      <c r="BK15" s="170"/>
      <c r="BL15" s="170"/>
      <c r="BP15"/>
    </row>
    <row r="16" spans="1:68" ht="12.75" customHeight="1" x14ac:dyDescent="0.3">
      <c r="A16" s="1">
        <f ca="1">IF(ISBLANK(TAB_CSEXPENSES[[#This Row],[Reference]]),"",INDIRECT(CONCATENATE("'Offer management'!A",MATCH(TAB_CSEXPENSES[[#This Row],[Reference]],'Offer management'!E:E,0))))</f>
        <v>48</v>
      </c>
      <c r="B16" s="1" t="s">
        <v>602</v>
      </c>
      <c r="C16" s="605" t="s">
        <v>5644</v>
      </c>
      <c r="D16" s="1" t="str">
        <f ca="1">IF(ISBLANK(TAB_CSEXPENSES[[#This Row],[Reference]]),"",VLOOKUP(TAB_CSEXPENSES[[#This Row],[ID]],TAB_Offres[],2,FALSE))</f>
        <v>Lot 1</v>
      </c>
      <c r="E16" s="150" t="str">
        <f>IF(ISBLANK(TAB_CSEXPENSES[[#This Row],[Reference]]),"",INDEX(TAB_Offres[Institution/agency],MATCH(TAB_CSEXPENSES[[#This Row],[Reference]],TAB_Offres[Reference],0)))</f>
        <v>EC</v>
      </c>
      <c r="F16" s="150" t="str">
        <f>IF(ISBLANK(TAB_CSEXPENSES[[#This Row],[Reference]]),"",INDEX(TAB_Offres[DG],MATCH(TAB_CSEXPENSES[[#This Row],[Reference]],TAB_Offres[Reference],0)))</f>
        <v>ESTAT</v>
      </c>
      <c r="G16" s="150" t="e">
        <f>IF(ISBLANK(TAB_CSEXPENSES[[#This Row],[Reference]]),"",INDEX(#REF!,MATCH(TAB_CSEXPENSES[[#This Row],[Reference]],TAB_Offres[Reference],0)))</f>
        <v>#REF!</v>
      </c>
      <c r="H16" t="str">
        <f>IF(ISBLANK(TAB_CSEXPENSES[[#This Row],[Reference]]),"",INDEX(TAB_Offres[Offer description],MATCH(TAB_CSEXPENSES[[#This Row],[Reference]],TAB_Offres[Reference],0)))</f>
        <v>WIHP JUNIOR PLATFORM DEVELOPER  FAR SITE-6</v>
      </c>
      <c r="I16" s="155">
        <f>_xlfn.IFNA(IF(ISBLANK(TAB_CSEXPENSES[[#This Row],[Ressource]]),"",VLOOKUP(TAB_CSEXPENSES[[#This Row],[Reference]],TAB_Offres[[Reference]:[CS signature date]],COLUMNS(TAB_Offres[[Reference]:[CS signature date]]),FALSE)),"")</f>
        <v>45104</v>
      </c>
      <c r="J16" s="155">
        <f>_xlfn.IFNA(IF(ISBLANK(TAB_CSEXPENSES[[#This Row],[Ressource]]),"",VLOOKUP(TAB_CSEXPENSES[[#This Row],[Reference]],TAB_Offres[[Reference]:[CS start date]],COLUMNS(TAB_Offres[[Reference]:[CS start date]]),FALSE)),"")</f>
        <v>45108</v>
      </c>
      <c r="K16" s="155">
        <f>_xlfn.IFNA(IF(ISBLANK(TAB_CSEXPENSES[[#This Row],[Ressource]]),"",VLOOKUP(TAB_CSEXPENSES[[#This Row],[Reference]],TAB_Offres[[Reference]:[CS end date]],COLUMNS(TAB_Offres[[Reference]:[CS end date]]),FALSE)),"")</f>
        <v>45291</v>
      </c>
      <c r="L16" s="1" t="str">
        <f>_xlfn.IFNA(IF(ISBLANK(TAB_CSEXPENSES[[#This Row],[Ressource]]),"",VLOOKUP(TAB_CSEXPENSES[[#This Row],[Reference]],TAB_Offres[[Reference]:[CS State]],COLUMNS(TAB_Offres[[Reference]:[CS State]]),FALSE)),"")</f>
        <v>CLOSE</v>
      </c>
      <c r="M16" s="26" t="s">
        <v>610</v>
      </c>
      <c r="N16" s="1" t="str">
        <f>_xlfn.IFNA(IF(ISBLANK(TAB_CSEXPENSES[[#This Row],[Ressource]]),"",VLOOKUP(TAB_CSEXPENSES[[#This Row],[Reference]],TAB_Offres[[Reference]:[Company]],COLUMNS(TAB_Offres[[Reference]:[Company]]),FALSE)),)</f>
        <v>TALAN</v>
      </c>
      <c r="O16" s="150" t="s">
        <v>512</v>
      </c>
      <c r="P16" s="150" t="str">
        <f>IF(ISBLANK(TAB_CSEXPENSES[[#This Row],[Ressource]]),,_xlfn.IFNA(VLOOKUP(TAB_CSEXPENSES[[#This Row],[Profile]],TAB_prix[],2,FALSE),"/"))</f>
        <v>/</v>
      </c>
      <c r="Q16" s="150" t="str">
        <f>_xlfn.IFNA(
IF(
OR(ISBLANK(TAB_CSEXPENSES[[#This Row],[Cost/day]]),TAB_CSEXPENSES[[#This Row],[Cost/day]]="/"),
"/",
VLOOKUP(TAB_CSEXPENSES[[#This Row],[Ressource]],TAB_CS[[Ressource]:[Commited days]],COLUMNS(TAB_CS[[Ressource]:[Commited days]]),FALSE)),)</f>
        <v>/</v>
      </c>
      <c r="R16" s="24">
        <v>2000</v>
      </c>
      <c r="S16" s="157">
        <f ca="1">IF(TAB_CSEXPENSES[[#This Row],[P]]="",, SUM(TAB_CSEXPENSES[[#This Row],[F]:[P]])-TAB_CSEXPENSES[[#This Row],[P]])</f>
        <v>0</v>
      </c>
      <c r="T16" s="218">
        <f t="shared" ca="1" si="0"/>
        <v>2000</v>
      </c>
      <c r="U16" s="14">
        <f ca="1">SUM(TAB_CSEXPENSES[[#This Row],[P]:[FP]])</f>
        <v>0</v>
      </c>
      <c r="V16" s="144"/>
      <c r="W16" s="170"/>
      <c r="X16" s="170"/>
      <c r="Y16" s="170"/>
      <c r="Z16" s="170"/>
      <c r="AA16" s="170"/>
      <c r="AB16" s="170"/>
      <c r="AC16" s="170"/>
      <c r="AD16" s="170"/>
      <c r="AE16" s="170"/>
      <c r="AF16" s="170"/>
      <c r="AG16" s="170"/>
      <c r="AH16" s="170"/>
      <c r="AI16" s="172"/>
      <c r="AJ16" s="172"/>
      <c r="AK16" s="172"/>
      <c r="AL16" s="172"/>
      <c r="AM16" s="172"/>
      <c r="AN16" s="172"/>
      <c r="AO16" s="172"/>
      <c r="AP16" s="172"/>
      <c r="AQ16" s="172"/>
      <c r="AR16" s="172"/>
      <c r="AS16" s="172"/>
      <c r="AT16" s="172"/>
      <c r="AU16" s="172"/>
      <c r="AV16" s="213">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0</v>
      </c>
      <c r="AW16" s="172"/>
      <c r="AX16" s="172"/>
      <c r="AY16" s="172"/>
      <c r="AZ16" s="213"/>
      <c r="BA16" s="172"/>
      <c r="BB16" s="172"/>
      <c r="BC16" s="172"/>
      <c r="BD16" s="172"/>
      <c r="BE16" s="172"/>
      <c r="BF16" s="172"/>
      <c r="BG16" s="172"/>
      <c r="BH16" s="172"/>
      <c r="BI16" s="172"/>
      <c r="BJ16" s="172"/>
      <c r="BK16" s="172"/>
      <c r="BL16" s="172"/>
      <c r="BM16" s="1"/>
      <c r="BP16"/>
    </row>
    <row r="17" spans="1:68" ht="12.75" customHeight="1" x14ac:dyDescent="0.3">
      <c r="A17" s="1">
        <v>76</v>
      </c>
      <c r="B17" s="1" t="s">
        <v>5567</v>
      </c>
      <c r="C17" s="150" t="s">
        <v>6076</v>
      </c>
      <c r="D17" s="1" t="s">
        <v>139</v>
      </c>
      <c r="E17" s="150"/>
      <c r="F17" s="150"/>
      <c r="G17" s="150"/>
      <c r="I17" s="155"/>
      <c r="J17" s="155"/>
      <c r="K17" s="155"/>
      <c r="M17" s="26" t="s">
        <v>263</v>
      </c>
      <c r="N17" s="1" t="s">
        <v>203</v>
      </c>
      <c r="O17" s="150" t="s">
        <v>512</v>
      </c>
      <c r="P17" s="150" t="str">
        <f>IF(ISBLANK(TAB_CSEXPENSES[[#This Row],[Ressource]]),,_xlfn.IFNA(VLOOKUP(TAB_CSEXPENSES[[#This Row],[Profile]],TAB_prix[],2,FALSE),"/"))</f>
        <v>/</v>
      </c>
      <c r="Q17" s="150" t="str">
        <f>_xlfn.IFNA(
IF(
OR(ISBLANK(TAB_CSEXPENSES[[#This Row],[Cost/day]]),TAB_CSEXPENSES[[#This Row],[Cost/day]]="/"),
"/",
VLOOKUP(TAB_CSEXPENSES[[#This Row],[Ressource]],TAB_CS[[Ressource]:[Commited days]],COLUMNS(TAB_CS[[Ressource]:[Commited days]]),FALSE)),)</f>
        <v>/</v>
      </c>
      <c r="R17" s="24">
        <v>5000</v>
      </c>
      <c r="S17" s="157">
        <f ca="1">IF(TAB_CSEXPENSES[[#This Row],[P]]="",, SUM(TAB_CSEXPENSES[[#This Row],[F]:[P]])-TAB_CSEXPENSES[[#This Row],[P]])</f>
        <v>444.8</v>
      </c>
      <c r="T17" s="218">
        <f t="shared" ca="1" si="0"/>
        <v>4555.2</v>
      </c>
      <c r="U17" s="14">
        <f ca="1">SUM(TAB_CSEXPENSES[[#This Row],[P]:[FP]])</f>
        <v>-444.8</v>
      </c>
      <c r="V17" s="144"/>
      <c r="W17" s="170"/>
      <c r="X17" s="170"/>
      <c r="Y17" s="170"/>
      <c r="Z17" s="170"/>
      <c r="AA17" s="170"/>
      <c r="AB17" s="170"/>
      <c r="AC17" s="170"/>
      <c r="AD17" s="170"/>
      <c r="AE17" s="170"/>
      <c r="AF17" s="170"/>
      <c r="AG17" s="170"/>
      <c r="AH17" s="170"/>
      <c r="AI17" s="172"/>
      <c r="AJ17" s="172"/>
      <c r="AK17" s="172"/>
      <c r="AL17" s="172"/>
      <c r="AM17" s="172"/>
      <c r="AN17" s="172"/>
      <c r="AO17" s="172"/>
      <c r="AP17" s="172"/>
      <c r="AQ17" s="172"/>
      <c r="AR17" s="172">
        <v>444.8</v>
      </c>
      <c r="AS17" s="172"/>
      <c r="AT17" s="172"/>
      <c r="AU17" s="172"/>
      <c r="AV17" s="213">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-444.8</v>
      </c>
      <c r="AW17" s="172"/>
      <c r="AX17" s="172"/>
      <c r="AY17" s="172"/>
      <c r="AZ17" s="213"/>
      <c r="BA17" s="172"/>
      <c r="BB17" s="172"/>
      <c r="BC17" s="172"/>
      <c r="BD17" s="172"/>
      <c r="BE17" s="172"/>
      <c r="BF17" s="172"/>
      <c r="BG17" s="172"/>
      <c r="BH17" s="172"/>
      <c r="BI17" s="172"/>
      <c r="BJ17" s="172"/>
      <c r="BK17" s="172"/>
      <c r="BL17" s="172"/>
      <c r="BM17" s="1"/>
      <c r="BP17"/>
    </row>
    <row r="18" spans="1:68" ht="12.75" customHeight="1" x14ac:dyDescent="0.3">
      <c r="A18" s="1">
        <f ca="1">IF(ISBLANK(TAB_CSEXPENSES[[#This Row],[Reference]]),"",INDIRECT(CONCATENATE("'Offer management'!A",MATCH(TAB_CSEXPENSES[[#This Row],[Reference]],'Offer management'!E:E,0))))</f>
        <v>78</v>
      </c>
      <c r="B18" s="1" t="s">
        <v>5476</v>
      </c>
      <c r="C18" s="150" t="s">
        <v>5597</v>
      </c>
      <c r="D18" s="1" t="str">
        <f ca="1">IF(ISBLANK(TAB_CSEXPENSES[[#This Row],[Reference]]),"",VLOOKUP(TAB_CSEXPENSES[[#This Row],[ID]],TAB_Offres[],2,FALSE))</f>
        <v>Lot 1</v>
      </c>
      <c r="E18" s="1" t="str">
        <f>IF(ISBLANK(TAB_CSEXPENSES[[#This Row],[Reference]]),"",INDEX(TAB_Offres[Institution/agency],MATCH(TAB_CSEXPENSES[[#This Row],[Reference]],TAB_Offres[Reference],0)))</f>
        <v>EC</v>
      </c>
      <c r="F18" s="1" t="str">
        <f>IF(ISBLANK(TAB_CSEXPENSES[[#This Row],[Reference]]),"",INDEX(TAB_Offres[DG],MATCH(TAB_CSEXPENSES[[#This Row],[Reference]],TAB_Offres[Reference],0)))</f>
        <v>RTD</v>
      </c>
      <c r="G18" s="1" t="e">
        <f>IF(ISBLANK(TAB_CSEXPENSES[[#This Row],[Reference]]),"",INDEX(#REF!,MATCH(TAB_CSEXPENSES[[#This Row],[Reference]],TAB_Offres[Reference],0)))</f>
        <v>#REF!</v>
      </c>
      <c r="H18" t="str">
        <f>IF(ISBLANK(TAB_CSEXPENSES[[#This Row],[Reference]]),"",INDEX(TAB_Offres[Offer description],MATCH(TAB_CSEXPENSES[[#This Row],[Reference]],TAB_Offres[Reference],0)))</f>
        <v xml:space="preserve">	Front-end Developer (FED)</v>
      </c>
      <c r="I18" s="155">
        <f>_xlfn.IFNA(IF(ISBLANK(TAB_CSEXPENSES[[#This Row],[Ressource]]),"",VLOOKUP(TAB_CSEXPENSES[[#This Row],[Reference]],TAB_Offres[[Reference]:[CS signature date]],COLUMNS(TAB_Offres[[Reference]:[CS signature date]]),FALSE)),"")</f>
        <v>45203</v>
      </c>
      <c r="J18" s="155">
        <f>_xlfn.IFNA(IF(ISBLANK(TAB_CSEXPENSES[[#This Row],[Ressource]]),"",VLOOKUP(TAB_CSEXPENSES[[#This Row],[Reference]],TAB_Offres[[Reference]:[CS start date]],COLUMNS(TAB_Offres[[Reference]:[CS start date]]),FALSE)),"")</f>
        <v>45204</v>
      </c>
      <c r="K18" s="155">
        <f>_xlfn.IFNA(IF(ISBLANK(TAB_CSEXPENSES[[#This Row],[Ressource]]),"",VLOOKUP(TAB_CSEXPENSES[[#This Row],[Reference]],TAB_Offres[[Reference]:[CS end date]],COLUMNS(TAB_Offres[[Reference]:[CS end date]]),FALSE)),"")</f>
        <v>45657</v>
      </c>
      <c r="L18" s="1">
        <f>_xlfn.IFNA(IF(ISBLANK(TAB_CSEXPENSES[[#This Row],[Ressource]]),"",VLOOKUP(TAB_CSEXPENSES[[#This Row],[Reference]],TAB_Offres[[Reference]:[CS State]],COLUMNS(TAB_Offres[[Reference]:[CS State]]),FALSE)),"")</f>
        <v>0</v>
      </c>
      <c r="M18" s="26" t="s">
        <v>5488</v>
      </c>
      <c r="N18" s="1" t="str">
        <f>_xlfn.IFNA(IF(ISBLANK(TAB_CSEXPENSES[[#This Row],[Ressource]]),"",VLOOKUP(TAB_CSEXPENSES[[#This Row],[Reference]],TAB_Offres[[Reference]:[Company]],COLUMNS(TAB_Offres[[Reference]:[Company]]),FALSE)),)</f>
        <v>TREMEND</v>
      </c>
      <c r="O18" s="150" t="s">
        <v>512</v>
      </c>
      <c r="P18" s="1" t="str">
        <f>IF(ISBLANK(TAB_CSEXPENSES[[#This Row],[Ressource]]),,_xlfn.IFNA(VLOOKUP(TAB_CSEXPENSES[[#This Row],[Profile]],TAB_prix[],2,FALSE),"/"))</f>
        <v>/</v>
      </c>
      <c r="Q18" s="603" t="s">
        <v>585</v>
      </c>
      <c r="R18" s="24">
        <f>274.61*5</f>
        <v>1373.0500000000002</v>
      </c>
      <c r="S18" s="157">
        <f ca="1">IF(TAB_CSEXPENSES[[#This Row],[P]]="",, SUM(TAB_CSEXPENSES[[#This Row],[F]:[P]])-TAB_CSEXPENSES[[#This Row],[P]])</f>
        <v>1200.77</v>
      </c>
      <c r="T18" s="218">
        <f t="shared" ca="1" si="0"/>
        <v>172.2800000000002</v>
      </c>
      <c r="U18" s="14">
        <f ca="1">SUM(TAB_CSEXPENSES[[#This Row],[P]:[FP]])</f>
        <v>-1200.77</v>
      </c>
      <c r="V18" s="144"/>
      <c r="W18" s="157"/>
      <c r="X18" s="157"/>
      <c r="Y18" s="157"/>
      <c r="Z18" s="157"/>
      <c r="AA18" s="157"/>
      <c r="AB18" s="157"/>
      <c r="AC18" s="157"/>
      <c r="AD18" s="157"/>
      <c r="AE18" s="157"/>
      <c r="AF18" s="157"/>
      <c r="AG18" s="157"/>
      <c r="AH18" s="157"/>
      <c r="AI18" s="607"/>
      <c r="AJ18" s="607"/>
      <c r="AK18" s="607"/>
      <c r="AL18" s="607"/>
      <c r="AM18" s="607"/>
      <c r="AN18" s="607"/>
      <c r="AO18" s="607"/>
      <c r="AP18" s="607"/>
      <c r="AQ18" s="607">
        <v>1200.77</v>
      </c>
      <c r="AR18" s="607"/>
      <c r="AS18" s="607"/>
      <c r="AT18" s="607"/>
      <c r="AU18" s="607"/>
      <c r="AV18" s="213">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-1200.77</v>
      </c>
      <c r="AW18" s="607"/>
      <c r="AX18" s="607"/>
      <c r="AY18" s="607"/>
      <c r="AZ18" s="213"/>
      <c r="BA18" s="607"/>
      <c r="BB18" s="607"/>
      <c r="BC18" s="607"/>
      <c r="BD18" s="607"/>
      <c r="BE18" s="607"/>
      <c r="BF18" s="607"/>
      <c r="BG18" s="607"/>
      <c r="BH18" s="607"/>
      <c r="BI18" s="607"/>
      <c r="BJ18" s="607"/>
      <c r="BK18" s="607"/>
      <c r="BL18" s="607"/>
      <c r="BM18" s="1"/>
      <c r="BP18"/>
    </row>
    <row r="19" spans="1:68" ht="12.75" customHeight="1" x14ac:dyDescent="0.3">
      <c r="A19" s="1">
        <v>80</v>
      </c>
      <c r="B19" s="1" t="s">
        <v>5507</v>
      </c>
      <c r="C19" s="605" t="s">
        <v>5782</v>
      </c>
      <c r="D19" s="1" t="str">
        <f>IF(ISBLANK(TAB_CSEXPENSES[[#This Row],[Reference]]),"",VLOOKUP(TAB_CSEXPENSES[[#This Row],[ID]],TAB_Offres[],2,FALSE))</f>
        <v>Lot 1</v>
      </c>
      <c r="E19" s="150" t="str">
        <f>IF(ISBLANK(TAB_CSEXPENSES[[#This Row],[Reference]]),"",INDEX(TAB_Offres[Institution/agency],MATCH(TAB_CSEXPENSES[[#This Row],[Reference]],TAB_Offres[Reference],0)))</f>
        <v>EC</v>
      </c>
      <c r="F19" s="150" t="str">
        <f>IF(ISBLANK(TAB_CSEXPENSES[[#This Row],[Reference]]),"",INDEX(TAB_Offres[DG],MATCH(TAB_CSEXPENSES[[#This Row],[Reference]],TAB_Offres[Reference],0)))</f>
        <v>ENV</v>
      </c>
      <c r="G19" s="150" t="e">
        <f>IF(ISBLANK(TAB_CSEXPENSES[[#This Row],[Reference]]),"",INDEX(#REF!,MATCH(TAB_CSEXPENSES[[#This Row],[Reference]],TAB_Offres[Reference],0)))</f>
        <v>#REF!</v>
      </c>
      <c r="H19" t="str">
        <f>IF(ISBLANK(TAB_CSEXPENSES[[#This Row],[Reference]]),"",INDEX(TAB_Offres[Offer description],MATCH(TAB_CSEXPENSES[[#This Row],[Reference]],TAB_Offres[Reference],0)))</f>
        <v xml:space="preserve">Full-Stack Developer (FSD)	</v>
      </c>
      <c r="I19" s="155">
        <f>_xlfn.IFNA(IF(ISBLANK(TAB_CSEXPENSES[[#This Row],[Ressource]]),"",VLOOKUP(TAB_CSEXPENSES[[#This Row],[Reference]],TAB_Offres[[Reference]:[CS signature date]],COLUMNS(TAB_Offres[[Reference]:[CS signature date]]),FALSE)),"")</f>
        <v>45210</v>
      </c>
      <c r="J19" s="155">
        <f>_xlfn.IFNA(IF(ISBLANK(TAB_CSEXPENSES[[#This Row],[Ressource]]),"",VLOOKUP(TAB_CSEXPENSES[[#This Row],[Reference]],TAB_Offres[[Reference]:[CS start date]],COLUMNS(TAB_Offres[[Reference]:[CS start date]]),FALSE)),"")</f>
        <v>45210</v>
      </c>
      <c r="K19" s="155">
        <f>_xlfn.IFNA(IF(ISBLANK(TAB_CSEXPENSES[[#This Row],[Ressource]]),"",VLOOKUP(TAB_CSEXPENSES[[#This Row],[Reference]],TAB_Offres[[Reference]:[CS end date]],COLUMNS(TAB_Offres[[Reference]:[CS end date]]),FALSE)),"")</f>
        <v>45626</v>
      </c>
      <c r="L19" s="1">
        <f>_xlfn.IFNA(IF(ISBLANK(TAB_CSEXPENSES[[#This Row],[Ressource]]),"",VLOOKUP(TAB_CSEXPENSES[[#This Row],[Reference]],TAB_Offres[[Reference]:[CS State]],COLUMNS(TAB_Offres[[Reference]:[CS State]]),FALSE)),"")</f>
        <v>0</v>
      </c>
      <c r="M19" s="26" t="s">
        <v>320</v>
      </c>
      <c r="N19" s="1" t="str">
        <f>_xlfn.IFNA(IF(ISBLANK(TAB_CSEXPENSES[[#This Row],[Ressource]]),"",VLOOKUP(TAB_CSEXPENSES[[#This Row],[Reference]],TAB_Offres[[Reference]:[Company]],COLUMNS(TAB_Offres[[Reference]:[Company]]),FALSE)),)</f>
        <v>CGI LUX</v>
      </c>
      <c r="O19" s="150" t="s">
        <v>317</v>
      </c>
      <c r="P19" s="150">
        <f>IF(ISBLANK(TAB_CSEXPENSES[[#This Row],[Ressource]]),,_xlfn.IFNA(VLOOKUP(TAB_CSEXPENSES[[#This Row],[Profile]],TAB_prix[],2,FALSE),"/"))</f>
        <v>10</v>
      </c>
      <c r="Q19" s="150">
        <f>_xlfn.IFNA(
IF(
OR(ISBLANK(TAB_CSEXPENSES[[#This Row],[Cost/day]]),TAB_CSEXPENSES[[#This Row],[Cost/day]]="/"),
"/",
VLOOKUP(TAB_CSEXPENSES[[#This Row],[Ressource]],TAB_CS[[Ressource]:[Commited days]],COLUMNS(TAB_CS[[Ressource]:[Commited days]]),FALSE)),)</f>
        <v>181</v>
      </c>
      <c r="R19" s="24">
        <f>IF(TAB_CSEXPENSES[[#This Row],[Cost/day]]&lt;&gt;"/",TAB_CSEXPENSES[[#This Row],[Cost/day]]*TAB_CSEXPENSES[[#This Row],[Expected days]],)</f>
        <v>1810</v>
      </c>
      <c r="S19" s="157">
        <f ca="1">IF(TAB_CSEXPENSES[[#This Row],[P]]="",, SUM(TAB_CSEXPENSES[[#This Row],[F]:[P]])-TAB_CSEXPENSES[[#This Row],[P]])</f>
        <v>0</v>
      </c>
      <c r="T19" s="218">
        <f t="shared" ca="1" si="0"/>
        <v>1810</v>
      </c>
      <c r="U19" s="14">
        <f ca="1">SUM(TAB_CSEXPENSES[[#This Row],[P]:[FP]])</f>
        <v>1810</v>
      </c>
      <c r="V19" s="144"/>
      <c r="W19" s="170"/>
      <c r="X19" s="170"/>
      <c r="Y19" s="170"/>
      <c r="Z19" s="170"/>
      <c r="AA19" s="170"/>
      <c r="AB19" s="170"/>
      <c r="AC19" s="170"/>
      <c r="AD19" s="170"/>
      <c r="AE19" s="170"/>
      <c r="AF19" s="170"/>
      <c r="AG19" s="170"/>
      <c r="AH19" s="170"/>
      <c r="AI19" s="172"/>
      <c r="AJ19" s="172"/>
      <c r="AK19" s="172"/>
      <c r="AL19" s="172"/>
      <c r="AM19" s="172"/>
      <c r="AN19" s="172"/>
      <c r="AO19" s="172"/>
      <c r="AP19" s="172"/>
      <c r="AQ19" s="172"/>
      <c r="AR19" s="172"/>
      <c r="AS19" s="172"/>
      <c r="AT19" s="172"/>
      <c r="AU19" s="172"/>
      <c r="AV19" s="213">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1810</v>
      </c>
      <c r="AW19" s="172"/>
      <c r="AX19" s="172"/>
      <c r="AY19" s="172"/>
      <c r="AZ19" s="213"/>
      <c r="BA19" s="172"/>
      <c r="BB19" s="172"/>
      <c r="BC19" s="172"/>
      <c r="BD19" s="172"/>
      <c r="BE19" s="172"/>
      <c r="BF19" s="172"/>
      <c r="BG19" s="172"/>
      <c r="BH19" s="172"/>
      <c r="BI19" s="172"/>
      <c r="BJ19" s="172"/>
      <c r="BK19" s="172"/>
      <c r="BL19" s="172"/>
      <c r="BM19" s="1"/>
      <c r="BP19"/>
    </row>
    <row r="20" spans="1:68" ht="12.75" customHeight="1" x14ac:dyDescent="0.3">
      <c r="A20" s="1">
        <f ca="1">IF(ISBLANK(TAB_CSEXPENSES[[#This Row],[Reference]]),"",INDIRECT(CONCATENATE("'Offer management'!A",MATCH(TAB_CSEXPENSES[[#This Row],[Reference]],'Offer management'!E:E,0))))</f>
        <v>82</v>
      </c>
      <c r="B20" s="150" t="s">
        <v>5514</v>
      </c>
      <c r="C20" s="605" t="s">
        <v>5787</v>
      </c>
      <c r="D20" s="1" t="str">
        <f ca="1">IF(ISBLANK(TAB_CSEXPENSES[[#This Row],[Reference]]),"",VLOOKUP(TAB_CSEXPENSES[[#This Row],[ID]],TAB_Offres[],2,FALSE))</f>
        <v>Lot 2</v>
      </c>
      <c r="E20" s="1" t="str">
        <f>IF(ISBLANK(TAB_CSEXPENSES[[#This Row],[Reference]]),"",INDEX(TAB_Offres[Institution/agency],MATCH(TAB_CSEXPENSES[[#This Row],[Reference]],TAB_Offres[Reference],0)))</f>
        <v>EC</v>
      </c>
      <c r="F20" s="1" t="str">
        <f>IF(ISBLANK(TAB_CSEXPENSES[[#This Row],[Reference]]),"",INDEX(TAB_Offres[DG],MATCH(TAB_CSEXPENSES[[#This Row],[Reference]],TAB_Offres[Reference],0)))</f>
        <v>JUST</v>
      </c>
      <c r="G20" s="1" t="e">
        <f>IF(ISBLANK(TAB_CSEXPENSES[[#This Row],[Reference]]),"",INDEX(#REF!,MATCH(TAB_CSEXPENSES[[#This Row],[Reference]],TAB_Offres[Reference],0)))</f>
        <v>#REF!</v>
      </c>
      <c r="H20" t="str">
        <f>IF(ISBLANK(TAB_CSEXPENSES[[#This Row],[Reference]]),"",INDEX(TAB_Offres[Offer description],MATCH(TAB_CSEXPENSES[[#This Row],[Reference]],TAB_Offres[Reference],0)))</f>
        <v xml:space="preserve">	Project Manager</v>
      </c>
      <c r="I20" s="155">
        <f>_xlfn.IFNA(IF(ISBLANK(TAB_CSEXPENSES[[#This Row],[Ressource]]),"",VLOOKUP(TAB_CSEXPENSES[[#This Row],[Reference]],TAB_Offres[[Reference]:[CS signature date]],COLUMNS(TAB_Offres[[Reference]:[CS signature date]]),FALSE)),"")</f>
        <v>45224</v>
      </c>
      <c r="J20" s="155">
        <f>_xlfn.IFNA(IF(ISBLANK(TAB_CSEXPENSES[[#This Row],[Ressource]]),"",VLOOKUP(TAB_CSEXPENSES[[#This Row],[Reference]],TAB_Offres[[Reference]:[CS start date]],COLUMNS(TAB_Offres[[Reference]:[CS start date]]),FALSE)),"")</f>
        <v>45236</v>
      </c>
      <c r="K20" s="155">
        <f>_xlfn.IFNA(IF(ISBLANK(TAB_CSEXPENSES[[#This Row],[Ressource]]),"",VLOOKUP(TAB_CSEXPENSES[[#This Row],[Reference]],TAB_Offres[[Reference]:[CS end date]],COLUMNS(TAB_Offres[[Reference]:[CS end date]]),FALSE)),"")</f>
        <v>45747</v>
      </c>
      <c r="L20" s="1">
        <f>_xlfn.IFNA(IF(ISBLANK(TAB_CSEXPENSES[[#This Row],[Ressource]]),"",VLOOKUP(TAB_CSEXPENSES[[#This Row],[Reference]],TAB_Offres[[Reference]:[CS State]],COLUMNS(TAB_Offres[[Reference]:[CS State]]),FALSE)),"")</f>
        <v>0</v>
      </c>
      <c r="M20" s="26" t="s">
        <v>330</v>
      </c>
      <c r="N20" s="1" t="str">
        <f>_xlfn.IFNA(IF(ISBLANK(TAB_CSEXPENSES[[#This Row],[Ressource]]),"",VLOOKUP(TAB_CSEXPENSES[[#This Row],[Reference]],TAB_Offres[[Reference]:[Company]],COLUMNS(TAB_Offres[[Reference]:[Company]]),FALSE)),)</f>
        <v>TREMEND</v>
      </c>
      <c r="O20" s="150" t="s">
        <v>512</v>
      </c>
      <c r="P20" s="1" t="str">
        <f>IF(ISBLANK(TAB_CSEXPENSES[[#This Row],[Ressource]]),,_xlfn.IFNA(VLOOKUP(TAB_CSEXPENSES[[#This Row],[Profile]],TAB_prix[],2,FALSE),"/"))</f>
        <v>/</v>
      </c>
      <c r="Q20" s="150" t="str">
        <f>_xlfn.IFNA(
IF(
OR(ISBLANK(TAB_CSEXPENSES[[#This Row],[Cost/day]]),TAB_CSEXPENSES[[#This Row],[Cost/day]]="/"),
"/",
VLOOKUP(TAB_CSEXPENSES[[#This Row],[Ressource]],TAB_CS[[Ressource]:[Commited days]],COLUMNS(TAB_CS[[Ressource]:[Commited days]]),FALSE)),)</f>
        <v>/</v>
      </c>
      <c r="R20" s="24">
        <v>10000</v>
      </c>
      <c r="S20" s="157">
        <f ca="1">IF(TAB_CSEXPENSES[[#This Row],[P]]="",, SUM(TAB_CSEXPENSES[[#This Row],[F]:[P]])-TAB_CSEXPENSES[[#This Row],[P]])</f>
        <v>2288.86</v>
      </c>
      <c r="T20" s="218">
        <f t="shared" ca="1" si="0"/>
        <v>7711.1399999999994</v>
      </c>
      <c r="U20" s="14">
        <f ca="1">SUM(TAB_CSEXPENSES[[#This Row],[P]:[FP]])</f>
        <v>-2288.86</v>
      </c>
      <c r="V20" s="144"/>
      <c r="W20" s="157"/>
      <c r="X20" s="157"/>
      <c r="Y20" s="157"/>
      <c r="Z20" s="157"/>
      <c r="AA20" s="157"/>
      <c r="AB20" s="157"/>
      <c r="AC20" s="157"/>
      <c r="AD20" s="157"/>
      <c r="AE20" s="157"/>
      <c r="AF20" s="157"/>
      <c r="AG20" s="157"/>
      <c r="AH20" s="157"/>
      <c r="AI20" s="593"/>
      <c r="AJ20" s="593"/>
      <c r="AK20" s="593"/>
      <c r="AL20" s="593"/>
      <c r="AM20" s="593"/>
      <c r="AN20" s="593"/>
      <c r="AO20" s="593">
        <v>255.8</v>
      </c>
      <c r="AP20" s="593">
        <v>563.25</v>
      </c>
      <c r="AQ20" s="593"/>
      <c r="AR20" s="593">
        <v>624.1</v>
      </c>
      <c r="AS20" s="593"/>
      <c r="AT20" s="593"/>
      <c r="AU20" s="593">
        <v>845.71</v>
      </c>
      <c r="AV20" s="213">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-2288.86</v>
      </c>
      <c r="AW20" s="593"/>
      <c r="AX20" s="593"/>
      <c r="AY20" s="593"/>
      <c r="AZ20" s="213"/>
      <c r="BA20" s="593"/>
      <c r="BB20" s="593"/>
      <c r="BC20" s="593"/>
      <c r="BD20" s="593"/>
      <c r="BE20" s="593"/>
      <c r="BF20" s="593"/>
      <c r="BG20" s="593"/>
      <c r="BH20" s="593"/>
      <c r="BI20" s="593"/>
      <c r="BJ20" s="593"/>
      <c r="BK20" s="593"/>
      <c r="BL20" s="593"/>
      <c r="BM20" s="1"/>
      <c r="BP20"/>
    </row>
    <row r="21" spans="1:68" ht="12.75" customHeight="1" x14ac:dyDescent="0.3">
      <c r="A21" s="1">
        <f ca="1">IF(ISBLANK(TAB_CSEXPENSES[[#This Row],[Reference]]),"",INDIRECT(CONCATENATE("'Offer management'!A",MATCH(TAB_CSEXPENSES[[#This Row],[Reference]],'Offer management'!E:E,0))))</f>
        <v>92</v>
      </c>
      <c r="B21" s="150" t="s">
        <v>5548</v>
      </c>
      <c r="C21" s="605" t="s">
        <v>6199</v>
      </c>
      <c r="D21" s="1" t="str">
        <f ca="1">IF(ISBLANK(TAB_CSEXPENSES[[#This Row],[Reference]]),"",VLOOKUP(TAB_CSEXPENSES[[#This Row],[ID]],TAB_Offres[],2,FALSE))</f>
        <v>Lot 3</v>
      </c>
      <c r="E21" s="1" t="str">
        <f>IF(ISBLANK(TAB_CSEXPENSES[[#This Row],[Reference]]),"",INDEX(TAB_Offres[Institution/agency],MATCH(TAB_CSEXPENSES[[#This Row],[Reference]],TAB_Offres[Reference],0)))</f>
        <v>EC</v>
      </c>
      <c r="F21" s="1" t="str">
        <f>IF(ISBLANK(TAB_CSEXPENSES[[#This Row],[Reference]]),"",INDEX(TAB_Offres[DG],MATCH(TAB_CSEXPENSES[[#This Row],[Reference]],TAB_Offres[Reference],0)))</f>
        <v>DIGIT.B.3</v>
      </c>
      <c r="G21" s="1" t="e">
        <f>IF(ISBLANK(TAB_CSEXPENSES[[#This Row],[Reference]]),"",INDEX(#REF!,MATCH(TAB_CSEXPENSES[[#This Row],[Reference]],TAB_Offres[Reference],0)))</f>
        <v>#REF!</v>
      </c>
      <c r="H21" t="str">
        <f>IF(ISBLANK(TAB_CSEXPENSES[[#This Row],[Reference]]),"",INDEX(TAB_Offres[Offer description],MATCH(TAB_CSEXPENSES[[#This Row],[Reference]],TAB_Offres[Reference],0)))</f>
        <v>PES</v>
      </c>
      <c r="I21" s="155">
        <f>_xlfn.IFNA(IF(ISBLANK(TAB_CSEXPENSES[[#This Row],[Ressource]]),"",VLOOKUP(TAB_CSEXPENSES[[#This Row],[Reference]],TAB_Offres[[Reference]:[CS signature date]],COLUMNS(TAB_Offres[[Reference]:[CS signature date]]),FALSE)),"")</f>
        <v>0</v>
      </c>
      <c r="J21" s="155">
        <f>_xlfn.IFNA(IF(ISBLANK(TAB_CSEXPENSES[[#This Row],[Ressource]]),"",VLOOKUP(TAB_CSEXPENSES[[#This Row],[Reference]],TAB_Offres[[Reference]:[CS start date]],COLUMNS(TAB_Offres[[Reference]:[CS start date]]),FALSE)),"")</f>
        <v>0</v>
      </c>
      <c r="K21" s="155">
        <f>_xlfn.IFNA(IF(ISBLANK(TAB_CSEXPENSES[[#This Row],[Ressource]]),"",VLOOKUP(TAB_CSEXPENSES[[#This Row],[Reference]],TAB_Offres[[Reference]:[CS end date]],COLUMNS(TAB_Offres[[Reference]:[CS end date]]),FALSE)),"")</f>
        <v>0</v>
      </c>
      <c r="L21" s="1">
        <f>_xlfn.IFNA(IF(ISBLANK(TAB_CSEXPENSES[[#This Row],[Ressource]]),"",VLOOKUP(TAB_CSEXPENSES[[#This Row],[Reference]],TAB_Offres[[Reference]:[CS State]],COLUMNS(TAB_Offres[[Reference]:[CS State]]),FALSE)),"")</f>
        <v>0</v>
      </c>
      <c r="M21" s="26" t="s">
        <v>313</v>
      </c>
      <c r="N21" s="1" t="str">
        <f>_xlfn.IFNA(IF(ISBLANK(TAB_CSEXPENSES[[#This Row],[Ressource]]),"",VLOOKUP(TAB_CSEXPENSES[[#This Row],[Reference]],TAB_Offres[[Reference]:[Company]],COLUMNS(TAB_Offres[[Reference]:[Company]]),FALSE)),)</f>
        <v>CGI LUX</v>
      </c>
      <c r="O21" s="150" t="s">
        <v>512</v>
      </c>
      <c r="P21" s="1" t="str">
        <f>IF(ISBLANK(TAB_CSEXPENSES[[#This Row],[Ressource]]),,_xlfn.IFNA(VLOOKUP(TAB_CSEXPENSES[[#This Row],[Profile]],TAB_prix[],2,FALSE),"/"))</f>
        <v>/</v>
      </c>
      <c r="Q21" s="1" t="s">
        <v>585</v>
      </c>
      <c r="R21" s="24">
        <v>10000</v>
      </c>
      <c r="S21" s="157">
        <f ca="1">IF(TAB_CSEXPENSES[[#This Row],[P]]="",, SUM(TAB_CSEXPENSES[[#This Row],[F]:[P]])-TAB_CSEXPENSES[[#This Row],[P]])</f>
        <v>749.48</v>
      </c>
      <c r="T21" s="218">
        <f t="shared" ca="1" si="0"/>
        <v>9250.52</v>
      </c>
      <c r="U21" s="14">
        <f ca="1">SUM(TAB_CSEXPENSES[[#This Row],[P]:[FP]])</f>
        <v>-749.48</v>
      </c>
      <c r="V21" s="144"/>
      <c r="W21" s="157"/>
      <c r="X21" s="157"/>
      <c r="Y21" s="157"/>
      <c r="Z21" s="157"/>
      <c r="AA21" s="157"/>
      <c r="AB21" s="157"/>
      <c r="AC21" s="157"/>
      <c r="AD21" s="157"/>
      <c r="AE21" s="157"/>
      <c r="AF21" s="157"/>
      <c r="AG21" s="157"/>
      <c r="AH21" s="157"/>
      <c r="AI21" s="651"/>
      <c r="AJ21" s="651"/>
      <c r="AK21" s="651"/>
      <c r="AL21" s="651"/>
      <c r="AM21" s="651"/>
      <c r="AN21" s="651"/>
      <c r="AO21" s="651"/>
      <c r="AP21" s="651"/>
      <c r="AQ21" s="651"/>
      <c r="AR21" s="651"/>
      <c r="AS21" s="651"/>
      <c r="AT21" s="651"/>
      <c r="AU21" s="651">
        <v>749.48</v>
      </c>
      <c r="AV21" s="213">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-749.48</v>
      </c>
      <c r="AW21" s="651"/>
      <c r="AX21" s="651"/>
      <c r="AY21" s="651"/>
      <c r="AZ21" s="213"/>
      <c r="BA21" s="651"/>
      <c r="BB21" s="651"/>
      <c r="BC21" s="651"/>
      <c r="BD21" s="651"/>
      <c r="BE21" s="651"/>
      <c r="BF21" s="651"/>
      <c r="BG21" s="651"/>
      <c r="BH21" s="651"/>
      <c r="BI21" s="651"/>
      <c r="BJ21" s="651"/>
      <c r="BK21" s="651"/>
      <c r="BL21" s="651"/>
      <c r="BM21" s="1"/>
      <c r="BP21"/>
    </row>
    <row r="22" spans="1:68" ht="12.75" customHeight="1" x14ac:dyDescent="0.3">
      <c r="A22" s="1">
        <f ca="1">IF(ISBLANK(TAB_CSEXPENSES[[#This Row],[Reference]]),"",INDIRECT(CONCATENATE("'Offer management'!A",MATCH(TAB_CSEXPENSES[[#This Row],[Reference]],'Offer management'!E:E,0))))</f>
        <v>101</v>
      </c>
      <c r="B22" s="150" t="s">
        <v>5577</v>
      </c>
      <c r="C22" s="605" t="s">
        <v>5789</v>
      </c>
      <c r="D22" s="1" t="str">
        <f ca="1">IF(ISBLANK(TAB_CSEXPENSES[[#This Row],[Reference]]),"",VLOOKUP(TAB_CSEXPENSES[[#This Row],[ID]],TAB_Offres[],2,FALSE))</f>
        <v>Lot 1</v>
      </c>
      <c r="E22" s="1" t="str">
        <f>IF(ISBLANK(TAB_CSEXPENSES[[#This Row],[Reference]]),"",INDEX(TAB_Offres[Institution/agency],MATCH(TAB_CSEXPENSES[[#This Row],[Reference]],TAB_Offres[Reference],0)))</f>
        <v>EC</v>
      </c>
      <c r="F22" s="1" t="str">
        <f>IF(ISBLANK(TAB_CSEXPENSES[[#This Row],[Reference]]),"",INDEX(TAB_Offres[DG],MATCH(TAB_CSEXPENSES[[#This Row],[Reference]],TAB_Offres[Reference],0)))</f>
        <v>RTD</v>
      </c>
      <c r="G22" s="1" t="e">
        <f>IF(ISBLANK(TAB_CSEXPENSES[[#This Row],[Reference]]),"",INDEX(#REF!,MATCH(TAB_CSEXPENSES[[#This Row],[Reference]],TAB_Offres[Reference],0)))</f>
        <v>#REF!</v>
      </c>
      <c r="H22" t="str">
        <f>IF(ISBLANK(TAB_CSEXPENSES[[#This Row],[Reference]]),"",INDEX(TAB_Offres[Offer description],MATCH(TAB_CSEXPENSES[[#This Row],[Reference]],TAB_Offres[Reference],0)))</f>
        <v xml:space="preserve">	Full-Stack Developer (FSD)</v>
      </c>
      <c r="I22" s="155">
        <f>_xlfn.IFNA(IF(ISBLANK(TAB_CSEXPENSES[[#This Row],[Ressource]]),"",VLOOKUP(TAB_CSEXPENSES[[#This Row],[Reference]],TAB_Offres[[Reference]:[CS signature date]],COLUMNS(TAB_Offres[[Reference]:[CS signature date]]),FALSE)),"")</f>
        <v>45274</v>
      </c>
      <c r="J22" s="155">
        <f>_xlfn.IFNA(IF(ISBLANK(TAB_CSEXPENSES[[#This Row],[Ressource]]),"",VLOOKUP(TAB_CSEXPENSES[[#This Row],[Reference]],TAB_Offres[[Reference]:[CS start date]],COLUMNS(TAB_Offres[[Reference]:[CS start date]]),FALSE)),"")</f>
        <v>45275</v>
      </c>
      <c r="K22" s="155">
        <f>_xlfn.IFNA(IF(ISBLANK(TAB_CSEXPENSES[[#This Row],[Ressource]]),"",VLOOKUP(TAB_CSEXPENSES[[#This Row],[Reference]],TAB_Offres[[Reference]:[CS end date]],COLUMNS(TAB_Offres[[Reference]:[CS end date]]),FALSE)),"")</f>
        <v>45747</v>
      </c>
      <c r="L22" s="1">
        <f>_xlfn.IFNA(IF(ISBLANK(TAB_CSEXPENSES[[#This Row],[Ressource]]),"",VLOOKUP(TAB_CSEXPENSES[[#This Row],[Reference]],TAB_Offres[[Reference]:[CS State]],COLUMNS(TAB_Offres[[Reference]:[CS State]]),FALSE)),"")</f>
        <v>0</v>
      </c>
      <c r="M22" s="26" t="s">
        <v>532</v>
      </c>
      <c r="N22" s="1" t="str">
        <f>_xlfn.IFNA(IF(ISBLANK(TAB_CSEXPENSES[[#This Row],[Ressource]]),"",VLOOKUP(TAB_CSEXPENSES[[#This Row],[Reference]],TAB_Offres[[Reference]:[Company]],COLUMNS(TAB_Offres[[Reference]:[Company]]),FALSE)),)</f>
        <v>TREMEND</v>
      </c>
      <c r="O22" s="150" t="s">
        <v>512</v>
      </c>
      <c r="P22" s="1" t="str">
        <f>IF(ISBLANK(TAB_CSEXPENSES[[#This Row],[Ressource]]),,_xlfn.IFNA(VLOOKUP(TAB_CSEXPENSES[[#This Row],[Profile]],TAB_prix[],2,FALSE),"/"))</f>
        <v>/</v>
      </c>
      <c r="Q22" s="603" t="s">
        <v>585</v>
      </c>
      <c r="R22" s="24">
        <f>532.43*3</f>
        <v>1597.29</v>
      </c>
      <c r="S22" s="157">
        <f ca="1">IF(TAB_CSEXPENSES[[#This Row],[P]]="",, SUM(TAB_CSEXPENSES[[#This Row],[F]:[P]])-TAB_CSEXPENSES[[#This Row],[P]])</f>
        <v>1200.77</v>
      </c>
      <c r="T22" s="218">
        <f t="shared" ca="1" si="0"/>
        <v>396.52</v>
      </c>
      <c r="U22" s="14">
        <f ca="1">SUM(TAB_CSEXPENSES[[#This Row],[P]:[FP]])</f>
        <v>-1200.77</v>
      </c>
      <c r="V22" s="144"/>
      <c r="W22" s="157"/>
      <c r="X22" s="157"/>
      <c r="Y22" s="157"/>
      <c r="Z22" s="157"/>
      <c r="AA22" s="157"/>
      <c r="AB22" s="157"/>
      <c r="AC22" s="157"/>
      <c r="AD22" s="157"/>
      <c r="AE22" s="157"/>
      <c r="AF22" s="157"/>
      <c r="AG22" s="157"/>
      <c r="AH22" s="157"/>
      <c r="AI22" s="607"/>
      <c r="AJ22" s="607"/>
      <c r="AK22" s="607"/>
      <c r="AL22" s="607"/>
      <c r="AM22" s="607"/>
      <c r="AN22" s="607"/>
      <c r="AO22" s="607"/>
      <c r="AP22" s="607"/>
      <c r="AQ22" s="607">
        <v>1200.77</v>
      </c>
      <c r="AR22" s="607"/>
      <c r="AS22" s="607"/>
      <c r="AT22" s="607"/>
      <c r="AU22" s="607"/>
      <c r="AV22" s="213">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-1200.77</v>
      </c>
      <c r="AW22" s="607"/>
      <c r="AX22" s="607"/>
      <c r="AY22" s="607"/>
      <c r="AZ22" s="213"/>
      <c r="BA22" s="607"/>
      <c r="BB22" s="607"/>
      <c r="BC22" s="607"/>
      <c r="BD22" s="607"/>
      <c r="BE22" s="607"/>
      <c r="BF22" s="607"/>
      <c r="BG22" s="607"/>
      <c r="BH22" s="607"/>
      <c r="BI22" s="607"/>
      <c r="BJ22" s="607"/>
      <c r="BK22" s="607"/>
      <c r="BL22" s="607"/>
      <c r="BM22" s="1"/>
      <c r="BP22"/>
    </row>
    <row r="23" spans="1:68" ht="12.75" customHeight="1" x14ac:dyDescent="0.3">
      <c r="A23" s="1">
        <f ca="1">IF(ISBLANK(TAB_CSEXPENSES[[#This Row],[Reference]]),"",INDIRECT(CONCATENATE("'Offer management'!A",MATCH(TAB_CSEXPENSES[[#This Row],[Reference]],'Offer management'!E:E,0))))</f>
        <v>110</v>
      </c>
      <c r="B23" s="1" t="s">
        <v>5803</v>
      </c>
      <c r="C23" s="150" t="s">
        <v>5975</v>
      </c>
      <c r="D23" s="1" t="str">
        <f ca="1">IF(ISBLANK(TAB_CSEXPENSES[[#This Row],[Reference]]),"",VLOOKUP(TAB_CSEXPENSES[[#This Row],[ID]],TAB_Offres[],2,FALSE))</f>
        <v>Lot 2</v>
      </c>
      <c r="E23" s="1" t="str">
        <f>IF(ISBLANK(TAB_CSEXPENSES[[#This Row],[Reference]]),"",INDEX(TAB_Offres[Institution/agency],MATCH(TAB_CSEXPENSES[[#This Row],[Reference]],TAB_Offres[Reference],0)))</f>
        <v>EC</v>
      </c>
      <c r="F23" s="1" t="str">
        <f>IF(ISBLANK(TAB_CSEXPENSES[[#This Row],[Reference]]),"",INDEX(TAB_Offres[DG],MATCH(TAB_CSEXPENSES[[#This Row],[Reference]],TAB_Offres[Reference],0)))</f>
        <v>REGIO</v>
      </c>
      <c r="G23" s="1" t="e">
        <f>IF(ISBLANK(TAB_CSEXPENSES[[#This Row],[Reference]]),"",INDEX(#REF!,MATCH(TAB_CSEXPENSES[[#This Row],[Reference]],TAB_Offres[Reference],0)))</f>
        <v>#REF!</v>
      </c>
      <c r="H23" t="str">
        <f>IF(ISBLANK(TAB_CSEXPENSES[[#This Row],[Reference]]),"",INDEX(TAB_Offres[Offer description],MATCH(TAB_CSEXPENSES[[#This Row],[Reference]],TAB_Offres[Reference],0)))</f>
        <v>Data Warehouse and Reporting Developer (DWRD)</v>
      </c>
      <c r="I23" s="155">
        <f>_xlfn.IFNA(IF(ISBLANK(TAB_CSEXPENSES[[#This Row],[Ressource]]),"",VLOOKUP(TAB_CSEXPENSES[[#This Row],[Reference]],TAB_Offres[[Reference]:[CS signature date]],COLUMNS(TAB_Offres[[Reference]:[CS signature date]]),FALSE)),"")</f>
        <v>0</v>
      </c>
      <c r="J23" s="155">
        <f>_xlfn.IFNA(IF(ISBLANK(TAB_CSEXPENSES[[#This Row],[Ressource]]),"",VLOOKUP(TAB_CSEXPENSES[[#This Row],[Reference]],TAB_Offres[[Reference]:[CS start date]],COLUMNS(TAB_Offres[[Reference]:[CS start date]]),FALSE)),"")</f>
        <v>0</v>
      </c>
      <c r="K23" s="155">
        <f>_xlfn.IFNA(IF(ISBLANK(TAB_CSEXPENSES[[#This Row],[Ressource]]),"",VLOOKUP(TAB_CSEXPENSES[[#This Row],[Reference]],TAB_Offres[[Reference]:[CS end date]],COLUMNS(TAB_Offres[[Reference]:[CS end date]]),FALSE)),"")</f>
        <v>45838</v>
      </c>
      <c r="L23" s="1">
        <f>_xlfn.IFNA(IF(ISBLANK(TAB_CSEXPENSES[[#This Row],[Ressource]]),"",VLOOKUP(TAB_CSEXPENSES[[#This Row],[Reference]],TAB_Offres[[Reference]:[CS State]],COLUMNS(TAB_Offres[[Reference]:[CS State]]),FALSE)),"")</f>
        <v>0</v>
      </c>
      <c r="M23" s="26" t="s">
        <v>6016</v>
      </c>
      <c r="N23" s="1" t="str">
        <f>_xlfn.IFNA(IF(ISBLANK(TAB_CSEXPENSES[[#This Row],[Ressource]]),"",VLOOKUP(TAB_CSEXPENSES[[#This Row],[Reference]],TAB_Offres[[Reference]:[Company]],COLUMNS(TAB_Offres[[Reference]:[Company]]),FALSE)),)</f>
        <v>TALAN</v>
      </c>
      <c r="O23" s="150" t="s">
        <v>512</v>
      </c>
      <c r="P23" s="1" t="str">
        <f>IF(ISBLANK(TAB_CSEXPENSES[[#This Row],[Ressource]]),,_xlfn.IFNA(VLOOKUP(TAB_CSEXPENSES[[#This Row],[Profile]],TAB_prix[],2,FALSE),"/"))</f>
        <v>/</v>
      </c>
      <c r="Q23" s="150" t="str">
        <f>_xlfn.IFNA(
IF(
OR(ISBLANK(TAB_CSEXPENSES[[#This Row],[Cost/day]]),TAB_CSEXPENSES[[#This Row],[Cost/day]]="/"),
"/",
VLOOKUP(TAB_CSEXPENSES[[#This Row],[Ressource]],TAB_CS[[Ressource]:[Commited days]],COLUMNS(TAB_CS[[Ressource]:[Commited days]]),FALSE)),)</f>
        <v>/</v>
      </c>
      <c r="R23" s="24">
        <v>8000</v>
      </c>
      <c r="S23" s="157">
        <f ca="1">IF(TAB_CSEXPENSES[[#This Row],[P]]="",, SUM(TAB_CSEXPENSES[[#This Row],[F]:[P]])-TAB_CSEXPENSES[[#This Row],[P]])</f>
        <v>710.56</v>
      </c>
      <c r="T23" s="218">
        <f t="shared" ca="1" si="0"/>
        <v>7289.4400000000005</v>
      </c>
      <c r="U23" s="14">
        <f ca="1">SUM(TAB_CSEXPENSES[[#This Row],[P]:[FP]])</f>
        <v>-710.56</v>
      </c>
      <c r="V23" s="144"/>
      <c r="W23" s="157"/>
      <c r="X23" s="157"/>
      <c r="Y23" s="157"/>
      <c r="Z23" s="157"/>
      <c r="AA23" s="157"/>
      <c r="AB23" s="157"/>
      <c r="AC23" s="157"/>
      <c r="AD23" s="157"/>
      <c r="AE23" s="157"/>
      <c r="AF23" s="157"/>
      <c r="AG23" s="157"/>
      <c r="AH23" s="157"/>
      <c r="AI23" s="593"/>
      <c r="AJ23" s="593"/>
      <c r="AK23" s="593"/>
      <c r="AL23" s="593"/>
      <c r="AM23" s="593"/>
      <c r="AN23" s="593"/>
      <c r="AO23" s="593"/>
      <c r="AP23" s="593"/>
      <c r="AQ23" s="593"/>
      <c r="AR23" s="593">
        <v>710.56</v>
      </c>
      <c r="AS23" s="593"/>
      <c r="AT23" s="593"/>
      <c r="AU23" s="593"/>
      <c r="AV23" s="213">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-710.56</v>
      </c>
      <c r="AW23" s="593"/>
      <c r="AX23" s="593"/>
      <c r="AY23" s="593"/>
      <c r="AZ23" s="213"/>
      <c r="BA23" s="593"/>
      <c r="BB23" s="593"/>
      <c r="BC23" s="593"/>
      <c r="BD23" s="593"/>
      <c r="BE23" s="593"/>
      <c r="BF23" s="593"/>
      <c r="BG23" s="593"/>
      <c r="BH23" s="593"/>
      <c r="BI23" s="593"/>
      <c r="BJ23" s="593"/>
      <c r="BK23" s="593"/>
      <c r="BL23" s="593"/>
      <c r="BM23" s="1"/>
      <c r="BP23"/>
    </row>
    <row r="24" spans="1:68" ht="12.75" customHeight="1" x14ac:dyDescent="0.3">
      <c r="A24" s="1">
        <f ca="1">IF(ISBLANK(TAB_CSEXPENSES[[#This Row],[Reference]]),"",INDIRECT(CONCATENATE("'Offer management'!A",MATCH(TAB_CSEXPENSES[[#This Row],[Reference]],'Offer management'!E:E,0))))</f>
        <v>121</v>
      </c>
      <c r="B24" s="1" t="s">
        <v>5824</v>
      </c>
      <c r="C24" s="605" t="s">
        <v>5996</v>
      </c>
      <c r="D24" s="1" t="str">
        <f ca="1">IF(ISBLANK(TAB_CSEXPENSES[[#This Row],[Reference]]),"",VLOOKUP(TAB_CSEXPENSES[[#This Row],[ID]],TAB_Offres[],2,FALSE))</f>
        <v>Lot 3</v>
      </c>
      <c r="E24" s="1" t="str">
        <f>IF(ISBLANK(TAB_CSEXPENSES[[#This Row],[Reference]]),"",INDEX(TAB_Offres[Institution/agency],MATCH(TAB_CSEXPENSES[[#This Row],[Reference]],TAB_Offres[Reference],0)))</f>
        <v>REA</v>
      </c>
      <c r="F24" s="1" t="str">
        <f>IF(ISBLANK(TAB_CSEXPENSES[[#This Row],[Reference]]),"",INDEX(TAB_Offres[DG],MATCH(TAB_CSEXPENSES[[#This Row],[Reference]],TAB_Offres[Reference],0)))</f>
        <v>REA</v>
      </c>
      <c r="G24" s="1" t="e">
        <f>IF(ISBLANK(TAB_CSEXPENSES[[#This Row],[Reference]]),"",INDEX(#REF!,MATCH(TAB_CSEXPENSES[[#This Row],[Reference]],TAB_Offres[Reference],0)))</f>
        <v>#REF!</v>
      </c>
      <c r="H24" t="str">
        <f>IF(ISBLANK(TAB_CSEXPENSES[[#This Row],[Reference]]),"",INDEX(TAB_Offres[Offer description],MATCH(TAB_CSEXPENSES[[#This Row],[Reference]],TAB_Offres[Reference],0)))</f>
        <v>Business Intelligence Expert (BIE)</v>
      </c>
      <c r="I24" s="155">
        <f>_xlfn.IFNA(IF(ISBLANK(TAB_CSEXPENSES[[#This Row],[Ressource]]),"",VLOOKUP(TAB_CSEXPENSES[[#This Row],[Reference]],TAB_Offres[[Reference]:[CS signature date]],COLUMNS(TAB_Offres[[Reference]:[CS signature date]]),FALSE)),"")</f>
        <v>45407</v>
      </c>
      <c r="J24" s="155">
        <f>_xlfn.IFNA(IF(ISBLANK(TAB_CSEXPENSES[[#This Row],[Ressource]]),"",VLOOKUP(TAB_CSEXPENSES[[#This Row],[Reference]],TAB_Offres[[Reference]:[CS start date]],COLUMNS(TAB_Offres[[Reference]:[CS start date]]),FALSE)),"")</f>
        <v>45419</v>
      </c>
      <c r="K24" s="155">
        <f>_xlfn.IFNA(IF(ISBLANK(TAB_CSEXPENSES[[#This Row],[Ressource]]),"",VLOOKUP(TAB_CSEXPENSES[[#This Row],[Reference]],TAB_Offres[[Reference]:[CS end date]],COLUMNS(TAB_Offres[[Reference]:[CS end date]]),FALSE)),"")</f>
        <v>45869</v>
      </c>
      <c r="L24" s="1">
        <f>_xlfn.IFNA(IF(ISBLANK(TAB_CSEXPENSES[[#This Row],[Ressource]]),"",VLOOKUP(TAB_CSEXPENSES[[#This Row],[Reference]],TAB_Offres[[Reference]:[CS State]],COLUMNS(TAB_Offres[[Reference]:[CS State]]),FALSE)),"")</f>
        <v>0</v>
      </c>
      <c r="M24" s="26" t="s">
        <v>268</v>
      </c>
      <c r="N24" s="1" t="str">
        <f>_xlfn.IFNA(IF(ISBLANK(TAB_CSEXPENSES[[#This Row],[Ressource]]),"",VLOOKUP(TAB_CSEXPENSES[[#This Row],[Reference]],TAB_Offres[[Reference]:[Company]],COLUMNS(TAB_Offres[[Reference]:[Company]]),FALSE)),)</f>
        <v>EDDA</v>
      </c>
      <c r="O24" s="150" t="s">
        <v>512</v>
      </c>
      <c r="P24" s="150" t="str">
        <f>IF(ISBLANK(TAB_CSEXPENSES[[#This Row],[Ressource]]),,_xlfn.IFNA(VLOOKUP(TAB_CSEXPENSES[[#This Row],[Profile]],TAB_prix[],2,FALSE),"/"))</f>
        <v>/</v>
      </c>
      <c r="Q24" s="150" t="str">
        <f>_xlfn.IFNA(
IF(
OR(ISBLANK(TAB_CSEXPENSES[[#This Row],[Cost/day]]),TAB_CSEXPENSES[[#This Row],[Cost/day]]="/"),
"/",
VLOOKUP(TAB_CSEXPENSES[[#This Row],[Ressource]],TAB_CS[[Ressource]:[Commited days]],COLUMNS(TAB_CS[[Ressource]:[Commited days]]),FALSE)),)</f>
        <v>/</v>
      </c>
      <c r="R24" s="24">
        <v>2000</v>
      </c>
      <c r="S24" s="157">
        <f ca="1">IF(TAB_CSEXPENSES[[#This Row],[P]]="",, SUM(TAB_CSEXPENSES[[#This Row],[F]:[P]])-TAB_CSEXPENSES[[#This Row],[P]])</f>
        <v>500</v>
      </c>
      <c r="T24" s="218">
        <f t="shared" ca="1" si="0"/>
        <v>1500</v>
      </c>
      <c r="U24" s="14">
        <f ca="1">SUM(TAB_CSEXPENSES[[#This Row],[P]:[FP]])</f>
        <v>-500</v>
      </c>
      <c r="V24" s="144"/>
      <c r="W24" s="157"/>
      <c r="X24" s="157"/>
      <c r="Y24" s="157"/>
      <c r="Z24" s="157"/>
      <c r="AA24" s="157"/>
      <c r="AB24" s="157"/>
      <c r="AC24" s="157"/>
      <c r="AD24" s="157"/>
      <c r="AE24" s="157"/>
      <c r="AF24" s="157"/>
      <c r="AG24" s="157"/>
      <c r="AH24" s="157"/>
      <c r="AI24" s="593"/>
      <c r="AJ24" s="593"/>
      <c r="AK24" s="593"/>
      <c r="AL24" s="593"/>
      <c r="AM24" s="593"/>
      <c r="AN24" s="593"/>
      <c r="AO24" s="593"/>
      <c r="AP24" s="593"/>
      <c r="AQ24" s="593"/>
      <c r="AR24" s="593">
        <v>500</v>
      </c>
      <c r="AS24" s="593"/>
      <c r="AT24" s="593"/>
      <c r="AU24" s="593"/>
      <c r="AV24" s="213">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-500</v>
      </c>
      <c r="AW24" s="593"/>
      <c r="AX24" s="593"/>
      <c r="AY24" s="593"/>
      <c r="AZ24" s="213"/>
      <c r="BA24" s="593"/>
      <c r="BB24" s="593"/>
      <c r="BC24" s="593"/>
      <c r="BD24" s="593"/>
      <c r="BE24" s="593"/>
      <c r="BF24" s="593"/>
      <c r="BG24" s="593"/>
      <c r="BH24" s="593"/>
      <c r="BI24" s="593"/>
      <c r="BJ24" s="593"/>
      <c r="BK24" s="593"/>
      <c r="BL24" s="593"/>
      <c r="BM24" s="1"/>
      <c r="BP24"/>
    </row>
    <row r="25" spans="1:68" ht="12.75" customHeight="1" x14ac:dyDescent="0.3">
      <c r="A25" s="1">
        <f ca="1">IF(ISBLANK(TAB_CSEXPENSES[[#This Row],[Reference]]),"",INDIRECT(CONCATENATE("'Offer management'!A",MATCH(TAB_CSEXPENSES[[#This Row],[Reference]],'Offer management'!E:E,0))))</f>
        <v>135</v>
      </c>
      <c r="B25" s="1" t="s">
        <v>5964</v>
      </c>
      <c r="C25" s="605" t="s">
        <v>6079</v>
      </c>
      <c r="D25" s="1" t="str">
        <f ca="1">IF(ISBLANK(TAB_CSEXPENSES[[#This Row],[Reference]]),"",VLOOKUP(TAB_CSEXPENSES[[#This Row],[ID]],TAB_Offres[],2,FALSE))</f>
        <v>Lot 3</v>
      </c>
      <c r="E25" s="1" t="str">
        <f>IF(ISBLANK(TAB_CSEXPENSES[[#This Row],[Reference]]),"",INDEX(TAB_Offres[Institution/agency],MATCH(TAB_CSEXPENSES[[#This Row],[Reference]],TAB_Offres[Reference],0)))</f>
        <v>EC</v>
      </c>
      <c r="F25" s="1" t="str">
        <f>IF(ISBLANK(TAB_CSEXPENSES[[#This Row],[Reference]]),"",INDEX(TAB_Offres[DG],MATCH(TAB_CSEXPENSES[[#This Row],[Reference]],TAB_Offres[Reference],0)))</f>
        <v>DIGIT.A.4</v>
      </c>
      <c r="G25" s="1" t="e">
        <f>IF(ISBLANK(TAB_CSEXPENSES[[#This Row],[Reference]]),"",INDEX(#REF!,MATCH(TAB_CSEXPENSES[[#This Row],[Reference]],TAB_Offres[Reference],0)))</f>
        <v>#REF!</v>
      </c>
      <c r="H25" t="str">
        <f>IF(ISBLANK(TAB_CSEXPENSES[[#This Row],[Reference]]),"",INDEX(TAB_Offres[Offer description],MATCH(TAB_CSEXPENSES[[#This Row],[Reference]],TAB_Offres[Reference],0)))</f>
        <v>Expenses GOSMAN</v>
      </c>
      <c r="I25" s="155">
        <f>_xlfn.IFNA(IF(ISBLANK(TAB_CSEXPENSES[[#This Row],[Ressource]]),"",VLOOKUP(TAB_CSEXPENSES[[#This Row],[Reference]],TAB_Offres[[Reference]:[CS signature date]],COLUMNS(TAB_Offres[[Reference]:[CS signature date]]),FALSE)),"")</f>
        <v>45449</v>
      </c>
      <c r="J25" s="155">
        <f>_xlfn.IFNA(IF(ISBLANK(TAB_CSEXPENSES[[#This Row],[Ressource]]),"",VLOOKUP(TAB_CSEXPENSES[[#This Row],[Reference]],TAB_Offres[[Reference]:[CS start date]],COLUMNS(TAB_Offres[[Reference]:[CS start date]]),FALSE)),"")</f>
        <v>45449</v>
      </c>
      <c r="K25" s="155">
        <f>_xlfn.IFNA(IF(ISBLANK(TAB_CSEXPENSES[[#This Row],[Ressource]]),"",VLOOKUP(TAB_CSEXPENSES[[#This Row],[Reference]],TAB_Offres[[Reference]:[CS end date]],COLUMNS(TAB_Offres[[Reference]:[CS end date]]),FALSE)),"")</f>
        <v>45930</v>
      </c>
      <c r="L25" s="1">
        <f>_xlfn.IFNA(IF(ISBLANK(TAB_CSEXPENSES[[#This Row],[Ressource]]),"",VLOOKUP(TAB_CSEXPENSES[[#This Row],[Reference]],TAB_Offres[[Reference]:[CS State]],COLUMNS(TAB_Offres[[Reference]:[CS State]]),FALSE)),"")</f>
        <v>0</v>
      </c>
      <c r="M25" s="26" t="s">
        <v>5890</v>
      </c>
      <c r="N25" s="1" t="str">
        <f>_xlfn.IFNA(IF(ISBLANK(TAB_CSEXPENSES[[#This Row],[Ressource]]),"",VLOOKUP(TAB_CSEXPENSES[[#This Row],[Reference]],TAB_Offres[[Reference]:[Company]],COLUMNS(TAB_Offres[[Reference]:[Company]]),FALSE)),)</f>
        <v>TREMEND</v>
      </c>
      <c r="O25" s="150" t="s">
        <v>512</v>
      </c>
      <c r="P25" s="1" t="str">
        <f>IF(ISBLANK(TAB_CSEXPENSES[[#This Row],[Ressource]]),,_xlfn.IFNA(VLOOKUP(TAB_CSEXPENSES[[#This Row],[Profile]],TAB_prix[],2,FALSE),"/"))</f>
        <v>/</v>
      </c>
      <c r="Q25" s="150" t="str">
        <f>_xlfn.IFNA(
IF(
OR(ISBLANK(TAB_CSEXPENSES[[#This Row],[Cost/day]]),TAB_CSEXPENSES[[#This Row],[Cost/day]]="/"),
"/",
VLOOKUP(TAB_CSEXPENSES[[#This Row],[Ressource]],TAB_CS[[Ressource]:[Commited days]],COLUMNS(TAB_CS[[Ressource]:[Commited days]]),FALSE)),)</f>
        <v>/</v>
      </c>
      <c r="R25" s="24">
        <v>800</v>
      </c>
      <c r="S25" s="157">
        <f ca="1">IF(TAB_CSEXPENSES[[#This Row],[P]]="",, SUM(TAB_CSEXPENSES[[#This Row],[F]:[P]])-TAB_CSEXPENSES[[#This Row],[P]])</f>
        <v>777.82</v>
      </c>
      <c r="T25" s="218">
        <f t="shared" ca="1" si="0"/>
        <v>22.17999999999995</v>
      </c>
      <c r="U25" s="14">
        <f ca="1">SUM(TAB_CSEXPENSES[[#This Row],[P]:[FP]])</f>
        <v>-777.82</v>
      </c>
      <c r="V25" s="144"/>
      <c r="W25" s="157"/>
      <c r="X25" s="157"/>
      <c r="Y25" s="157"/>
      <c r="Z25" s="157"/>
      <c r="AA25" s="157"/>
      <c r="AB25" s="157"/>
      <c r="AC25" s="157"/>
      <c r="AD25" s="157"/>
      <c r="AE25" s="157"/>
      <c r="AF25" s="157"/>
      <c r="AG25" s="157"/>
      <c r="AH25" s="157"/>
      <c r="AI25" s="593"/>
      <c r="AJ25" s="593"/>
      <c r="AK25" s="593"/>
      <c r="AL25" s="593"/>
      <c r="AM25" s="593"/>
      <c r="AN25" s="593"/>
      <c r="AO25" s="593"/>
      <c r="AP25" s="593"/>
      <c r="AQ25" s="593"/>
      <c r="AR25" s="593">
        <v>777.82</v>
      </c>
      <c r="AS25" s="593"/>
      <c r="AT25" s="593"/>
      <c r="AU25" s="593"/>
      <c r="AV25" s="213">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-777.82</v>
      </c>
      <c r="AW25" s="593"/>
      <c r="AX25" s="593"/>
      <c r="AY25" s="593"/>
      <c r="AZ25" s="213"/>
      <c r="BA25" s="593"/>
      <c r="BB25" s="593"/>
      <c r="BC25" s="593"/>
      <c r="BD25" s="593"/>
      <c r="BE25" s="593"/>
      <c r="BF25" s="593"/>
      <c r="BG25" s="593"/>
      <c r="BH25" s="593"/>
      <c r="BI25" s="593"/>
      <c r="BJ25" s="593"/>
      <c r="BK25" s="593"/>
      <c r="BL25" s="593"/>
      <c r="BM25" s="1"/>
      <c r="BP25"/>
    </row>
    <row r="26" spans="1:68" ht="12.75" customHeight="1" x14ac:dyDescent="0.3">
      <c r="A26" s="1">
        <f ca="1">IF(ISBLANK(TAB_CSEXPENSES[[#This Row],[Reference]]),"",INDIRECT(CONCATENATE("'Offer management'!A",MATCH(TAB_CSEXPENSES[[#This Row],[Reference]],'Offer management'!E:E,0))))</f>
        <v>157</v>
      </c>
      <c r="B26" s="1" t="s">
        <v>6070</v>
      </c>
      <c r="C26" s="605" t="s">
        <v>6080</v>
      </c>
      <c r="D26" s="1" t="str">
        <f ca="1">IF(ISBLANK(TAB_CSEXPENSES[[#This Row],[Reference]]),"",VLOOKUP(TAB_CSEXPENSES[[#This Row],[ID]],TAB_Offres[],2,FALSE))</f>
        <v>Lot 3</v>
      </c>
      <c r="E26" s="1" t="str">
        <f>IF(ISBLANK(TAB_CSEXPENSES[[#This Row],[Reference]]),"",INDEX(TAB_Offres[Institution/agency],MATCH(TAB_CSEXPENSES[[#This Row],[Reference]],TAB_Offres[Reference],0)))</f>
        <v>EC</v>
      </c>
      <c r="F26" s="1" t="str">
        <f>IF(ISBLANK(TAB_CSEXPENSES[[#This Row],[Reference]]),"",INDEX(TAB_Offres[DG],MATCH(TAB_CSEXPENSES[[#This Row],[Reference]],TAB_Offres[Reference],0)))</f>
        <v>RTD</v>
      </c>
      <c r="G26" s="1" t="e">
        <f>IF(ISBLANK(TAB_CSEXPENSES[[#This Row],[Reference]]),"",INDEX(#REF!,MATCH(TAB_CSEXPENSES[[#This Row],[Reference]],TAB_Offres[Reference],0)))</f>
        <v>#REF!</v>
      </c>
      <c r="H26" t="str">
        <f>IF(ISBLANK(TAB_CSEXPENSES[[#This Row],[Reference]]),"",INDEX(TAB_Offres[Offer description],MATCH(TAB_CSEXPENSES[[#This Row],[Reference]],TAB_Offres[Reference],0)))</f>
        <v>Provision of extra services</v>
      </c>
      <c r="I26" s="155">
        <f>_xlfn.IFNA(IF(ISBLANK(TAB_CSEXPENSES[[#This Row],[Ressource]]),"",VLOOKUP(TAB_CSEXPENSES[[#This Row],[Reference]],TAB_Offres[[Reference]:[CS signature date]],COLUMNS(TAB_Offres[[Reference]:[CS signature date]]),FALSE)),"")</f>
        <v>45260</v>
      </c>
      <c r="J26" s="155">
        <f>_xlfn.IFNA(IF(ISBLANK(TAB_CSEXPENSES[[#This Row],[Ressource]]),"",VLOOKUP(TAB_CSEXPENSES[[#This Row],[Reference]],TAB_Offres[[Reference]:[CS start date]],COLUMNS(TAB_Offres[[Reference]:[CS start date]]),FALSE)),"")</f>
        <v>45260</v>
      </c>
      <c r="K26" s="155">
        <f>_xlfn.IFNA(IF(ISBLANK(TAB_CSEXPENSES[[#This Row],[Ressource]]),"",VLOOKUP(TAB_CSEXPENSES[[#This Row],[Reference]],TAB_Offres[[Reference]:[CS end date]],COLUMNS(TAB_Offres[[Reference]:[CS end date]]),FALSE)),"")</f>
        <v>0</v>
      </c>
      <c r="L26" s="1">
        <f>_xlfn.IFNA(IF(ISBLANK(TAB_CSEXPENSES[[#This Row],[Ressource]]),"",VLOOKUP(TAB_CSEXPENSES[[#This Row],[Reference]],TAB_Offres[[Reference]:[CS State]],COLUMNS(TAB_Offres[[Reference]:[CS State]]),FALSE)),"")</f>
        <v>0</v>
      </c>
      <c r="M26" s="26" t="s">
        <v>296</v>
      </c>
      <c r="N26" s="1" t="str">
        <f>_xlfn.IFNA(IF(ISBLANK(TAB_CSEXPENSES[[#This Row],[Ressource]]),"",VLOOKUP(TAB_CSEXPENSES[[#This Row],[Reference]],TAB_Offres[[Reference]:[Company]],COLUMNS(TAB_Offres[[Reference]:[Company]]),FALSE)),)</f>
        <v>EDDA</v>
      </c>
      <c r="O26" s="150" t="s">
        <v>512</v>
      </c>
      <c r="P26" s="1" t="str">
        <f>IF(ISBLANK(TAB_CSEXPENSES[[#This Row],[Ressource]]),,_xlfn.IFNA(VLOOKUP(TAB_CSEXPENSES[[#This Row],[Profile]],TAB_prix[],2,FALSE),"/"))</f>
        <v>/</v>
      </c>
      <c r="Q26" s="603" t="s">
        <v>585</v>
      </c>
      <c r="R26" s="24">
        <v>1000</v>
      </c>
      <c r="S26" s="157">
        <f ca="1">IF(TAB_CSEXPENSES[[#This Row],[P]]="",, SUM(TAB_CSEXPENSES[[#This Row],[F]:[P]])-TAB_CSEXPENSES[[#This Row],[P]])</f>
        <v>0</v>
      </c>
      <c r="T26" s="218">
        <f t="shared" ca="1" si="0"/>
        <v>1000</v>
      </c>
      <c r="U26" s="14">
        <f ca="1">SUM(TAB_CSEXPENSES[[#This Row],[P]:[FP]])</f>
        <v>0</v>
      </c>
      <c r="V26" s="144"/>
      <c r="W26" s="157"/>
      <c r="X26" s="157"/>
      <c r="Y26" s="157"/>
      <c r="Z26" s="157"/>
      <c r="AA26" s="157"/>
      <c r="AB26" s="157"/>
      <c r="AC26" s="157"/>
      <c r="AD26" s="157"/>
      <c r="AE26" s="157"/>
      <c r="AF26" s="157"/>
      <c r="AG26" s="157"/>
      <c r="AH26" s="157"/>
      <c r="AI26" s="593"/>
      <c r="AJ26" s="593"/>
      <c r="AK26" s="593"/>
      <c r="AL26" s="593"/>
      <c r="AM26" s="593"/>
      <c r="AN26" s="593"/>
      <c r="AO26" s="593"/>
      <c r="AP26" s="593"/>
      <c r="AQ26" s="593"/>
      <c r="AR26" s="593"/>
      <c r="AS26" s="593"/>
      <c r="AT26" s="593"/>
      <c r="AU26" s="593"/>
      <c r="AV26" s="213">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0</v>
      </c>
      <c r="AW26" s="593"/>
      <c r="AX26" s="593"/>
      <c r="AY26" s="593"/>
      <c r="AZ26" s="213"/>
      <c r="BA26" s="593"/>
      <c r="BB26" s="593"/>
      <c r="BC26" s="593"/>
      <c r="BD26" s="593"/>
      <c r="BE26" s="593"/>
      <c r="BF26" s="593"/>
      <c r="BG26" s="593"/>
      <c r="BH26" s="593"/>
      <c r="BI26" s="593"/>
      <c r="BJ26" s="593"/>
      <c r="BK26" s="593"/>
      <c r="BL26" s="593"/>
      <c r="BM26" s="1"/>
      <c r="BP26"/>
    </row>
    <row r="27" spans="1:68" ht="12.75" customHeight="1" x14ac:dyDescent="0.3">
      <c r="A27" s="1">
        <f ca="1">IF(ISBLANK(TAB_CSEXPENSES[[#This Row],[Reference]]),"",INDIRECT(CONCATENATE("'Offer management'!A",MATCH(TAB_CSEXPENSES[[#This Row],[Reference]],'Offer management'!E:E,0))))</f>
        <v>158</v>
      </c>
      <c r="B27" s="1" t="s">
        <v>6072</v>
      </c>
      <c r="C27" s="605" t="s">
        <v>6081</v>
      </c>
      <c r="D27" s="1" t="str">
        <f ca="1">IF(ISBLANK(TAB_CSEXPENSES[[#This Row],[Reference]]),"",VLOOKUP(TAB_CSEXPENSES[[#This Row],[ID]],TAB_Offres[],2,FALSE))</f>
        <v>Lot 2</v>
      </c>
      <c r="E27" s="1" t="str">
        <f>IF(ISBLANK(TAB_CSEXPENSES[[#This Row],[Reference]]),"",INDEX(TAB_Offres[Institution/agency],MATCH(TAB_CSEXPENSES[[#This Row],[Reference]],TAB_Offres[Reference],0)))</f>
        <v>EC</v>
      </c>
      <c r="F27" s="1" t="str">
        <f>IF(ISBLANK(TAB_CSEXPENSES[[#This Row],[Reference]]),"",INDEX(TAB_Offres[DG],MATCH(TAB_CSEXPENSES[[#This Row],[Reference]],TAB_Offres[Reference],0)))</f>
        <v>DIGIT.A.2</v>
      </c>
      <c r="G27" s="1" t="e">
        <f>IF(ISBLANK(TAB_CSEXPENSES[[#This Row],[Reference]]),"",INDEX(#REF!,MATCH(TAB_CSEXPENSES[[#This Row],[Reference]],TAB_Offres[Reference],0)))</f>
        <v>#REF!</v>
      </c>
      <c r="H27" t="str">
        <f>IF(ISBLANK(TAB_CSEXPENSES[[#This Row],[Reference]]),"",INDEX(TAB_Offres[Offer description],MATCH(TAB_CSEXPENSES[[#This Row],[Reference]],TAB_Offres[Reference],0)))</f>
        <v>PES (Global request)</v>
      </c>
      <c r="I27" s="155">
        <f>_xlfn.IFNA(IF(ISBLANK(TAB_CSEXPENSES[[#This Row],[Ressource]]),"",VLOOKUP(TAB_CSEXPENSES[[#This Row],[Reference]],TAB_Offres[[Reference]:[CS signature date]],COLUMNS(TAB_Offres[[Reference]:[CS signature date]]),FALSE)),"")</f>
        <v>45553</v>
      </c>
      <c r="J27" s="155">
        <f>_xlfn.IFNA(IF(ISBLANK(TAB_CSEXPENSES[[#This Row],[Ressource]]),"",VLOOKUP(TAB_CSEXPENSES[[#This Row],[Reference]],TAB_Offres[[Reference]:[CS start date]],COLUMNS(TAB_Offres[[Reference]:[CS start date]]),FALSE)),"")</f>
        <v>45553</v>
      </c>
      <c r="K27" s="155">
        <f>_xlfn.IFNA(IF(ISBLANK(TAB_CSEXPENSES[[#This Row],[Ressource]]),"",VLOOKUP(TAB_CSEXPENSES[[#This Row],[Reference]],TAB_Offres[[Reference]:[CS end date]],COLUMNS(TAB_Offres[[Reference]:[CS end date]]),FALSE)),"")</f>
        <v>45838</v>
      </c>
      <c r="L27" s="1">
        <f>_xlfn.IFNA(IF(ISBLANK(TAB_CSEXPENSES[[#This Row],[Ressource]]),"",VLOOKUP(TAB_CSEXPENSES[[#This Row],[Reference]],TAB_Offres[[Reference]:[CS State]],COLUMNS(TAB_Offres[[Reference]:[CS State]]),FALSE)),"")</f>
        <v>0</v>
      </c>
      <c r="M27" s="154" t="s">
        <v>6075</v>
      </c>
      <c r="N27" s="1">
        <f>_xlfn.IFNA(IF(ISBLANK(TAB_CSEXPENSES[[#This Row],[Ressource]]),"",VLOOKUP(TAB_CSEXPENSES[[#This Row],[Reference]],TAB_Offres[[Reference]:[Company]],COLUMNS(TAB_Offres[[Reference]:[Company]]),FALSE)),)</f>
        <v>0</v>
      </c>
      <c r="O27" s="150" t="s">
        <v>512</v>
      </c>
      <c r="P27" s="1" t="str">
        <f>IF(ISBLANK(TAB_CSEXPENSES[[#This Row],[Ressource]]),,_xlfn.IFNA(VLOOKUP(TAB_CSEXPENSES[[#This Row],[Profile]],TAB_prix[],2,FALSE),"/"))</f>
        <v>/</v>
      </c>
      <c r="Q27" s="603" t="s">
        <v>585</v>
      </c>
      <c r="R27" s="24">
        <v>5000</v>
      </c>
      <c r="S27" s="157">
        <f ca="1">IF(TAB_CSEXPENSES[[#This Row],[P]]="",, SUM(TAB_CSEXPENSES[[#This Row],[F]:[P]])-TAB_CSEXPENSES[[#This Row],[P]])</f>
        <v>0</v>
      </c>
      <c r="T27" s="218">
        <f t="shared" ca="1" si="0"/>
        <v>5000</v>
      </c>
      <c r="U27" s="14">
        <f ca="1">SUM(TAB_CSEXPENSES[[#This Row],[P]:[FP]])</f>
        <v>0</v>
      </c>
      <c r="V27" s="144"/>
      <c r="W27" s="157"/>
      <c r="X27" s="157"/>
      <c r="Y27" s="157"/>
      <c r="Z27" s="157"/>
      <c r="AA27" s="157"/>
      <c r="AB27" s="157"/>
      <c r="AC27" s="157"/>
      <c r="AD27" s="157"/>
      <c r="AE27" s="157"/>
      <c r="AF27" s="157"/>
      <c r="AG27" s="157"/>
      <c r="AH27" s="157"/>
      <c r="AI27" s="593"/>
      <c r="AJ27" s="593"/>
      <c r="AK27" s="593"/>
      <c r="AL27" s="593"/>
      <c r="AM27" s="593"/>
      <c r="AN27" s="593"/>
      <c r="AO27" s="593"/>
      <c r="AP27" s="593"/>
      <c r="AQ27" s="593"/>
      <c r="AR27" s="593"/>
      <c r="AS27" s="593"/>
      <c r="AT27" s="593"/>
      <c r="AU27" s="593"/>
      <c r="AV27" s="213">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0</v>
      </c>
      <c r="AW27" s="593"/>
      <c r="AX27" s="593"/>
      <c r="AY27" s="593"/>
      <c r="AZ27" s="213"/>
      <c r="BA27" s="593"/>
      <c r="BB27" s="593"/>
      <c r="BC27" s="593"/>
      <c r="BD27" s="593"/>
      <c r="BE27" s="593"/>
      <c r="BF27" s="593"/>
      <c r="BG27" s="593"/>
      <c r="BH27" s="593"/>
      <c r="BI27" s="593"/>
      <c r="BJ27" s="593"/>
      <c r="BK27" s="593"/>
      <c r="BL27" s="593"/>
      <c r="BM27" s="1"/>
      <c r="BP27"/>
    </row>
    <row r="28" spans="1:68" ht="12.75" customHeight="1" x14ac:dyDescent="0.3">
      <c r="A28" s="1">
        <f ca="1">IF(ISBLANK(TAB_CSEXPENSES[[#This Row],[Reference]]),"",INDIRECT(CONCATENATE("'Offer management'!A",MATCH(TAB_CSEXPENSES[[#This Row],[Reference]],'Offer management'!E:E,0))))</f>
        <v>168</v>
      </c>
      <c r="B28" s="1" t="s">
        <v>6200</v>
      </c>
      <c r="C28" s="150" t="s">
        <v>6201</v>
      </c>
      <c r="D28" s="1" t="str">
        <f ca="1">IF(ISBLANK(TAB_CSEXPENSES[[#This Row],[Reference]]),"",VLOOKUP(TAB_CSEXPENSES[[#This Row],[ID]],TAB_Offres[],2,FALSE))</f>
        <v>Lot 1</v>
      </c>
      <c r="E28" s="1" t="str">
        <f>IF(ISBLANK(TAB_CSEXPENSES[[#This Row],[Reference]]),"",INDEX(TAB_Offres[Institution/agency],MATCH(TAB_CSEXPENSES[[#This Row],[Reference]],TAB_Offres[Reference],0)))</f>
        <v>EC</v>
      </c>
      <c r="F28" s="1" t="str">
        <f>IF(ISBLANK(TAB_CSEXPENSES[[#This Row],[Reference]]),"",INDEX(TAB_Offres[DG],MATCH(TAB_CSEXPENSES[[#This Row],[Reference]],TAB_Offres[Reference],0)))</f>
        <v>ESTAT.A.5</v>
      </c>
      <c r="G28" s="1" t="e">
        <f>IF(ISBLANK(TAB_CSEXPENSES[[#This Row],[Reference]]),"",INDEX(#REF!,MATCH(TAB_CSEXPENSES[[#This Row],[Reference]],TAB_Offres[Reference],0)))</f>
        <v>#REF!</v>
      </c>
      <c r="H28" t="str">
        <f>IF(ISBLANK(TAB_CSEXPENSES[[#This Row],[Reference]]),"",INDEX(TAB_Offres[Offer description],MATCH(TAB_CSEXPENSES[[#This Row],[Reference]],TAB_Offres[Reference],0)))</f>
        <v>Full-Stack Developer (FSD)</v>
      </c>
      <c r="I28" s="155">
        <f>_xlfn.IFNA(IF(ISBLANK(TAB_CSEXPENSES[[#This Row],[Ressource]]),"",VLOOKUP(TAB_CSEXPENSES[[#This Row],[Reference]],TAB_Offres[[Reference]:[CS signature date]],COLUMNS(TAB_Offres[[Reference]:[CS signature date]]),FALSE)),"")</f>
        <v>45601</v>
      </c>
      <c r="J28" s="155">
        <f>_xlfn.IFNA(IF(ISBLANK(TAB_CSEXPENSES[[#This Row],[Ressource]]),"",VLOOKUP(TAB_CSEXPENSES[[#This Row],[Reference]],TAB_Offres[[Reference]:[CS start date]],COLUMNS(TAB_Offres[[Reference]:[CS start date]]),FALSE)),"")</f>
        <v>45607</v>
      </c>
      <c r="K28" s="155">
        <f>_xlfn.IFNA(IF(ISBLANK(TAB_CSEXPENSES[[#This Row],[Ressource]]),"",VLOOKUP(TAB_CSEXPENSES[[#This Row],[Reference]],TAB_Offres[[Reference]:[CS end date]],COLUMNS(TAB_Offres[[Reference]:[CS end date]]),FALSE)),"")</f>
        <v>45808</v>
      </c>
      <c r="L28" s="1">
        <f>_xlfn.IFNA(IF(ISBLANK(TAB_CSEXPENSES[[#This Row],[Ressource]]),"",VLOOKUP(TAB_CSEXPENSES[[#This Row],[Reference]],TAB_Offres[[Reference]:[CS State]],COLUMNS(TAB_Offres[[Reference]:[CS State]]),FALSE)),"")</f>
        <v>0</v>
      </c>
      <c r="M28" s="26" t="s">
        <v>610</v>
      </c>
      <c r="N28" s="1" t="str">
        <f>_xlfn.IFNA(IF(ISBLANK(TAB_CSEXPENSES[[#This Row],[Ressource]]),"",VLOOKUP(TAB_CSEXPENSES[[#This Row],[Reference]],TAB_Offres[[Reference]:[Company]],COLUMNS(TAB_Offres[[Reference]:[Company]]),FALSE)),)</f>
        <v>TALAN</v>
      </c>
      <c r="O28" s="150" t="s">
        <v>524</v>
      </c>
      <c r="P28" s="1" t="str">
        <f>IF(ISBLANK(TAB_CSEXPENSES[[#This Row],[Ressource]]),,_xlfn.IFNA(VLOOKUP(TAB_CSEXPENSES[[#This Row],[Profile]],TAB_prix[],2,FALSE),"/"))</f>
        <v>/</v>
      </c>
      <c r="Q28" s="605" t="s">
        <v>585</v>
      </c>
      <c r="R28" s="24">
        <v>2000</v>
      </c>
      <c r="S28" s="157">
        <f ca="1">IF(TAB_CSEXPENSES[[#This Row],[P]]="",, SUM(TAB_CSEXPENSES[[#This Row],[F]:[P]])-TAB_CSEXPENSES[[#This Row],[P]])</f>
        <v>0</v>
      </c>
      <c r="T28" s="218">
        <f t="shared" ca="1" si="0"/>
        <v>2000</v>
      </c>
      <c r="U28" s="14">
        <f ca="1">SUM(TAB_CSEXPENSES[[#This Row],[P]:[FP]])</f>
        <v>0</v>
      </c>
      <c r="V28" s="144"/>
      <c r="W28" s="157"/>
      <c r="X28" s="157"/>
      <c r="Y28" s="157"/>
      <c r="Z28" s="157"/>
      <c r="AA28" s="157"/>
      <c r="AB28" s="157"/>
      <c r="AC28" s="157"/>
      <c r="AD28" s="157"/>
      <c r="AE28" s="157"/>
      <c r="AF28" s="157"/>
      <c r="AG28" s="157"/>
      <c r="AH28" s="157"/>
      <c r="AI28" s="593"/>
      <c r="AJ28" s="593"/>
      <c r="AK28" s="593"/>
      <c r="AL28" s="593"/>
      <c r="AM28" s="593"/>
      <c r="AN28" s="593"/>
      <c r="AO28" s="593"/>
      <c r="AP28" s="593"/>
      <c r="AQ28" s="593"/>
      <c r="AR28" s="593"/>
      <c r="AS28" s="593"/>
      <c r="AT28" s="593"/>
      <c r="AU28" s="593"/>
      <c r="AV28" s="213">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0</v>
      </c>
      <c r="AW28" s="593"/>
      <c r="AX28" s="593"/>
      <c r="AY28" s="593"/>
      <c r="AZ28" s="213"/>
      <c r="BA28" s="593"/>
      <c r="BB28" s="593"/>
      <c r="BC28" s="593"/>
      <c r="BD28" s="593"/>
      <c r="BE28" s="593"/>
      <c r="BF28" s="593"/>
      <c r="BG28" s="593"/>
      <c r="BH28" s="593"/>
      <c r="BI28" s="593"/>
      <c r="BJ28" s="593"/>
      <c r="BK28" s="593"/>
      <c r="BL28" s="593"/>
      <c r="BM28" s="1"/>
      <c r="BP28"/>
    </row>
    <row r="29" spans="1:68" ht="12.75" customHeight="1" x14ac:dyDescent="0.3">
      <c r="A29" s="1" t="str">
        <f ca="1">IF(ISBLANK(TAB_CSEXPENSES[[#This Row],[Reference]]),"",INDIRECT(CONCATENATE("'Offer management'!A",MATCH(TAB_CSEXPENSES[[#This Row],[Reference]],'Offer management'!E:E,0))))</f>
        <v/>
      </c>
      <c r="B29" s="1"/>
      <c r="C29" s="1"/>
      <c r="D29" s="1" t="str">
        <f>IF(ISBLANK(TAB_CSEXPENSES[[#This Row],[Reference]]),"",VLOOKUP(TAB_CSEXPENSES[[#This Row],[ID]],TAB_Offres[],2,FALSE))</f>
        <v/>
      </c>
      <c r="E29" s="150" t="str">
        <f>IF(ISBLANK(TAB_CSEXPENSES[[#This Row],[Reference]]),"",INDEX(TAB_Offres[Institution/agency],MATCH(TAB_CSEXPENSES[[#This Row],[Reference]],TAB_Offres[Reference],0)))</f>
        <v/>
      </c>
      <c r="F29" s="150" t="str">
        <f>IF(ISBLANK(TAB_CSEXPENSES[[#This Row],[Reference]]),"",INDEX(TAB_Offres[DG],MATCH(TAB_CSEXPENSES[[#This Row],[Reference]],TAB_Offres[Reference],0)))</f>
        <v/>
      </c>
      <c r="G29" s="150" t="str">
        <f>IF(ISBLANK(TAB_CSEXPENSES[[#This Row],[Reference]]),"",INDEX(#REF!,MATCH(TAB_CSEXPENSES[[#This Row],[Reference]],TAB_Offres[Reference],0)))</f>
        <v/>
      </c>
      <c r="H29" t="str">
        <f>IF(ISBLANK(TAB_CSEXPENSES[[#This Row],[Reference]]),"",INDEX(TAB_Offres[Offer description],MATCH(TAB_CSEXPENSES[[#This Row],[Reference]],TAB_Offres[Reference],0)))</f>
        <v/>
      </c>
      <c r="I29" s="155" t="str">
        <f>_xlfn.IFNA(IF(ISBLANK(TAB_CSEXPENSES[[#This Row],[Ressource]]),"",VLOOKUP(TAB_CSEXPENSES[[#This Row],[Reference]],TAB_Offres[[Reference]:[CS signature date]],COLUMNS(TAB_Offres[[Reference]:[CS signature date]]),FALSE)),"")</f>
        <v/>
      </c>
      <c r="J29" s="155" t="str">
        <f>_xlfn.IFNA(IF(ISBLANK(TAB_CSEXPENSES[[#This Row],[Ressource]]),"",VLOOKUP(TAB_CSEXPENSES[[#This Row],[Reference]],TAB_Offres[[Reference]:[CS start date]],COLUMNS(TAB_Offres[[Reference]:[CS start date]]),FALSE)),"")</f>
        <v/>
      </c>
      <c r="K29" s="155" t="str">
        <f>_xlfn.IFNA(IF(ISBLANK(TAB_CSEXPENSES[[#This Row],[Ressource]]),"",VLOOKUP(TAB_CSEXPENSES[[#This Row],[Reference]],TAB_Offres[[Reference]:[CS end date]],COLUMNS(TAB_Offres[[Reference]:[CS end date]]),FALSE)),"")</f>
        <v/>
      </c>
      <c r="L29" s="1" t="str">
        <f>_xlfn.IFNA(IF(ISBLANK(TAB_CSEXPENSES[[#This Row],[Ressource]]),"",VLOOKUP(TAB_CSEXPENSES[[#This Row],[Reference]],TAB_Offres[[Reference]:[CS State]],COLUMNS(TAB_Offres[[Reference]:[CS State]]),FALSE)),"")</f>
        <v/>
      </c>
      <c r="N29" s="1" t="str">
        <f>_xlfn.IFNA(IF(ISBLANK(TAB_CSEXPENSES[[#This Row],[Ressource]]),"",VLOOKUP(TAB_CSEXPENSES[[#This Row],[Reference]],TAB_Offres[[Reference]:[Company]],COLUMNS(TAB_Offres[[Reference]:[Company]]),FALSE)),)</f>
        <v/>
      </c>
      <c r="O29" s="150" t="str">
        <f>IF(ISBLANK(TAB_CSEXPENSES[[#This Row],[Ressource]]),"",VLOOKUP(TAB_CSEXPENSES[[#This Row],[Ressource]],TAB_ressource[],2,FALSE))</f>
        <v/>
      </c>
      <c r="P29" s="150">
        <f>IF(ISBLANK(TAB_CSEXPENSES[[#This Row],[Ressource]]),,_xlfn.IFNA(VLOOKUP(TAB_CSEXPENSES[[#This Row],[Profile]],TAB_prix[],2,FALSE),"/"))</f>
        <v>0</v>
      </c>
      <c r="Q29" s="150"/>
      <c r="R29" s="1">
        <f>IF(TAB_CSEXPENSES[[#This Row],[Cost/day]]&lt;&gt;"/",TAB_CSEXPENSES[[#This Row],[Cost/day]]*TAB_CSEXPENSES[[#This Row],[Expected days]],)</f>
        <v>0</v>
      </c>
      <c r="S29" s="157">
        <f ca="1">IF(TAB_CSEXPENSES[[#This Row],[P]]="",, SUM(TAB_CSEXPENSES[[#This Row],[F]:[P]])-TAB_CSEXPENSES[[#This Row],[P]])</f>
        <v>0</v>
      </c>
      <c r="T29" s="218">
        <f t="shared" ca="1" si="0"/>
        <v>0</v>
      </c>
      <c r="U29" s="14">
        <f ca="1">SUM(TAB_CSEXPENSES[[#This Row],[P]:[FP]])</f>
        <v>0</v>
      </c>
      <c r="V29" s="144"/>
      <c r="W29" s="170"/>
      <c r="X29" s="170"/>
      <c r="Y29" s="170"/>
      <c r="Z29" s="170"/>
      <c r="AA29" s="170"/>
      <c r="AB29" s="170"/>
      <c r="AC29" s="170"/>
      <c r="AD29" s="170"/>
      <c r="AE29" s="170"/>
      <c r="AF29" s="170"/>
      <c r="AG29" s="170"/>
      <c r="AH29" s="170"/>
      <c r="AI29" s="172"/>
      <c r="AJ29" s="172"/>
      <c r="AK29" s="172"/>
      <c r="AL29" s="172"/>
      <c r="AM29" s="172"/>
      <c r="AN29" s="172"/>
      <c r="AO29" s="172"/>
      <c r="AP29" s="172"/>
      <c r="AQ29" s="172"/>
      <c r="AR29" s="172"/>
      <c r="AS29" s="172"/>
      <c r="AT29" s="172"/>
      <c r="AU29" s="172"/>
      <c r="AV29" s="213" t="str">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
      </c>
      <c r="AW29" s="172"/>
      <c r="AX29" s="172"/>
      <c r="AY29" s="172"/>
      <c r="AZ29" s="213"/>
      <c r="BA29" s="172"/>
      <c r="BB29" s="172"/>
      <c r="BC29" s="172"/>
      <c r="BD29" s="172"/>
      <c r="BE29" s="172"/>
      <c r="BF29" s="172"/>
      <c r="BG29" s="172"/>
      <c r="BH29" s="172"/>
      <c r="BI29" s="172"/>
      <c r="BJ29" s="172"/>
      <c r="BK29" s="172"/>
      <c r="BL29" s="172"/>
      <c r="BM29" s="1"/>
      <c r="BP29"/>
    </row>
    <row r="30" spans="1:68" ht="12.75" customHeight="1" x14ac:dyDescent="0.3">
      <c r="A30" s="1" t="str">
        <f ca="1">IF(ISBLANK(TAB_CSEXPENSES[[#This Row],[Reference]]),"",INDIRECT(CONCATENATE("'Offer management'!A",MATCH(TAB_CSEXPENSES[[#This Row],[Reference]],'Offer management'!E:E,0))))</f>
        <v/>
      </c>
      <c r="B30" s="1"/>
      <c r="C30" s="1"/>
      <c r="D30" s="1" t="str">
        <f>IF(ISBLANK(TAB_CSEXPENSES[[#This Row],[Reference]]),"",VLOOKUP(TAB_CSEXPENSES[[#This Row],[ID]],TAB_Offres[],2,FALSE))</f>
        <v/>
      </c>
      <c r="E30" s="150" t="str">
        <f>IF(ISBLANK(TAB_CSEXPENSES[[#This Row],[Reference]]),"",INDEX(TAB_Offres[Institution/agency],MATCH(TAB_CSEXPENSES[[#This Row],[Reference]],TAB_Offres[Reference],0)))</f>
        <v/>
      </c>
      <c r="F30" s="150" t="str">
        <f>IF(ISBLANK(TAB_CSEXPENSES[[#This Row],[Reference]]),"",INDEX(TAB_Offres[DG],MATCH(TAB_CSEXPENSES[[#This Row],[Reference]],TAB_Offres[Reference],0)))</f>
        <v/>
      </c>
      <c r="G30" s="150" t="str">
        <f>IF(ISBLANK(TAB_CSEXPENSES[[#This Row],[Reference]]),"",INDEX(#REF!,MATCH(TAB_CSEXPENSES[[#This Row],[Reference]],TAB_Offres[Reference],0)))</f>
        <v/>
      </c>
      <c r="H30" t="str">
        <f>IF(ISBLANK(TAB_CSEXPENSES[[#This Row],[Reference]]),"",INDEX(TAB_Offres[Offer description],MATCH(TAB_CSEXPENSES[[#This Row],[Reference]],TAB_Offres[Reference],0)))</f>
        <v/>
      </c>
      <c r="I30" s="155" t="str">
        <f>_xlfn.IFNA(IF(ISBLANK(TAB_CSEXPENSES[[#This Row],[Ressource]]),"",VLOOKUP(TAB_CSEXPENSES[[#This Row],[Reference]],TAB_Offres[[Reference]:[CS signature date]],COLUMNS(TAB_Offres[[Reference]:[CS signature date]]),FALSE)),"")</f>
        <v/>
      </c>
      <c r="J30" s="155" t="str">
        <f>_xlfn.IFNA(IF(ISBLANK(TAB_CSEXPENSES[[#This Row],[Ressource]]),"",VLOOKUP(TAB_CSEXPENSES[[#This Row],[Reference]],TAB_Offres[[Reference]:[CS start date]],COLUMNS(TAB_Offres[[Reference]:[CS start date]]),FALSE)),"")</f>
        <v/>
      </c>
      <c r="K30" s="155" t="str">
        <f>_xlfn.IFNA(IF(ISBLANK(TAB_CSEXPENSES[[#This Row],[Ressource]]),"",VLOOKUP(TAB_CSEXPENSES[[#This Row],[Reference]],TAB_Offres[[Reference]:[CS end date]],COLUMNS(TAB_Offres[[Reference]:[CS end date]]),FALSE)),"")</f>
        <v/>
      </c>
      <c r="L30" s="1" t="str">
        <f>_xlfn.IFNA(IF(ISBLANK(TAB_CSEXPENSES[[#This Row],[Ressource]]),"",VLOOKUP(TAB_CSEXPENSES[[#This Row],[Reference]],TAB_Offres[[Reference]:[CS State]],COLUMNS(TAB_Offres[[Reference]:[CS State]]),FALSE)),"")</f>
        <v/>
      </c>
      <c r="N30" s="1" t="str">
        <f>_xlfn.IFNA(IF(ISBLANK(TAB_CSEXPENSES[[#This Row],[Ressource]]),"",VLOOKUP(TAB_CSEXPENSES[[#This Row],[Reference]],TAB_Offres[[Reference]:[Company]],COLUMNS(TAB_Offres[[Reference]:[Company]]),FALSE)),)</f>
        <v/>
      </c>
      <c r="O30" s="150" t="str">
        <f>IF(ISBLANK(TAB_CSEXPENSES[[#This Row],[Ressource]]),"",VLOOKUP(TAB_CSEXPENSES[[#This Row],[Ressource]],TAB_ressource[],2,FALSE))</f>
        <v/>
      </c>
      <c r="P30" s="150">
        <f>IF(ISBLANK(TAB_CSEXPENSES[[#This Row],[Ressource]]),,_xlfn.IFNA(VLOOKUP(TAB_CSEXPENSES[[#This Row],[Profile]],TAB_prix[],2,FALSE),"/"))</f>
        <v>0</v>
      </c>
      <c r="Q30" s="150"/>
      <c r="R30" s="1">
        <f>IF(TAB_CSEXPENSES[[#This Row],[Cost/day]]&lt;&gt;"/",TAB_CSEXPENSES[[#This Row],[Cost/day]]*TAB_CSEXPENSES[[#This Row],[Expected days]],)</f>
        <v>0</v>
      </c>
      <c r="S30" s="157">
        <f ca="1">IF(TAB_CSEXPENSES[[#This Row],[P]]="",, SUM(TAB_CSEXPENSES[[#This Row],[F]:[P]])-TAB_CSEXPENSES[[#This Row],[P]])</f>
        <v>0</v>
      </c>
      <c r="T30" s="218">
        <f t="shared" ca="1" si="0"/>
        <v>0</v>
      </c>
      <c r="U30" s="14">
        <f ca="1">SUM(TAB_CSEXPENSES[[#This Row],[P]:[FP]])</f>
        <v>0</v>
      </c>
      <c r="V30" s="144"/>
      <c r="W30" s="170"/>
      <c r="X30" s="170"/>
      <c r="Y30" s="170"/>
      <c r="Z30" s="170"/>
      <c r="AA30" s="170"/>
      <c r="AB30" s="170"/>
      <c r="AC30" s="170"/>
      <c r="AD30" s="170"/>
      <c r="AE30" s="170"/>
      <c r="AF30" s="170"/>
      <c r="AG30" s="170"/>
      <c r="AH30" s="170"/>
      <c r="AI30" s="172"/>
      <c r="AJ30" s="172"/>
      <c r="AK30" s="172"/>
      <c r="AL30" s="172"/>
      <c r="AM30" s="172"/>
      <c r="AN30" s="172"/>
      <c r="AO30" s="172"/>
      <c r="AP30" s="172"/>
      <c r="AQ30" s="172"/>
      <c r="AR30" s="172"/>
      <c r="AS30" s="172"/>
      <c r="AT30" s="172"/>
      <c r="AU30" s="172"/>
      <c r="AV30" s="213" t="str">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
      </c>
      <c r="AW30" s="172"/>
      <c r="AX30" s="172"/>
      <c r="AY30" s="172"/>
      <c r="AZ30" s="213"/>
      <c r="BA30" s="172"/>
      <c r="BB30" s="172"/>
      <c r="BC30" s="172"/>
      <c r="BD30" s="172"/>
      <c r="BE30" s="172"/>
      <c r="BF30" s="172"/>
      <c r="BG30" s="172"/>
      <c r="BH30" s="172"/>
      <c r="BI30" s="172"/>
      <c r="BJ30" s="172"/>
      <c r="BK30" s="172"/>
      <c r="BL30" s="172"/>
      <c r="BM30" s="1"/>
      <c r="BP30"/>
    </row>
    <row r="31" spans="1:68" ht="12.75" customHeight="1" x14ac:dyDescent="0.3">
      <c r="A31" s="1" t="str">
        <f ca="1">IF(ISBLANK(TAB_CSEXPENSES[[#This Row],[Reference]]),"",INDIRECT(CONCATENATE("'Offer management'!A",MATCH(TAB_CSEXPENSES[[#This Row],[Reference]],'Offer management'!E:E,0))))</f>
        <v/>
      </c>
      <c r="B31" s="1"/>
      <c r="C31" s="1"/>
      <c r="D31" s="1" t="str">
        <f>IF(ISBLANK(TAB_CSEXPENSES[[#This Row],[Reference]]),"",VLOOKUP(TAB_CSEXPENSES[[#This Row],[ID]],TAB_Offres[],2,FALSE))</f>
        <v/>
      </c>
      <c r="E31" s="150" t="str">
        <f>IF(ISBLANK(TAB_CSEXPENSES[[#This Row],[Reference]]),"",INDEX(TAB_Offres[Institution/agency],MATCH(TAB_CSEXPENSES[[#This Row],[Reference]],TAB_Offres[Reference],0)))</f>
        <v/>
      </c>
      <c r="F31" s="150" t="str">
        <f>IF(ISBLANK(TAB_CSEXPENSES[[#This Row],[Reference]]),"",INDEX(TAB_Offres[DG],MATCH(TAB_CSEXPENSES[[#This Row],[Reference]],TAB_Offres[Reference],0)))</f>
        <v/>
      </c>
      <c r="G31" s="150" t="str">
        <f>IF(ISBLANK(TAB_CSEXPENSES[[#This Row],[Reference]]),"",INDEX(#REF!,MATCH(TAB_CSEXPENSES[[#This Row],[Reference]],TAB_Offres[Reference],0)))</f>
        <v/>
      </c>
      <c r="H31" t="str">
        <f>IF(ISBLANK(TAB_CSEXPENSES[[#This Row],[Reference]]),"",INDEX(TAB_Offres[Offer description],MATCH(TAB_CSEXPENSES[[#This Row],[Reference]],TAB_Offres[Reference],0)))</f>
        <v/>
      </c>
      <c r="I31" s="155" t="str">
        <f>_xlfn.IFNA(IF(ISBLANK(TAB_CSEXPENSES[[#This Row],[Ressource]]),"",VLOOKUP(TAB_CSEXPENSES[[#This Row],[Reference]],TAB_Offres[[Reference]:[CS signature date]],COLUMNS(TAB_Offres[[Reference]:[CS signature date]]),FALSE)),"")</f>
        <v/>
      </c>
      <c r="J31" s="155" t="str">
        <f>_xlfn.IFNA(IF(ISBLANK(TAB_CSEXPENSES[[#This Row],[Ressource]]),"",VLOOKUP(TAB_CSEXPENSES[[#This Row],[Reference]],TAB_Offres[[Reference]:[CS start date]],COLUMNS(TAB_Offres[[Reference]:[CS start date]]),FALSE)),"")</f>
        <v/>
      </c>
      <c r="K31" s="155" t="str">
        <f>_xlfn.IFNA(IF(ISBLANK(TAB_CSEXPENSES[[#This Row],[Ressource]]),"",VLOOKUP(TAB_CSEXPENSES[[#This Row],[Reference]],TAB_Offres[[Reference]:[CS end date]],COLUMNS(TAB_Offres[[Reference]:[CS end date]]),FALSE)),"")</f>
        <v/>
      </c>
      <c r="L31" s="1" t="str">
        <f>_xlfn.IFNA(IF(ISBLANK(TAB_CSEXPENSES[[#This Row],[Ressource]]),"",VLOOKUP(TAB_CSEXPENSES[[#This Row],[Reference]],TAB_Offres[[Reference]:[CS State]],COLUMNS(TAB_Offres[[Reference]:[CS State]]),FALSE)),"")</f>
        <v/>
      </c>
      <c r="N31" s="1" t="str">
        <f>_xlfn.IFNA(IF(ISBLANK(TAB_CSEXPENSES[[#This Row],[Ressource]]),"",VLOOKUP(TAB_CSEXPENSES[[#This Row],[Reference]],TAB_Offres[[Reference]:[Company]],COLUMNS(TAB_Offres[[Reference]:[Company]]),FALSE)),)</f>
        <v/>
      </c>
      <c r="O31" s="150" t="str">
        <f>IF(ISBLANK(TAB_CSEXPENSES[[#This Row],[Ressource]]),"",VLOOKUP(TAB_CSEXPENSES[[#This Row],[Ressource]],TAB_ressource[],2,FALSE))</f>
        <v/>
      </c>
      <c r="P31" s="150">
        <f>IF(ISBLANK(TAB_CSEXPENSES[[#This Row],[Ressource]]),,_xlfn.IFNA(VLOOKUP(TAB_CSEXPENSES[[#This Row],[Profile]],TAB_prix[],2,FALSE),"/"))</f>
        <v>0</v>
      </c>
      <c r="Q31" s="150"/>
      <c r="R31" s="1">
        <f>IF(TAB_CSEXPENSES[[#This Row],[Cost/day]]&lt;&gt;"/",TAB_CSEXPENSES[[#This Row],[Cost/day]]*TAB_CSEXPENSES[[#This Row],[Expected days]],)</f>
        <v>0</v>
      </c>
      <c r="S31" s="157">
        <f ca="1">IF(TAB_CSEXPENSES[[#This Row],[P]]="",, SUM(TAB_CSEXPENSES[[#This Row],[F]:[P]])-TAB_CSEXPENSES[[#This Row],[P]])</f>
        <v>0</v>
      </c>
      <c r="T31" s="218">
        <f t="shared" ca="1" si="0"/>
        <v>0</v>
      </c>
      <c r="U31" s="14">
        <f ca="1">SUM(TAB_CSEXPENSES[[#This Row],[P]:[FP]])</f>
        <v>0</v>
      </c>
      <c r="V31" s="144"/>
      <c r="W31" s="170"/>
      <c r="X31" s="170"/>
      <c r="Y31" s="170"/>
      <c r="Z31" s="170"/>
      <c r="AA31" s="170"/>
      <c r="AB31" s="170"/>
      <c r="AC31" s="170"/>
      <c r="AD31" s="170"/>
      <c r="AE31" s="170"/>
      <c r="AF31" s="170"/>
      <c r="AG31" s="170"/>
      <c r="AH31" s="170"/>
      <c r="AI31" s="172"/>
      <c r="AJ31" s="172"/>
      <c r="AK31" s="172"/>
      <c r="AL31" s="172"/>
      <c r="AM31" s="172"/>
      <c r="AN31" s="172"/>
      <c r="AO31" s="172"/>
      <c r="AP31" s="172"/>
      <c r="AQ31" s="172"/>
      <c r="AR31" s="172"/>
      <c r="AS31" s="172"/>
      <c r="AT31" s="172"/>
      <c r="AU31" s="172"/>
      <c r="AV31" s="213" t="str">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
      </c>
      <c r="AW31" s="172"/>
      <c r="AX31" s="172"/>
      <c r="AY31" s="172"/>
      <c r="AZ31" s="213"/>
      <c r="BA31" s="172"/>
      <c r="BB31" s="172"/>
      <c r="BC31" s="172"/>
      <c r="BD31" s="172"/>
      <c r="BE31" s="172"/>
      <c r="BF31" s="172"/>
      <c r="BG31" s="172"/>
      <c r="BH31" s="172"/>
      <c r="BI31" s="172"/>
      <c r="BJ31" s="172"/>
      <c r="BK31" s="172"/>
      <c r="BL31" s="172"/>
      <c r="BM31" s="1"/>
      <c r="BP31"/>
    </row>
    <row r="32" spans="1:68" ht="12.75" customHeight="1" x14ac:dyDescent="0.3">
      <c r="A32" s="1" t="str">
        <f ca="1">IF(ISBLANK(TAB_CSEXPENSES[[#This Row],[Reference]]),"",INDIRECT(CONCATENATE("'Offer management'!A",MATCH(TAB_CSEXPENSES[[#This Row],[Reference]],'Offer management'!E:E,0))))</f>
        <v/>
      </c>
      <c r="B32" s="1"/>
      <c r="C32" s="1"/>
      <c r="D32" s="1" t="str">
        <f>IF(ISBLANK(TAB_CSEXPENSES[[#This Row],[Reference]]),"",VLOOKUP(TAB_CSEXPENSES[[#This Row],[ID]],TAB_Offres[],2,FALSE))</f>
        <v/>
      </c>
      <c r="E32" s="150" t="str">
        <f>IF(ISBLANK(TAB_CSEXPENSES[[#This Row],[Reference]]),"",INDEX(TAB_Offres[Institution/agency],MATCH(TAB_CSEXPENSES[[#This Row],[Reference]],TAB_Offres[Reference],0)))</f>
        <v/>
      </c>
      <c r="F32" s="150" t="str">
        <f>IF(ISBLANK(TAB_CSEXPENSES[[#This Row],[Reference]]),"",INDEX(TAB_Offres[DG],MATCH(TAB_CSEXPENSES[[#This Row],[Reference]],TAB_Offres[Reference],0)))</f>
        <v/>
      </c>
      <c r="G32" s="150" t="str">
        <f>IF(ISBLANK(TAB_CSEXPENSES[[#This Row],[Reference]]),"",INDEX(#REF!,MATCH(TAB_CSEXPENSES[[#This Row],[Reference]],TAB_Offres[Reference],0)))</f>
        <v/>
      </c>
      <c r="H32" t="str">
        <f>IF(ISBLANK(TAB_CSEXPENSES[[#This Row],[Reference]]),"",INDEX(TAB_Offres[Offer description],MATCH(TAB_CSEXPENSES[[#This Row],[Reference]],TAB_Offres[Reference],0)))</f>
        <v/>
      </c>
      <c r="I32" s="155" t="str">
        <f>_xlfn.IFNA(IF(ISBLANK(TAB_CSEXPENSES[[#This Row],[Ressource]]),"",VLOOKUP(TAB_CSEXPENSES[[#This Row],[Reference]],TAB_Offres[[Reference]:[CS signature date]],COLUMNS(TAB_Offres[[Reference]:[CS signature date]]),FALSE)),"")</f>
        <v/>
      </c>
      <c r="J32" s="155" t="str">
        <f>_xlfn.IFNA(IF(ISBLANK(TAB_CSEXPENSES[[#This Row],[Ressource]]),"",VLOOKUP(TAB_CSEXPENSES[[#This Row],[Reference]],TAB_Offres[[Reference]:[CS start date]],COLUMNS(TAB_Offres[[Reference]:[CS start date]]),FALSE)),"")</f>
        <v/>
      </c>
      <c r="K32" s="155" t="str">
        <f>_xlfn.IFNA(IF(ISBLANK(TAB_CSEXPENSES[[#This Row],[Ressource]]),"",VLOOKUP(TAB_CSEXPENSES[[#This Row],[Reference]],TAB_Offres[[Reference]:[CS end date]],COLUMNS(TAB_Offres[[Reference]:[CS end date]]),FALSE)),"")</f>
        <v/>
      </c>
      <c r="L32" s="1" t="str">
        <f>_xlfn.IFNA(IF(ISBLANK(TAB_CSEXPENSES[[#This Row],[Ressource]]),"",VLOOKUP(TAB_CSEXPENSES[[#This Row],[Reference]],TAB_Offres[[Reference]:[CS State]],COLUMNS(TAB_Offres[[Reference]:[CS State]]),FALSE)),"")</f>
        <v/>
      </c>
      <c r="N32" s="1" t="str">
        <f>_xlfn.IFNA(IF(ISBLANK(TAB_CSEXPENSES[[#This Row],[Ressource]]),"",VLOOKUP(TAB_CSEXPENSES[[#This Row],[Reference]],TAB_Offres[[Reference]:[Company]],COLUMNS(TAB_Offres[[Reference]:[Company]]),FALSE)),)</f>
        <v/>
      </c>
      <c r="O32" s="150" t="str">
        <f>IF(ISBLANK(TAB_CSEXPENSES[[#This Row],[Ressource]]),"",VLOOKUP(TAB_CSEXPENSES[[#This Row],[Ressource]],TAB_ressource[],2,FALSE))</f>
        <v/>
      </c>
      <c r="P32" s="150">
        <f>IF(ISBLANK(TAB_CSEXPENSES[[#This Row],[Ressource]]),,_xlfn.IFNA(VLOOKUP(TAB_CSEXPENSES[[#This Row],[Profile]],TAB_prix[],2,FALSE),"/"))</f>
        <v>0</v>
      </c>
      <c r="Q32" s="150"/>
      <c r="R32" s="1">
        <f>IF(TAB_CSEXPENSES[[#This Row],[Cost/day]]&lt;&gt;"/",TAB_CSEXPENSES[[#This Row],[Cost/day]]*TAB_CSEXPENSES[[#This Row],[Expected days]],)</f>
        <v>0</v>
      </c>
      <c r="S32" s="157">
        <f ca="1">IF(TAB_CSEXPENSES[[#This Row],[P]]="",, SUM(TAB_CSEXPENSES[[#This Row],[F]:[P]])-TAB_CSEXPENSES[[#This Row],[P]])</f>
        <v>0</v>
      </c>
      <c r="T32" s="218">
        <f t="shared" ca="1" si="0"/>
        <v>0</v>
      </c>
      <c r="U32" s="14">
        <f ca="1">SUM(TAB_CSEXPENSES[[#This Row],[P]:[FP]])</f>
        <v>0</v>
      </c>
      <c r="V32" s="144"/>
      <c r="W32" s="170"/>
      <c r="X32" s="170"/>
      <c r="Y32" s="170"/>
      <c r="Z32" s="170"/>
      <c r="AA32" s="170"/>
      <c r="AB32" s="170"/>
      <c r="AC32" s="170"/>
      <c r="AD32" s="170"/>
      <c r="AE32" s="170"/>
      <c r="AF32" s="170"/>
      <c r="AG32" s="170"/>
      <c r="AH32" s="170"/>
      <c r="AI32" s="172"/>
      <c r="AJ32" s="172"/>
      <c r="AK32" s="172"/>
      <c r="AL32" s="172"/>
      <c r="AM32" s="172"/>
      <c r="AN32" s="172"/>
      <c r="AO32" s="172"/>
      <c r="AP32" s="172"/>
      <c r="AQ32" s="172"/>
      <c r="AR32" s="172"/>
      <c r="AS32" s="172"/>
      <c r="AT32" s="172"/>
      <c r="AU32" s="172"/>
      <c r="AV32" s="213" t="str">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
      </c>
      <c r="AW32" s="172"/>
      <c r="AX32" s="172"/>
      <c r="AY32" s="172"/>
      <c r="AZ32" s="213"/>
      <c r="BA32" s="172"/>
      <c r="BB32" s="172"/>
      <c r="BC32" s="172"/>
      <c r="BD32" s="172"/>
      <c r="BE32" s="172"/>
      <c r="BF32" s="172"/>
      <c r="BG32" s="172"/>
      <c r="BH32" s="172"/>
      <c r="BI32" s="172"/>
      <c r="BJ32" s="172"/>
      <c r="BK32" s="172"/>
      <c r="BL32" s="172"/>
      <c r="BM32" s="1"/>
      <c r="BP32"/>
    </row>
    <row r="33" spans="1:70" ht="12.75" customHeight="1" x14ac:dyDescent="0.3">
      <c r="A33" s="1" t="str">
        <f ca="1">IF(ISBLANK(TAB_CSEXPENSES[[#This Row],[Reference]]),"",INDIRECT(CONCATENATE("'Offer management'!A",MATCH(TAB_CSEXPENSES[[#This Row],[Reference]],'Offer management'!E:E,0))))</f>
        <v/>
      </c>
      <c r="B33" s="1"/>
      <c r="C33" s="1"/>
      <c r="D33" s="1" t="str">
        <f>IF(ISBLANK(TAB_CSEXPENSES[[#This Row],[Reference]]),"",VLOOKUP(TAB_CSEXPENSES[[#This Row],[ID]],TAB_Offres[],2,FALSE))</f>
        <v/>
      </c>
      <c r="E33" s="150" t="str">
        <f>IF(ISBLANK(TAB_CSEXPENSES[[#This Row],[Reference]]),"",INDEX(TAB_Offres[Institution/agency],MATCH(TAB_CSEXPENSES[[#This Row],[Reference]],TAB_Offres[Reference],0)))</f>
        <v/>
      </c>
      <c r="F33" s="150" t="str">
        <f>IF(ISBLANK(TAB_CSEXPENSES[[#This Row],[Reference]]),"",INDEX(TAB_Offres[DG],MATCH(TAB_CSEXPENSES[[#This Row],[Reference]],TAB_Offres[Reference],0)))</f>
        <v/>
      </c>
      <c r="G33" s="150" t="str">
        <f>IF(ISBLANK(TAB_CSEXPENSES[[#This Row],[Reference]]),"",INDEX(#REF!,MATCH(TAB_CSEXPENSES[[#This Row],[Reference]],TAB_Offres[Reference],0)))</f>
        <v/>
      </c>
      <c r="H33" t="str">
        <f>IF(ISBLANK(TAB_CSEXPENSES[[#This Row],[Reference]]),"",INDEX(TAB_Offres[Offer description],MATCH(TAB_CSEXPENSES[[#This Row],[Reference]],TAB_Offres[Reference],0)))</f>
        <v/>
      </c>
      <c r="I33" s="155" t="str">
        <f>_xlfn.IFNA(IF(ISBLANK(TAB_CSEXPENSES[[#This Row],[Ressource]]),"",VLOOKUP(TAB_CSEXPENSES[[#This Row],[Reference]],TAB_Offres[[Reference]:[CS signature date]],COLUMNS(TAB_Offres[[Reference]:[CS signature date]]),FALSE)),"")</f>
        <v/>
      </c>
      <c r="J33" s="155" t="str">
        <f>_xlfn.IFNA(IF(ISBLANK(TAB_CSEXPENSES[[#This Row],[Ressource]]),"",VLOOKUP(TAB_CSEXPENSES[[#This Row],[Reference]],TAB_Offres[[Reference]:[CS start date]],COLUMNS(TAB_Offres[[Reference]:[CS start date]]),FALSE)),"")</f>
        <v/>
      </c>
      <c r="K33" s="155" t="str">
        <f>_xlfn.IFNA(IF(ISBLANK(TAB_CSEXPENSES[[#This Row],[Ressource]]),"",VLOOKUP(TAB_CSEXPENSES[[#This Row],[Reference]],TAB_Offres[[Reference]:[CS end date]],COLUMNS(TAB_Offres[[Reference]:[CS end date]]),FALSE)),"")</f>
        <v/>
      </c>
      <c r="L33" s="1" t="str">
        <f>_xlfn.IFNA(IF(ISBLANK(TAB_CSEXPENSES[[#This Row],[Ressource]]),"",VLOOKUP(TAB_CSEXPENSES[[#This Row],[Reference]],TAB_Offres[[Reference]:[CS State]],COLUMNS(TAB_Offres[[Reference]:[CS State]]),FALSE)),"")</f>
        <v/>
      </c>
      <c r="N33" s="1" t="str">
        <f>_xlfn.IFNA(IF(ISBLANK(TAB_CSEXPENSES[[#This Row],[Ressource]]),"",VLOOKUP(TAB_CSEXPENSES[[#This Row],[Reference]],TAB_Offres[[Reference]:[Company]],COLUMNS(TAB_Offres[[Reference]:[Company]]),FALSE)),)</f>
        <v/>
      </c>
      <c r="O33" s="150" t="str">
        <f>IF(ISBLANK(TAB_CSEXPENSES[[#This Row],[Ressource]]),"",VLOOKUP(TAB_CSEXPENSES[[#This Row],[Ressource]],TAB_ressource[],2,FALSE))</f>
        <v/>
      </c>
      <c r="P33" s="150">
        <f>IF(ISBLANK(TAB_CSEXPENSES[[#This Row],[Ressource]]),,_xlfn.IFNA(VLOOKUP(TAB_CSEXPENSES[[#This Row],[Profile]],TAB_prix[],2,FALSE),"/"))</f>
        <v>0</v>
      </c>
      <c r="Q33" s="150"/>
      <c r="R33" s="1">
        <f>IF(TAB_CSEXPENSES[[#This Row],[Cost/day]]&lt;&gt;"/",TAB_CSEXPENSES[[#This Row],[Cost/day]]*TAB_CSEXPENSES[[#This Row],[Expected days]],)</f>
        <v>0</v>
      </c>
      <c r="S33" s="157">
        <f ca="1">IF(TAB_CSEXPENSES[[#This Row],[P]]="",, SUM(TAB_CSEXPENSES[[#This Row],[F]:[P]])-TAB_CSEXPENSES[[#This Row],[P]])</f>
        <v>0</v>
      </c>
      <c r="T33" s="218">
        <f t="shared" ca="1" si="0"/>
        <v>0</v>
      </c>
      <c r="U33" s="14">
        <f ca="1">SUM(TAB_CSEXPENSES[[#This Row],[P]:[FP]])</f>
        <v>0</v>
      </c>
      <c r="V33" s="144"/>
      <c r="W33" s="170"/>
      <c r="X33" s="170"/>
      <c r="Y33" s="170"/>
      <c r="Z33" s="170"/>
      <c r="AA33" s="170"/>
      <c r="AB33" s="170"/>
      <c r="AC33" s="170"/>
      <c r="AD33" s="170"/>
      <c r="AE33" s="170"/>
      <c r="AF33" s="170"/>
      <c r="AG33" s="170"/>
      <c r="AH33" s="170"/>
      <c r="AI33" s="172"/>
      <c r="AJ33" s="172"/>
      <c r="AK33" s="172"/>
      <c r="AL33" s="172"/>
      <c r="AM33" s="172"/>
      <c r="AN33" s="172"/>
      <c r="AO33" s="172"/>
      <c r="AP33" s="172"/>
      <c r="AQ33" s="172"/>
      <c r="AR33" s="172"/>
      <c r="AS33" s="172"/>
      <c r="AT33" s="172"/>
      <c r="AU33" s="172"/>
      <c r="AV33" s="213" t="str">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
      </c>
      <c r="AW33" s="172"/>
      <c r="AX33" s="172"/>
      <c r="AY33" s="172"/>
      <c r="AZ33" s="213"/>
      <c r="BA33" s="172"/>
      <c r="BB33" s="172"/>
      <c r="BC33" s="172"/>
      <c r="BD33" s="172"/>
      <c r="BE33" s="172"/>
      <c r="BF33" s="172"/>
      <c r="BG33" s="172"/>
      <c r="BH33" s="172"/>
      <c r="BI33" s="172"/>
      <c r="BJ33" s="172"/>
      <c r="BK33" s="172"/>
      <c r="BL33" s="172"/>
      <c r="BM33" s="1"/>
      <c r="BP33"/>
    </row>
    <row r="34" spans="1:70" ht="12.75" customHeight="1" x14ac:dyDescent="0.3">
      <c r="A34" s="1" t="str">
        <f ca="1">IF(ISBLANK(TAB_CSEXPENSES[[#This Row],[Reference]]),"",INDIRECT(CONCATENATE("'Offer management'!A",MATCH(TAB_CSEXPENSES[[#This Row],[Reference]],'Offer management'!E:E,0))))</f>
        <v/>
      </c>
      <c r="B34" s="1"/>
      <c r="C34" s="1"/>
      <c r="D34" s="1" t="str">
        <f>IF(ISBLANK(TAB_CSEXPENSES[[#This Row],[Reference]]),"",VLOOKUP(TAB_CSEXPENSES[[#This Row],[ID]],TAB_Offres[],2,FALSE))</f>
        <v/>
      </c>
      <c r="E34" s="150" t="str">
        <f>IF(ISBLANK(TAB_CSEXPENSES[[#This Row],[Reference]]),"",INDEX(TAB_Offres[Institution/agency],MATCH(TAB_CSEXPENSES[[#This Row],[Reference]],TAB_Offres[Reference],0)))</f>
        <v/>
      </c>
      <c r="F34" s="150" t="str">
        <f>IF(ISBLANK(TAB_CSEXPENSES[[#This Row],[Reference]]),"",INDEX(TAB_Offres[DG],MATCH(TAB_CSEXPENSES[[#This Row],[Reference]],TAB_Offres[Reference],0)))</f>
        <v/>
      </c>
      <c r="G34" s="150" t="str">
        <f>IF(ISBLANK(TAB_CSEXPENSES[[#This Row],[Reference]]),"",INDEX(#REF!,MATCH(TAB_CSEXPENSES[[#This Row],[Reference]],TAB_Offres[Reference],0)))</f>
        <v/>
      </c>
      <c r="H34" t="str">
        <f>IF(ISBLANK(TAB_CSEXPENSES[[#This Row],[Reference]]),"",INDEX(TAB_Offres[Offer description],MATCH(TAB_CSEXPENSES[[#This Row],[Reference]],TAB_Offres[Reference],0)))</f>
        <v/>
      </c>
      <c r="I34" s="155" t="str">
        <f>_xlfn.IFNA(IF(ISBLANK(TAB_CSEXPENSES[[#This Row],[Ressource]]),"",VLOOKUP(TAB_CSEXPENSES[[#This Row],[Reference]],TAB_Offres[[Reference]:[CS signature date]],COLUMNS(TAB_Offres[[Reference]:[CS signature date]]),FALSE)),"")</f>
        <v/>
      </c>
      <c r="J34" s="155" t="str">
        <f>_xlfn.IFNA(IF(ISBLANK(TAB_CSEXPENSES[[#This Row],[Ressource]]),"",VLOOKUP(TAB_CSEXPENSES[[#This Row],[Reference]],TAB_Offres[[Reference]:[CS start date]],COLUMNS(TAB_Offres[[Reference]:[CS start date]]),FALSE)),"")</f>
        <v/>
      </c>
      <c r="K34" s="155" t="str">
        <f>_xlfn.IFNA(IF(ISBLANK(TAB_CSEXPENSES[[#This Row],[Ressource]]),"",VLOOKUP(TAB_CSEXPENSES[[#This Row],[Reference]],TAB_Offres[[Reference]:[CS end date]],COLUMNS(TAB_Offres[[Reference]:[CS end date]]),FALSE)),"")</f>
        <v/>
      </c>
      <c r="L34" s="1" t="str">
        <f>_xlfn.IFNA(IF(ISBLANK(TAB_CSEXPENSES[[#This Row],[Ressource]]),"",VLOOKUP(TAB_CSEXPENSES[[#This Row],[Reference]],TAB_Offres[[Reference]:[CS State]],COLUMNS(TAB_Offres[[Reference]:[CS State]]),FALSE)),"")</f>
        <v/>
      </c>
      <c r="N34" s="1" t="str">
        <f>_xlfn.IFNA(IF(ISBLANK(TAB_CSEXPENSES[[#This Row],[Ressource]]),"",VLOOKUP(TAB_CSEXPENSES[[#This Row],[Reference]],TAB_Offres[[Reference]:[Company]],COLUMNS(TAB_Offres[[Reference]:[Company]]),FALSE)),)</f>
        <v/>
      </c>
      <c r="O34" s="150" t="str">
        <f>IF(ISBLANK(TAB_CSEXPENSES[[#This Row],[Ressource]]),"",VLOOKUP(TAB_CSEXPENSES[[#This Row],[Ressource]],TAB_ressource[],2,FALSE))</f>
        <v/>
      </c>
      <c r="P34" s="150">
        <f>IF(ISBLANK(TAB_CSEXPENSES[[#This Row],[Ressource]]),,_xlfn.IFNA(VLOOKUP(TAB_CSEXPENSES[[#This Row],[Profile]],TAB_prix[],2,FALSE),"/"))</f>
        <v>0</v>
      </c>
      <c r="Q34" s="150"/>
      <c r="R34" s="1">
        <f>IF(TAB_CSEXPENSES[[#This Row],[Cost/day]]&lt;&gt;"/",TAB_CSEXPENSES[[#This Row],[Cost/day]]*TAB_CSEXPENSES[[#This Row],[Expected days]],)</f>
        <v>0</v>
      </c>
      <c r="S34" s="157">
        <f ca="1">IF(TAB_CSEXPENSES[[#This Row],[P]]="",, SUM(TAB_CSEXPENSES[[#This Row],[F]:[P]])-TAB_CSEXPENSES[[#This Row],[P]])</f>
        <v>0</v>
      </c>
      <c r="T34" s="218">
        <f t="shared" ca="1" si="0"/>
        <v>0</v>
      </c>
      <c r="U34" s="14">
        <f ca="1">SUM(TAB_CSEXPENSES[[#This Row],[P]:[FP]])</f>
        <v>0</v>
      </c>
      <c r="V34" s="144"/>
      <c r="W34" s="170"/>
      <c r="X34" s="170"/>
      <c r="Y34" s="170"/>
      <c r="Z34" s="170"/>
      <c r="AA34" s="170"/>
      <c r="AB34" s="170"/>
      <c r="AC34" s="170"/>
      <c r="AD34" s="170"/>
      <c r="AE34" s="170"/>
      <c r="AF34" s="170"/>
      <c r="AG34" s="170"/>
      <c r="AH34" s="170"/>
      <c r="AI34" s="172"/>
      <c r="AJ34" s="172"/>
      <c r="AK34" s="172"/>
      <c r="AL34" s="172"/>
      <c r="AM34" s="172"/>
      <c r="AN34" s="172"/>
      <c r="AO34" s="172"/>
      <c r="AP34" s="172"/>
      <c r="AQ34" s="172"/>
      <c r="AR34" s="172"/>
      <c r="AS34" s="172"/>
      <c r="AT34" s="172"/>
      <c r="AU34" s="172"/>
      <c r="AV34" s="213" t="str">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
      </c>
      <c r="AW34" s="172"/>
      <c r="AX34" s="172"/>
      <c r="AY34" s="172"/>
      <c r="AZ34" s="213"/>
      <c r="BA34" s="172"/>
      <c r="BB34" s="172"/>
      <c r="BC34" s="172"/>
      <c r="BD34" s="172"/>
      <c r="BE34" s="172"/>
      <c r="BF34" s="172"/>
      <c r="BG34" s="172"/>
      <c r="BH34" s="172"/>
      <c r="BI34" s="172"/>
      <c r="BJ34" s="172"/>
      <c r="BK34" s="172"/>
      <c r="BL34" s="172"/>
      <c r="BM34" s="1"/>
      <c r="BP34"/>
    </row>
    <row r="35" spans="1:70" ht="12.75" customHeight="1" x14ac:dyDescent="0.3">
      <c r="A35" s="1" t="str">
        <f ca="1">IF(ISBLANK(TAB_CSEXPENSES[[#This Row],[Reference]]),"",INDIRECT(CONCATENATE("'Offer management'!A",MATCH(TAB_CSEXPENSES[[#This Row],[Reference]],'Offer management'!E:E,0))))</f>
        <v/>
      </c>
      <c r="B35" s="1"/>
      <c r="C35" s="1"/>
      <c r="D35" s="1" t="str">
        <f>IF(ISBLANK(TAB_CSEXPENSES[[#This Row],[Reference]]),"",VLOOKUP(TAB_CSEXPENSES[[#This Row],[ID]],TAB_Offres[],2,FALSE))</f>
        <v/>
      </c>
      <c r="E35" s="1" t="str">
        <f>IF(ISBLANK(TAB_CSEXPENSES[[#This Row],[Reference]]),"",INDEX(TAB_Offres[Institution/agency],MATCH(TAB_CSEXPENSES[[#This Row],[Reference]],TAB_Offres[Reference],0)))</f>
        <v/>
      </c>
      <c r="F35" s="1" t="str">
        <f>IF(ISBLANK(TAB_CSEXPENSES[[#This Row],[Reference]]),"",INDEX(TAB_Offres[DG],MATCH(TAB_CSEXPENSES[[#This Row],[Reference]],TAB_Offres[Reference],0)))</f>
        <v/>
      </c>
      <c r="G35" s="1" t="str">
        <f>IF(ISBLANK(TAB_CSEXPENSES[[#This Row],[Reference]]),"",INDEX(#REF!,MATCH(TAB_CSEXPENSES[[#This Row],[Reference]],TAB_Offres[Reference],0)))</f>
        <v/>
      </c>
      <c r="H35" t="str">
        <f>IF(ISBLANK(TAB_CSEXPENSES[[#This Row],[Reference]]),"",INDEX(TAB_Offres[Offer description],MATCH(TAB_CSEXPENSES[[#This Row],[Reference]],TAB_Offres[Reference],0)))</f>
        <v/>
      </c>
      <c r="I35" s="155" t="str">
        <f>_xlfn.IFNA(IF(ISBLANK(TAB_CSEXPENSES[[#This Row],[Ressource]]),"",VLOOKUP(TAB_CSEXPENSES[[#This Row],[Reference]],TAB_Offres[[Reference]:[CS signature date]],COLUMNS(TAB_Offres[[Reference]:[CS signature date]]),FALSE)),"")</f>
        <v/>
      </c>
      <c r="J35" s="155" t="str">
        <f>_xlfn.IFNA(IF(ISBLANK(TAB_CSEXPENSES[[#This Row],[Ressource]]),"",VLOOKUP(TAB_CSEXPENSES[[#This Row],[Reference]],TAB_Offres[[Reference]:[CS start date]],COLUMNS(TAB_Offres[[Reference]:[CS start date]]),FALSE)),"")</f>
        <v/>
      </c>
      <c r="K35" s="155" t="str">
        <f>_xlfn.IFNA(IF(ISBLANK(TAB_CSEXPENSES[[#This Row],[Ressource]]),"",VLOOKUP(TAB_CSEXPENSES[[#This Row],[Reference]],TAB_Offres[[Reference]:[CS end date]],COLUMNS(TAB_Offres[[Reference]:[CS end date]]),FALSE)),"")</f>
        <v/>
      </c>
      <c r="L35" s="1" t="str">
        <f>_xlfn.IFNA(IF(ISBLANK(TAB_CSEXPENSES[[#This Row],[Ressource]]),"",VLOOKUP(TAB_CSEXPENSES[[#This Row],[Reference]],TAB_Offres[[Reference]:[CS State]],COLUMNS(TAB_Offres[[Reference]:[CS State]]),FALSE)),"")</f>
        <v/>
      </c>
      <c r="N35" s="1" t="str">
        <f>_xlfn.IFNA(IF(ISBLANK(TAB_CSEXPENSES[[#This Row],[Ressource]]),"",VLOOKUP(TAB_CSEXPENSES[[#This Row],[Reference]],TAB_Offres[[Reference]:[Company]],COLUMNS(TAB_Offres[[Reference]:[Company]]),FALSE)),)</f>
        <v/>
      </c>
      <c r="O35" s="150" t="str">
        <f>IF(ISBLANK(TAB_CSEXPENSES[[#This Row],[Ressource]]),"",VLOOKUP(TAB_CSEXPENSES[[#This Row],[Ressource]],TAB_ressource[],2,FALSE))</f>
        <v/>
      </c>
      <c r="P35" s="1">
        <f>IF(ISBLANK(TAB_CSEXPENSES[[#This Row],[Ressource]]),,_xlfn.IFNA(VLOOKUP(TAB_CSEXPENSES[[#This Row],[Profile]],TAB_prix[],2,FALSE),"/"))</f>
        <v>0</v>
      </c>
      <c r="Q35" s="1"/>
      <c r="R35" s="1">
        <f>IF(TAB_CSEXPENSES[[#This Row],[Cost/day]]&lt;&gt;"/",TAB_CSEXPENSES[[#This Row],[Cost/day]]*TAB_CSEXPENSES[[#This Row],[Expected days]],)</f>
        <v>0</v>
      </c>
      <c r="S35" s="157">
        <f ca="1">IF(TAB_CSEXPENSES[[#This Row],[P]]="",, SUM(TAB_CSEXPENSES[[#This Row],[F]:[P]])-TAB_CSEXPENSES[[#This Row],[P]])</f>
        <v>0</v>
      </c>
      <c r="T35" s="218">
        <f t="shared" ca="1" si="0"/>
        <v>0</v>
      </c>
      <c r="U35" s="14">
        <f ca="1">SUM(TAB_CSEXPENSES[[#This Row],[P]:[FP]])</f>
        <v>0</v>
      </c>
      <c r="V35" s="144"/>
      <c r="W35" s="157"/>
      <c r="X35" s="157"/>
      <c r="Y35" s="157"/>
      <c r="Z35" s="157"/>
      <c r="AA35" s="157"/>
      <c r="AB35" s="157"/>
      <c r="AC35" s="157"/>
      <c r="AD35" s="157"/>
      <c r="AE35" s="157"/>
      <c r="AF35" s="157"/>
      <c r="AG35" s="157"/>
      <c r="AH35" s="157"/>
      <c r="AI35" s="593"/>
      <c r="AJ35" s="593"/>
      <c r="AK35" s="593"/>
      <c r="AL35" s="593"/>
      <c r="AM35" s="593"/>
      <c r="AN35" s="593"/>
      <c r="AO35" s="593"/>
      <c r="AP35" s="593"/>
      <c r="AQ35" s="593"/>
      <c r="AR35" s="593"/>
      <c r="AS35" s="593"/>
      <c r="AT35" s="593"/>
      <c r="AU35" s="593"/>
      <c r="AV35" s="213" t="str">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
      </c>
      <c r="AW35" s="593"/>
      <c r="AX35" s="593"/>
      <c r="AY35" s="593"/>
      <c r="AZ35" s="213"/>
      <c r="BA35" s="593"/>
      <c r="BB35" s="593"/>
      <c r="BC35" s="593"/>
      <c r="BD35" s="593"/>
      <c r="BE35" s="593"/>
      <c r="BF35" s="593"/>
      <c r="BG35" s="593"/>
      <c r="BH35" s="593"/>
      <c r="BI35" s="593"/>
      <c r="BJ35" s="593"/>
      <c r="BK35" s="593"/>
      <c r="BL35" s="593"/>
      <c r="BM35" s="1"/>
      <c r="BP35"/>
    </row>
    <row r="36" spans="1:70" ht="12.75" customHeight="1" x14ac:dyDescent="0.3">
      <c r="A36" s="1" t="str">
        <f ca="1">IF(ISBLANK(TAB_CSEXPENSES[[#This Row],[Reference]]),"",INDIRECT(CONCATENATE("'Offer management'!A",MATCH(TAB_CSEXPENSES[[#This Row],[Reference]],'Offer management'!E:E,0))))</f>
        <v/>
      </c>
      <c r="B36" s="1"/>
      <c r="C36" s="1"/>
      <c r="D36" s="1" t="str">
        <f>IF(ISBLANK(TAB_CSEXPENSES[[#This Row],[Reference]]),"",VLOOKUP(TAB_CSEXPENSES[[#This Row],[ID]],TAB_Offres[],2,FALSE))</f>
        <v/>
      </c>
      <c r="E36" s="1" t="str">
        <f>IF(ISBLANK(TAB_CSEXPENSES[[#This Row],[Reference]]),"",INDEX(TAB_Offres[Institution/agency],MATCH(TAB_CSEXPENSES[[#This Row],[Reference]],TAB_Offres[Reference],0)))</f>
        <v/>
      </c>
      <c r="F36" s="1" t="str">
        <f>IF(ISBLANK(TAB_CSEXPENSES[[#This Row],[Reference]]),"",INDEX(TAB_Offres[DG],MATCH(TAB_CSEXPENSES[[#This Row],[Reference]],TAB_Offres[Reference],0)))</f>
        <v/>
      </c>
      <c r="G36" s="1" t="str">
        <f>IF(ISBLANK(TAB_CSEXPENSES[[#This Row],[Reference]]),"",INDEX(#REF!,MATCH(TAB_CSEXPENSES[[#This Row],[Reference]],TAB_Offres[Reference],0)))</f>
        <v/>
      </c>
      <c r="H36" t="str">
        <f>IF(ISBLANK(TAB_CSEXPENSES[[#This Row],[Reference]]),"",INDEX(TAB_Offres[Offer description],MATCH(TAB_CSEXPENSES[[#This Row],[Reference]],TAB_Offres[Reference],0)))</f>
        <v/>
      </c>
      <c r="I36" s="155" t="str">
        <f>_xlfn.IFNA(IF(ISBLANK(TAB_CSEXPENSES[[#This Row],[Ressource]]),"",VLOOKUP(TAB_CSEXPENSES[[#This Row],[Reference]],TAB_Offres[[Reference]:[CS signature date]],COLUMNS(TAB_Offres[[Reference]:[CS signature date]]),FALSE)),"")</f>
        <v/>
      </c>
      <c r="J36" s="155" t="str">
        <f>_xlfn.IFNA(IF(ISBLANK(TAB_CSEXPENSES[[#This Row],[Ressource]]),"",VLOOKUP(TAB_CSEXPENSES[[#This Row],[Reference]],TAB_Offres[[Reference]:[CS start date]],COLUMNS(TAB_Offres[[Reference]:[CS start date]]),FALSE)),"")</f>
        <v/>
      </c>
      <c r="K36" s="155" t="str">
        <f>_xlfn.IFNA(IF(ISBLANK(TAB_CSEXPENSES[[#This Row],[Ressource]]),"",VLOOKUP(TAB_CSEXPENSES[[#This Row],[Reference]],TAB_Offres[[Reference]:[CS end date]],COLUMNS(TAB_Offres[[Reference]:[CS end date]]),FALSE)),"")</f>
        <v/>
      </c>
      <c r="L36" s="1" t="str">
        <f>_xlfn.IFNA(IF(ISBLANK(TAB_CSEXPENSES[[#This Row],[Ressource]]),"",VLOOKUP(TAB_CSEXPENSES[[#This Row],[Reference]],TAB_Offres[[Reference]:[CS State]],COLUMNS(TAB_Offres[[Reference]:[CS State]]),FALSE)),"")</f>
        <v/>
      </c>
      <c r="N36" s="1" t="str">
        <f>_xlfn.IFNA(IF(ISBLANK(TAB_CSEXPENSES[[#This Row],[Ressource]]),"",VLOOKUP(TAB_CSEXPENSES[[#This Row],[Reference]],TAB_Offres[[Reference]:[Company]],COLUMNS(TAB_Offres[[Reference]:[Company]]),FALSE)),)</f>
        <v/>
      </c>
      <c r="O36" s="150" t="str">
        <f>IF(ISBLANK(TAB_CSEXPENSES[[#This Row],[Ressource]]),"",VLOOKUP(TAB_CSEXPENSES[[#This Row],[Ressource]],TAB_ressource[],2,FALSE))</f>
        <v/>
      </c>
      <c r="P36" s="1">
        <f>IF(ISBLANK(TAB_CSEXPENSES[[#This Row],[Ressource]]),,_xlfn.IFNA(VLOOKUP(TAB_CSEXPENSES[[#This Row],[Profile]],TAB_prix[],2,FALSE),"/"))</f>
        <v>0</v>
      </c>
      <c r="Q36" s="1"/>
      <c r="R36" s="1">
        <f>IF(TAB_CSEXPENSES[[#This Row],[Cost/day]]&lt;&gt;"/",TAB_CSEXPENSES[[#This Row],[Cost/day]]*TAB_CSEXPENSES[[#This Row],[Expected days]],)</f>
        <v>0</v>
      </c>
      <c r="S36" s="157">
        <f ca="1">IF(TAB_CSEXPENSES[[#This Row],[P]]="",, SUM(TAB_CSEXPENSES[[#This Row],[F]:[P]])-TAB_CSEXPENSES[[#This Row],[P]])</f>
        <v>0</v>
      </c>
      <c r="T36" s="218">
        <f t="shared" ca="1" si="0"/>
        <v>0</v>
      </c>
      <c r="U36" s="14">
        <f ca="1">SUM(TAB_CSEXPENSES[[#This Row],[P]:[FP]])</f>
        <v>0</v>
      </c>
      <c r="V36" s="144"/>
      <c r="W36" s="157"/>
      <c r="X36" s="157"/>
      <c r="Y36" s="157"/>
      <c r="Z36" s="157"/>
      <c r="AA36" s="157"/>
      <c r="AB36" s="157"/>
      <c r="AC36" s="157"/>
      <c r="AD36" s="157"/>
      <c r="AE36" s="157"/>
      <c r="AF36" s="157"/>
      <c r="AG36" s="157"/>
      <c r="AH36" s="157"/>
      <c r="AI36" s="593"/>
      <c r="AJ36" s="593"/>
      <c r="AK36" s="593"/>
      <c r="AL36" s="593"/>
      <c r="AM36" s="593"/>
      <c r="AN36" s="593"/>
      <c r="AO36" s="593"/>
      <c r="AP36" s="593"/>
      <c r="AQ36" s="593"/>
      <c r="AR36" s="593"/>
      <c r="AS36" s="593"/>
      <c r="AT36" s="593"/>
      <c r="AU36" s="593"/>
      <c r="AV36" s="213" t="str">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
      </c>
      <c r="AW36" s="593"/>
      <c r="AX36" s="593"/>
      <c r="AY36" s="593"/>
      <c r="AZ36" s="213"/>
      <c r="BA36" s="593"/>
      <c r="BB36" s="593"/>
      <c r="BC36" s="593"/>
      <c r="BD36" s="593"/>
      <c r="BE36" s="593"/>
      <c r="BF36" s="593"/>
      <c r="BG36" s="593"/>
      <c r="BH36" s="593"/>
      <c r="BI36" s="593"/>
      <c r="BJ36" s="593"/>
      <c r="BK36" s="593"/>
      <c r="BL36" s="593"/>
      <c r="BM36" s="1"/>
      <c r="BP36"/>
    </row>
    <row r="37" spans="1:70" ht="12.75" customHeight="1" x14ac:dyDescent="0.3">
      <c r="A37" s="1" t="str">
        <f ca="1">IF(ISBLANK(TAB_CSEXPENSES[[#This Row],[Reference]]),"",INDIRECT(CONCATENATE("'Offer management'!A",MATCH(TAB_CSEXPENSES[[#This Row],[Reference]],'Offer management'!E:E,0))))</f>
        <v/>
      </c>
      <c r="B37" s="1"/>
      <c r="C37" s="1"/>
      <c r="D37" s="1" t="str">
        <f>IF(ISBLANK(TAB_CSEXPENSES[[#This Row],[Reference]]),"",VLOOKUP(TAB_CSEXPENSES[[#This Row],[ID]],TAB_Offres[],2,FALSE))</f>
        <v/>
      </c>
      <c r="E37" s="150" t="str">
        <f>IF(ISBLANK(TAB_CSEXPENSES[[#This Row],[Reference]]),"",INDEX(TAB_Offres[Institution/agency],MATCH(TAB_CSEXPENSES[[#This Row],[Reference]],TAB_Offres[Reference],0)))</f>
        <v/>
      </c>
      <c r="F37" s="150" t="str">
        <f>IF(ISBLANK(TAB_CSEXPENSES[[#This Row],[Reference]]),"",INDEX(TAB_Offres[DG],MATCH(TAB_CSEXPENSES[[#This Row],[Reference]],TAB_Offres[Reference],0)))</f>
        <v/>
      </c>
      <c r="G37" s="150" t="str">
        <f>IF(ISBLANK(TAB_CSEXPENSES[[#This Row],[Reference]]),"",INDEX(#REF!,MATCH(TAB_CSEXPENSES[[#This Row],[Reference]],TAB_Offres[Reference],0)))</f>
        <v/>
      </c>
      <c r="H37" t="str">
        <f>IF(ISBLANK(TAB_CSEXPENSES[[#This Row],[Reference]]),"",INDEX(TAB_Offres[Offer description],MATCH(TAB_CSEXPENSES[[#This Row],[Reference]],TAB_Offres[Reference],0)))</f>
        <v/>
      </c>
      <c r="I37" s="155" t="str">
        <f>_xlfn.IFNA(IF(ISBLANK(TAB_CSEXPENSES[[#This Row],[Ressource]]),"",VLOOKUP(TAB_CSEXPENSES[[#This Row],[Reference]],TAB_Offres[[Reference]:[CS signature date]],COLUMNS(TAB_Offres[[Reference]:[CS signature date]]),FALSE)),"")</f>
        <v/>
      </c>
      <c r="J37" s="155" t="str">
        <f>_xlfn.IFNA(IF(ISBLANK(TAB_CSEXPENSES[[#This Row],[Ressource]]),"",VLOOKUP(TAB_CSEXPENSES[[#This Row],[Reference]],TAB_Offres[[Reference]:[CS start date]],COLUMNS(TAB_Offres[[Reference]:[CS start date]]),FALSE)),"")</f>
        <v/>
      </c>
      <c r="K37" s="155" t="str">
        <f>_xlfn.IFNA(IF(ISBLANK(TAB_CSEXPENSES[[#This Row],[Ressource]]),"",VLOOKUP(TAB_CSEXPENSES[[#This Row],[Reference]],TAB_Offres[[Reference]:[CS end date]],COLUMNS(TAB_Offres[[Reference]:[CS end date]]),FALSE)),"")</f>
        <v/>
      </c>
      <c r="L37" s="1" t="str">
        <f>_xlfn.IFNA(IF(ISBLANK(TAB_CSEXPENSES[[#This Row],[Ressource]]),"",VLOOKUP(TAB_CSEXPENSES[[#This Row],[Reference]],TAB_Offres[[Reference]:[CS State]],COLUMNS(TAB_Offres[[Reference]:[CS State]]),FALSE)),"")</f>
        <v/>
      </c>
      <c r="N37" s="1" t="str">
        <f>_xlfn.IFNA(IF(ISBLANK(TAB_CSEXPENSES[[#This Row],[Ressource]]),"",VLOOKUP(TAB_CSEXPENSES[[#This Row],[Reference]],TAB_Offres[[Reference]:[Company]],COLUMNS(TAB_Offres[[Reference]:[Company]]),FALSE)),)</f>
        <v/>
      </c>
      <c r="O37" s="1" t="str">
        <f>IF(ISBLANK(TAB_CSEXPENSES[[#This Row],[Ressource]]),"",VLOOKUP(TAB_CSEXPENSES[[#This Row],[Ressource]],TAB_ressource[],2,FALSE))</f>
        <v/>
      </c>
      <c r="P37" s="150">
        <f>IF(ISBLANK(TAB_CSEXPENSES[[#This Row],[Ressource]]),,_xlfn.IFNA(VLOOKUP(TAB_CSEXPENSES[[#This Row],[Profile]],TAB_prix[],2,FALSE),"/"))</f>
        <v>0</v>
      </c>
      <c r="Q37" s="150">
        <f>_xlfn.IFNA(
IF(
OR(ISBLANK(TAB_CSEXPENSES[[#This Row],[Cost/day]]),TAB_CSEXPENSES[[#This Row],[Cost/day]]="/"),
"/",
VLOOKUP(TAB_CSEXPENSES[[#This Row],[Ressource]],TAB_CS[[Ressource]:[Commited days]],COLUMNS(TAB_CS[[Ressource]:[Commited days]]),FALSE)),)</f>
        <v>0</v>
      </c>
      <c r="R37" s="24">
        <f>IF(TAB_CSEXPENSES[[#This Row],[Cost/day]]&lt;&gt;"/",TAB_CSEXPENSES[[#This Row],[Cost/day]]*TAB_CSEXPENSES[[#This Row],[Expected days]],)</f>
        <v>0</v>
      </c>
      <c r="S37" s="157">
        <f ca="1">IF(TAB_CSEXPENSES[[#This Row],[P]]="",, SUM(TAB_CSEXPENSES[[#This Row],[F]:[P]])-TAB_CSEXPENSES[[#This Row],[P]])</f>
        <v>0</v>
      </c>
      <c r="T37" s="218">
        <f t="shared" ca="1" si="0"/>
        <v>0</v>
      </c>
      <c r="U37" s="14">
        <f ca="1">SUM(TAB_CSEXPENSES[[#This Row],[P]:[FP]])</f>
        <v>0</v>
      </c>
      <c r="V37" s="144"/>
      <c r="W37" s="170"/>
      <c r="X37" s="170"/>
      <c r="Y37" s="170"/>
      <c r="Z37" s="170"/>
      <c r="AA37" s="170"/>
      <c r="AB37" s="170"/>
      <c r="AC37" s="170"/>
      <c r="AD37" s="170"/>
      <c r="AE37" s="170"/>
      <c r="AF37" s="170"/>
      <c r="AG37" s="170"/>
      <c r="AH37" s="170"/>
      <c r="AI37" s="172"/>
      <c r="AJ37" s="172"/>
      <c r="AK37" s="172"/>
      <c r="AL37" s="172"/>
      <c r="AM37" s="172"/>
      <c r="AN37" s="172"/>
      <c r="AO37" s="172"/>
      <c r="AP37" s="172"/>
      <c r="AQ37" s="172"/>
      <c r="AR37" s="172"/>
      <c r="AS37" s="172"/>
      <c r="AT37" s="172"/>
      <c r="AU37" s="172"/>
      <c r="AV37" s="213" t="str">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
      </c>
      <c r="AW37" s="172"/>
      <c r="AX37" s="172"/>
      <c r="AY37" s="172"/>
      <c r="AZ37" s="213"/>
      <c r="BA37" s="172"/>
      <c r="BB37" s="172"/>
      <c r="BC37" s="172"/>
      <c r="BD37" s="172"/>
      <c r="BE37" s="172"/>
      <c r="BF37" s="172"/>
      <c r="BG37" s="172"/>
      <c r="BH37" s="172"/>
      <c r="BI37" s="172"/>
      <c r="BJ37" s="172"/>
      <c r="BK37" s="172"/>
      <c r="BL37" s="172"/>
      <c r="BM37" s="1"/>
      <c r="BP37"/>
    </row>
    <row r="38" spans="1:70" ht="12.75" customHeight="1" x14ac:dyDescent="0.3">
      <c r="A38" s="1" t="s">
        <v>13</v>
      </c>
      <c r="B38" s="1"/>
      <c r="C38" s="1"/>
      <c r="D38" s="1"/>
      <c r="E38" s="150"/>
      <c r="F38" s="150"/>
      <c r="G38" s="150"/>
      <c r="J38" s="1"/>
      <c r="K38" s="1"/>
      <c r="N38" s="1"/>
      <c r="O38" s="1"/>
      <c r="P38" s="1"/>
      <c r="Q38" s="1"/>
      <c r="R38" s="24">
        <f>SUBTOTAL(109,TAB_CSEXPENSES[Commited amount])</f>
        <v>92210.34</v>
      </c>
      <c r="S38" s="14">
        <f ca="1">SUBTOTAL(109,TAB_CSEXPENSES[Producted amounts])</f>
        <v>16013.06</v>
      </c>
      <c r="T38" s="219">
        <f ca="1">SUBTOTAL(109,TAB_CSEXPENSES[Remaining amount])</f>
        <v>76197.279999999984</v>
      </c>
      <c r="U38" s="14">
        <f ca="1">SUBTOTAL(109,TAB_CSEXPENSES[Expected amounts])</f>
        <v>-2653.0600000000004</v>
      </c>
      <c r="V38" s="153"/>
      <c r="W38" s="169"/>
      <c r="X38" s="169"/>
      <c r="Y38" s="169"/>
      <c r="Z38" s="157"/>
      <c r="AA38" s="157"/>
      <c r="AB38" s="157"/>
      <c r="AC38" s="157"/>
      <c r="AD38" s="157"/>
      <c r="AE38" s="157"/>
      <c r="AF38" s="157"/>
      <c r="AG38" s="157"/>
      <c r="AH38" s="157"/>
      <c r="AI38" s="157"/>
      <c r="AJ38" s="157"/>
      <c r="AK38" s="157"/>
      <c r="AL38" s="157"/>
      <c r="AM38" s="157"/>
      <c r="AN38" s="157"/>
      <c r="AO38" s="157"/>
      <c r="AP38" s="157"/>
      <c r="AQ38" s="157"/>
      <c r="AR38" s="157"/>
      <c r="AS38" s="157"/>
      <c r="AT38" s="157"/>
      <c r="AU38" s="157"/>
      <c r="AV38" s="214">
        <f ca="1">SUBTOTAL(109,TAB_CSEXPENSES[P])</f>
        <v>-2653.0600000000004</v>
      </c>
      <c r="AW38" s="157"/>
      <c r="AX38" s="157"/>
      <c r="AY38" s="157"/>
      <c r="AZ38" s="221"/>
      <c r="BA38" s="157"/>
      <c r="BB38" s="157"/>
      <c r="BC38" s="157"/>
      <c r="BD38" s="157"/>
      <c r="BE38" s="157"/>
      <c r="BF38" s="157"/>
      <c r="BG38" s="157"/>
      <c r="BH38" s="157"/>
      <c r="BI38" s="157"/>
      <c r="BJ38" s="157"/>
      <c r="BK38" s="157"/>
      <c r="BL38" s="157"/>
      <c r="BM38" s="1"/>
      <c r="BP38"/>
    </row>
    <row r="39" spans="1:70" ht="12.75" customHeight="1" x14ac:dyDescent="0.3">
      <c r="A39" s="1"/>
      <c r="B39" s="1"/>
      <c r="C39" s="1"/>
      <c r="D39" s="1"/>
      <c r="E39" s="1"/>
      <c r="F39" s="1"/>
      <c r="G39" s="1"/>
      <c r="J39" s="1"/>
      <c r="K39" s="1"/>
      <c r="N39" s="1"/>
      <c r="O39" s="1"/>
      <c r="P39" s="1"/>
      <c r="Q39" s="1"/>
      <c r="R39" s="1"/>
      <c r="S39" s="1"/>
      <c r="U39" s="1"/>
      <c r="V39" s="144"/>
      <c r="W39" s="13"/>
      <c r="X39" s="1"/>
      <c r="Y39" s="1"/>
      <c r="AB39" s="1"/>
      <c r="AC39" s="1"/>
      <c r="AE39" s="1"/>
      <c r="AF39" s="1"/>
      <c r="AI39" s="1"/>
      <c r="AJ39" s="1"/>
      <c r="AK39" s="1"/>
      <c r="AL39" s="1"/>
      <c r="AN39" s="1"/>
      <c r="AO39" s="146"/>
      <c r="AP39" s="146"/>
      <c r="AQ39" s="146"/>
      <c r="AR39" s="146"/>
      <c r="AS39" s="146"/>
      <c r="AT39" s="146"/>
      <c r="AU39" s="146"/>
      <c r="AV39" s="146"/>
      <c r="AW39" s="145"/>
      <c r="AX39" s="146"/>
      <c r="AY39" s="146"/>
      <c r="AZ39" s="146"/>
      <c r="BA39" s="146"/>
      <c r="BB39" s="146"/>
      <c r="BC39" s="146"/>
      <c r="BD39" s="146"/>
      <c r="BE39" s="146"/>
      <c r="BF39" s="146"/>
      <c r="BG39" s="146"/>
      <c r="BH39" s="146"/>
      <c r="BI39" s="146"/>
      <c r="BJ39" s="146"/>
      <c r="BK39" s="146"/>
      <c r="BL39" s="146"/>
      <c r="BN39" s="146"/>
      <c r="BO39" s="128"/>
      <c r="BP39" s="222"/>
      <c r="BQ39" s="146"/>
      <c r="BR39" s="147"/>
    </row>
    <row r="40" spans="1:70" ht="12.75" customHeight="1" x14ac:dyDescent="0.3">
      <c r="A40" s="1"/>
      <c r="B40" s="1"/>
      <c r="C40" s="1"/>
      <c r="D40" s="1"/>
      <c r="E40" s="1"/>
      <c r="F40" s="1"/>
      <c r="G40" s="1"/>
      <c r="J40" s="1"/>
      <c r="K40" s="1"/>
      <c r="N40" s="1"/>
      <c r="O40" s="1"/>
      <c r="P40" s="1"/>
      <c r="Q40" s="1"/>
      <c r="R40" s="1"/>
      <c r="S40" s="1"/>
      <c r="U40" s="1"/>
      <c r="V40" s="144"/>
      <c r="W40" s="13"/>
      <c r="X40" s="1"/>
      <c r="Y40" s="1"/>
      <c r="AB40" s="1"/>
      <c r="AC40" s="1"/>
      <c r="AE40" s="1"/>
      <c r="AF40" s="1"/>
      <c r="AI40" s="1"/>
      <c r="AJ40" s="1"/>
      <c r="AK40" s="1"/>
      <c r="AL40" s="1"/>
      <c r="AN40" s="1"/>
      <c r="AO40" s="146"/>
      <c r="AP40" s="146"/>
      <c r="AQ40" s="146"/>
      <c r="AR40" s="146"/>
      <c r="AS40" s="146"/>
      <c r="AT40" s="146"/>
      <c r="AU40" s="146"/>
      <c r="AV40" s="146"/>
      <c r="AW40" s="145"/>
      <c r="AX40" s="146"/>
      <c r="AY40" s="146"/>
      <c r="AZ40" s="146"/>
      <c r="BA40" s="146"/>
      <c r="BB40" s="146"/>
      <c r="BC40" s="146"/>
      <c r="BD40" s="146"/>
      <c r="BE40" s="146"/>
      <c r="BF40" s="146"/>
      <c r="BG40" s="146"/>
      <c r="BH40" s="146"/>
      <c r="BI40" s="146"/>
      <c r="BJ40" s="146"/>
      <c r="BK40" s="146"/>
      <c r="BL40" s="146"/>
      <c r="BN40" s="146"/>
      <c r="BO40" s="128"/>
      <c r="BP40" s="222"/>
      <c r="BQ40" s="146"/>
      <c r="BR40" s="147"/>
    </row>
    <row r="41" spans="1:70" ht="12.75" customHeight="1" x14ac:dyDescent="0.25"/>
    <row r="42" spans="1:70" ht="12.75" customHeight="1" x14ac:dyDescent="0.25"/>
    <row r="43" spans="1:70" ht="12.75" customHeight="1" x14ac:dyDescent="0.25"/>
    <row r="44" spans="1:70" ht="12.75" customHeight="1" x14ac:dyDescent="0.25"/>
    <row r="45" spans="1:70" ht="12.75" customHeight="1" x14ac:dyDescent="0.25"/>
    <row r="46" spans="1:70" ht="12.75" customHeight="1" x14ac:dyDescent="0.25"/>
  </sheetData>
  <phoneticPr fontId="66" type="noConversion"/>
  <dataValidations count="7">
    <dataValidation type="list" allowBlank="1" showInputMessage="1" showErrorMessage="1" sqref="B3:B15" xr:uid="{00000000-0002-0000-0700-000000000000}">
      <formula1>Filtered_Expenses_Ref</formula1>
    </dataValidation>
    <dataValidation allowBlank="1" showInputMessage="1" sqref="O3:O36" xr:uid="{00000000-0002-0000-0700-000001000000}"/>
    <dataValidation type="list" allowBlank="1" showInputMessage="1" showErrorMessage="1" sqref="M3:M15" xr:uid="{00000000-0002-0000-0700-000002000000}">
      <formula1>Filtered_Ressources</formula1>
    </dataValidation>
    <dataValidation type="list" allowBlank="1" showInputMessage="1" showErrorMessage="1" sqref="B39:C40 B16:B37" xr:uid="{00000000-0002-0000-0700-000003000000}">
      <formula1>VALUES_REFERENCE</formula1>
    </dataValidation>
    <dataValidation type="list" allowBlank="1" showInputMessage="1" showErrorMessage="1" sqref="M39:M40 M16:M37" xr:uid="{00000000-0002-0000-0700-000004000000}">
      <formula1>VALUES_RESSOURCES</formula1>
    </dataValidation>
    <dataValidation type="list" allowBlank="1" showInputMessage="1" showErrorMessage="1" errorTitle="Erreur" error="Lot non defini" sqref="D3:D37" xr:uid="{00000000-0002-0000-0700-000005000000}">
      <formula1>VALUES_LOT</formula1>
    </dataValidation>
    <dataValidation type="list" allowBlank="1" showInputMessage="1" showErrorMessage="1" sqref="N3:N37" xr:uid="{00000000-0002-0000-0700-000006000000}">
      <formula1>VALUES_CONSORTIUM</formula1>
    </dataValidation>
  </dataValidations>
  <pageMargins left="0.7" right="0.7" top="0.75" bottom="0.75" header="0.3" footer="0.3"/>
  <pageSetup paperSize="9" orientation="portrait" r:id="rId1"/>
  <headerFooter>
    <oddFooter>&amp;C_x000D_&amp;1#&amp;"Arial"&amp;9&amp;K000000 Confidential</oddFooter>
  </headerFooter>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7000000}">
          <x14:formula1>
            <xm:f>Params!$R:$R</xm:f>
          </x14:formula1>
          <xm:sqref>O39:Q40 O37 P16:P37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6">
    <tabColor theme="6" tint="0.39997558519241921"/>
  </sheetPr>
  <dimension ref="B2:Y67"/>
  <sheetViews>
    <sheetView showGridLines="0" topLeftCell="A32" zoomScaleNormal="100" workbookViewId="0">
      <selection activeCell="I57" sqref="I57"/>
    </sheetView>
  </sheetViews>
  <sheetFormatPr baseColWidth="10" defaultColWidth="9.109375" defaultRowHeight="13.2" x14ac:dyDescent="0.25"/>
  <cols>
    <col min="1" max="1" width="4" customWidth="1"/>
    <col min="2" max="2" width="11.33203125" customWidth="1"/>
    <col min="3" max="3" width="10.109375" bestFit="1" customWidth="1"/>
    <col min="4" max="4" width="10.44140625" bestFit="1" customWidth="1"/>
    <col min="5" max="5" width="14.88671875" bestFit="1" customWidth="1"/>
    <col min="6" max="6" width="10.44140625" bestFit="1" customWidth="1"/>
    <col min="8" max="8" width="10.109375" customWidth="1"/>
    <col min="9" max="9" width="12.5546875" customWidth="1"/>
    <col min="10" max="10" width="11" customWidth="1"/>
    <col min="11" max="11" width="9.6640625" customWidth="1"/>
    <col min="12" max="12" width="10.44140625" bestFit="1" customWidth="1"/>
    <col min="13" max="13" width="14.88671875" bestFit="1" customWidth="1"/>
    <col min="14" max="14" width="12.109375" customWidth="1"/>
    <col min="15" max="15" width="11.6640625" customWidth="1"/>
    <col min="16" max="16" width="10.6640625" customWidth="1"/>
    <col min="17" max="17" width="9.33203125" customWidth="1"/>
    <col min="18" max="18" width="10.109375" bestFit="1" customWidth="1"/>
    <col min="19" max="19" width="15.6640625" customWidth="1"/>
    <col min="20" max="20" width="11.109375" customWidth="1"/>
    <col min="21" max="22" width="0" hidden="1" customWidth="1"/>
  </cols>
  <sheetData>
    <row r="2" spans="2:25" ht="21" x14ac:dyDescent="0.4">
      <c r="B2" s="54" t="s">
        <v>204</v>
      </c>
    </row>
    <row r="4" spans="2:25" ht="15.6" x14ac:dyDescent="0.3">
      <c r="B4" s="53" t="s">
        <v>5432</v>
      </c>
      <c r="J4" s="53" t="s">
        <v>504</v>
      </c>
      <c r="P4" s="53" t="s">
        <v>328</v>
      </c>
      <c r="Q4" s="53"/>
      <c r="R4" s="53"/>
      <c r="U4" s="87"/>
    </row>
    <row r="5" spans="2:25" x14ac:dyDescent="0.25">
      <c r="B5" s="37" t="s">
        <v>161</v>
      </c>
      <c r="C5" s="37" t="s">
        <v>229</v>
      </c>
      <c r="D5" s="37" t="s">
        <v>230</v>
      </c>
      <c r="E5" s="37" t="s">
        <v>231</v>
      </c>
      <c r="F5" s="37" t="s">
        <v>232</v>
      </c>
      <c r="G5" s="37" t="s">
        <v>5362</v>
      </c>
      <c r="H5" s="37" t="s">
        <v>5363</v>
      </c>
      <c r="J5" s="37" t="s">
        <v>161</v>
      </c>
      <c r="K5" s="37" t="s">
        <v>229</v>
      </c>
      <c r="L5" s="37" t="s">
        <v>230</v>
      </c>
      <c r="M5" s="37" t="s">
        <v>231</v>
      </c>
      <c r="N5" s="37" t="s">
        <v>232</v>
      </c>
      <c r="P5" s="37" t="s">
        <v>161</v>
      </c>
      <c r="Q5" s="37" t="s">
        <v>229</v>
      </c>
      <c r="R5" s="37" t="s">
        <v>230</v>
      </c>
      <c r="S5" s="37" t="s">
        <v>231</v>
      </c>
      <c r="T5" s="37" t="s">
        <v>232</v>
      </c>
      <c r="U5" s="37" t="s">
        <v>21</v>
      </c>
      <c r="V5" s="37" t="s">
        <v>24</v>
      </c>
    </row>
    <row r="6" spans="2:25" x14ac:dyDescent="0.25">
      <c r="B6" s="55" t="s">
        <v>85</v>
      </c>
      <c r="C6" s="59">
        <f>SUMIF(TAB_CS[Company],B6,TAB_CS[Commited days])</f>
        <v>3512.5</v>
      </c>
      <c r="D6" s="57">
        <f t="shared" ref="D6:D11" si="0">C6/C$12</f>
        <v>0.15510807886776623</v>
      </c>
      <c r="E6" s="65">
        <f>SUMIF(TAB_CS[Company],B6,TAB_CS[Commited amount])</f>
        <v>1915222.9549999998</v>
      </c>
      <c r="F6" s="57">
        <f t="shared" ref="F6:F11" si="1">E6/E$12</f>
        <v>0.13375857665740462</v>
      </c>
      <c r="G6" s="59" cm="1">
        <f t="array" ref="G6">SUMPRODUCT(IF(TAB_CS[Company]=B29,1/COUNTIF(TAB_CS[Reference],TAB_CS[Reference])))</f>
        <v>27</v>
      </c>
      <c r="H6" s="57">
        <f>G6/G$12</f>
        <v>0.16463414634146342</v>
      </c>
      <c r="J6" s="55" t="s">
        <v>85</v>
      </c>
      <c r="K6" s="190">
        <f>'Consortium calculs'!D3</f>
        <v>3304</v>
      </c>
      <c r="L6" s="57">
        <f t="shared" ref="L6:L11" si="2">K6/K$12</f>
        <v>0.1582223924911407</v>
      </c>
      <c r="M6" s="65">
        <f>'Consortium calculs'!E3</f>
        <v>1796070.605</v>
      </c>
      <c r="N6" s="57">
        <f t="shared" ref="N6:N11" si="3">M6/M$12</f>
        <v>0.13763443464757896</v>
      </c>
      <c r="P6" s="55" t="s">
        <v>85</v>
      </c>
      <c r="Q6" s="190">
        <f>ROUND(SUMIF(TAB_CS[Company],Params!AZ2,TAB_CS[Expected days]),2)</f>
        <v>377.5</v>
      </c>
      <c r="R6" s="57">
        <f t="shared" ref="R6:R11" si="4">Q6/Q$12</f>
        <v>0.18908089156023039</v>
      </c>
      <c r="S6" s="186">
        <f>ROUND(SUMIF(TAB_CS[Company],Params!AZ2,TAB_CS[Expected amounts]),2)</f>
        <v>221911.06</v>
      </c>
      <c r="T6" s="57">
        <f t="shared" ref="T6:T11" si="5">S6/S$12</f>
        <v>0.17156659850938866</v>
      </c>
      <c r="U6" s="160" t="s">
        <v>22</v>
      </c>
      <c r="V6" s="66"/>
    </row>
    <row r="7" spans="2:25" x14ac:dyDescent="0.25">
      <c r="B7" s="56" t="s">
        <v>202</v>
      </c>
      <c r="C7" s="59">
        <f>SUMIF(TAB_CS[Company],B7,TAB_CS[Commited days])</f>
        <v>0</v>
      </c>
      <c r="D7" s="57">
        <f t="shared" si="0"/>
        <v>0</v>
      </c>
      <c r="E7" s="65">
        <f>SUMIF(TAB_CS[Company],B7,TAB_CS[Commited amount])</f>
        <v>0</v>
      </c>
      <c r="F7" s="58">
        <f t="shared" si="1"/>
        <v>0</v>
      </c>
      <c r="G7" s="59" cm="1">
        <f t="array" ref="G7">SUMPRODUCT(IF(TAB_CS[Company]=B30,1/COUNTIF(TAB_CS[Reference],TAB_CS[Reference])))</f>
        <v>0</v>
      </c>
      <c r="H7" s="57">
        <f t="shared" ref="H7:H11" si="6">G7/G$12</f>
        <v>0</v>
      </c>
      <c r="J7" s="56" t="s">
        <v>202</v>
      </c>
      <c r="K7" s="190">
        <f>'Consortium calculs'!D4</f>
        <v>0</v>
      </c>
      <c r="L7" s="57">
        <f t="shared" si="2"/>
        <v>0</v>
      </c>
      <c r="M7" s="65">
        <f>'Consortium calculs'!E4</f>
        <v>0</v>
      </c>
      <c r="N7" s="58">
        <f t="shared" si="3"/>
        <v>0</v>
      </c>
      <c r="P7" s="137" t="s">
        <v>202</v>
      </c>
      <c r="Q7" s="190">
        <f>ROUND(SUMIF(TAB_CS[Company],Params!AZ3,TAB_CS[Expected days]),2)</f>
        <v>0</v>
      </c>
      <c r="R7" s="57">
        <f t="shared" si="4"/>
        <v>0</v>
      </c>
      <c r="S7" s="186">
        <f>ROUND(SUMIF(TAB_CS[Company],Params!AZ3,TAB_CS[Expected amounts]),2)</f>
        <v>0</v>
      </c>
      <c r="T7" s="57">
        <f t="shared" si="5"/>
        <v>0</v>
      </c>
      <c r="U7" s="160" t="s">
        <v>22</v>
      </c>
      <c r="V7" s="66"/>
    </row>
    <row r="8" spans="2:25" x14ac:dyDescent="0.25">
      <c r="B8" s="56" t="s">
        <v>203</v>
      </c>
      <c r="C8" s="59">
        <f>SUMIF(TAB_CS[Company],B8,TAB_CS[Commited days])</f>
        <v>6848.5</v>
      </c>
      <c r="D8" s="57">
        <f t="shared" si="0"/>
        <v>0.30242211476893865</v>
      </c>
      <c r="E8" s="65">
        <f>SUMIF(TAB_CS[Company],B8,TAB_CS[Commited amount])</f>
        <v>5133244.9849999994</v>
      </c>
      <c r="F8" s="58">
        <f t="shared" si="1"/>
        <v>0.35850423630044698</v>
      </c>
      <c r="G8" s="59" cm="1">
        <f t="array" ref="G8">SUMPRODUCT(IF(TAB_CS[Company]=B31,1/COUNTIF(TAB_CS[Reference],TAB_CS[Reference])))</f>
        <v>49</v>
      </c>
      <c r="H8" s="57">
        <f t="shared" si="6"/>
        <v>0.29878048780487804</v>
      </c>
      <c r="J8" s="56" t="s">
        <v>203</v>
      </c>
      <c r="K8" s="190">
        <f>'Consortium calculs'!D5</f>
        <v>6209.5</v>
      </c>
      <c r="L8" s="57">
        <f t="shared" si="2"/>
        <v>0.29736136385403694</v>
      </c>
      <c r="M8" s="65">
        <f>'Consortium calculs'!E5</f>
        <v>4592951.6050000004</v>
      </c>
      <c r="N8" s="58">
        <f t="shared" si="3"/>
        <v>0.3519618303189509</v>
      </c>
      <c r="P8" s="137" t="s">
        <v>203</v>
      </c>
      <c r="Q8" s="190">
        <f>ROUND(SUMIF(TAB_CS[Company],Params!AZ4,TAB_CS[Expected days]),2)</f>
        <v>416</v>
      </c>
      <c r="R8" s="57">
        <f t="shared" si="4"/>
        <v>0.20836463811670422</v>
      </c>
      <c r="S8" s="186">
        <f>ROUND(SUMIF(TAB_CS[Company],Params!AZ4,TAB_CS[Expected amounts]),2)</f>
        <v>320321.37</v>
      </c>
      <c r="T8" s="57">
        <f t="shared" si="5"/>
        <v>0.24765078352006131</v>
      </c>
      <c r="U8" s="160" t="s">
        <v>22</v>
      </c>
      <c r="V8" s="138"/>
    </row>
    <row r="9" spans="2:25" x14ac:dyDescent="0.25">
      <c r="B9" s="56" t="s">
        <v>86</v>
      </c>
      <c r="C9" s="59">
        <f>SUMIF(TAB_CS[Company],B9,TAB_CS[Commited days])</f>
        <v>9359.5</v>
      </c>
      <c r="D9" s="57">
        <f t="shared" si="0"/>
        <v>0.41330507164778874</v>
      </c>
      <c r="E9" s="65">
        <f>SUMIF(TAB_CS[Company],B9,TAB_CS[Commited amount])</f>
        <v>5441545.7250000006</v>
      </c>
      <c r="F9" s="58">
        <f t="shared" si="1"/>
        <v>0.38003586427992925</v>
      </c>
      <c r="G9" s="59" cm="1">
        <f t="array" ref="G9">SUMPRODUCT(IF(TAB_CS[Company]=B32,1/COUNTIF(TAB_CS[Reference],TAB_CS[Reference])))</f>
        <v>71</v>
      </c>
      <c r="H9" s="57">
        <f t="shared" si="6"/>
        <v>0.43292682926829268</v>
      </c>
      <c r="J9" s="56" t="s">
        <v>86</v>
      </c>
      <c r="K9" s="190">
        <f>'Consortium calculs'!D6</f>
        <v>8653</v>
      </c>
      <c r="L9" s="57">
        <f t="shared" si="2"/>
        <v>0.41437601762283305</v>
      </c>
      <c r="M9" s="65">
        <f>'Consortium calculs'!E6</f>
        <v>4994980.51</v>
      </c>
      <c r="N9" s="58">
        <f t="shared" si="3"/>
        <v>0.38276965095674825</v>
      </c>
      <c r="P9" s="137" t="s">
        <v>86</v>
      </c>
      <c r="Q9" s="190">
        <f>ROUND(SUMIF(TAB_CS[Company],Params!AZ5,TAB_CS[Expected days]),2)</f>
        <v>915.5</v>
      </c>
      <c r="R9" s="57">
        <f t="shared" si="4"/>
        <v>0.45855246681692963</v>
      </c>
      <c r="S9" s="186">
        <f>ROUND(SUMIF(TAB_CS[Company],Params!AZ5,TAB_CS[Expected amounts]),2)</f>
        <v>550923.19999999995</v>
      </c>
      <c r="T9" s="57">
        <f t="shared" si="5"/>
        <v>0.42593649664828614</v>
      </c>
      <c r="U9" s="160" t="s">
        <v>22</v>
      </c>
      <c r="V9" s="138"/>
    </row>
    <row r="10" spans="2:25" x14ac:dyDescent="0.25">
      <c r="B10" s="56" t="s">
        <v>87</v>
      </c>
      <c r="C10" s="59">
        <f>SUMIF(TAB_CS[Company],B10,TAB_CS[Commited days])</f>
        <v>2263</v>
      </c>
      <c r="D10" s="57">
        <f t="shared" si="0"/>
        <v>9.9931553730321698E-2</v>
      </c>
      <c r="E10" s="65">
        <f>SUMIF(TAB_CS[Company],B10,TAB_CS[Commited amount])</f>
        <v>1422979.66</v>
      </c>
      <c r="F10" s="58">
        <f t="shared" si="1"/>
        <v>9.9380457735813624E-2</v>
      </c>
      <c r="G10" s="59" cm="1">
        <f t="array" ref="G10">SUMPRODUCT(IF(TAB_CS[Company]=B33,1/COUNTIF(TAB_CS[Reference],TAB_CS[Reference])))</f>
        <v>13</v>
      </c>
      <c r="H10" s="57">
        <f t="shared" si="6"/>
        <v>7.926829268292683E-2</v>
      </c>
      <c r="J10" s="56" t="s">
        <v>87</v>
      </c>
      <c r="K10" s="190">
        <f>'Consortium calculs'!D7</f>
        <v>2157</v>
      </c>
      <c r="L10" s="57">
        <f t="shared" si="2"/>
        <v>0.10329470357245475</v>
      </c>
      <c r="M10" s="65">
        <f>'Consortium calculs'!E7</f>
        <v>1346971.17</v>
      </c>
      <c r="N10" s="58">
        <f t="shared" si="3"/>
        <v>0.10321955882660748</v>
      </c>
      <c r="P10" s="56" t="s">
        <v>87</v>
      </c>
      <c r="Q10" s="190">
        <f>ROUND(SUMIF(TAB_CS[Company],Params!AZ6,TAB_CS[Expected days]),2)</f>
        <v>204.5</v>
      </c>
      <c r="R10" s="57">
        <f t="shared" si="4"/>
        <v>0.10242925118958177</v>
      </c>
      <c r="S10" s="186">
        <f>ROUND(SUMIF(TAB_CS[Company],Params!AZ6,TAB_CS[Expected amounts]),2)</f>
        <v>156276.70000000001</v>
      </c>
      <c r="T10" s="57">
        <f t="shared" si="5"/>
        <v>0.1208225576736562</v>
      </c>
      <c r="U10" s="160" t="s">
        <v>22</v>
      </c>
      <c r="V10" s="66"/>
    </row>
    <row r="11" spans="2:25" x14ac:dyDescent="0.25">
      <c r="B11" s="56" t="s">
        <v>88</v>
      </c>
      <c r="C11" s="59">
        <f>SUMIF(TAB_CS[Company],B11,TAB_CS[Commited days])</f>
        <v>662</v>
      </c>
      <c r="D11" s="57">
        <f t="shared" si="0"/>
        <v>2.9233180985184695E-2</v>
      </c>
      <c r="E11" s="65">
        <f>SUMIF(TAB_CS[Company],B11,TAB_CS[Commited amount])</f>
        <v>405512.47</v>
      </c>
      <c r="F11" s="58">
        <f t="shared" si="1"/>
        <v>2.83208650264055E-2</v>
      </c>
      <c r="G11" s="59" cm="1">
        <f t="array" ref="G11">SUMPRODUCT(IF(TAB_CS[Company]=B34,1/COUNTIF(TAB_CS[Reference],TAB_CS[Reference])))</f>
        <v>4</v>
      </c>
      <c r="H11" s="57">
        <f t="shared" si="6"/>
        <v>2.4390243902439025E-2</v>
      </c>
      <c r="J11" s="56" t="s">
        <v>88</v>
      </c>
      <c r="K11" s="190">
        <f>'Consortium calculs'!D8</f>
        <v>558.5</v>
      </c>
      <c r="L11" s="57">
        <f t="shared" si="2"/>
        <v>2.6745522459534526E-2</v>
      </c>
      <c r="M11" s="65">
        <f>'Consortium calculs'!E8</f>
        <v>318599.13</v>
      </c>
      <c r="N11" s="58">
        <f t="shared" si="3"/>
        <v>2.4414525250114272E-2</v>
      </c>
      <c r="P11" s="56" t="s">
        <v>88</v>
      </c>
      <c r="Q11" s="190">
        <f>ROUND(SUMIF(TAB_CS[Company],Params!AZ7,TAB_CS[Expected days]),2)</f>
        <v>83</v>
      </c>
      <c r="R11" s="57">
        <f t="shared" si="4"/>
        <v>4.1572752316553968E-2</v>
      </c>
      <c r="S11" s="186">
        <f>ROUND(SUMIF(TAB_CS[Company],Params!AZ7,TAB_CS[Expected amounts]),2)</f>
        <v>44007.43</v>
      </c>
      <c r="T11" s="57">
        <f t="shared" si="5"/>
        <v>3.4023563648607806E-2</v>
      </c>
      <c r="U11" s="160" t="s">
        <v>22</v>
      </c>
      <c r="V11" s="66"/>
    </row>
    <row r="12" spans="2:25" x14ac:dyDescent="0.25">
      <c r="B12" s="60" t="s">
        <v>13</v>
      </c>
      <c r="C12" s="61">
        <f>SUM(C6:C11)</f>
        <v>22645.5</v>
      </c>
      <c r="D12" s="62"/>
      <c r="E12" s="63">
        <f>SUM(E6:E11)</f>
        <v>14318505.795</v>
      </c>
      <c r="F12" s="64"/>
      <c r="G12" s="61">
        <f>SUM(G6:G11)</f>
        <v>164</v>
      </c>
      <c r="J12" s="60" t="s">
        <v>13</v>
      </c>
      <c r="K12" s="290">
        <f>SUM(K6:K11)</f>
        <v>20882</v>
      </c>
      <c r="L12" s="62"/>
      <c r="M12" s="63">
        <f>SUM(M6:M11)</f>
        <v>13049573.020000001</v>
      </c>
      <c r="N12" s="64"/>
      <c r="P12" s="159" t="s">
        <v>13</v>
      </c>
      <c r="Q12" s="61">
        <f>SUM(Q6:Q11)</f>
        <v>1996.5</v>
      </c>
      <c r="R12" s="148"/>
      <c r="S12" s="63">
        <f>SUM(S6:S11)</f>
        <v>1293439.7599999998</v>
      </c>
    </row>
    <row r="15" spans="2:25" x14ac:dyDescent="0.25">
      <c r="B15" s="236"/>
      <c r="C15" s="236"/>
      <c r="D15" s="236"/>
      <c r="E15" s="236"/>
      <c r="F15" s="236"/>
      <c r="G15" s="236"/>
      <c r="H15" s="236"/>
      <c r="I15" s="236"/>
      <c r="J15" s="236"/>
      <c r="K15" s="236"/>
      <c r="L15" s="236" t="s">
        <v>18</v>
      </c>
      <c r="M15" s="236"/>
      <c r="N15" s="236"/>
      <c r="O15" s="236"/>
      <c r="P15" s="236"/>
      <c r="Q15" s="236"/>
      <c r="R15" s="236"/>
      <c r="S15" s="236"/>
      <c r="T15" s="236"/>
      <c r="U15" s="236"/>
      <c r="V15" s="236"/>
      <c r="W15" s="236"/>
      <c r="X15" s="236"/>
      <c r="Y15" s="236"/>
    </row>
    <row r="16" spans="2:25" ht="15.6" x14ac:dyDescent="0.3">
      <c r="B16" s="53" t="s">
        <v>5921</v>
      </c>
      <c r="J16" s="53"/>
    </row>
    <row r="17" spans="2:25" x14ac:dyDescent="0.25">
      <c r="B17" s="37" t="s">
        <v>161</v>
      </c>
      <c r="C17" s="37" t="s">
        <v>229</v>
      </c>
      <c r="D17" s="37" t="s">
        <v>230</v>
      </c>
      <c r="E17" s="37" t="s">
        <v>231</v>
      </c>
      <c r="F17" s="37" t="s">
        <v>232</v>
      </c>
      <c r="G17" s="37" t="s">
        <v>5362</v>
      </c>
      <c r="H17" s="37" t="s">
        <v>5363</v>
      </c>
      <c r="J17" s="464"/>
      <c r="K17" s="464"/>
      <c r="L17" s="464"/>
      <c r="M17" s="464"/>
      <c r="N17" s="464"/>
      <c r="O17" s="464"/>
      <c r="P17" s="464"/>
    </row>
    <row r="18" spans="2:25" x14ac:dyDescent="0.25">
      <c r="B18" s="55" t="s">
        <v>85</v>
      </c>
      <c r="C18" s="59">
        <f>'Consortium calculs'!D36</f>
        <v>309.5</v>
      </c>
      <c r="D18" s="57">
        <f>C18/C$24</f>
        <v>5.2152666610497937E-2</v>
      </c>
      <c r="E18" s="65">
        <f>'Consortium calculs'!E36</f>
        <v>139234.36499999999</v>
      </c>
      <c r="F18" s="57">
        <f>E18/E$24</f>
        <v>3.6655988414069543E-2</v>
      </c>
      <c r="G18" s="59">
        <f>COUNTIF(TAB_CS[Tri-2],_xlfn.CONCAT('Consortium synthèse'!B18,"BL"))</f>
        <v>3</v>
      </c>
      <c r="H18" s="57">
        <f>G18/G$24</f>
        <v>7.4999999999999997E-2</v>
      </c>
      <c r="J18" s="158"/>
      <c r="K18" s="36"/>
      <c r="L18" s="465"/>
      <c r="M18" s="466"/>
      <c r="N18" s="465"/>
      <c r="O18" s="36"/>
      <c r="P18" s="465"/>
    </row>
    <row r="19" spans="2:25" x14ac:dyDescent="0.25">
      <c r="B19" s="56" t="s">
        <v>202</v>
      </c>
      <c r="C19" s="59">
        <f>'Consortium calculs'!D37</f>
        <v>0</v>
      </c>
      <c r="D19" s="57">
        <f t="shared" ref="D19:D23" si="7">C19/C$24</f>
        <v>0</v>
      </c>
      <c r="E19" s="65">
        <f>'Consortium calculs'!E37</f>
        <v>0</v>
      </c>
      <c r="F19" s="57">
        <f t="shared" ref="F19:F23" si="8">E19/E$24</f>
        <v>0</v>
      </c>
      <c r="G19" s="59">
        <f>COUNTIF(TAB_CS[Tri-2],_xlfn.CONCAT('Consortium synthèse'!B19,"BL"))</f>
        <v>0</v>
      </c>
      <c r="H19" s="57">
        <f t="shared" ref="H19:H23" si="9">G19/G$24</f>
        <v>0</v>
      </c>
      <c r="J19" s="158"/>
      <c r="K19" s="36"/>
      <c r="L19" s="465"/>
      <c r="M19" s="466"/>
      <c r="N19" s="465"/>
      <c r="O19" s="36"/>
      <c r="P19" s="465"/>
    </row>
    <row r="20" spans="2:25" x14ac:dyDescent="0.25">
      <c r="B20" s="56" t="s">
        <v>203</v>
      </c>
      <c r="C20" s="59">
        <f>'Consortium calculs'!D38</f>
        <v>2400.5</v>
      </c>
      <c r="D20" s="57">
        <f t="shared" si="7"/>
        <v>0.40449911534248884</v>
      </c>
      <c r="E20" s="65">
        <f>'Consortium calculs'!E38</f>
        <v>1781754.7500000002</v>
      </c>
      <c r="F20" s="57">
        <f t="shared" si="8"/>
        <v>0.46907946520755406</v>
      </c>
      <c r="G20" s="59">
        <f>COUNTIF(TAB_CS[Tri-2],_xlfn.CONCAT('Consortium synthèse'!B20,"BL"))</f>
        <v>16</v>
      </c>
      <c r="H20" s="57">
        <f t="shared" si="9"/>
        <v>0.4</v>
      </c>
      <c r="J20" s="158"/>
      <c r="K20" s="36"/>
      <c r="L20" s="465"/>
      <c r="M20" s="466"/>
      <c r="N20" s="465"/>
      <c r="O20" s="36"/>
      <c r="P20" s="465"/>
    </row>
    <row r="21" spans="2:25" x14ac:dyDescent="0.25">
      <c r="B21" s="56" t="s">
        <v>86</v>
      </c>
      <c r="C21" s="59">
        <f>'Consortium calculs'!D39</f>
        <v>2099</v>
      </c>
      <c r="D21" s="57">
        <f t="shared" si="7"/>
        <v>0.35369449827281152</v>
      </c>
      <c r="E21" s="65">
        <f>'Consortium calculs'!E39</f>
        <v>1148188.7299999997</v>
      </c>
      <c r="F21" s="57">
        <f t="shared" si="8"/>
        <v>0.30228164421940812</v>
      </c>
      <c r="G21" s="59">
        <f>COUNTIF(TAB_CS[Tri-2],_xlfn.CONCAT('Consortium synthèse'!B21,"BL"))</f>
        <v>17</v>
      </c>
      <c r="H21" s="57">
        <f t="shared" si="9"/>
        <v>0.42499999999999999</v>
      </c>
      <c r="J21" s="158"/>
      <c r="K21" s="36"/>
      <c r="L21" s="465"/>
      <c r="M21" s="466"/>
      <c r="N21" s="465"/>
      <c r="O21" s="36"/>
      <c r="P21" s="465"/>
    </row>
    <row r="22" spans="2:25" x14ac:dyDescent="0.25">
      <c r="B22" s="56" t="s">
        <v>87</v>
      </c>
      <c r="C22" s="59">
        <f>'Consortium calculs'!D40</f>
        <v>579.5</v>
      </c>
      <c r="D22" s="57">
        <f t="shared" si="7"/>
        <v>9.7649338613194039E-2</v>
      </c>
      <c r="E22" s="65">
        <f>'Consortium calculs'!E40</f>
        <v>422756.36500000005</v>
      </c>
      <c r="F22" s="57">
        <f t="shared" si="8"/>
        <v>0.11129833082094465</v>
      </c>
      <c r="G22" s="59">
        <f>COUNTIF(TAB_CS[Tri-2],_xlfn.CONCAT('Consortium synthèse'!B22,"BL"))</f>
        <v>2</v>
      </c>
      <c r="H22" s="57">
        <f t="shared" si="9"/>
        <v>0.05</v>
      </c>
      <c r="J22" s="158"/>
      <c r="K22" s="36"/>
      <c r="L22" s="465"/>
      <c r="M22" s="466"/>
      <c r="N22" s="465"/>
      <c r="O22" s="36"/>
      <c r="P22" s="465"/>
    </row>
    <row r="23" spans="2:25" x14ac:dyDescent="0.25">
      <c r="B23" s="56" t="s">
        <v>88</v>
      </c>
      <c r="C23" s="59">
        <f>'Consortium calculs'!D41</f>
        <v>546</v>
      </c>
      <c r="D23" s="57">
        <f t="shared" si="7"/>
        <v>9.2004381161007662E-2</v>
      </c>
      <c r="E23" s="65">
        <f>'Consortium calculs'!E41</f>
        <v>306472.84499999997</v>
      </c>
      <c r="F23" s="57">
        <f t="shared" si="8"/>
        <v>8.0684571338023689E-2</v>
      </c>
      <c r="G23" s="59">
        <f>COUNTIF(TAB_CS[Tri-2],_xlfn.CONCAT('Consortium synthèse'!B23,"BL"))</f>
        <v>2</v>
      </c>
      <c r="H23" s="57">
        <f t="shared" si="9"/>
        <v>0.05</v>
      </c>
      <c r="J23" s="158"/>
      <c r="K23" s="36"/>
      <c r="L23" s="465"/>
      <c r="M23" s="466"/>
      <c r="N23" s="465"/>
      <c r="O23" s="36"/>
      <c r="P23" s="465"/>
    </row>
    <row r="24" spans="2:25" x14ac:dyDescent="0.25">
      <c r="B24" s="60" t="s">
        <v>13</v>
      </c>
      <c r="C24" s="61">
        <f>SUM(C18:C23)</f>
        <v>5934.5</v>
      </c>
      <c r="D24" s="62"/>
      <c r="E24" s="63">
        <f>SUM(E18:E23)</f>
        <v>3798407.0549999997</v>
      </c>
      <c r="F24" s="64"/>
      <c r="G24" s="61">
        <f>SUM(G18:G23)</f>
        <v>40</v>
      </c>
      <c r="J24" s="158"/>
      <c r="K24" s="467"/>
      <c r="L24" s="468"/>
      <c r="M24" s="469"/>
      <c r="N24" s="468"/>
      <c r="O24" s="467"/>
    </row>
    <row r="25" spans="2:25" x14ac:dyDescent="0.25">
      <c r="J25" s="459"/>
      <c r="K25" s="459"/>
      <c r="L25" s="459"/>
      <c r="M25" s="459"/>
      <c r="N25" s="459"/>
      <c r="O25" s="459"/>
      <c r="P25" s="459"/>
      <c r="Q25" s="459"/>
    </row>
    <row r="26" spans="2:25" x14ac:dyDescent="0.25">
      <c r="B26" s="236"/>
      <c r="C26" s="236"/>
      <c r="D26" s="236"/>
      <c r="E26" s="236"/>
      <c r="F26" s="236"/>
      <c r="G26" s="236"/>
      <c r="H26" s="236"/>
      <c r="I26" s="236"/>
      <c r="R26" s="236"/>
      <c r="S26" s="236"/>
      <c r="T26" s="236"/>
      <c r="U26" s="236"/>
      <c r="V26" s="236"/>
      <c r="W26" s="236"/>
      <c r="X26" s="236"/>
      <c r="Y26" s="236"/>
    </row>
    <row r="27" spans="2:25" ht="15.6" x14ac:dyDescent="0.3">
      <c r="B27" s="53" t="s">
        <v>5922</v>
      </c>
      <c r="J27" s="53"/>
    </row>
    <row r="28" spans="2:25" x14ac:dyDescent="0.25">
      <c r="B28" s="37" t="s">
        <v>161</v>
      </c>
      <c r="C28" s="37" t="s">
        <v>229</v>
      </c>
      <c r="D28" s="37" t="s">
        <v>230</v>
      </c>
      <c r="E28" s="37" t="s">
        <v>231</v>
      </c>
      <c r="F28" s="37" t="s">
        <v>232</v>
      </c>
      <c r="G28" s="37" t="s">
        <v>5362</v>
      </c>
      <c r="H28" s="37" t="s">
        <v>5363</v>
      </c>
      <c r="J28" s="464"/>
      <c r="K28" s="464"/>
      <c r="L28" s="464"/>
      <c r="M28" s="464"/>
      <c r="N28" s="464"/>
      <c r="O28" s="464"/>
      <c r="P28" s="464"/>
    </row>
    <row r="29" spans="2:25" x14ac:dyDescent="0.25">
      <c r="B29" s="55" t="s">
        <v>85</v>
      </c>
      <c r="C29" s="59">
        <f>'Consortium calculs'!D42</f>
        <v>2693</v>
      </c>
      <c r="D29" s="57">
        <f>C29/C$35</f>
        <v>0.18031469702042183</v>
      </c>
      <c r="E29" s="65">
        <f>'Consortium calculs'!E42</f>
        <v>1433861.8900000001</v>
      </c>
      <c r="F29" s="57">
        <f>E29/E$35</f>
        <v>0.15774650291851824</v>
      </c>
      <c r="G29" s="59">
        <f>COUNTIF(TAB_CS[Tri-2],_xlfn.CONCAT('Consortium synthèse'!B29,"NB"))</f>
        <v>26</v>
      </c>
      <c r="H29" s="57">
        <f>G29/G$35</f>
        <v>0.20472440944881889</v>
      </c>
      <c r="J29" s="158"/>
      <c r="K29" s="36"/>
      <c r="L29" s="465"/>
      <c r="M29" s="466"/>
      <c r="N29" s="465"/>
      <c r="O29" s="36"/>
      <c r="P29" s="465"/>
    </row>
    <row r="30" spans="2:25" x14ac:dyDescent="0.25">
      <c r="B30" s="56" t="s">
        <v>202</v>
      </c>
      <c r="C30" s="59">
        <f>'Consortium calculs'!D43</f>
        <v>0</v>
      </c>
      <c r="D30" s="57">
        <f t="shared" ref="D30:D34" si="10">C30/C$35</f>
        <v>0</v>
      </c>
      <c r="E30" s="65">
        <f>'Consortium calculs'!E43</f>
        <v>0</v>
      </c>
      <c r="F30" s="57">
        <f t="shared" ref="F30:F34" si="11">E30/E$35</f>
        <v>0</v>
      </c>
      <c r="G30" s="59">
        <f>COUNTIF(TAB_CS[Tri-2],_xlfn.CONCAT('Consortium synthèse'!B30,"NB"))</f>
        <v>0</v>
      </c>
      <c r="H30" s="57">
        <f t="shared" ref="H30:H34" si="12">G30/G$35</f>
        <v>0</v>
      </c>
      <c r="J30" s="158"/>
      <c r="K30" s="36"/>
      <c r="L30" s="465"/>
      <c r="M30" s="466"/>
      <c r="N30" s="465"/>
      <c r="O30" s="36"/>
      <c r="P30" s="465"/>
    </row>
    <row r="31" spans="2:25" x14ac:dyDescent="0.25">
      <c r="B31" s="56" t="s">
        <v>203</v>
      </c>
      <c r="C31" s="59">
        <f>'Consortium calculs'!D44</f>
        <v>4089.5</v>
      </c>
      <c r="D31" s="57">
        <f t="shared" si="10"/>
        <v>0.27381988617341813</v>
      </c>
      <c r="E31" s="65">
        <f>'Consortium calculs'!E44</f>
        <v>2958382.96</v>
      </c>
      <c r="F31" s="57">
        <f t="shared" si="11"/>
        <v>0.32546688735393797</v>
      </c>
      <c r="G31" s="59">
        <f>COUNTIF(TAB_CS[Tri-2],_xlfn.CONCAT('Consortium synthèse'!B31,"NB"))</f>
        <v>33</v>
      </c>
      <c r="H31" s="57">
        <f t="shared" si="12"/>
        <v>0.25984251968503935</v>
      </c>
      <c r="J31" s="158"/>
      <c r="K31" s="36"/>
      <c r="L31" s="465"/>
      <c r="M31" s="466"/>
      <c r="N31" s="465"/>
      <c r="O31" s="36"/>
      <c r="P31" s="465"/>
    </row>
    <row r="32" spans="2:25" x14ac:dyDescent="0.25">
      <c r="B32" s="56" t="s">
        <v>86</v>
      </c>
      <c r="C32" s="59">
        <f>'Consortium calculs'!D45</f>
        <v>6550</v>
      </c>
      <c r="D32" s="57">
        <f t="shared" si="10"/>
        <v>0.43856712420488786</v>
      </c>
      <c r="E32" s="65">
        <f>'Consortium calculs'!E45</f>
        <v>3767922.7450000006</v>
      </c>
      <c r="F32" s="57">
        <f t="shared" si="11"/>
        <v>0.41452851242939009</v>
      </c>
      <c r="G32" s="59">
        <f>COUNTIF(TAB_CS[Tri-2],_xlfn.CONCAT('Consortium synthèse'!B32,"NB"))</f>
        <v>55</v>
      </c>
      <c r="H32" s="57">
        <f t="shared" si="12"/>
        <v>0.43307086614173229</v>
      </c>
      <c r="J32" s="158"/>
      <c r="K32" s="36"/>
      <c r="L32" s="465"/>
      <c r="M32" s="466"/>
      <c r="N32" s="465"/>
      <c r="O32" s="36"/>
      <c r="P32" s="465"/>
    </row>
    <row r="33" spans="2:16" x14ac:dyDescent="0.25">
      <c r="B33" s="56" t="s">
        <v>87</v>
      </c>
      <c r="C33" s="59">
        <f>'Consortium calculs'!D46</f>
        <v>1580</v>
      </c>
      <c r="D33" s="57">
        <f t="shared" si="10"/>
        <v>0.10579176431201875</v>
      </c>
      <c r="E33" s="65">
        <f>'Consortium calculs'!E46</f>
        <v>906991.21500000008</v>
      </c>
      <c r="F33" s="57">
        <f t="shared" si="11"/>
        <v>9.978275686235577E-2</v>
      </c>
      <c r="G33" s="59">
        <f>COUNTIF(TAB_CS[Tri-2],_xlfn.CONCAT('Consortium synthèse'!B33,"NB"))</f>
        <v>11</v>
      </c>
      <c r="H33" s="57">
        <f t="shared" si="12"/>
        <v>8.6614173228346455E-2</v>
      </c>
      <c r="J33" s="158"/>
      <c r="K33" s="36"/>
      <c r="L33" s="465"/>
      <c r="M33" s="466"/>
      <c r="N33" s="465"/>
      <c r="O33" s="36"/>
      <c r="P33" s="465"/>
    </row>
    <row r="34" spans="2:16" x14ac:dyDescent="0.25">
      <c r="B34" s="56" t="s">
        <v>88</v>
      </c>
      <c r="C34" s="59">
        <f>'Consortium calculs'!D47</f>
        <v>22.5</v>
      </c>
      <c r="D34" s="57">
        <f t="shared" si="10"/>
        <v>1.5065282892534316E-3</v>
      </c>
      <c r="E34" s="65">
        <f>'Consortium calculs'!E47</f>
        <v>22500</v>
      </c>
      <c r="F34" s="57">
        <f t="shared" si="11"/>
        <v>2.4753404357979415E-3</v>
      </c>
      <c r="G34" s="59">
        <f>COUNTIF(TAB_CS[Tri-2],_xlfn.CONCAT('Consortium synthèse'!B34,"NB"))</f>
        <v>2</v>
      </c>
      <c r="H34" s="57">
        <f t="shared" si="12"/>
        <v>1.5748031496062992E-2</v>
      </c>
      <c r="J34" s="158"/>
      <c r="K34" s="36"/>
      <c r="L34" s="465"/>
      <c r="M34" s="466"/>
      <c r="N34" s="465"/>
      <c r="O34" s="36"/>
      <c r="P34" s="465"/>
    </row>
    <row r="35" spans="2:16" x14ac:dyDescent="0.25">
      <c r="B35" s="60" t="s">
        <v>13</v>
      </c>
      <c r="C35" s="61">
        <f>SUM(C29:C34)</f>
        <v>14935</v>
      </c>
      <c r="D35" s="62"/>
      <c r="E35" s="63">
        <f>SUM(E29:E34)</f>
        <v>9089658.8100000005</v>
      </c>
      <c r="F35" s="64"/>
      <c r="G35" s="61">
        <f>SUM(G29:G34)</f>
        <v>127</v>
      </c>
      <c r="J35" s="158"/>
      <c r="K35" s="467"/>
      <c r="L35" s="468"/>
      <c r="M35" s="469"/>
      <c r="N35" s="468"/>
      <c r="O35" s="467"/>
    </row>
    <row r="39" spans="2:16" ht="15.6" x14ac:dyDescent="0.3">
      <c r="B39" s="53" t="s">
        <v>6028</v>
      </c>
    </row>
    <row r="40" spans="2:16" x14ac:dyDescent="0.25">
      <c r="B40" s="37" t="s">
        <v>161</v>
      </c>
      <c r="C40" s="37" t="s">
        <v>229</v>
      </c>
      <c r="D40" s="37" t="s">
        <v>230</v>
      </c>
      <c r="E40" s="37" t="s">
        <v>231</v>
      </c>
      <c r="F40" s="37" t="s">
        <v>232</v>
      </c>
      <c r="G40" s="591"/>
      <c r="H40" s="464"/>
    </row>
    <row r="41" spans="2:16" x14ac:dyDescent="0.25">
      <c r="B41" s="55" t="s">
        <v>85</v>
      </c>
      <c r="C41" s="59">
        <f>SUMIFS(TAB_CS[Commited days],TAB_CS[Company],B41,TAB_CS[Lot],"Lot 1")</f>
        <v>2269.5</v>
      </c>
      <c r="D41" s="57">
        <f t="shared" ref="D41:D46" si="13">C41/C$12</f>
        <v>0.10021858647413394</v>
      </c>
      <c r="E41" s="65">
        <f>SUMIFS(TAB_CS[Commited amount],TAB_CS[Company],B41,TAB_CS[Lot],"Lot 1")</f>
        <v>1132415.7449999999</v>
      </c>
      <c r="F41" s="57">
        <f t="shared" ref="F41:F46" si="14">E41/E$12</f>
        <v>7.9087564108500596E-2</v>
      </c>
      <c r="G41" s="592"/>
      <c r="H41" s="465"/>
    </row>
    <row r="42" spans="2:16" x14ac:dyDescent="0.25">
      <c r="B42" s="56" t="s">
        <v>202</v>
      </c>
      <c r="C42" s="59">
        <f>SUMIFS(TAB_CS[Commited days],TAB_CS[Company],B42,TAB_CS[Lot],"Lot 1")</f>
        <v>0</v>
      </c>
      <c r="D42" s="57">
        <f t="shared" si="13"/>
        <v>0</v>
      </c>
      <c r="E42" s="65">
        <f>SUMIFS(TAB_CS[Commited amount],TAB_CS[Company],B42,TAB_CS[Lot],"Lot 1")</f>
        <v>0</v>
      </c>
      <c r="F42" s="58">
        <f t="shared" si="14"/>
        <v>0</v>
      </c>
      <c r="G42" s="592"/>
      <c r="H42" s="465"/>
    </row>
    <row r="43" spans="2:16" x14ac:dyDescent="0.25">
      <c r="B43" s="56" t="s">
        <v>203</v>
      </c>
      <c r="C43" s="59">
        <f>SUMIFS(TAB_CS[Commited days],TAB_CS[Company],B43,TAB_CS[Lot],"Lot 1")</f>
        <v>591</v>
      </c>
      <c r="D43" s="57">
        <f t="shared" si="13"/>
        <v>2.6097900245081806E-2</v>
      </c>
      <c r="E43" s="65">
        <f>SUMIFS(TAB_CS[Commited amount],TAB_CS[Company],B43,TAB_CS[Lot],"Lot 1")</f>
        <v>319189.12</v>
      </c>
      <c r="F43" s="58">
        <f t="shared" si="14"/>
        <v>2.2292069058732395E-2</v>
      </c>
      <c r="G43" s="592"/>
      <c r="H43" s="465"/>
    </row>
    <row r="44" spans="2:16" x14ac:dyDescent="0.25">
      <c r="B44" s="56" t="s">
        <v>86</v>
      </c>
      <c r="C44" s="59">
        <f>SUMIFS(TAB_CS[Commited days],TAB_CS[Company],B44,TAB_CS[Lot],"Lot 1")</f>
        <v>5641.5</v>
      </c>
      <c r="D44" s="57">
        <f t="shared" si="13"/>
        <v>0.24912234218718951</v>
      </c>
      <c r="E44" s="65">
        <f>SUMIFS(TAB_CS[Commited amount],TAB_CS[Company],B44,TAB_CS[Lot],"Lot 1")</f>
        <v>3358896.0850000009</v>
      </c>
      <c r="F44" s="58">
        <f t="shared" si="14"/>
        <v>0.2345842599143915</v>
      </c>
      <c r="G44" s="592"/>
      <c r="H44" s="465"/>
    </row>
    <row r="45" spans="2:16" x14ac:dyDescent="0.25">
      <c r="B45" s="56" t="s">
        <v>87</v>
      </c>
      <c r="C45" s="59">
        <f>SUMIFS(TAB_CS[Commited days],TAB_CS[Company],B45,TAB_CS[Lot],"Lot 1")</f>
        <v>738</v>
      </c>
      <c r="D45" s="57">
        <f t="shared" si="13"/>
        <v>3.2589256143604688E-2</v>
      </c>
      <c r="E45" s="65">
        <f>SUMIFS(TAB_CS[Commited amount],TAB_CS[Company],B45,TAB_CS[Lot],"Lot 1")</f>
        <v>303647.45999999996</v>
      </c>
      <c r="F45" s="58">
        <f t="shared" si="14"/>
        <v>2.120664434874435E-2</v>
      </c>
      <c r="G45" s="592"/>
      <c r="H45" s="465"/>
    </row>
    <row r="46" spans="2:16" x14ac:dyDescent="0.25">
      <c r="B46" s="56" t="s">
        <v>88</v>
      </c>
      <c r="C46" s="59">
        <f>SUMIFS(TAB_CS[Commited days],TAB_CS[Company],B46,TAB_CS[Lot],"Lot 1")</f>
        <v>0</v>
      </c>
      <c r="D46" s="57">
        <f t="shared" si="13"/>
        <v>0</v>
      </c>
      <c r="E46" s="65">
        <f>SUMIFS(TAB_CS[Commited amount],TAB_CS[Company],B46,TAB_CS[Lot],"Lot 1")</f>
        <v>0</v>
      </c>
      <c r="F46" s="58">
        <f t="shared" si="14"/>
        <v>0</v>
      </c>
      <c r="G46" s="592"/>
      <c r="H46" s="465"/>
    </row>
    <row r="47" spans="2:16" x14ac:dyDescent="0.25">
      <c r="B47" s="60" t="s">
        <v>13</v>
      </c>
      <c r="C47" s="61">
        <f>SUM(C41:C46)</f>
        <v>9240</v>
      </c>
      <c r="D47" s="62"/>
      <c r="E47" s="63">
        <f>SUM(E41:E46)</f>
        <v>5114148.4100000011</v>
      </c>
      <c r="F47" s="64"/>
      <c r="G47" s="467"/>
    </row>
    <row r="49" spans="2:8" ht="15.6" x14ac:dyDescent="0.3">
      <c r="B49" s="53" t="s">
        <v>6029</v>
      </c>
    </row>
    <row r="50" spans="2:8" x14ac:dyDescent="0.25">
      <c r="B50" s="37" t="s">
        <v>161</v>
      </c>
      <c r="C50" s="37" t="s">
        <v>229</v>
      </c>
      <c r="D50" s="37" t="s">
        <v>230</v>
      </c>
      <c r="E50" s="37" t="s">
        <v>231</v>
      </c>
      <c r="F50" s="37" t="s">
        <v>232</v>
      </c>
      <c r="G50" s="591"/>
      <c r="H50" s="464"/>
    </row>
    <row r="51" spans="2:8" x14ac:dyDescent="0.25">
      <c r="B51" s="55" t="s">
        <v>85</v>
      </c>
      <c r="C51" s="59">
        <f>SUMIFS(TAB_CS[Commited days],TAB_CS[Company],B51,TAB_CS[Lot],"Lot 2")</f>
        <v>543</v>
      </c>
      <c r="D51" s="57">
        <f t="shared" ref="D51:D56" si="15">C51/C$12</f>
        <v>2.3978273829237597E-2</v>
      </c>
      <c r="E51" s="65">
        <f>SUMIFS(TAB_CS[Commited amount],TAB_CS[Company],B51,TAB_CS[Lot],"Lot 2")</f>
        <v>260119.21</v>
      </c>
      <c r="F51" s="57">
        <f t="shared" ref="F51:F56" si="16">E51/E$12</f>
        <v>1.8166644880699297E-2</v>
      </c>
      <c r="G51" s="592"/>
      <c r="H51" s="465"/>
    </row>
    <row r="52" spans="2:8" x14ac:dyDescent="0.25">
      <c r="B52" s="56" t="s">
        <v>202</v>
      </c>
      <c r="C52" s="59">
        <f>SUMIFS(TAB_CS[Commited days],TAB_CS[Company],B52,TAB_CS[Lot],"Lot 2")</f>
        <v>0</v>
      </c>
      <c r="D52" s="57">
        <f t="shared" si="15"/>
        <v>0</v>
      </c>
      <c r="E52" s="65">
        <f>SUMIFS(TAB_CS[Commited amount],TAB_CS[Company],B52,TAB_CS[Lot],"Lot 2")</f>
        <v>0</v>
      </c>
      <c r="F52" s="58">
        <f t="shared" si="16"/>
        <v>0</v>
      </c>
      <c r="G52" s="592"/>
      <c r="H52" s="465"/>
    </row>
    <row r="53" spans="2:8" x14ac:dyDescent="0.25">
      <c r="B53" s="56" t="s">
        <v>203</v>
      </c>
      <c r="C53" s="59">
        <f>SUMIFS(TAB_CS[Commited days],TAB_CS[Company],B53,TAB_CS[Lot],"Lot 2")</f>
        <v>4601.5</v>
      </c>
      <c r="D53" s="57">
        <f t="shared" si="15"/>
        <v>0.20319710317723169</v>
      </c>
      <c r="E53" s="65">
        <f>SUMIFS(TAB_CS[Commited amount],TAB_CS[Company],B53,TAB_CS[Lot],"Lot 2")</f>
        <v>3349542.3649999998</v>
      </c>
      <c r="F53" s="58">
        <f t="shared" si="16"/>
        <v>0.23393099901315503</v>
      </c>
      <c r="G53" s="592"/>
      <c r="H53" s="465"/>
    </row>
    <row r="54" spans="2:8" x14ac:dyDescent="0.25">
      <c r="B54" s="56" t="s">
        <v>86</v>
      </c>
      <c r="C54" s="59">
        <f>SUMIFS(TAB_CS[Commited days],TAB_CS[Company],B54,TAB_CS[Lot],"Lot 2")</f>
        <v>1838</v>
      </c>
      <c r="D54" s="57">
        <f t="shared" si="15"/>
        <v>8.1164028173367778E-2</v>
      </c>
      <c r="E54" s="65">
        <f>SUMIFS(TAB_CS[Commited amount],TAB_CS[Company],B54,TAB_CS[Lot],"Lot 2")</f>
        <v>1049011.8399999999</v>
      </c>
      <c r="F54" s="58">
        <f t="shared" si="16"/>
        <v>7.3262661273379034E-2</v>
      </c>
      <c r="G54" s="592"/>
      <c r="H54" s="465"/>
    </row>
    <row r="55" spans="2:8" x14ac:dyDescent="0.25">
      <c r="B55" s="56" t="s">
        <v>87</v>
      </c>
      <c r="C55" s="59">
        <f>SUMIFS(TAB_CS[Commited days],TAB_CS[Company],B55,TAB_CS[Lot],"Lot 2")</f>
        <v>1320</v>
      </c>
      <c r="D55" s="57">
        <f t="shared" si="15"/>
        <v>5.8289726435715707E-2</v>
      </c>
      <c r="E55" s="65">
        <f>SUMIFS(TAB_CS[Commited amount],TAB_CS[Company],B55,TAB_CS[Lot],"Lot 2")</f>
        <v>1011043.0000000001</v>
      </c>
      <c r="F55" s="58">
        <f t="shared" si="16"/>
        <v>7.0610929273992734E-2</v>
      </c>
      <c r="G55" s="592"/>
      <c r="H55" s="465"/>
    </row>
    <row r="56" spans="2:8" x14ac:dyDescent="0.25">
      <c r="B56" s="56" t="s">
        <v>88</v>
      </c>
      <c r="C56" s="59">
        <f>SUMIFS(TAB_CS[Commited days],TAB_CS[Company],B56,TAB_CS[Lot],"Lot 2")</f>
        <v>0</v>
      </c>
      <c r="D56" s="57">
        <f t="shared" si="15"/>
        <v>0</v>
      </c>
      <c r="E56" s="65">
        <f>SUMIFS(TAB_CS[Commited amount],TAB_CS[Company],B56,TAB_CS[Lot],"Lot 2")</f>
        <v>0</v>
      </c>
      <c r="F56" s="58">
        <f t="shared" si="16"/>
        <v>0</v>
      </c>
      <c r="G56" s="592"/>
      <c r="H56" s="465"/>
    </row>
    <row r="57" spans="2:8" x14ac:dyDescent="0.25">
      <c r="B57" s="60" t="s">
        <v>13</v>
      </c>
      <c r="C57" s="61">
        <f>SUM(C51:C56)</f>
        <v>8302.5</v>
      </c>
      <c r="D57" s="62"/>
      <c r="E57" s="63">
        <f>SUM(E51:E56)</f>
        <v>5669716.4149999991</v>
      </c>
      <c r="F57" s="64"/>
      <c r="G57" s="467"/>
    </row>
    <row r="59" spans="2:8" ht="15.6" x14ac:dyDescent="0.3">
      <c r="B59" s="53" t="s">
        <v>6030</v>
      </c>
    </row>
    <row r="60" spans="2:8" x14ac:dyDescent="0.25">
      <c r="B60" s="37" t="s">
        <v>161</v>
      </c>
      <c r="C60" s="37" t="s">
        <v>229</v>
      </c>
      <c r="D60" s="37" t="s">
        <v>230</v>
      </c>
      <c r="E60" s="37" t="s">
        <v>231</v>
      </c>
      <c r="F60" s="37" t="s">
        <v>232</v>
      </c>
      <c r="G60" s="591"/>
      <c r="H60" s="464"/>
    </row>
    <row r="61" spans="2:8" x14ac:dyDescent="0.25">
      <c r="B61" s="55" t="s">
        <v>85</v>
      </c>
      <c r="C61" s="59">
        <f>SUMIFS(TAB_CS[Commited days],TAB_CS[Company],B61,TAB_CS[Lot],"Lot 3")</f>
        <v>700</v>
      </c>
      <c r="D61" s="57">
        <f t="shared" ref="D61:D66" si="17">C61/C$12</f>
        <v>3.0911218564394691E-2</v>
      </c>
      <c r="E61" s="65">
        <f>SUMIFS(TAB_CS[Commited amount],TAB_CS[Company],B61,TAB_CS[Lot],"Lot 3")</f>
        <v>522688.00000000006</v>
      </c>
      <c r="F61" s="57">
        <f t="shared" ref="F61:F66" si="18">E61/E$12</f>
        <v>3.6504367668204731E-2</v>
      </c>
      <c r="G61" s="592"/>
      <c r="H61" s="465"/>
    </row>
    <row r="62" spans="2:8" x14ac:dyDescent="0.25">
      <c r="B62" s="56" t="s">
        <v>202</v>
      </c>
      <c r="C62" s="59">
        <f>SUMIFS(TAB_CS[Commited days],TAB_CS[Company],B62,TAB_CS[Lot],"Lot 3")</f>
        <v>0</v>
      </c>
      <c r="D62" s="57">
        <f t="shared" si="17"/>
        <v>0</v>
      </c>
      <c r="E62" s="65">
        <f>SUMIFS(TAB_CS[Commited amount],TAB_CS[Company],B62,TAB_CS[Lot],"Lot 3")</f>
        <v>0</v>
      </c>
      <c r="F62" s="58">
        <f t="shared" si="18"/>
        <v>0</v>
      </c>
      <c r="G62" s="592"/>
      <c r="H62" s="465"/>
    </row>
    <row r="63" spans="2:8" x14ac:dyDescent="0.25">
      <c r="B63" s="56" t="s">
        <v>203</v>
      </c>
      <c r="C63" s="59">
        <f>SUMIFS(TAB_CS[Commited days],TAB_CS[Company],B63,TAB_CS[Lot],"Lot 3")</f>
        <v>1656</v>
      </c>
      <c r="D63" s="57">
        <f t="shared" si="17"/>
        <v>7.3127111346625154E-2</v>
      </c>
      <c r="E63" s="65">
        <f>SUMIFS(TAB_CS[Commited amount],TAB_CS[Company],B63,TAB_CS[Lot],"Lot 3")</f>
        <v>1464513.5</v>
      </c>
      <c r="F63" s="58">
        <f t="shared" si="18"/>
        <v>0.10228116822855957</v>
      </c>
      <c r="G63" s="592"/>
      <c r="H63" s="465"/>
    </row>
    <row r="64" spans="2:8" x14ac:dyDescent="0.25">
      <c r="B64" s="56" t="s">
        <v>86</v>
      </c>
      <c r="C64" s="59">
        <f>SUMIFS(TAB_CS[Commited days],TAB_CS[Company],B64,TAB_CS[Lot],"Lot 3")</f>
        <v>1880</v>
      </c>
      <c r="D64" s="57">
        <f t="shared" si="17"/>
        <v>8.3018701287231461E-2</v>
      </c>
      <c r="E64" s="65">
        <f>SUMIFS(TAB_CS[Commited amount],TAB_CS[Company],B64,TAB_CS[Lot],"Lot 3")</f>
        <v>1033637.8</v>
      </c>
      <c r="F64" s="58">
        <f t="shared" si="18"/>
        <v>7.2188943092158731E-2</v>
      </c>
      <c r="G64" s="592"/>
      <c r="H64" s="465"/>
    </row>
    <row r="65" spans="2:8" x14ac:dyDescent="0.25">
      <c r="B65" s="56" t="s">
        <v>87</v>
      </c>
      <c r="C65" s="59">
        <f>SUMIFS(TAB_CS[Commited days],TAB_CS[Company],B65,TAB_CS[Lot],"Lot 3")</f>
        <v>205</v>
      </c>
      <c r="D65" s="57">
        <f t="shared" si="17"/>
        <v>9.0525711510013023E-3</v>
      </c>
      <c r="E65" s="65">
        <f>SUMIFS(TAB_CS[Commited amount],TAB_CS[Company],B65,TAB_CS[Lot],"Lot 3")</f>
        <v>108289.20000000001</v>
      </c>
      <c r="F65" s="58">
        <f t="shared" si="18"/>
        <v>7.5628841130765496E-3</v>
      </c>
      <c r="G65" s="592"/>
      <c r="H65" s="465"/>
    </row>
    <row r="66" spans="2:8" x14ac:dyDescent="0.25">
      <c r="B66" s="56" t="s">
        <v>88</v>
      </c>
      <c r="C66" s="59">
        <f>SUMIFS(TAB_CS[Commited days],TAB_CS[Company],B66,TAB_CS[Lot],"Lot 3")</f>
        <v>662</v>
      </c>
      <c r="D66" s="57">
        <f t="shared" si="17"/>
        <v>2.9233180985184695E-2</v>
      </c>
      <c r="E66" s="65">
        <f>SUMIFS(TAB_CS[Commited amount],TAB_CS[Company],B66,TAB_CS[Lot],"Lot 3")</f>
        <v>405512.47</v>
      </c>
      <c r="F66" s="58">
        <f t="shared" si="18"/>
        <v>2.83208650264055E-2</v>
      </c>
      <c r="G66" s="592"/>
      <c r="H66" s="465"/>
    </row>
    <row r="67" spans="2:8" x14ac:dyDescent="0.25">
      <c r="B67" s="60" t="s">
        <v>13</v>
      </c>
      <c r="C67" s="61">
        <f>SUM(C61:C66)</f>
        <v>5103</v>
      </c>
      <c r="D67" s="62"/>
      <c r="E67" s="63">
        <f>SUM(E61:E66)</f>
        <v>3534640.9699999997</v>
      </c>
      <c r="F67" s="64"/>
      <c r="G67" s="467"/>
    </row>
  </sheetData>
  <pageMargins left="0.7" right="0.7" top="0.75" bottom="0.75" header="0.3" footer="0.3"/>
  <pageSetup paperSize="9" orientation="portrait" horizontalDpi="1200" verticalDpi="1200" r:id="rId1"/>
  <headerFooter>
    <oddFooter>&amp;C_x000D_&amp;1#&amp;"Arial"&amp;9&amp;K000000 Confidential</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7">
    <tabColor theme="6" tint="0.39997558519241921"/>
  </sheetPr>
  <dimension ref="A1:AJ70"/>
  <sheetViews>
    <sheetView workbookViewId="0">
      <pane xSplit="6" ySplit="2" topLeftCell="G41" activePane="bottomRight" state="frozen"/>
      <selection pane="topRight" activeCell="G1" sqref="G1"/>
      <selection pane="bottomLeft" activeCell="A3" sqref="A3"/>
      <selection pane="bottomRight" activeCell="E56" sqref="E56"/>
    </sheetView>
  </sheetViews>
  <sheetFormatPr baseColWidth="10" defaultColWidth="11.44140625" defaultRowHeight="13.2" x14ac:dyDescent="0.25"/>
  <cols>
    <col min="1" max="1" width="22" style="1" bestFit="1" customWidth="1"/>
    <col min="2" max="2" width="16.109375" style="13" bestFit="1" customWidth="1"/>
    <col min="3" max="3" width="10" style="1" bestFit="1" customWidth="1"/>
    <col min="4" max="4" width="8.5546875" style="36" bestFit="1" customWidth="1"/>
    <col min="5" max="5" width="14.44140625" style="27" bestFit="1" customWidth="1"/>
    <col min="6" max="6" width="1.5546875" style="29" customWidth="1"/>
    <col min="7" max="7" width="5.33203125" style="36" bestFit="1" customWidth="1"/>
    <col min="8" max="8" width="12.6640625" customWidth="1"/>
    <col min="9" max="9" width="6.109375" style="36" bestFit="1" customWidth="1"/>
    <col min="10" max="10" width="12.6640625" customWidth="1"/>
    <col min="11" max="11" width="7.109375" style="36" bestFit="1" customWidth="1"/>
    <col min="12" max="12" width="12.6640625" bestFit="1" customWidth="1"/>
    <col min="13" max="13" width="7.109375" style="36" bestFit="1" customWidth="1"/>
    <col min="14" max="14" width="12.6640625" bestFit="1" customWidth="1"/>
    <col min="15" max="15" width="7.109375" style="36" bestFit="1" customWidth="1"/>
    <col min="16" max="16" width="12.6640625" bestFit="1" customWidth="1"/>
    <col min="17" max="17" width="7.109375" style="36" bestFit="1" customWidth="1"/>
    <col min="18" max="18" width="12.6640625" bestFit="1" customWidth="1"/>
    <col min="19" max="19" width="7.109375" customWidth="1"/>
    <col min="20" max="20" width="12.6640625" customWidth="1"/>
    <col min="21" max="21" width="8.6640625" style="36" bestFit="1" customWidth="1"/>
    <col min="22" max="22" width="12.6640625" bestFit="1" customWidth="1"/>
    <col min="23" max="23" width="8.6640625" style="36" bestFit="1" customWidth="1"/>
    <col min="24" max="24" width="12.6640625" bestFit="1" customWidth="1"/>
    <col min="25" max="25" width="8.6640625" style="36" bestFit="1" customWidth="1"/>
    <col min="26" max="26" width="12.6640625" bestFit="1" customWidth="1"/>
    <col min="27" max="27" width="7.109375" customWidth="1"/>
    <col min="28" max="28" width="12.6640625" customWidth="1"/>
    <col min="29" max="29" width="8.6640625" style="36" bestFit="1" customWidth="1"/>
    <col min="30" max="30" width="12.6640625" bestFit="1" customWidth="1"/>
    <col min="31" max="31" width="8.6640625" style="36" bestFit="1" customWidth="1"/>
    <col min="32" max="32" width="12.6640625" bestFit="1" customWidth="1"/>
    <col min="33" max="33" width="8.6640625" style="36" bestFit="1" customWidth="1"/>
    <col min="34" max="34" width="12.6640625" bestFit="1" customWidth="1"/>
    <col min="35" max="35" width="7.109375" customWidth="1"/>
    <col min="36" max="36" width="12.6640625" customWidth="1"/>
  </cols>
  <sheetData>
    <row r="1" spans="1:36" x14ac:dyDescent="0.25">
      <c r="A1" s="676" t="s">
        <v>234</v>
      </c>
      <c r="B1" s="678" t="s">
        <v>235</v>
      </c>
      <c r="C1" s="672" t="s">
        <v>161</v>
      </c>
      <c r="D1" s="673" t="s">
        <v>13</v>
      </c>
      <c r="E1" s="673"/>
      <c r="G1" s="670" t="s">
        <v>233</v>
      </c>
      <c r="H1" s="671"/>
      <c r="I1" s="670" t="s">
        <v>236</v>
      </c>
      <c r="J1" s="671"/>
      <c r="K1" s="670" t="s">
        <v>237</v>
      </c>
      <c r="L1" s="671"/>
      <c r="M1" s="670" t="s">
        <v>578</v>
      </c>
      <c r="N1" s="671"/>
      <c r="O1" s="670" t="s">
        <v>611</v>
      </c>
      <c r="P1" s="671"/>
      <c r="Q1" s="670" t="s">
        <v>5456</v>
      </c>
      <c r="R1" s="671"/>
      <c r="S1" s="670" t="s">
        <v>5565</v>
      </c>
      <c r="T1" s="671"/>
      <c r="U1" s="670" t="s">
        <v>5967</v>
      </c>
      <c r="V1" s="671"/>
      <c r="W1" s="670" t="s">
        <v>5968</v>
      </c>
      <c r="X1" s="671"/>
      <c r="Y1" s="670" t="s">
        <v>5969</v>
      </c>
      <c r="Z1" s="671"/>
      <c r="AA1" s="670" t="s">
        <v>5970</v>
      </c>
      <c r="AB1" s="671"/>
      <c r="AC1" s="670" t="s">
        <v>5981</v>
      </c>
      <c r="AD1" s="671"/>
      <c r="AE1" s="670" t="s">
        <v>5982</v>
      </c>
      <c r="AF1" s="671"/>
      <c r="AG1" s="670" t="s">
        <v>5983</v>
      </c>
      <c r="AH1" s="671"/>
      <c r="AI1" s="670" t="s">
        <v>5984</v>
      </c>
      <c r="AJ1" s="671"/>
    </row>
    <row r="2" spans="1:36" x14ac:dyDescent="0.25">
      <c r="A2" s="677"/>
      <c r="B2" s="679"/>
      <c r="C2" s="672"/>
      <c r="D2" s="43" t="s">
        <v>229</v>
      </c>
      <c r="E2" s="42" t="s">
        <v>231</v>
      </c>
      <c r="G2" s="43" t="s">
        <v>229</v>
      </c>
      <c r="H2" s="42" t="s">
        <v>231</v>
      </c>
      <c r="I2" s="43" t="s">
        <v>229</v>
      </c>
      <c r="J2" s="42" t="s">
        <v>231</v>
      </c>
      <c r="K2" s="43" t="s">
        <v>229</v>
      </c>
      <c r="L2" s="42" t="s">
        <v>231</v>
      </c>
      <c r="M2" s="43" t="s">
        <v>229</v>
      </c>
      <c r="N2" s="42" t="s">
        <v>231</v>
      </c>
      <c r="O2" s="43" t="s">
        <v>229</v>
      </c>
      <c r="P2" s="42" t="s">
        <v>231</v>
      </c>
      <c r="Q2" s="43" t="s">
        <v>229</v>
      </c>
      <c r="R2" s="42" t="s">
        <v>231</v>
      </c>
      <c r="S2" s="43" t="s">
        <v>229</v>
      </c>
      <c r="T2" s="42" t="s">
        <v>231</v>
      </c>
      <c r="U2" s="43" t="s">
        <v>229</v>
      </c>
      <c r="V2" s="42" t="s">
        <v>231</v>
      </c>
      <c r="W2" s="43" t="s">
        <v>229</v>
      </c>
      <c r="X2" s="42" t="s">
        <v>231</v>
      </c>
      <c r="Y2" s="43" t="s">
        <v>229</v>
      </c>
      <c r="Z2" s="42" t="s">
        <v>231</v>
      </c>
      <c r="AA2" s="43" t="s">
        <v>229</v>
      </c>
      <c r="AB2" s="42" t="s">
        <v>231</v>
      </c>
      <c r="AC2" s="43" t="s">
        <v>229</v>
      </c>
      <c r="AD2" s="42" t="s">
        <v>231</v>
      </c>
      <c r="AE2" s="43" t="s">
        <v>229</v>
      </c>
      <c r="AF2" s="42" t="s">
        <v>231</v>
      </c>
      <c r="AG2" s="43" t="s">
        <v>229</v>
      </c>
      <c r="AH2" s="42" t="s">
        <v>231</v>
      </c>
      <c r="AI2" s="43" t="s">
        <v>229</v>
      </c>
      <c r="AJ2" s="42" t="s">
        <v>231</v>
      </c>
    </row>
    <row r="3" spans="1:36" x14ac:dyDescent="0.25">
      <c r="A3" s="687" t="s">
        <v>136</v>
      </c>
      <c r="B3" s="668" t="s">
        <v>238</v>
      </c>
      <c r="C3" s="38" t="s">
        <v>85</v>
      </c>
      <c r="D3" s="44">
        <f t="shared" ref="D3:D8" si="0">SUMIF(F$2:AD$2,D$2,F3:AD3)</f>
        <v>3304</v>
      </c>
      <c r="E3" s="39">
        <f t="shared" ref="E3:E10" si="1">SUMIF(F$2:AD$2,E$2,F3:AD3)</f>
        <v>1796070.605</v>
      </c>
      <c r="G3" s="149">
        <f>SUMPRODUCT(TAB_CS[[Apr-2022]:[Jun-2022]]*(TAB_CS[Company]='Consortium calculs'!$C3))</f>
        <v>0</v>
      </c>
      <c r="H3" s="83">
        <f>SUMPRODUCT(TAB_CS[[Apr-2022]:[Jun-2022]]*(TAB_CS[Profile in €])*(TAB_CS[Company]='Consortium calculs'!$C3))</f>
        <v>0</v>
      </c>
      <c r="I3" s="149">
        <f>SUMPRODUCT(TAB_CS[[Jul-2022]:[Sep-2022]]*(TAB_CS[Company]='Consortium calculs'!$C3))</f>
        <v>0</v>
      </c>
      <c r="J3" s="83">
        <f>SUMPRODUCT(TAB_CS[[Jul-2022]:[Sep-2022]]*(TAB_CS[Profile in €])*(TAB_CS[Company]='Consortium calculs'!$C3))</f>
        <v>0</v>
      </c>
      <c r="K3" s="149">
        <f>SUMPRODUCT(TAB_CS[[Oct-2022]:[Dec-2022]]*(TAB_CS[Company]='Consortium calculs'!$C3))</f>
        <v>55</v>
      </c>
      <c r="L3" s="83">
        <f>SUMPRODUCT(TAB_CS[[Oct-2022]:[Dec-2022]]*(TAB_CS[Profile in €])*(TAB_CS[Company]='Consortium calculs'!$C3))</f>
        <v>24829.09</v>
      </c>
      <c r="M3" s="149">
        <f>SUMPRODUCT(TAB_CS[[Jan-2023]:[Mar-2023]]*(TAB_CS[Company]='Consortium calculs'!$C3))</f>
        <v>125.5</v>
      </c>
      <c r="N3" s="83">
        <f>SUMPRODUCT(TAB_CS[[Jan-2023]:[Mar-2023]]*(TAB_CS[Profile in €])*(TAB_CS[Company]='Consortium calculs'!$C3))</f>
        <v>56800.165000000001</v>
      </c>
      <c r="O3" s="149" cm="1">
        <f t="array" ref="O3">SUMPRODUCT(TAB_CS[[Apr-2023]:[Jun-2023]]*(TAB_CS[Company]='Consortium calculs'!$C3))</f>
        <v>142.5</v>
      </c>
      <c r="P3" s="83" cm="1">
        <f t="array" ref="P3">SUMPRODUCT(TAB_CS[[Apr-2023]:[Jun-2023]]*(TAB_CS[Profile in €])*(TAB_CS[Company]='Consortium calculs'!$C3))</f>
        <v>64201.875</v>
      </c>
      <c r="Q3" s="149" cm="1">
        <f t="array" ref="Q3">SUMPRODUCT(TAB_CS[[Jul-2023]:[Sep-2023]]*(TAB_CS[Company]='Consortium calculs'!$C3))</f>
        <v>202</v>
      </c>
      <c r="R3" s="83" cm="1">
        <f t="array" ref="R3">SUMPRODUCT(TAB_CS[[Jul-2023]:[Sep-2023]]*(TAB_CS[Profile in €])*(TAB_CS[Company]='Consortium calculs'!$C3))</f>
        <v>94391.779999999984</v>
      </c>
      <c r="S3" s="149" cm="1">
        <f t="array" ref="S3">SUMPRODUCT(TAB_CS[[Oct-2023]:[Dec-2023]]*(TAB_CS[Company]='Consortium calculs'!$C3))</f>
        <v>341</v>
      </c>
      <c r="T3" s="83" cm="1">
        <f t="array" ref="T3">SUMPRODUCT(TAB_CS[[Oct-2023]:[Dec-2023]]*(TAB_CS[Profile in €])*(TAB_CS[Company]='Consortium calculs'!$C3))</f>
        <v>176372.17499999999</v>
      </c>
      <c r="U3" s="149" cm="1">
        <f t="array" ref="U3">SUMPRODUCT(TAB_CS[[Jan-2024]:[Mar-2024]]*(TAB_CS[Company]='Consortium calculs'!$C3))</f>
        <v>440</v>
      </c>
      <c r="V3" s="83" cm="1">
        <f t="array" ref="V3">SUMPRODUCT(TAB_CS[[Jan-2024]:[Mar-2024]]*(TAB_CS[Profile in €])*(TAB_CS[Company]='Consortium calculs'!$C3))</f>
        <v>230302.78999999998</v>
      </c>
      <c r="W3" s="149" cm="1">
        <f t="array" ref="W3">SUMPRODUCT(TAB_CS[[Apr-2024]:[Jun-2024]]*(TAB_CS[Company]='Consortium calculs'!$C3))</f>
        <v>421.5</v>
      </c>
      <c r="X3" s="83" cm="1">
        <f t="array" ref="X3">SUMPRODUCT(TAB_CS[[Apr-2024]:[Jun-2024]]*(TAB_CS[Profile in €])*(TAB_CS[Company]='Consortium calculs'!$C3))</f>
        <v>230847.78000000003</v>
      </c>
      <c r="Y3" s="149" cm="1">
        <f t="array" ref="Y3">SUMPRODUCT(TAB_CS[[Jul-2024]:[Sep-2024]]*(TAB_CS[Company]='Consortium calculs'!$C3))</f>
        <v>494</v>
      </c>
      <c r="Z3" s="83" cm="1">
        <f t="array" ref="Z3">SUMPRODUCT(TAB_CS[[Jul-2024]:[Sep-2024]]*(TAB_CS[Profile in €])*(TAB_CS[Company]='Consortium calculs'!$C3))</f>
        <v>288675.63500000007</v>
      </c>
      <c r="AA3" s="149" cm="1">
        <f t="array" ref="AA3">SUMPRODUCT(TAB_CS[[Oct-2024]:[Dec-2024]]*(TAB_CS[Company]='Consortium calculs'!$C3))</f>
        <v>599</v>
      </c>
      <c r="AB3" s="83" cm="1">
        <f t="array" ref="AB3">SUMPRODUCT(TAB_CS[[Oct-2024]:[Dec-2024]]*(TAB_CS[Profile in €])*(TAB_CS[Company]='Consortium calculs'!$C3))</f>
        <v>347667.17</v>
      </c>
      <c r="AC3" s="149" cm="1">
        <f t="array" ref="AC3">SUMPRODUCT(TAB_CS[[Jan-2025]:[Mar-2025]]*(TAB_CS[Company]='Consortium calculs'!$C3))</f>
        <v>483.5</v>
      </c>
      <c r="AD3" s="83" cm="1">
        <f t="array" ref="AD3">SUMPRODUCT(TAB_CS[[Jan-2025]:[Mar-2025]]*(TAB_CS[Profile in €])*(TAB_CS[Company]='Consortium calculs'!$C3))</f>
        <v>281982.14500000002</v>
      </c>
      <c r="AE3" s="149" cm="1">
        <f t="array" ref="AE3">SUMPRODUCT(TAB_CS[[Apr-2025]:[Jun-2025]]*(TAB_CS[Company]='Consortium calculs'!$C3))</f>
        <v>190</v>
      </c>
      <c r="AF3" s="83" cm="1">
        <f t="array" ref="AF3">SUMPRODUCT(TAB_CS[[Apr-2025]:[Jun-2025]]*(TAB_CS[Profile in €])*(TAB_CS[Company]='Consortium calculs'!$C3))</f>
        <v>106612.13500000001</v>
      </c>
      <c r="AG3" s="149" cm="1">
        <f t="array" ref="AG3">SUMPRODUCT(TAB_CS[[Jul-2025]:[Sep-2025]]*(TAB_CS[Company]='Consortium calculs'!$C3))</f>
        <v>18.5</v>
      </c>
      <c r="AH3" s="83" cm="1">
        <f t="array" ref="AH3">SUMPRODUCT(TAB_CS[[Jul-2025]:[Sep-2025]]*(TAB_CS[Profile in €])*(TAB_CS[Company]='Consortium calculs'!$C3))</f>
        <v>12365.215</v>
      </c>
      <c r="AI3" s="149" cm="1">
        <f t="array" ref="AI3">SUMPRODUCT(TAB_CS[[Oct-2025]:[Dec-2025]]*(TAB_CS[Company]='Consortium calculs'!$C3))</f>
        <v>0</v>
      </c>
      <c r="AJ3" s="83" cm="1">
        <f t="array" ref="AJ3">SUMPRODUCT(TAB_CS[[Oct-2025]:[Dec-2025]]*(TAB_CS[Profile in €])*(TAB_CS[Company]='Consortium calculs'!$C3))</f>
        <v>0</v>
      </c>
    </row>
    <row r="4" spans="1:36" x14ac:dyDescent="0.25">
      <c r="A4" s="688"/>
      <c r="B4" s="668"/>
      <c r="C4" s="40" t="s">
        <v>202</v>
      </c>
      <c r="D4" s="44">
        <f t="shared" si="0"/>
        <v>0</v>
      </c>
      <c r="E4" s="39">
        <f t="shared" si="1"/>
        <v>0</v>
      </c>
      <c r="G4" s="149">
        <f>SUMPRODUCT(TAB_CS[[Apr-2022]:[Jun-2022]]*(TAB_CS[Budget]='Consortium calculs'!$C4))</f>
        <v>0</v>
      </c>
      <c r="H4" s="83">
        <f>SUMPRODUCT(TAB_CS[[Apr-2022]:[Jun-2022]]*(TAB_CS[Profile in €])*(TAB_CS[Company]='Consortium calculs'!$C4))</f>
        <v>0</v>
      </c>
      <c r="I4" s="149">
        <f>SUMPRODUCT(TAB_CS[[Jul-2022]:[Sep-2022]]*(TAB_CS[Company]='Consortium calculs'!$C4))</f>
        <v>0</v>
      </c>
      <c r="J4" s="83">
        <f>SUMPRODUCT(TAB_CS[[Jul-2022]:[Sep-2022]]*(TAB_CS[Profile in €])*(TAB_CS[Company]='Consortium calculs'!$C4))</f>
        <v>0</v>
      </c>
      <c r="K4" s="149">
        <f>SUMPRODUCT(TAB_CS[[Oct-2022]:[Dec-2022]]*(TAB_CS[Company]='Consortium calculs'!$C4))</f>
        <v>0</v>
      </c>
      <c r="L4" s="83">
        <f>SUMPRODUCT(TAB_CS[[Oct-2022]:[Dec-2022]]*(TAB_CS[Profile in €])*(TAB_CS[Company]='Consortium calculs'!$C4))</f>
        <v>0</v>
      </c>
      <c r="M4" s="149">
        <f>SUMPRODUCT(TAB_CS[[Jan-2023]:[Mar-2023]]*(TAB_CS[Company]='Consortium calculs'!$C4))</f>
        <v>0</v>
      </c>
      <c r="N4" s="83">
        <f>SUMPRODUCT(TAB_CS[[Jan-2023]:[Mar-2023]]*(TAB_CS[Profile in €])*(TAB_CS[Company]='Consortium calculs'!$C4))</f>
        <v>0</v>
      </c>
      <c r="O4" s="149" cm="1">
        <f t="array" ref="O4">SUMPRODUCT(TAB_CS[[Apr-2023]:[Jun-2023]]*(TAB_CS[Company]='Consortium calculs'!$C4))</f>
        <v>0</v>
      </c>
      <c r="P4" s="83" cm="1">
        <f t="array" ref="P4">SUMPRODUCT(TAB_CS[[Apr-2023]:[Jun-2023]]*(TAB_CS[Profile in €])*(TAB_CS[Company]='Consortium calculs'!$C4))</f>
        <v>0</v>
      </c>
      <c r="Q4" s="149" cm="1">
        <f t="array" ref="Q4">SUMPRODUCT(TAB_CS[[Jul-2023]:[Sep-2023]]*(TAB_CS[Company]='Consortium calculs'!$C4))</f>
        <v>0</v>
      </c>
      <c r="R4" s="83" cm="1">
        <f t="array" ref="R4">SUMPRODUCT(TAB_CS[[Jul-2023]:[Sep-2023]]*(TAB_CS[Profile in €])*(TAB_CS[Company]='Consortium calculs'!$C4))</f>
        <v>0</v>
      </c>
      <c r="S4" s="149" cm="1">
        <f t="array" ref="S4">SUMPRODUCT(TAB_CS[[Oct-2023]:[Dec-2023]]*(TAB_CS[Company]='Consortium calculs'!$C4))</f>
        <v>0</v>
      </c>
      <c r="T4" s="83" cm="1">
        <f t="array" ref="T4">SUMPRODUCT(TAB_CS[[Oct-2023]:[Dec-2023]]*(TAB_CS[Profile in €])*(TAB_CS[Company]='Consortium calculs'!$C4))</f>
        <v>0</v>
      </c>
      <c r="U4" s="149" cm="1">
        <f t="array" ref="U4">SUMPRODUCT(TAB_CS[[Jan-2024]:[Mar-2024]]*(TAB_CS[Company]='Consortium calculs'!$C4))</f>
        <v>0</v>
      </c>
      <c r="V4" s="83" cm="1">
        <f t="array" ref="V4">SUMPRODUCT(TAB_CS[[Jan-2024]:[Mar-2024]]*(TAB_CS[Profile in €])*(TAB_CS[Company]='Consortium calculs'!$C4))</f>
        <v>0</v>
      </c>
      <c r="W4" s="149" cm="1">
        <f t="array" ref="W4">SUMPRODUCT(TAB_CS[[Apr-2024]:[Jun-2024]]*(TAB_CS[Company]='Consortium calculs'!$C4))</f>
        <v>0</v>
      </c>
      <c r="X4" s="83" cm="1">
        <f t="array" ref="X4">SUMPRODUCT(TAB_CS[[Apr-2024]:[Jun-2024]]*(TAB_CS[Profile in €])*(TAB_CS[Company]='Consortium calculs'!$C4))</f>
        <v>0</v>
      </c>
      <c r="Y4" s="149" cm="1">
        <f t="array" ref="Y4">SUMPRODUCT(TAB_CS[[Jul-2024]:[Sep-2024]]*(TAB_CS[Company]='Consortium calculs'!$C4))</f>
        <v>0</v>
      </c>
      <c r="Z4" s="83" cm="1">
        <f t="array" ref="Z4">SUMPRODUCT(TAB_CS[[Jul-2024]:[Sep-2024]]*(TAB_CS[Profile in €])*(TAB_CS[Company]='Consortium calculs'!$C4))</f>
        <v>0</v>
      </c>
      <c r="AA4" s="149" cm="1">
        <f t="array" ref="AA4">SUMPRODUCT(TAB_CS[[Oct-2024]:[Dec-2024]]*(TAB_CS[Company]='Consortium calculs'!$C4))</f>
        <v>0</v>
      </c>
      <c r="AB4" s="83" cm="1">
        <f t="array" ref="AB4">SUMPRODUCT(TAB_CS[[Oct-2024]:[Dec-2024]]*(TAB_CS[Profile in €])*(TAB_CS[Company]='Consortium calculs'!$C4))</f>
        <v>0</v>
      </c>
      <c r="AC4" s="149" cm="1">
        <f t="array" ref="AC4">SUMPRODUCT(TAB_CS[[Jan-2025]:[Mar-2025]]*(TAB_CS[Company]='Consortium calculs'!$C4))</f>
        <v>0</v>
      </c>
      <c r="AD4" s="83" cm="1">
        <f t="array" ref="AD4">SUMPRODUCT(TAB_CS[[Jan-2025]:[Mar-2025]]*(TAB_CS[Profile in €])*(TAB_CS[Company]='Consortium calculs'!$C4))</f>
        <v>0</v>
      </c>
      <c r="AE4" s="149" cm="1">
        <f t="array" ref="AE4">SUMPRODUCT(TAB_CS[[Apr-2025]:[Jun-2025]]*(TAB_CS[Company]='Consortium calculs'!$C4))</f>
        <v>0</v>
      </c>
      <c r="AF4" s="83" cm="1">
        <f t="array" ref="AF4">SUMPRODUCT(TAB_CS[[Apr-2025]:[Jun-2025]]*(TAB_CS[Profile in €])*(TAB_CS[Company]='Consortium calculs'!$C4))</f>
        <v>0</v>
      </c>
      <c r="AG4" s="149" cm="1">
        <f t="array" ref="AG4">SUMPRODUCT(TAB_CS[[Jul-2025]:[Sep-2025]]*(TAB_CS[Company]='Consortium calculs'!$C4))</f>
        <v>0</v>
      </c>
      <c r="AH4" s="83" cm="1">
        <f t="array" ref="AH4">SUMPRODUCT(TAB_CS[[Jul-2025]:[Sep-2025]]*(TAB_CS[Profile in €])*(TAB_CS[Company]='Consortium calculs'!$C4))</f>
        <v>0</v>
      </c>
      <c r="AI4" s="149" cm="1">
        <f t="array" ref="AI4">SUMPRODUCT(TAB_CS[[Oct-2025]:[Dec-2025]]*(TAB_CS[Company]='Consortium calculs'!$C4))</f>
        <v>0</v>
      </c>
      <c r="AJ4" s="83" cm="1">
        <f t="array" ref="AJ4">SUMPRODUCT(TAB_CS[[Oct-2025]:[Dec-2025]]*(TAB_CS[Profile in €])*(TAB_CS[Company]='Consortium calculs'!$C4))</f>
        <v>0</v>
      </c>
    </row>
    <row r="5" spans="1:36" x14ac:dyDescent="0.25">
      <c r="A5" s="688"/>
      <c r="B5" s="668"/>
      <c r="C5" s="40" t="s">
        <v>203</v>
      </c>
      <c r="D5" s="44">
        <f t="shared" si="0"/>
        <v>6209.5</v>
      </c>
      <c r="E5" s="39">
        <f t="shared" si="1"/>
        <v>4592951.6050000004</v>
      </c>
      <c r="G5" s="149">
        <f>SUMPRODUCT(TAB_CS[[Apr-2022]:[Jun-2022]]*(TAB_CS[Budget]='Consortium calculs'!$C5))</f>
        <v>0</v>
      </c>
      <c r="H5" s="83">
        <f>SUMPRODUCT(TAB_CS[[Apr-2022]:[Jun-2022]]*(TAB_CS[Profile in €])*(TAB_CS[Company]='Consortium calculs'!$C5))</f>
        <v>0</v>
      </c>
      <c r="I5" s="149">
        <f>SUMPRODUCT(TAB_CS[[Jul-2022]:[Sep-2022]]*(TAB_CS[Company]='Consortium calculs'!$C5))</f>
        <v>0</v>
      </c>
      <c r="J5" s="83">
        <f>SUMPRODUCT(TAB_CS[[Jul-2022]:[Sep-2022]]*(TAB_CS[Profile in €])*(TAB_CS[Company]='Consortium calculs'!$C5))</f>
        <v>0</v>
      </c>
      <c r="K5" s="149">
        <f>SUMPRODUCT(TAB_CS[[Oct-2022]:[Dec-2022]]*(TAB_CS[Company]='Consortium calculs'!$C5))</f>
        <v>192</v>
      </c>
      <c r="L5" s="83">
        <f>SUMPRODUCT(TAB_CS[[Oct-2022]:[Dec-2022]]*(TAB_CS[Profile in €])*(TAB_CS[Company]='Consortium calculs'!$C5))</f>
        <v>141720.06999999998</v>
      </c>
      <c r="M5" s="149">
        <f>SUMPRODUCT(TAB_CS[[Jan-2023]:[Mar-2023]]*(TAB_CS[Company]='Consortium calculs'!$C5))</f>
        <v>736.5</v>
      </c>
      <c r="N5" s="83">
        <f>SUMPRODUCT(TAB_CS[[Jan-2023]:[Mar-2023]]*(TAB_CS[Profile in €])*(TAB_CS[Company]='Consortium calculs'!$C5))</f>
        <v>543617.625</v>
      </c>
      <c r="O5" s="149" cm="1">
        <f t="array" ref="O5">SUMPRODUCT(TAB_CS[[Apr-2023]:[Jun-2023]]*(TAB_CS[Company]='Consortium calculs'!$C5))</f>
        <v>653.5</v>
      </c>
      <c r="P5" s="83" cm="1">
        <f t="array" ref="P5">SUMPRODUCT(TAB_CS[[Apr-2023]:[Jun-2023]]*(TAB_CS[Profile in €])*(TAB_CS[Company]='Consortium calculs'!$C5))</f>
        <v>486632.13500000001</v>
      </c>
      <c r="Q5" s="149" cm="1">
        <f t="array" ref="Q5">SUMPRODUCT(TAB_CS[[Jul-2023]:[Sep-2023]]*(TAB_CS[Company]='Consortium calculs'!$C5))</f>
        <v>638</v>
      </c>
      <c r="R5" s="83" cm="1">
        <f t="array" ref="R5">SUMPRODUCT(TAB_CS[[Jul-2023]:[Sep-2023]]*(TAB_CS[Profile in €])*(TAB_CS[Company]='Consortium calculs'!$C5))</f>
        <v>465866.04499999993</v>
      </c>
      <c r="S5" s="149" cm="1">
        <f t="array" ref="S5">SUMPRODUCT(TAB_CS[[Oct-2023]:[Dec-2023]]*(TAB_CS[Company]='Consortium calculs'!$C5))</f>
        <v>712.5</v>
      </c>
      <c r="T5" s="83" cm="1">
        <f t="array" ref="T5">SUMPRODUCT(TAB_CS[[Oct-2023]:[Dec-2023]]*(TAB_CS[Profile in €])*(TAB_CS[Company]='Consortium calculs'!$C5))</f>
        <v>512888.60499999981</v>
      </c>
      <c r="U5" s="149" cm="1">
        <f t="array" ref="U5">SUMPRODUCT(TAB_CS[[Jan-2024]:[Mar-2024]]*(TAB_CS[Company]='Consortium calculs'!$C5))</f>
        <v>739.5</v>
      </c>
      <c r="V5" s="83" cm="1">
        <f t="array" ref="V5">SUMPRODUCT(TAB_CS[[Jan-2024]:[Mar-2024]]*(TAB_CS[Profile in €])*(TAB_CS[Company]='Consortium calculs'!$C5))</f>
        <v>533196.27499999991</v>
      </c>
      <c r="W5" s="149" cm="1">
        <f t="array" ref="W5">SUMPRODUCT(TAB_CS[[Apr-2024]:[Jun-2024]]*(TAB_CS[Company]='Consortium calculs'!$C5))</f>
        <v>702</v>
      </c>
      <c r="X5" s="83" cm="1">
        <f t="array" ref="X5">SUMPRODUCT(TAB_CS[[Apr-2024]:[Jun-2024]]*(TAB_CS[Profile in €])*(TAB_CS[Company]='Consortium calculs'!$C5))</f>
        <v>519333.43999999989</v>
      </c>
      <c r="Y5" s="149" cm="1">
        <f t="array" ref="Y5">SUMPRODUCT(TAB_CS[[Jul-2024]:[Sep-2024]]*(TAB_CS[Company]='Consortium calculs'!$C5))</f>
        <v>664</v>
      </c>
      <c r="Z5" s="83" cm="1">
        <f t="array" ref="Z5">SUMPRODUCT(TAB_CS[[Jul-2024]:[Sep-2024]]*(TAB_CS[Profile in €])*(TAB_CS[Company]='Consortium calculs'!$C5))</f>
        <v>490798.63500000007</v>
      </c>
      <c r="AA5" s="149" cm="1">
        <f t="array" ref="AA5">SUMPRODUCT(TAB_CS[[Oct-2024]:[Dec-2024]]*(TAB_CS[Company]='Consortium calculs'!$C5))</f>
        <v>663.5</v>
      </c>
      <c r="AB5" s="83" cm="1">
        <f t="array" ref="AB5">SUMPRODUCT(TAB_CS[[Oct-2024]:[Dec-2024]]*(TAB_CS[Profile in €])*(TAB_CS[Company]='Consortium calculs'!$C5))</f>
        <v>510935.87499999994</v>
      </c>
      <c r="AC5" s="149" cm="1">
        <f t="array" ref="AC5">SUMPRODUCT(TAB_CS[[Jan-2025]:[Mar-2025]]*(TAB_CS[Company]='Consortium calculs'!$C5))</f>
        <v>508</v>
      </c>
      <c r="AD5" s="83" cm="1">
        <f t="array" ref="AD5">SUMPRODUCT(TAB_CS[[Jan-2025]:[Mar-2025]]*(TAB_CS[Profile in €])*(TAB_CS[Company]='Consortium calculs'!$C5))</f>
        <v>387962.9</v>
      </c>
      <c r="AE5" s="149" cm="1">
        <f t="array" ref="AE5">SUMPRODUCT(TAB_CS[[Apr-2025]:[Jun-2025]]*(TAB_CS[Company]='Consortium calculs'!$C5))</f>
        <v>302</v>
      </c>
      <c r="AF5" s="83" cm="1">
        <f t="array" ref="AF5">SUMPRODUCT(TAB_CS[[Apr-2025]:[Jun-2025]]*(TAB_CS[Profile in €])*(TAB_CS[Company]='Consortium calculs'!$C5))</f>
        <v>238701.75999999998</v>
      </c>
      <c r="AG5" s="149" cm="1">
        <f t="array" ref="AG5">SUMPRODUCT(TAB_CS[[Jul-2025]:[Sep-2025]]*(TAB_CS[Company]='Consortium calculs'!$C5))</f>
        <v>195</v>
      </c>
      <c r="AH5" s="83" cm="1">
        <f t="array" ref="AH5">SUMPRODUCT(TAB_CS[[Jul-2025]:[Sep-2025]]*(TAB_CS[Profile in €])*(TAB_CS[Company]='Consortium calculs'!$C5))</f>
        <v>162911.58000000002</v>
      </c>
      <c r="AI5" s="149" cm="1">
        <f t="array" ref="AI5">SUMPRODUCT(TAB_CS[[Oct-2025]:[Dec-2025]]*(TAB_CS[Company]='Consortium calculs'!$C5))</f>
        <v>131</v>
      </c>
      <c r="AJ5" s="83" cm="1">
        <f t="array" ref="AJ5">SUMPRODUCT(TAB_CS[[Oct-2025]:[Dec-2025]]*(TAB_CS[Profile in €])*(TAB_CS[Company]='Consortium calculs'!$C5))</f>
        <v>118631.19000000002</v>
      </c>
    </row>
    <row r="6" spans="1:36" x14ac:dyDescent="0.25">
      <c r="A6" s="688"/>
      <c r="B6" s="668"/>
      <c r="C6" s="40" t="s">
        <v>86</v>
      </c>
      <c r="D6" s="44">
        <f t="shared" si="0"/>
        <v>8653</v>
      </c>
      <c r="E6" s="39">
        <f t="shared" si="1"/>
        <v>4994980.51</v>
      </c>
      <c r="G6" s="149">
        <f>SUMPRODUCT(TAB_CS[[Apr-2022]:[Jun-2022]]*(TAB_CS[Budget]='Consortium calculs'!$C6))</f>
        <v>0</v>
      </c>
      <c r="H6" s="83">
        <f>SUMPRODUCT(TAB_CS[[Apr-2022]:[Jun-2022]]*(TAB_CS[Profile in €])*(TAB_CS[Company]='Consortium calculs'!$C6))</f>
        <v>0</v>
      </c>
      <c r="I6" s="149">
        <f>SUMPRODUCT(TAB_CS[[Jul-2022]:[Sep-2022]]*(TAB_CS[Company]='Consortium calculs'!$C6))</f>
        <v>19</v>
      </c>
      <c r="J6" s="83">
        <f>SUMPRODUCT(TAB_CS[[Jul-2022]:[Sep-2022]]*(TAB_CS[Profile in €])*(TAB_CS[Company]='Consortium calculs'!$C6))</f>
        <v>10455.280000000001</v>
      </c>
      <c r="K6" s="149">
        <f>SUMPRODUCT(TAB_CS[[Oct-2022]:[Dec-2022]]*(TAB_CS[Company]='Consortium calculs'!$C6))</f>
        <v>349.5</v>
      </c>
      <c r="L6" s="83">
        <f>SUMPRODUCT(TAB_CS[[Oct-2022]:[Dec-2022]]*(TAB_CS[Profile in €])*(TAB_CS[Company]='Consortium calculs'!$C6))</f>
        <v>195451.70499999996</v>
      </c>
      <c r="M6" s="149">
        <f>SUMPRODUCT(TAB_CS[[Jan-2023]:[Mar-2023]]*(TAB_CS[Company]='Consortium calculs'!$C6))</f>
        <v>827.5</v>
      </c>
      <c r="N6" s="83">
        <f>SUMPRODUCT(TAB_CS[[Jan-2023]:[Mar-2023]]*(TAB_CS[Profile in €])*(TAB_CS[Company]='Consortium calculs'!$C6))</f>
        <v>457486.26</v>
      </c>
      <c r="O6" s="149" cm="1">
        <f t="array" ref="O6">SUMPRODUCT(TAB_CS[[Apr-2023]:[Jun-2023]]*(TAB_CS[Company]='Consortium calculs'!$C6))</f>
        <v>736.5</v>
      </c>
      <c r="P6" s="83" cm="1">
        <f t="array" ref="P6">SUMPRODUCT(TAB_CS[[Apr-2023]:[Jun-2023]]*(TAB_CS[Profile in €])*(TAB_CS[Company]='Consortium calculs'!$C6))</f>
        <v>396557.88999999984</v>
      </c>
      <c r="Q6" s="149" cm="1">
        <f t="array" ref="Q6">SUMPRODUCT(TAB_CS[[Jul-2023]:[Sep-2023]]*(TAB_CS[Company]='Consortium calculs'!$C6))</f>
        <v>857.5</v>
      </c>
      <c r="R6" s="83" cm="1">
        <f t="array" ref="R6">SUMPRODUCT(TAB_CS[[Jul-2023]:[Sep-2023]]*(TAB_CS[Profile in €])*(TAB_CS[Company]='Consortium calculs'!$C6))</f>
        <v>474481.87999999995</v>
      </c>
      <c r="S6" s="149" cm="1">
        <f t="array" ref="S6">SUMPRODUCT(TAB_CS[[Oct-2023]:[Dec-2023]]*(TAB_CS[Company]='Consortium calculs'!$C6))</f>
        <v>930</v>
      </c>
      <c r="T6" s="83" cm="1">
        <f t="array" ref="T6">SUMPRODUCT(TAB_CS[[Oct-2023]:[Dec-2023]]*(TAB_CS[Profile in €])*(TAB_CS[Company]='Consortium calculs'!$C6))</f>
        <v>519556.16000000009</v>
      </c>
      <c r="U6" s="149" cm="1">
        <f t="array" ref="U6">SUMPRODUCT(TAB_CS[[Jan-2024]:[Mar-2024]]*(TAB_CS[Company]='Consortium calculs'!$C6))</f>
        <v>1012.5</v>
      </c>
      <c r="V6" s="83" cm="1">
        <f t="array" ref="V6">SUMPRODUCT(TAB_CS[[Jan-2024]:[Mar-2024]]*(TAB_CS[Profile in €])*(TAB_CS[Company]='Consortium calculs'!$C6))</f>
        <v>583642.04500000027</v>
      </c>
      <c r="W6" s="149" cm="1">
        <f t="array" ref="W6">SUMPRODUCT(TAB_CS[[Apr-2024]:[Jun-2024]]*(TAB_CS[Company]='Consortium calculs'!$C6))</f>
        <v>983</v>
      </c>
      <c r="X6" s="83" cm="1">
        <f t="array" ref="X6">SUMPRODUCT(TAB_CS[[Apr-2024]:[Jun-2024]]*(TAB_CS[Profile in €])*(TAB_CS[Company]='Consortium calculs'!$C6))</f>
        <v>581230.55499999993</v>
      </c>
      <c r="Y6" s="149" cm="1">
        <f t="array" ref="Y6">SUMPRODUCT(TAB_CS[[Jul-2024]:[Sep-2024]]*(TAB_CS[Company]='Consortium calculs'!$C6))</f>
        <v>991</v>
      </c>
      <c r="Z6" s="83" cm="1">
        <f t="array" ref="Z6">SUMPRODUCT(TAB_CS[[Jul-2024]:[Sep-2024]]*(TAB_CS[Profile in €])*(TAB_CS[Company]='Consortium calculs'!$C6))</f>
        <v>594051.49500000011</v>
      </c>
      <c r="AA6" s="149" cm="1">
        <f t="array" ref="AA6">SUMPRODUCT(TAB_CS[[Oct-2024]:[Dec-2024]]*(TAB_CS[Company]='Consortium calculs'!$C6))</f>
        <v>1038.5</v>
      </c>
      <c r="AB6" s="83" cm="1">
        <f t="array" ref="AB6">SUMPRODUCT(TAB_CS[[Oct-2024]:[Dec-2024]]*(TAB_CS[Profile in €])*(TAB_CS[Company]='Consortium calculs'!$C6))</f>
        <v>626915.13499999989</v>
      </c>
      <c r="AC6" s="149" cm="1">
        <f t="array" ref="AC6">SUMPRODUCT(TAB_CS[[Jan-2025]:[Mar-2025]]*(TAB_CS[Company]='Consortium calculs'!$C6))</f>
        <v>908</v>
      </c>
      <c r="AD6" s="83" cm="1">
        <f t="array" ref="AD6">SUMPRODUCT(TAB_CS[[Jan-2025]:[Mar-2025]]*(TAB_CS[Profile in €])*(TAB_CS[Company]='Consortium calculs'!$C6))</f>
        <v>555152.10499999986</v>
      </c>
      <c r="AE6" s="149" cm="1">
        <f t="array" ref="AE6">SUMPRODUCT(TAB_CS[[Apr-2025]:[Jun-2025]]*(TAB_CS[Company]='Consortium calculs'!$C6))</f>
        <v>427.5</v>
      </c>
      <c r="AF6" s="83" cm="1">
        <f t="array" ref="AF6">SUMPRODUCT(TAB_CS[[Apr-2025]:[Jun-2025]]*(TAB_CS[Profile in €])*(TAB_CS[Company]='Consortium calculs'!$C6))</f>
        <v>265565.02500000002</v>
      </c>
      <c r="AG6" s="149" cm="1">
        <f t="array" ref="AG6">SUMPRODUCT(TAB_CS[[Jul-2025]:[Sep-2025]]*(TAB_CS[Company]='Consortium calculs'!$C6))</f>
        <v>79.5</v>
      </c>
      <c r="AH6" s="83" cm="1">
        <f t="array" ref="AH6">SUMPRODUCT(TAB_CS[[Jul-2025]:[Sep-2025]]*(TAB_CS[Profile in €])*(TAB_CS[Company]='Consortium calculs'!$C6))</f>
        <v>53041.815000000002</v>
      </c>
      <c r="AI6" s="149" cm="1">
        <f t="array" ref="AI6">SUMPRODUCT(TAB_CS[[Oct-2025]:[Dec-2025]]*(TAB_CS[Company]='Consortium calculs'!$C6))</f>
        <v>13.5</v>
      </c>
      <c r="AJ6" s="83" cm="1">
        <f t="array" ref="AJ6">SUMPRODUCT(TAB_CS[[Oct-2025]:[Dec-2025]]*(TAB_CS[Profile in €])*(TAB_CS[Company]='Consortium calculs'!$C6))</f>
        <v>9363.7350000000006</v>
      </c>
    </row>
    <row r="7" spans="1:36" x14ac:dyDescent="0.25">
      <c r="A7" s="688"/>
      <c r="B7" s="668"/>
      <c r="C7" s="40" t="s">
        <v>87</v>
      </c>
      <c r="D7" s="44">
        <f t="shared" si="0"/>
        <v>2157</v>
      </c>
      <c r="E7" s="39">
        <f t="shared" si="1"/>
        <v>1346971.17</v>
      </c>
      <c r="G7" s="149">
        <f>SUMPRODUCT(TAB_CS[[Apr-2022]:[Jun-2022]]*(TAB_CS[Budget]='Consortium calculs'!$C7))</f>
        <v>0</v>
      </c>
      <c r="H7" s="83">
        <f>SUMPRODUCT(TAB_CS[[Apr-2022]:[Jun-2022]]*(TAB_CS[Profile in €])*(TAB_CS[Company]='Consortium calculs'!$C7))</f>
        <v>0</v>
      </c>
      <c r="I7" s="149">
        <f>SUMPRODUCT(TAB_CS[[Jul-2022]:[Sep-2022]]*(TAB_CS[Company]='Consortium calculs'!$C7))</f>
        <v>0</v>
      </c>
      <c r="J7" s="83">
        <f>SUMPRODUCT(TAB_CS[[Jul-2022]:[Sep-2022]]*(TAB_CS[Profile in €])*(TAB_CS[Company]='Consortium calculs'!$C7))</f>
        <v>0</v>
      </c>
      <c r="K7" s="149">
        <f>SUMPRODUCT(TAB_CS[[Oct-2022]:[Dec-2022]]*(TAB_CS[Company]='Consortium calculs'!$C7))</f>
        <v>0</v>
      </c>
      <c r="L7" s="83">
        <f>SUMPRODUCT(TAB_CS[[Oct-2022]:[Dec-2022]]*(TAB_CS[Profile in €])*(TAB_CS[Company]='Consortium calculs'!$C7))</f>
        <v>0</v>
      </c>
      <c r="M7" s="149">
        <f>SUMPRODUCT(TAB_CS[[Jan-2023]:[Mar-2023]]*(TAB_CS[Company]='Consortium calculs'!$C7))</f>
        <v>121</v>
      </c>
      <c r="N7" s="83">
        <f>SUMPRODUCT(TAB_CS[[Jan-2023]:[Mar-2023]]*(TAB_CS[Profile in €])*(TAB_CS[Company]='Consortium calculs'!$C7))</f>
        <v>84954.43</v>
      </c>
      <c r="O7" s="149" cm="1">
        <f t="array" ref="O7">SUMPRODUCT(TAB_CS[[Apr-2023]:[Jun-2023]]*(TAB_CS[Company]='Consortium calculs'!$C7))</f>
        <v>168.5</v>
      </c>
      <c r="P7" s="83" cm="1">
        <f t="array" ref="P7">SUMPRODUCT(TAB_CS[[Apr-2023]:[Jun-2023]]*(TAB_CS[Profile in €])*(TAB_CS[Company]='Consortium calculs'!$C7))</f>
        <v>107505.995</v>
      </c>
      <c r="Q7" s="149" cm="1">
        <f t="array" ref="Q7">SUMPRODUCT(TAB_CS[[Jul-2023]:[Sep-2023]]*(TAB_CS[Company]='Consortium calculs'!$C7))</f>
        <v>203</v>
      </c>
      <c r="R7" s="83" cm="1">
        <f t="array" ref="R7">SUMPRODUCT(TAB_CS[[Jul-2023]:[Sep-2023]]*(TAB_CS[Profile in €])*(TAB_CS[Company]='Consortium calculs'!$C7))</f>
        <v>135584.75999999998</v>
      </c>
      <c r="S7" s="149" cm="1">
        <f t="array" ref="S7">SUMPRODUCT(TAB_CS[[Oct-2023]:[Dec-2023]]*(TAB_CS[Company]='Consortium calculs'!$C7))</f>
        <v>257.5</v>
      </c>
      <c r="T7" s="83" cm="1">
        <f t="array" ref="T7">SUMPRODUCT(TAB_CS[[Oct-2023]:[Dec-2023]]*(TAB_CS[Profile in €])*(TAB_CS[Company]='Consortium calculs'!$C7))</f>
        <v>151548.90500000003</v>
      </c>
      <c r="U7" s="149" cm="1">
        <f t="array" ref="U7">SUMPRODUCT(TAB_CS[[Jan-2024]:[Mar-2024]]*(TAB_CS[Company]='Consortium calculs'!$C7))</f>
        <v>278</v>
      </c>
      <c r="V7" s="83" cm="1">
        <f t="array" ref="V7">SUMPRODUCT(TAB_CS[[Jan-2024]:[Mar-2024]]*(TAB_CS[Profile in €])*(TAB_CS[Company]='Consortium calculs'!$C7))</f>
        <v>167747.41500000004</v>
      </c>
      <c r="W7" s="149" cm="1">
        <f t="array" ref="W7">SUMPRODUCT(TAB_CS[[Apr-2024]:[Jun-2024]]*(TAB_CS[Company]='Consortium calculs'!$C7))</f>
        <v>286</v>
      </c>
      <c r="X7" s="83" cm="1">
        <f t="array" ref="X7">SUMPRODUCT(TAB_CS[[Apr-2024]:[Jun-2024]]*(TAB_CS[Profile in €])*(TAB_CS[Company]='Consortium calculs'!$C7))</f>
        <v>175706.25</v>
      </c>
      <c r="Y7" s="149" cm="1">
        <f t="array" ref="Y7">SUMPRODUCT(TAB_CS[[Jul-2024]:[Sep-2024]]*(TAB_CS[Company]='Consortium calculs'!$C7))</f>
        <v>310</v>
      </c>
      <c r="Z7" s="83" cm="1">
        <f t="array" ref="Z7">SUMPRODUCT(TAB_CS[[Jul-2024]:[Sep-2024]]*(TAB_CS[Profile in €])*(TAB_CS[Company]='Consortium calculs'!$C7))</f>
        <v>187403.50499999998</v>
      </c>
      <c r="AA7" s="149" cm="1">
        <f t="array" ref="AA7">SUMPRODUCT(TAB_CS[[Oct-2024]:[Dec-2024]]*(TAB_CS[Company]='Consortium calculs'!$C7))</f>
        <v>334</v>
      </c>
      <c r="AB7" s="83" cm="1">
        <f t="array" ref="AB7">SUMPRODUCT(TAB_CS[[Oct-2024]:[Dec-2024]]*(TAB_CS[Profile in €])*(TAB_CS[Company]='Consortium calculs'!$C7))</f>
        <v>206999.42</v>
      </c>
      <c r="AC7" s="149" cm="1">
        <f t="array" ref="AC7">SUMPRODUCT(TAB_CS[[Jan-2025]:[Mar-2025]]*(TAB_CS[Company]='Consortium calculs'!$C7))</f>
        <v>199</v>
      </c>
      <c r="AD7" s="83" cm="1">
        <f t="array" ref="AD7">SUMPRODUCT(TAB_CS[[Jan-2025]:[Mar-2025]]*(TAB_CS[Profile in €])*(TAB_CS[Company]='Consortium calculs'!$C7))</f>
        <v>129520.48999999999</v>
      </c>
      <c r="AE7" s="149" cm="1">
        <f t="array" ref="AE7">SUMPRODUCT(TAB_CS[[Apr-2025]:[Jun-2025]]*(TAB_CS[Company]='Consortium calculs'!$C7))</f>
        <v>84.5</v>
      </c>
      <c r="AF7" s="83" cm="1">
        <f t="array" ref="AF7">SUMPRODUCT(TAB_CS[[Apr-2025]:[Jun-2025]]*(TAB_CS[Profile in €])*(TAB_CS[Company]='Consortium calculs'!$C7))</f>
        <v>58951.68</v>
      </c>
      <c r="AG7" s="149" cm="1">
        <f t="array" ref="AG7">SUMPRODUCT(TAB_CS[[Jul-2025]:[Sep-2025]]*(TAB_CS[Company]='Consortium calculs'!$C7))</f>
        <v>21.5</v>
      </c>
      <c r="AH7" s="83" cm="1">
        <f t="array" ref="AH7">SUMPRODUCT(TAB_CS[[Jul-2025]:[Sep-2025]]*(TAB_CS[Profile in €])*(TAB_CS[Company]='Consortium calculs'!$C7))</f>
        <v>17056.810000000001</v>
      </c>
      <c r="AI7" s="149" cm="1">
        <f t="array" ref="AI7">SUMPRODUCT(TAB_CS[[Oct-2025]:[Dec-2025]]*(TAB_CS[Company]='Consortium calculs'!$C7))</f>
        <v>0</v>
      </c>
      <c r="AJ7" s="83" cm="1">
        <f t="array" ref="AJ7">SUMPRODUCT(TAB_CS[[Oct-2025]:[Dec-2025]]*(TAB_CS[Profile in €])*(TAB_CS[Company]='Consortium calculs'!$C7))</f>
        <v>0</v>
      </c>
    </row>
    <row r="8" spans="1:36" ht="13.8" thickBot="1" x14ac:dyDescent="0.3">
      <c r="A8" s="688"/>
      <c r="B8" s="669"/>
      <c r="C8" s="45" t="s">
        <v>88</v>
      </c>
      <c r="D8" s="47">
        <f t="shared" si="0"/>
        <v>558.5</v>
      </c>
      <c r="E8" s="46">
        <f t="shared" si="1"/>
        <v>318599.13</v>
      </c>
      <c r="G8" s="377">
        <f>SUMPRODUCT(TAB_CS[[Apr-2022]:[Jun-2022]]*(TAB_CS[Budget]='Consortium calculs'!$C8))</f>
        <v>0</v>
      </c>
      <c r="H8" s="378">
        <f>SUMPRODUCT(TAB_CS[[Apr-2022]:[Jun-2022]]*(TAB_CS[Profile in €])*(TAB_CS[Company]='Consortium calculs'!$C8))</f>
        <v>0</v>
      </c>
      <c r="I8" s="377">
        <f>SUMPRODUCT(TAB_CS[[Jul-2022]:[Sep-2022]]*(TAB_CS[Company]='Consortium calculs'!$C8))</f>
        <v>4</v>
      </c>
      <c r="J8" s="378">
        <f>SUMPRODUCT(TAB_CS[[Jul-2022]:[Sep-2022]]*(TAB_CS[Profile in €])*(TAB_CS[Company]='Consortium calculs'!$C8))</f>
        <v>2156.08</v>
      </c>
      <c r="K8" s="377">
        <f>SUMPRODUCT(TAB_CS[[Oct-2022]:[Dec-2022]]*(TAB_CS[Company]='Consortium calculs'!$C8))</f>
        <v>51.5</v>
      </c>
      <c r="L8" s="378">
        <f>SUMPRODUCT(TAB_CS[[Oct-2022]:[Dec-2022]]*(TAB_CS[Profile in €])*(TAB_CS[Company]='Consortium calculs'!$C8))</f>
        <v>27759.53</v>
      </c>
      <c r="M8" s="377">
        <f>SUMPRODUCT(TAB_CS[[Jan-2023]:[Mar-2023]]*(TAB_CS[Company]='Consortium calculs'!$C8))</f>
        <v>64</v>
      </c>
      <c r="N8" s="378">
        <f>SUMPRODUCT(TAB_CS[[Jan-2023]:[Mar-2023]]*(TAB_CS[Profile in €])*(TAB_CS[Company]='Consortium calculs'!$C8))</f>
        <v>34497.279999999999</v>
      </c>
      <c r="O8" s="377" cm="1">
        <f t="array" ref="O8">SUMPRODUCT(TAB_CS[[Apr-2023]:[Jun-2023]]*(TAB_CS[Company]='Consortium calculs'!$C8))</f>
        <v>66</v>
      </c>
      <c r="P8" s="378" cm="1">
        <f t="array" ref="P8">SUMPRODUCT(TAB_CS[[Apr-2023]:[Jun-2023]]*(TAB_CS[Profile in €])*(TAB_CS[Company]='Consortium calculs'!$C8))</f>
        <v>42029.039999999994</v>
      </c>
      <c r="Q8" s="377" cm="1">
        <f t="array" ref="Q8">SUMPRODUCT(TAB_CS[[Jul-2023]:[Sep-2023]]*(TAB_CS[Company]='Consortium calculs'!$C8))</f>
        <v>55.5</v>
      </c>
      <c r="R8" s="378" cm="1">
        <f t="array" ref="R8">SUMPRODUCT(TAB_CS[[Jul-2023]:[Sep-2023]]*(TAB_CS[Profile in €])*(TAB_CS[Company]='Consortium calculs'!$C8))</f>
        <v>33833.94</v>
      </c>
      <c r="S8" s="377" cm="1">
        <f t="array" ref="S8">SUMPRODUCT(TAB_CS[[Oct-2023]:[Dec-2023]]*(TAB_CS[Company]='Consortium calculs'!$C8))</f>
        <v>52</v>
      </c>
      <c r="T8" s="378" cm="1">
        <f t="array" ref="T8">SUMPRODUCT(TAB_CS[[Oct-2023]:[Dec-2023]]*(TAB_CS[Profile in €])*(TAB_CS[Company]='Consortium calculs'!$C8))</f>
        <v>29896.674999999999</v>
      </c>
      <c r="U8" s="377" cm="1">
        <f t="array" ref="U8">SUMPRODUCT(TAB_CS[[Jan-2024]:[Mar-2024]]*(TAB_CS[Company]='Consortium calculs'!$C8))</f>
        <v>59</v>
      </c>
      <c r="V8" s="378" cm="1">
        <f t="array" ref="V8">SUMPRODUCT(TAB_CS[[Jan-2024]:[Mar-2024]]*(TAB_CS[Profile in €])*(TAB_CS[Company]='Consortium calculs'!$C8))</f>
        <v>34028.25</v>
      </c>
      <c r="W8" s="377" cm="1">
        <f t="array" ref="W8">SUMPRODUCT(TAB_CS[[Apr-2024]:[Jun-2024]]*(TAB_CS[Company]='Consortium calculs'!$C8))</f>
        <v>51.5</v>
      </c>
      <c r="X8" s="378" cm="1">
        <f t="array" ref="X8">SUMPRODUCT(TAB_CS[[Apr-2024]:[Jun-2024]]*(TAB_CS[Profile in €])*(TAB_CS[Company]='Consortium calculs'!$C8))</f>
        <v>29702.625</v>
      </c>
      <c r="Y8" s="377" cm="1">
        <f t="array" ref="Y8">SUMPRODUCT(TAB_CS[[Jul-2024]:[Sep-2024]]*(TAB_CS[Company]='Consortium calculs'!$C8))</f>
        <v>54</v>
      </c>
      <c r="Z8" s="378" cm="1">
        <f t="array" ref="Z8">SUMPRODUCT(TAB_CS[[Jul-2024]:[Sep-2024]]*(TAB_CS[Profile in €])*(TAB_CS[Company]='Consortium calculs'!$C8))</f>
        <v>31144.5</v>
      </c>
      <c r="AA8" s="377" cm="1">
        <f t="array" ref="AA8">SUMPRODUCT(TAB_CS[[Oct-2024]:[Dec-2024]]*(TAB_CS[Company]='Consortium calculs'!$C8))</f>
        <v>47</v>
      </c>
      <c r="AB8" s="378" cm="1">
        <f t="array" ref="AB8">SUMPRODUCT(TAB_CS[[Oct-2024]:[Dec-2024]]*(TAB_CS[Profile in €])*(TAB_CS[Company]='Consortium calculs'!$C8))</f>
        <v>24919.870000000003</v>
      </c>
      <c r="AC8" s="377" cm="1">
        <f t="array" ref="AC8">SUMPRODUCT(TAB_CS[[Jan-2025]:[Mar-2025]]*(TAB_CS[Company]='Consortium calculs'!$C8))</f>
        <v>54</v>
      </c>
      <c r="AD8" s="378" cm="1">
        <f t="array" ref="AD8">SUMPRODUCT(TAB_CS[[Jan-2025]:[Mar-2025]]*(TAB_CS[Profile in €])*(TAB_CS[Company]='Consortium calculs'!$C8))</f>
        <v>28631.340000000004</v>
      </c>
      <c r="AE8" s="377" cm="1">
        <f t="array" ref="AE8">SUMPRODUCT(TAB_CS[[Apr-2025]:[Jun-2025]]*(TAB_CS[Company]='Consortium calculs'!$C8))</f>
        <v>29</v>
      </c>
      <c r="AF8" s="378" cm="1">
        <f t="array" ref="AF8">SUMPRODUCT(TAB_CS[[Apr-2025]:[Jun-2025]]*(TAB_CS[Profile in €])*(TAB_CS[Company]='Consortium calculs'!$C8))</f>
        <v>15376.09</v>
      </c>
      <c r="AG8" s="377" cm="1">
        <f t="array" ref="AG8">SUMPRODUCT(TAB_CS[[Jul-2025]:[Sep-2025]]*(TAB_CS[Company]='Consortium calculs'!$C8))</f>
        <v>0</v>
      </c>
      <c r="AH8" s="378" cm="1">
        <f t="array" ref="AH8">SUMPRODUCT(TAB_CS[[Jul-2025]:[Sep-2025]]*(TAB_CS[Profile in €])*(TAB_CS[Company]='Consortium calculs'!$C8))</f>
        <v>0</v>
      </c>
      <c r="AI8" s="377" cm="1">
        <f t="array" ref="AI8">SUMPRODUCT(TAB_CS[[Oct-2025]:[Dec-2025]]*(TAB_CS[Company]='Consortium calculs'!$C8))</f>
        <v>0</v>
      </c>
      <c r="AJ8" s="378" cm="1">
        <f t="array" ref="AJ8">SUMPRODUCT(TAB_CS[[Oct-2025]:[Dec-2025]]*(TAB_CS[Profile in €])*(TAB_CS[Company]='Consortium calculs'!$C8))</f>
        <v>0</v>
      </c>
    </row>
    <row r="9" spans="1:36" x14ac:dyDescent="0.25">
      <c r="A9" s="688"/>
      <c r="B9" s="683" t="s">
        <v>19</v>
      </c>
      <c r="C9" s="50" t="s">
        <v>85</v>
      </c>
      <c r="D9" s="74"/>
      <c r="E9" s="51">
        <f t="shared" si="1"/>
        <v>26941.059075000001</v>
      </c>
      <c r="G9" s="74"/>
      <c r="H9" s="52">
        <f t="shared" ref="H9:H14" si="2">H3*0.015</f>
        <v>0</v>
      </c>
      <c r="I9" s="74"/>
      <c r="J9" s="52">
        <f t="shared" ref="J9:J14" si="3">J3*0.015</f>
        <v>0</v>
      </c>
      <c r="K9" s="74"/>
      <c r="L9" s="52">
        <f t="shared" ref="L9:L14" si="4">L3*0.015</f>
        <v>372.43635</v>
      </c>
      <c r="M9" s="74"/>
      <c r="N9" s="52">
        <f t="shared" ref="N9:N14" si="5">N3*0.015</f>
        <v>852.002475</v>
      </c>
      <c r="O9" s="74"/>
      <c r="P9" s="52">
        <f t="shared" ref="P9:P14" si="6">P3*0.015</f>
        <v>963.02812499999993</v>
      </c>
      <c r="Q9" s="74"/>
      <c r="R9" s="52">
        <f t="shared" ref="R9:R14" si="7">R3*0.015</f>
        <v>1415.8766999999998</v>
      </c>
      <c r="S9" s="74"/>
      <c r="T9" s="52">
        <f t="shared" ref="T9:T14" si="8">T3*0.015</f>
        <v>2645.5826249999996</v>
      </c>
      <c r="U9" s="74"/>
      <c r="V9" s="52">
        <f t="shared" ref="V9:V14" si="9">V3*0.015</f>
        <v>3454.5418499999996</v>
      </c>
      <c r="W9" s="74"/>
      <c r="X9" s="52">
        <f t="shared" ref="X9:X14" si="10">X3*0.015</f>
        <v>3462.7167000000004</v>
      </c>
      <c r="Y9" s="74"/>
      <c r="Z9" s="52">
        <f t="shared" ref="Z9:Z14" si="11">Z3*0.015</f>
        <v>4330.1345250000013</v>
      </c>
      <c r="AA9" s="74"/>
      <c r="AB9" s="52">
        <f t="shared" ref="AB9:AB14" si="12">AB3*0.015</f>
        <v>5215.0075499999994</v>
      </c>
      <c r="AC9" s="74"/>
      <c r="AD9" s="52">
        <f t="shared" ref="AD9:AD14" si="13">AD3*0.015</f>
        <v>4229.7321750000001</v>
      </c>
      <c r="AE9" s="74"/>
      <c r="AF9" s="52">
        <f t="shared" ref="AF9:AF14" si="14">AF3*0.015</f>
        <v>1599.1820250000001</v>
      </c>
      <c r="AG9" s="74"/>
      <c r="AH9" s="52">
        <f t="shared" ref="AH9:AH14" si="15">AH3*0.015</f>
        <v>185.47822500000001</v>
      </c>
      <c r="AI9" s="74"/>
      <c r="AJ9" s="52">
        <f t="shared" ref="AJ9:AJ14" si="16">AJ3*0.015</f>
        <v>0</v>
      </c>
    </row>
    <row r="10" spans="1:36" x14ac:dyDescent="0.25">
      <c r="A10" s="688"/>
      <c r="B10" s="684"/>
      <c r="C10" s="40" t="s">
        <v>202</v>
      </c>
      <c r="D10" s="48"/>
      <c r="E10" s="51">
        <f t="shared" si="1"/>
        <v>0</v>
      </c>
      <c r="G10" s="49"/>
      <c r="H10" s="52">
        <f t="shared" si="2"/>
        <v>0</v>
      </c>
      <c r="I10" s="49"/>
      <c r="J10" s="52">
        <f t="shared" si="3"/>
        <v>0</v>
      </c>
      <c r="K10" s="49"/>
      <c r="L10" s="52">
        <f t="shared" si="4"/>
        <v>0</v>
      </c>
      <c r="M10" s="49"/>
      <c r="N10" s="52">
        <f t="shared" si="5"/>
        <v>0</v>
      </c>
      <c r="O10" s="49"/>
      <c r="P10" s="52">
        <f t="shared" si="6"/>
        <v>0</v>
      </c>
      <c r="Q10" s="49"/>
      <c r="R10" s="52">
        <f t="shared" si="7"/>
        <v>0</v>
      </c>
      <c r="S10" s="49"/>
      <c r="T10" s="52">
        <f t="shared" si="8"/>
        <v>0</v>
      </c>
      <c r="U10" s="49"/>
      <c r="V10" s="52">
        <f t="shared" si="9"/>
        <v>0</v>
      </c>
      <c r="W10" s="49"/>
      <c r="X10" s="52">
        <f t="shared" si="10"/>
        <v>0</v>
      </c>
      <c r="Y10" s="49"/>
      <c r="Z10" s="52">
        <f t="shared" si="11"/>
        <v>0</v>
      </c>
      <c r="AA10" s="49"/>
      <c r="AB10" s="52">
        <f t="shared" si="12"/>
        <v>0</v>
      </c>
      <c r="AC10" s="49"/>
      <c r="AD10" s="52">
        <f t="shared" si="13"/>
        <v>0</v>
      </c>
      <c r="AE10" s="49"/>
      <c r="AF10" s="52">
        <f t="shared" si="14"/>
        <v>0</v>
      </c>
      <c r="AG10" s="49"/>
      <c r="AH10" s="52">
        <f t="shared" si="15"/>
        <v>0</v>
      </c>
      <c r="AI10" s="49"/>
      <c r="AJ10" s="52">
        <f t="shared" si="16"/>
        <v>0</v>
      </c>
    </row>
    <row r="11" spans="1:36" x14ac:dyDescent="0.25">
      <c r="A11" s="688"/>
      <c r="B11" s="684"/>
      <c r="C11" s="40" t="s">
        <v>203</v>
      </c>
      <c r="D11" s="48"/>
      <c r="E11" s="39">
        <f t="shared" ref="E11:E20" si="17">SUMIF(F$2:AD$2,E$2,F11:AD11)</f>
        <v>68894.274074999979</v>
      </c>
      <c r="G11" s="139"/>
      <c r="H11" s="41">
        <f t="shared" si="2"/>
        <v>0</v>
      </c>
      <c r="I11" s="139"/>
      <c r="J11" s="41">
        <f t="shared" si="3"/>
        <v>0</v>
      </c>
      <c r="K11" s="139"/>
      <c r="L11" s="41">
        <f t="shared" si="4"/>
        <v>2125.8010499999996</v>
      </c>
      <c r="M11" s="139"/>
      <c r="N11" s="41">
        <f t="shared" si="5"/>
        <v>8154.2643749999997</v>
      </c>
      <c r="O11" s="139"/>
      <c r="P11" s="41">
        <f t="shared" si="6"/>
        <v>7299.4820250000002</v>
      </c>
      <c r="Q11" s="139"/>
      <c r="R11" s="52">
        <f t="shared" si="7"/>
        <v>6987.9906749999982</v>
      </c>
      <c r="S11" s="139"/>
      <c r="T11" s="52">
        <f t="shared" si="8"/>
        <v>7693.3290749999969</v>
      </c>
      <c r="U11" s="139"/>
      <c r="V11" s="41">
        <f t="shared" si="9"/>
        <v>7997.9441249999982</v>
      </c>
      <c r="W11" s="139"/>
      <c r="X11" s="41">
        <f t="shared" si="10"/>
        <v>7790.0015999999978</v>
      </c>
      <c r="Y11" s="139"/>
      <c r="Z11" s="52">
        <f t="shared" si="11"/>
        <v>7361.9795250000006</v>
      </c>
      <c r="AA11" s="139"/>
      <c r="AB11" s="52">
        <f t="shared" si="12"/>
        <v>7664.0381249999991</v>
      </c>
      <c r="AC11" s="139"/>
      <c r="AD11" s="41">
        <f t="shared" si="13"/>
        <v>5819.4435000000003</v>
      </c>
      <c r="AE11" s="139"/>
      <c r="AF11" s="41">
        <f t="shared" si="14"/>
        <v>3580.5263999999997</v>
      </c>
      <c r="AG11" s="139"/>
      <c r="AH11" s="52">
        <f t="shared" si="15"/>
        <v>2443.6737000000003</v>
      </c>
      <c r="AI11" s="139"/>
      <c r="AJ11" s="52">
        <f t="shared" si="16"/>
        <v>1779.4678500000002</v>
      </c>
    </row>
    <row r="12" spans="1:36" x14ac:dyDescent="0.25">
      <c r="A12" s="688"/>
      <c r="B12" s="684"/>
      <c r="C12" s="40" t="s">
        <v>86</v>
      </c>
      <c r="D12" s="48"/>
      <c r="E12" s="39">
        <f t="shared" si="17"/>
        <v>74924.707649999997</v>
      </c>
      <c r="G12" s="49"/>
      <c r="H12" s="41">
        <f t="shared" si="2"/>
        <v>0</v>
      </c>
      <c r="I12" s="49"/>
      <c r="J12" s="41">
        <f t="shared" si="3"/>
        <v>156.82920000000001</v>
      </c>
      <c r="K12" s="49"/>
      <c r="L12" s="41">
        <f t="shared" si="4"/>
        <v>2931.7755749999992</v>
      </c>
      <c r="M12" s="49"/>
      <c r="N12" s="41">
        <f t="shared" si="5"/>
        <v>6862.2938999999997</v>
      </c>
      <c r="O12" s="49"/>
      <c r="P12" s="41">
        <f t="shared" si="6"/>
        <v>5948.368349999997</v>
      </c>
      <c r="Q12" s="49"/>
      <c r="R12" s="52">
        <f t="shared" si="7"/>
        <v>7117.2281999999987</v>
      </c>
      <c r="S12" s="49"/>
      <c r="T12" s="52">
        <f t="shared" si="8"/>
        <v>7793.3424000000014</v>
      </c>
      <c r="U12" s="49"/>
      <c r="V12" s="41">
        <f t="shared" si="9"/>
        <v>8754.630675000004</v>
      </c>
      <c r="W12" s="49"/>
      <c r="X12" s="41">
        <f t="shared" si="10"/>
        <v>8718.4583249999996</v>
      </c>
      <c r="Y12" s="49"/>
      <c r="Z12" s="52">
        <f t="shared" si="11"/>
        <v>8910.772425000001</v>
      </c>
      <c r="AA12" s="49"/>
      <c r="AB12" s="52">
        <f t="shared" si="12"/>
        <v>9403.7270249999983</v>
      </c>
      <c r="AC12" s="49"/>
      <c r="AD12" s="41">
        <f t="shared" si="13"/>
        <v>8327.2815749999972</v>
      </c>
      <c r="AE12" s="49"/>
      <c r="AF12" s="41">
        <f t="shared" si="14"/>
        <v>3983.475375</v>
      </c>
      <c r="AG12" s="49"/>
      <c r="AH12" s="52">
        <f t="shared" si="15"/>
        <v>795.62722499999995</v>
      </c>
      <c r="AI12" s="49"/>
      <c r="AJ12" s="52">
        <f t="shared" si="16"/>
        <v>140.45602500000001</v>
      </c>
    </row>
    <row r="13" spans="1:36" x14ac:dyDescent="0.25">
      <c r="A13" s="688"/>
      <c r="B13" s="684"/>
      <c r="C13" s="40" t="s">
        <v>87</v>
      </c>
      <c r="D13" s="48"/>
      <c r="E13" s="39">
        <f t="shared" si="17"/>
        <v>20204.56755</v>
      </c>
      <c r="G13" s="49"/>
      <c r="H13" s="41">
        <f t="shared" si="2"/>
        <v>0</v>
      </c>
      <c r="I13" s="49"/>
      <c r="J13" s="41">
        <f t="shared" si="3"/>
        <v>0</v>
      </c>
      <c r="K13" s="49"/>
      <c r="L13" s="41">
        <f t="shared" si="4"/>
        <v>0</v>
      </c>
      <c r="M13" s="49"/>
      <c r="N13" s="41">
        <f t="shared" si="5"/>
        <v>1274.3164499999998</v>
      </c>
      <c r="O13" s="49"/>
      <c r="P13" s="41">
        <f t="shared" si="6"/>
        <v>1612.5899249999998</v>
      </c>
      <c r="Q13" s="49"/>
      <c r="R13" s="52">
        <f t="shared" si="7"/>
        <v>2033.7713999999996</v>
      </c>
      <c r="S13" s="49"/>
      <c r="T13" s="52">
        <f t="shared" si="8"/>
        <v>2273.2335750000002</v>
      </c>
      <c r="U13" s="49"/>
      <c r="V13" s="41">
        <f t="shared" si="9"/>
        <v>2516.2112250000005</v>
      </c>
      <c r="W13" s="49"/>
      <c r="X13" s="41">
        <f t="shared" si="10"/>
        <v>2635.59375</v>
      </c>
      <c r="Y13" s="49"/>
      <c r="Z13" s="52">
        <f t="shared" si="11"/>
        <v>2811.0525749999997</v>
      </c>
      <c r="AA13" s="49"/>
      <c r="AB13" s="52">
        <f t="shared" si="12"/>
        <v>3104.9913000000001</v>
      </c>
      <c r="AC13" s="49"/>
      <c r="AD13" s="41">
        <f t="shared" si="13"/>
        <v>1942.8073499999998</v>
      </c>
      <c r="AE13" s="49"/>
      <c r="AF13" s="41">
        <f t="shared" si="14"/>
        <v>884.27519999999993</v>
      </c>
      <c r="AG13" s="49"/>
      <c r="AH13" s="52">
        <f t="shared" si="15"/>
        <v>255.85215000000002</v>
      </c>
      <c r="AI13" s="49"/>
      <c r="AJ13" s="52">
        <f t="shared" si="16"/>
        <v>0</v>
      </c>
    </row>
    <row r="14" spans="1:36" ht="13.8" thickBot="1" x14ac:dyDescent="0.3">
      <c r="A14" s="688"/>
      <c r="B14" s="684"/>
      <c r="C14" s="45" t="s">
        <v>88</v>
      </c>
      <c r="D14" s="370"/>
      <c r="E14" s="73">
        <f t="shared" si="17"/>
        <v>4778.9869499999995</v>
      </c>
      <c r="F14" s="371"/>
      <c r="G14" s="370"/>
      <c r="H14" s="372">
        <f t="shared" si="2"/>
        <v>0</v>
      </c>
      <c r="I14" s="370"/>
      <c r="J14" s="372">
        <f t="shared" si="3"/>
        <v>32.341200000000001</v>
      </c>
      <c r="K14" s="370"/>
      <c r="L14" s="372">
        <f t="shared" si="4"/>
        <v>416.39294999999998</v>
      </c>
      <c r="M14" s="370"/>
      <c r="N14" s="372">
        <f t="shared" si="5"/>
        <v>517.45920000000001</v>
      </c>
      <c r="O14" s="370"/>
      <c r="P14" s="372">
        <f t="shared" si="6"/>
        <v>630.43559999999991</v>
      </c>
      <c r="Q14" s="370"/>
      <c r="R14" s="373">
        <f t="shared" si="7"/>
        <v>507.50909999999999</v>
      </c>
      <c r="S14" s="370"/>
      <c r="T14" s="373">
        <f t="shared" si="8"/>
        <v>448.45012499999996</v>
      </c>
      <c r="U14" s="370"/>
      <c r="V14" s="372">
        <f t="shared" si="9"/>
        <v>510.42374999999998</v>
      </c>
      <c r="W14" s="370"/>
      <c r="X14" s="372">
        <f t="shared" si="10"/>
        <v>445.53937500000001</v>
      </c>
      <c r="Y14" s="370"/>
      <c r="Z14" s="373">
        <f t="shared" si="11"/>
        <v>467.16749999999996</v>
      </c>
      <c r="AA14" s="370"/>
      <c r="AB14" s="373">
        <f t="shared" si="12"/>
        <v>373.79805000000005</v>
      </c>
      <c r="AC14" s="370"/>
      <c r="AD14" s="372">
        <f t="shared" si="13"/>
        <v>429.47010000000006</v>
      </c>
      <c r="AE14" s="370"/>
      <c r="AF14" s="372">
        <f t="shared" si="14"/>
        <v>230.64134999999999</v>
      </c>
      <c r="AG14" s="370"/>
      <c r="AH14" s="373">
        <f t="shared" si="15"/>
        <v>0</v>
      </c>
      <c r="AI14" s="370"/>
      <c r="AJ14" s="373">
        <f t="shared" si="16"/>
        <v>0</v>
      </c>
    </row>
    <row r="15" spans="1:36" x14ac:dyDescent="0.25">
      <c r="A15" s="688"/>
      <c r="B15" s="690" t="s">
        <v>350</v>
      </c>
      <c r="C15" s="50" t="s">
        <v>85</v>
      </c>
      <c r="D15" s="74"/>
      <c r="E15" s="51">
        <f t="shared" si="17"/>
        <v>0</v>
      </c>
      <c r="G15" s="74"/>
      <c r="H15" s="369">
        <f>SUMPRODUCT(TAB_CSEXPENSES[sept-2022]*(TAB_CSEXPENSES[Company]='Consortium calculs'!$C15))</f>
        <v>0</v>
      </c>
      <c r="I15" s="74"/>
      <c r="J15" s="369">
        <f>SUMPRODUCT(TAB_CSEXPENSES[sept-2022]*(TAB_CSEXPENSES[Company]='Consortium calculs'!$C15))</f>
        <v>0</v>
      </c>
      <c r="K15" s="74"/>
      <c r="L15" s="369">
        <f>SUMPRODUCT(TAB_CSEXPENSES[[oct-2022]:[dec-2022]]*(TAB_CSEXPENSES[Company]='Consortium calculs'!$C15))</f>
        <v>0</v>
      </c>
      <c r="M15" s="74"/>
      <c r="N15" s="369">
        <f>SUMPRODUCT(TAB_CSEXPENSES[[Jan-2023]:[Mar-2023]]*(TAB_CSEXPENSES[Company]='Consortium calculs'!$C15))</f>
        <v>0</v>
      </c>
      <c r="O15" s="74"/>
      <c r="P15" s="369">
        <f>SUMPRODUCT(TAB_CSEXPENSES[[Jan-2023]:[Mar-2023]]*(TAB_CSEXPENSES[Company]='Consortium calculs'!$C15))</f>
        <v>0</v>
      </c>
      <c r="Q15" s="74"/>
      <c r="R15" s="369"/>
      <c r="S15" s="74"/>
      <c r="T15" s="369"/>
      <c r="U15" s="74"/>
      <c r="V15" s="369">
        <f>SUMPRODUCT(TAB_CSEXPENSES[[Jan-2023]:[Mar-2023]]*(TAB_CSEXPENSES[Company]='Consortium calculs'!$C15))</f>
        <v>0</v>
      </c>
      <c r="W15" s="74"/>
      <c r="X15" s="369">
        <f>SUMPRODUCT(TAB_CSEXPENSES[[Jan-2023]:[Mar-2023]]*(TAB_CSEXPENSES[Company]='Consortium calculs'!$C15))</f>
        <v>0</v>
      </c>
      <c r="Y15" s="74"/>
      <c r="Z15" s="369"/>
      <c r="AA15" s="74"/>
      <c r="AB15" s="369"/>
      <c r="AC15" s="74"/>
      <c r="AD15" s="369">
        <f>SUMPRODUCT(TAB_CSEXPENSES[[Jan-2023]:[Mar-2023]]*(TAB_CSEXPENSES[Company]='Consortium calculs'!$C15))</f>
        <v>0</v>
      </c>
      <c r="AE15" s="74"/>
      <c r="AF15" s="369">
        <f>SUMPRODUCT(TAB_CSEXPENSES[[Jan-2023]:[Mar-2023]]*(TAB_CSEXPENSES[Company]='Consortium calculs'!$C15))</f>
        <v>0</v>
      </c>
      <c r="AG15" s="74"/>
      <c r="AH15" s="369"/>
      <c r="AI15" s="74"/>
      <c r="AJ15" s="369"/>
    </row>
    <row r="16" spans="1:36" x14ac:dyDescent="0.25">
      <c r="A16" s="688"/>
      <c r="B16" s="691"/>
      <c r="C16" s="40" t="s">
        <v>202</v>
      </c>
      <c r="D16" s="48"/>
      <c r="E16" s="39">
        <f t="shared" si="17"/>
        <v>0</v>
      </c>
      <c r="G16" s="49"/>
      <c r="H16" s="83">
        <f>SUMPRODUCT(TAB_CSEXPENSES[sept-2022]*(TAB_CSEXPENSES[Company]='Consortium calculs'!$C16))</f>
        <v>0</v>
      </c>
      <c r="I16" s="49"/>
      <c r="J16" s="83">
        <f>SUMPRODUCT(TAB_CSEXPENSES[sept-2022]*(TAB_CSEXPENSES[Company]='Consortium calculs'!$C16))</f>
        <v>0</v>
      </c>
      <c r="K16" s="49"/>
      <c r="L16" s="83">
        <f>SUMPRODUCT(TAB_CSEXPENSES[[oct-2022]:[dec-2022]]*(TAB_CSEXPENSES[Company]='Consortium calculs'!$C16))</f>
        <v>0</v>
      </c>
      <c r="M16" s="49"/>
      <c r="N16" s="83">
        <f>SUMPRODUCT(TAB_CSEXPENSES[[Jan-2023]:[Mar-2023]]*(TAB_CSEXPENSES[Company]='Consortium calculs'!$C16))</f>
        <v>0</v>
      </c>
      <c r="O16" s="49"/>
      <c r="P16" s="83">
        <f>SUMPRODUCT(TAB_CSEXPENSES[[Jan-2023]:[Mar-2023]]*(TAB_CSEXPENSES[Company]='Consortium calculs'!$C16))</f>
        <v>0</v>
      </c>
      <c r="Q16" s="49"/>
      <c r="R16" s="83"/>
      <c r="S16" s="49"/>
      <c r="T16" s="83"/>
      <c r="U16" s="49"/>
      <c r="V16" s="83">
        <f>SUMPRODUCT(TAB_CSEXPENSES[[Jan-2023]:[Mar-2023]]*(TAB_CSEXPENSES[Company]='Consortium calculs'!$C16))</f>
        <v>0</v>
      </c>
      <c r="W16" s="49"/>
      <c r="X16" s="83">
        <f>SUMPRODUCT(TAB_CSEXPENSES[[Jan-2023]:[Mar-2023]]*(TAB_CSEXPENSES[Company]='Consortium calculs'!$C16))</f>
        <v>0</v>
      </c>
      <c r="Y16" s="49"/>
      <c r="Z16" s="83"/>
      <c r="AA16" s="49"/>
      <c r="AB16" s="83"/>
      <c r="AC16" s="49"/>
      <c r="AD16" s="83">
        <f>SUMPRODUCT(TAB_CSEXPENSES[[Jan-2023]:[Mar-2023]]*(TAB_CSEXPENSES[Company]='Consortium calculs'!$C16))</f>
        <v>0</v>
      </c>
      <c r="AE16" s="49"/>
      <c r="AF16" s="83">
        <f>SUMPRODUCT(TAB_CSEXPENSES[[Jan-2023]:[Mar-2023]]*(TAB_CSEXPENSES[Company]='Consortium calculs'!$C16))</f>
        <v>0</v>
      </c>
      <c r="AG16" s="49"/>
      <c r="AH16" s="83"/>
      <c r="AI16" s="49"/>
      <c r="AJ16" s="83"/>
    </row>
    <row r="17" spans="1:36" x14ac:dyDescent="0.25">
      <c r="A17" s="688"/>
      <c r="B17" s="691"/>
      <c r="C17" s="40" t="s">
        <v>203</v>
      </c>
      <c r="D17" s="48"/>
      <c r="E17" s="39">
        <f t="shared" si="17"/>
        <v>0</v>
      </c>
      <c r="G17" s="139"/>
      <c r="H17" s="83">
        <f>SUMPRODUCT(TAB_CSEXPENSES[sept-2022]*(TAB_CSEXPENSES[Company]='Consortium calculs'!$C17))</f>
        <v>0</v>
      </c>
      <c r="I17" s="139"/>
      <c r="J17" s="83">
        <f>SUMPRODUCT(TAB_CSEXPENSES[sept-2022]*(TAB_CSEXPENSES[Company]='Consortium calculs'!$C17))</f>
        <v>0</v>
      </c>
      <c r="K17" s="139"/>
      <c r="L17" s="83">
        <f>SUMPRODUCT(TAB_CSEXPENSES[[oct-2022]:[dec-2022]]*(TAB_CSEXPENSES[Company]='Consortium calculs'!$C17))</f>
        <v>0</v>
      </c>
      <c r="M17" s="139"/>
      <c r="N17" s="83">
        <f>SUMPRODUCT(TAB_CSEXPENSES[[Jan-2023]:[Mar-2023]]*(TAB_CSEXPENSES[Company]='Consortium calculs'!$C17))</f>
        <v>0</v>
      </c>
      <c r="O17" s="139"/>
      <c r="P17" s="83">
        <f>SUMPRODUCT(TAB_CSEXPENSES[[Jan-2023]:[Mar-2023]]*(TAB_CSEXPENSES[Company]='Consortium calculs'!$C17))</f>
        <v>0</v>
      </c>
      <c r="Q17" s="139"/>
      <c r="R17" s="83"/>
      <c r="S17" s="139"/>
      <c r="T17" s="83"/>
      <c r="U17" s="139"/>
      <c r="V17" s="83">
        <f>SUMPRODUCT(TAB_CSEXPENSES[[Jan-2023]:[Mar-2023]]*(TAB_CSEXPENSES[Company]='Consortium calculs'!$C17))</f>
        <v>0</v>
      </c>
      <c r="W17" s="139"/>
      <c r="X17" s="83">
        <f>SUMPRODUCT(TAB_CSEXPENSES[[Jan-2023]:[Mar-2023]]*(TAB_CSEXPENSES[Company]='Consortium calculs'!$C17))</f>
        <v>0</v>
      </c>
      <c r="Y17" s="139"/>
      <c r="Z17" s="83"/>
      <c r="AA17" s="139"/>
      <c r="AB17" s="83"/>
      <c r="AC17" s="139"/>
      <c r="AD17" s="83">
        <f>SUMPRODUCT(TAB_CSEXPENSES[[Jan-2023]:[Mar-2023]]*(TAB_CSEXPENSES[Company]='Consortium calculs'!$C17))</f>
        <v>0</v>
      </c>
      <c r="AE17" s="139"/>
      <c r="AF17" s="83">
        <f>SUMPRODUCT(TAB_CSEXPENSES[[Jan-2023]:[Mar-2023]]*(TAB_CSEXPENSES[Company]='Consortium calculs'!$C17))</f>
        <v>0</v>
      </c>
      <c r="AG17" s="139"/>
      <c r="AH17" s="83"/>
      <c r="AI17" s="139"/>
      <c r="AJ17" s="83"/>
    </row>
    <row r="18" spans="1:36" x14ac:dyDescent="0.25">
      <c r="A18" s="688"/>
      <c r="B18" s="691"/>
      <c r="C18" s="40" t="s">
        <v>86</v>
      </c>
      <c r="D18" s="48"/>
      <c r="E18" s="39">
        <f t="shared" si="17"/>
        <v>0</v>
      </c>
      <c r="G18" s="49"/>
      <c r="H18" s="83">
        <f>SUMPRODUCT(TAB_CSEXPENSES[sept-2022]*(TAB_CSEXPENSES[Company]='Consortium calculs'!$C18))</f>
        <v>0</v>
      </c>
      <c r="I18" s="49"/>
      <c r="J18" s="83">
        <f>SUMPRODUCT(TAB_CSEXPENSES[sept-2022]*(TAB_CSEXPENSES[Company]='Consortium calculs'!$C18))</f>
        <v>0</v>
      </c>
      <c r="K18" s="49"/>
      <c r="L18" s="83">
        <f>SUMPRODUCT(TAB_CSEXPENSES[[oct-2022]:[dec-2022]]*(TAB_CSEXPENSES[Company]='Consortium calculs'!$C18))</f>
        <v>0</v>
      </c>
      <c r="M18" s="49"/>
      <c r="N18" s="83">
        <f>SUMPRODUCT(TAB_CSEXPENSES[[Jan-2023]:[Mar-2023]]*(TAB_CSEXPENSES[Company]='Consortium calculs'!$C18))</f>
        <v>0</v>
      </c>
      <c r="O18" s="49"/>
      <c r="P18" s="83">
        <f>SUMPRODUCT(TAB_CSEXPENSES[[Jan-2023]:[Mar-2023]]*(TAB_CSEXPENSES[Company]='Consortium calculs'!$C18))</f>
        <v>0</v>
      </c>
      <c r="Q18" s="49"/>
      <c r="R18" s="83"/>
      <c r="S18" s="49"/>
      <c r="T18" s="83"/>
      <c r="U18" s="49"/>
      <c r="V18" s="83">
        <f>SUMPRODUCT(TAB_CSEXPENSES[[Jan-2023]:[Mar-2023]]*(TAB_CSEXPENSES[Company]='Consortium calculs'!$C18))</f>
        <v>0</v>
      </c>
      <c r="W18" s="49"/>
      <c r="X18" s="83">
        <f>SUMPRODUCT(TAB_CSEXPENSES[[Jan-2023]:[Mar-2023]]*(TAB_CSEXPENSES[Company]='Consortium calculs'!$C18))</f>
        <v>0</v>
      </c>
      <c r="Y18" s="49"/>
      <c r="Z18" s="83"/>
      <c r="AA18" s="49"/>
      <c r="AB18" s="83"/>
      <c r="AC18" s="49"/>
      <c r="AD18" s="83">
        <f>SUMPRODUCT(TAB_CSEXPENSES[[Jan-2023]:[Mar-2023]]*(TAB_CSEXPENSES[Company]='Consortium calculs'!$C18))</f>
        <v>0</v>
      </c>
      <c r="AE18" s="49"/>
      <c r="AF18" s="83">
        <f>SUMPRODUCT(TAB_CSEXPENSES[[Jan-2023]:[Mar-2023]]*(TAB_CSEXPENSES[Company]='Consortium calculs'!$C18))</f>
        <v>0</v>
      </c>
      <c r="AG18" s="49"/>
      <c r="AH18" s="83"/>
      <c r="AI18" s="49"/>
      <c r="AJ18" s="83"/>
    </row>
    <row r="19" spans="1:36" x14ac:dyDescent="0.25">
      <c r="A19" s="688"/>
      <c r="B19" s="691"/>
      <c r="C19" s="40" t="s">
        <v>87</v>
      </c>
      <c r="D19" s="48"/>
      <c r="E19" s="39">
        <f t="shared" si="17"/>
        <v>0</v>
      </c>
      <c r="G19" s="49"/>
      <c r="H19" s="83">
        <f>SUMPRODUCT(TAB_CSEXPENSES[sept-2022]*(TAB_CSEXPENSES[Company]='Consortium calculs'!$C19))</f>
        <v>0</v>
      </c>
      <c r="I19" s="49"/>
      <c r="J19" s="83">
        <f>SUMPRODUCT(TAB_CSEXPENSES[sept-2022]*(TAB_CSEXPENSES[Company]='Consortium calculs'!$C19))</f>
        <v>0</v>
      </c>
      <c r="K19" s="49"/>
      <c r="L19" s="83">
        <f>SUMPRODUCT(TAB_CSEXPENSES[[oct-2022]:[dec-2022]]*(TAB_CSEXPENSES[Company]='Consortium calculs'!$C19))</f>
        <v>0</v>
      </c>
      <c r="M19" s="49"/>
      <c r="N19" s="83">
        <f>SUMPRODUCT(TAB_CSEXPENSES[[Jan-2023]:[Mar-2023]]*(TAB_CSEXPENSES[Company]='Consortium calculs'!$C19))</f>
        <v>0</v>
      </c>
      <c r="O19" s="49"/>
      <c r="P19" s="83">
        <f>SUMPRODUCT(TAB_CSEXPENSES[[Jan-2023]:[Mar-2023]]*(TAB_CSEXPENSES[Company]='Consortium calculs'!$C19))</f>
        <v>0</v>
      </c>
      <c r="Q19" s="49"/>
      <c r="R19" s="83"/>
      <c r="S19" s="49"/>
      <c r="T19" s="83"/>
      <c r="U19" s="49"/>
      <c r="V19" s="83">
        <f>SUMPRODUCT(TAB_CSEXPENSES[[Jan-2023]:[Mar-2023]]*(TAB_CSEXPENSES[Company]='Consortium calculs'!$C19))</f>
        <v>0</v>
      </c>
      <c r="W19" s="49"/>
      <c r="X19" s="83">
        <f>SUMPRODUCT(TAB_CSEXPENSES[[Jan-2023]:[Mar-2023]]*(TAB_CSEXPENSES[Company]='Consortium calculs'!$C19))</f>
        <v>0</v>
      </c>
      <c r="Y19" s="49"/>
      <c r="Z19" s="83"/>
      <c r="AA19" s="49"/>
      <c r="AB19" s="83"/>
      <c r="AC19" s="49"/>
      <c r="AD19" s="83">
        <f>SUMPRODUCT(TAB_CSEXPENSES[[Jan-2023]:[Mar-2023]]*(TAB_CSEXPENSES[Company]='Consortium calculs'!$C19))</f>
        <v>0</v>
      </c>
      <c r="AE19" s="49"/>
      <c r="AF19" s="83">
        <f>SUMPRODUCT(TAB_CSEXPENSES[[Jan-2023]:[Mar-2023]]*(TAB_CSEXPENSES[Company]='Consortium calculs'!$C19))</f>
        <v>0</v>
      </c>
      <c r="AG19" s="49"/>
      <c r="AH19" s="83"/>
      <c r="AI19" s="49"/>
      <c r="AJ19" s="83"/>
    </row>
    <row r="20" spans="1:36" ht="13.8" thickBot="1" x14ac:dyDescent="0.3">
      <c r="A20" s="689"/>
      <c r="B20" s="692"/>
      <c r="C20" s="45" t="s">
        <v>88</v>
      </c>
      <c r="D20" s="78"/>
      <c r="E20" s="39">
        <f t="shared" si="17"/>
        <v>0</v>
      </c>
      <c r="G20" s="78"/>
      <c r="H20" s="83">
        <f>SUMPRODUCT(TAB_CSEXPENSES[sept-2022]*(TAB_CSEXPENSES[Company]='Consortium calculs'!$C20))</f>
        <v>0</v>
      </c>
      <c r="I20" s="78"/>
      <c r="J20" s="83">
        <f>SUMPRODUCT(TAB_CSEXPENSES[sept-2022]*(TAB_CSEXPENSES[Company]='Consortium calculs'!$C20))</f>
        <v>0</v>
      </c>
      <c r="K20" s="78"/>
      <c r="L20" s="83">
        <f>SUMPRODUCT(TAB_CSEXPENSES[[oct-2022]:[dec-2022]]*(TAB_CSEXPENSES[Company]='Consortium calculs'!$C20))</f>
        <v>0</v>
      </c>
      <c r="M20" s="78"/>
      <c r="N20" s="83">
        <f>SUMPRODUCT(TAB_CSEXPENSES[[Jan-2023]:[Mar-2023]]*(TAB_CSEXPENSES[Company]='Consortium calculs'!$C20))</f>
        <v>0</v>
      </c>
      <c r="O20" s="78"/>
      <c r="P20" s="83">
        <f>SUMPRODUCT(TAB_CSEXPENSES[[Jan-2023]:[Mar-2023]]*(TAB_CSEXPENSES[Company]='Consortium calculs'!$C20))</f>
        <v>0</v>
      </c>
      <c r="Q20" s="78"/>
      <c r="R20" s="83"/>
      <c r="S20" s="78"/>
      <c r="T20" s="83"/>
      <c r="U20" s="78"/>
      <c r="V20" s="83">
        <f>SUMPRODUCT(TAB_CSEXPENSES[[Jan-2023]:[Mar-2023]]*(TAB_CSEXPENSES[Company]='Consortium calculs'!$C20))</f>
        <v>0</v>
      </c>
      <c r="W20" s="78"/>
      <c r="X20" s="83">
        <f>SUMPRODUCT(TAB_CSEXPENSES[[Jan-2023]:[Mar-2023]]*(TAB_CSEXPENSES[Company]='Consortium calculs'!$C20))</f>
        <v>0</v>
      </c>
      <c r="Y20" s="78"/>
      <c r="Z20" s="83"/>
      <c r="AA20" s="78"/>
      <c r="AB20" s="83"/>
      <c r="AC20" s="78"/>
      <c r="AD20" s="83">
        <f>SUMPRODUCT(TAB_CSEXPENSES[[Jan-2023]:[Mar-2023]]*(TAB_CSEXPENSES[Company]='Consortium calculs'!$C20))</f>
        <v>0</v>
      </c>
      <c r="AE20" s="78"/>
      <c r="AF20" s="83">
        <f>SUMPRODUCT(TAB_CSEXPENSES[[Jan-2023]:[Mar-2023]]*(TAB_CSEXPENSES[Company]='Consortium calculs'!$C20))</f>
        <v>0</v>
      </c>
      <c r="AG20" s="78"/>
      <c r="AH20" s="83"/>
      <c r="AI20" s="78"/>
      <c r="AJ20" s="83"/>
    </row>
    <row r="21" spans="1:36" ht="14.4" thickTop="1" thickBot="1" x14ac:dyDescent="0.3">
      <c r="A21" s="674" t="s">
        <v>240</v>
      </c>
      <c r="B21" s="675"/>
      <c r="C21" s="84" t="s">
        <v>23</v>
      </c>
      <c r="D21" s="86"/>
      <c r="E21" s="85">
        <f>(SUM(E3:E8))/(SUM(D3:D8))</f>
        <v>624.91969255818412</v>
      </c>
      <c r="G21" s="379"/>
      <c r="H21" s="380" t="e">
        <f>(SUM(H3:H8))/(SUM(G3:G8))</f>
        <v>#DIV/0!</v>
      </c>
      <c r="I21" s="379"/>
      <c r="J21" s="380">
        <f>(SUM(J3:J8))/(SUM(I3:I8))</f>
        <v>548.32000000000005</v>
      </c>
      <c r="K21" s="379"/>
      <c r="L21" s="380">
        <f>(SUM(L3:L8))/(SUM(K3:K8))</f>
        <v>601.48209104938257</v>
      </c>
      <c r="M21" s="379"/>
      <c r="N21" s="380">
        <f>(SUM(N3:N8))/(SUM(M3:M8))</f>
        <v>628.09056281675112</v>
      </c>
      <c r="O21" s="379"/>
      <c r="P21" s="380">
        <f>(SUM(P3:P8))/(SUM(O3:O8))</f>
        <v>620.78490945104704</v>
      </c>
      <c r="Q21" s="379"/>
      <c r="R21" s="380">
        <f>(SUM(R3:R8))/(SUM(Q3:Q8))</f>
        <v>615.62290644171765</v>
      </c>
      <c r="S21" s="379"/>
      <c r="T21" s="380">
        <f>(SUM(T3:T8))/(SUM(S3:S8))</f>
        <v>606.30724814653297</v>
      </c>
      <c r="U21" s="379"/>
      <c r="V21" s="380">
        <f>(SUM(V3:V8))/(SUM(U3:U8))</f>
        <v>612.46214907077911</v>
      </c>
      <c r="W21" s="379"/>
      <c r="X21" s="380">
        <f>(SUM(X3:X8))/(SUM(W3:W8))</f>
        <v>628.81368657937799</v>
      </c>
      <c r="Y21" s="379"/>
      <c r="Z21" s="380">
        <f>(SUM(Z3:Z8))/(SUM(Y3:Y8))</f>
        <v>633.53512534818947</v>
      </c>
      <c r="AA21" s="379"/>
      <c r="AB21" s="380">
        <f>(SUM(AB3:AB8))/(SUM(AA3:AA8))</f>
        <v>640.35699850857554</v>
      </c>
      <c r="AC21" s="379"/>
      <c r="AD21" s="380">
        <f>(SUM(AD3:AD8))/(SUM(AC3:AC8))</f>
        <v>642.62438095238099</v>
      </c>
      <c r="AE21" s="379"/>
      <c r="AF21" s="380">
        <f>(SUM(AF3:AF8))/(SUM(AE3:AE8))</f>
        <v>663.31722168441433</v>
      </c>
      <c r="AG21" s="379"/>
      <c r="AH21" s="380">
        <f>(SUM(AH3:AH8))/(SUM(AG3:AG8))</f>
        <v>780.20801271860103</v>
      </c>
      <c r="AI21" s="379"/>
      <c r="AJ21" s="380">
        <f>(SUM(AJ3:AJ8))/(SUM(AI3:AI8))</f>
        <v>885.778027681661</v>
      </c>
    </row>
    <row r="22" spans="1:36" ht="13.8" thickTop="1" x14ac:dyDescent="0.25">
      <c r="A22" s="680" t="s">
        <v>20</v>
      </c>
      <c r="B22" s="685" t="s">
        <v>352</v>
      </c>
      <c r="C22" s="67" t="s">
        <v>85</v>
      </c>
      <c r="D22" s="74"/>
      <c r="E22" s="51">
        <f t="shared" ref="E22:E34" si="18">SUMIF(F$2:AD$2,E$2,F22:AD22)</f>
        <v>0</v>
      </c>
      <c r="G22" s="79"/>
      <c r="H22" s="374">
        <f>H4-H10</f>
        <v>0</v>
      </c>
      <c r="I22" s="79"/>
      <c r="J22" s="374">
        <f>J4-J10</f>
        <v>0</v>
      </c>
      <c r="K22" s="79"/>
      <c r="L22" s="374">
        <f>L4-L10</f>
        <v>0</v>
      </c>
      <c r="M22" s="79"/>
      <c r="N22" s="374">
        <f>N4-N10</f>
        <v>0</v>
      </c>
      <c r="O22" s="79"/>
      <c r="P22" s="374">
        <f>P4-P10</f>
        <v>0</v>
      </c>
      <c r="Q22" s="79"/>
      <c r="R22" s="374">
        <f>R4-R10</f>
        <v>0</v>
      </c>
      <c r="S22" s="79"/>
      <c r="T22" s="374">
        <f>T4-T10</f>
        <v>0</v>
      </c>
      <c r="U22" s="79"/>
      <c r="V22" s="374">
        <f>V4-V10</f>
        <v>0</v>
      </c>
      <c r="W22" s="79"/>
      <c r="X22" s="374">
        <f>X4-X10</f>
        <v>0</v>
      </c>
      <c r="Y22" s="79"/>
      <c r="Z22" s="374">
        <f>Z4-Z10</f>
        <v>0</v>
      </c>
      <c r="AA22" s="79"/>
      <c r="AB22" s="374">
        <f>AB4-AB10</f>
        <v>0</v>
      </c>
      <c r="AC22" s="79"/>
      <c r="AD22" s="374">
        <f>AD4-AD10</f>
        <v>0</v>
      </c>
      <c r="AE22" s="79"/>
      <c r="AF22" s="374">
        <f>AF4-AF10</f>
        <v>0</v>
      </c>
      <c r="AG22" s="79"/>
      <c r="AH22" s="374">
        <f>AH4-AH10</f>
        <v>0</v>
      </c>
      <c r="AI22" s="79"/>
      <c r="AJ22" s="374">
        <f>AJ4-AJ10</f>
        <v>0</v>
      </c>
    </row>
    <row r="23" spans="1:36" ht="14.25" customHeight="1" x14ac:dyDescent="0.25">
      <c r="A23" s="681"/>
      <c r="B23" s="683"/>
      <c r="C23" s="68" t="s">
        <v>203</v>
      </c>
      <c r="D23" s="75"/>
      <c r="E23" s="69">
        <f t="shared" ref="E23" si="19">SUMIF(F$2:AD$2,E$2,F23:AD23)</f>
        <v>4524057.3309249999</v>
      </c>
      <c r="G23" s="80"/>
      <c r="H23" s="375">
        <f>H5-H11</f>
        <v>0</v>
      </c>
      <c r="I23" s="80"/>
      <c r="J23" s="52">
        <f>J5-J11</f>
        <v>0</v>
      </c>
      <c r="K23" s="80"/>
      <c r="L23" s="375">
        <f>L5-L11</f>
        <v>139594.26894999997</v>
      </c>
      <c r="M23" s="80"/>
      <c r="N23" s="52">
        <f>N5-N11</f>
        <v>535463.36062499997</v>
      </c>
      <c r="O23" s="80"/>
      <c r="P23" s="375">
        <f>P5-P11</f>
        <v>479332.65297500003</v>
      </c>
      <c r="Q23" s="80"/>
      <c r="R23" s="375">
        <f>R5-R11</f>
        <v>458878.05432499992</v>
      </c>
      <c r="S23" s="80"/>
      <c r="T23" s="375">
        <f>T5-T11</f>
        <v>505195.27592499979</v>
      </c>
      <c r="U23" s="80"/>
      <c r="V23" s="52">
        <f>V5-V11</f>
        <v>525198.33087499987</v>
      </c>
      <c r="W23" s="80"/>
      <c r="X23" s="375">
        <f>X5-X11</f>
        <v>511543.43839999987</v>
      </c>
      <c r="Y23" s="80"/>
      <c r="Z23" s="375">
        <f>Z5-Z11</f>
        <v>483436.65547500009</v>
      </c>
      <c r="AA23" s="80"/>
      <c r="AB23" s="375">
        <f>AB5-AB11</f>
        <v>503271.83687499992</v>
      </c>
      <c r="AC23" s="80"/>
      <c r="AD23" s="52">
        <f>AD5-AD11</f>
        <v>382143.45650000003</v>
      </c>
      <c r="AE23" s="80"/>
      <c r="AF23" s="375">
        <f>AF5-AF11</f>
        <v>235121.23359999998</v>
      </c>
      <c r="AG23" s="80"/>
      <c r="AH23" s="375">
        <f>AH5-AH11</f>
        <v>160467.9063</v>
      </c>
      <c r="AI23" s="80"/>
      <c r="AJ23" s="375">
        <f>AJ5-AJ11</f>
        <v>116851.72215000002</v>
      </c>
    </row>
    <row r="24" spans="1:36" ht="14.25" customHeight="1" x14ac:dyDescent="0.25">
      <c r="A24" s="681"/>
      <c r="B24" s="684"/>
      <c r="C24" s="68" t="s">
        <v>86</v>
      </c>
      <c r="D24" s="75"/>
      <c r="E24" s="69">
        <f t="shared" si="18"/>
        <v>4920055.8023499995</v>
      </c>
      <c r="G24" s="80"/>
      <c r="H24" s="375">
        <f>H6-H12</f>
        <v>0</v>
      </c>
      <c r="I24" s="80"/>
      <c r="J24" s="52">
        <f>J6-J12</f>
        <v>10298.450800000001</v>
      </c>
      <c r="K24" s="80"/>
      <c r="L24" s="375">
        <f>L6-L12</f>
        <v>192519.92942499995</v>
      </c>
      <c r="M24" s="80"/>
      <c r="N24" s="52">
        <f>N6-N12</f>
        <v>450623.96610000002</v>
      </c>
      <c r="O24" s="80"/>
      <c r="P24" s="375">
        <f>P6-P12</f>
        <v>390609.52164999984</v>
      </c>
      <c r="Q24" s="80"/>
      <c r="R24" s="375">
        <f>R6-R12</f>
        <v>467364.65179999993</v>
      </c>
      <c r="S24" s="80"/>
      <c r="T24" s="375">
        <f>T6-T12</f>
        <v>511762.81760000007</v>
      </c>
      <c r="U24" s="80"/>
      <c r="V24" s="52">
        <f>V6-V12</f>
        <v>574887.41432500025</v>
      </c>
      <c r="W24" s="80"/>
      <c r="X24" s="375">
        <f>X6-X12</f>
        <v>572512.09667499992</v>
      </c>
      <c r="Y24" s="80"/>
      <c r="Z24" s="375">
        <f>Z6-Z12</f>
        <v>585140.72257500014</v>
      </c>
      <c r="AA24" s="80"/>
      <c r="AB24" s="375">
        <f>AB6-AB12</f>
        <v>617511.40797499986</v>
      </c>
      <c r="AC24" s="80"/>
      <c r="AD24" s="52">
        <f>AD6-AD12</f>
        <v>546824.82342499983</v>
      </c>
      <c r="AE24" s="80"/>
      <c r="AF24" s="375">
        <f>AF6-AF12</f>
        <v>261581.54962500001</v>
      </c>
      <c r="AG24" s="80"/>
      <c r="AH24" s="375">
        <f>AH6-AH12</f>
        <v>52246.187775000006</v>
      </c>
      <c r="AI24" s="80"/>
      <c r="AJ24" s="375">
        <f>AJ6-AJ12</f>
        <v>9223.2789750000011</v>
      </c>
    </row>
    <row r="25" spans="1:36" x14ac:dyDescent="0.25">
      <c r="A25" s="681"/>
      <c r="B25" s="684"/>
      <c r="C25" s="68" t="s">
        <v>87</v>
      </c>
      <c r="D25" s="75"/>
      <c r="E25" s="69">
        <f t="shared" si="18"/>
        <v>1326766.6024500001</v>
      </c>
      <c r="G25" s="80"/>
      <c r="H25" s="375">
        <f>H7-H13</f>
        <v>0</v>
      </c>
      <c r="I25" s="80"/>
      <c r="J25" s="52">
        <f>J7-J13</f>
        <v>0</v>
      </c>
      <c r="K25" s="80"/>
      <c r="L25" s="375">
        <f>L7-L13</f>
        <v>0</v>
      </c>
      <c r="M25" s="80"/>
      <c r="N25" s="52">
        <f>N7-N13</f>
        <v>83680.113549999995</v>
      </c>
      <c r="O25" s="80"/>
      <c r="P25" s="375">
        <f>P7-P13</f>
        <v>105893.405075</v>
      </c>
      <c r="Q25" s="80"/>
      <c r="R25" s="375">
        <f>R7-R13</f>
        <v>133550.98859999998</v>
      </c>
      <c r="S25" s="80"/>
      <c r="T25" s="375">
        <f>T7-T13</f>
        <v>149275.67142500004</v>
      </c>
      <c r="U25" s="80"/>
      <c r="V25" s="52">
        <f>V7-V13</f>
        <v>165231.20377500003</v>
      </c>
      <c r="W25" s="80"/>
      <c r="X25" s="375">
        <f>X7-X13</f>
        <v>173070.65625</v>
      </c>
      <c r="Y25" s="80"/>
      <c r="Z25" s="375">
        <f>Z7-Z13</f>
        <v>184592.45242499997</v>
      </c>
      <c r="AA25" s="80"/>
      <c r="AB25" s="375">
        <f>AB7-AB13</f>
        <v>203894.42870000002</v>
      </c>
      <c r="AC25" s="80"/>
      <c r="AD25" s="52">
        <f>AD7-AD13</f>
        <v>127577.68264999999</v>
      </c>
      <c r="AE25" s="80"/>
      <c r="AF25" s="375">
        <f>AF7-AF13</f>
        <v>58067.404800000004</v>
      </c>
      <c r="AG25" s="80"/>
      <c r="AH25" s="375">
        <f>AH7-AH13</f>
        <v>16800.957850000003</v>
      </c>
      <c r="AI25" s="80"/>
      <c r="AJ25" s="375">
        <f>AJ7-AJ13</f>
        <v>0</v>
      </c>
    </row>
    <row r="26" spans="1:36" ht="13.8" thickBot="1" x14ac:dyDescent="0.3">
      <c r="A26" s="681"/>
      <c r="B26" s="686"/>
      <c r="C26" s="72" t="s">
        <v>88</v>
      </c>
      <c r="D26" s="76"/>
      <c r="E26" s="73">
        <f t="shared" si="18"/>
        <v>313820.14304999996</v>
      </c>
      <c r="G26" s="81"/>
      <c r="H26" s="373">
        <f>H8-H14</f>
        <v>0</v>
      </c>
      <c r="I26" s="81"/>
      <c r="J26" s="373">
        <f>J8-J14</f>
        <v>2123.7388000000001</v>
      </c>
      <c r="K26" s="81"/>
      <c r="L26" s="373">
        <f>L8-L14</f>
        <v>27343.137049999998</v>
      </c>
      <c r="M26" s="81"/>
      <c r="N26" s="373">
        <f>N8-N14</f>
        <v>33979.820800000001</v>
      </c>
      <c r="O26" s="81"/>
      <c r="P26" s="373">
        <f>P8-P14</f>
        <v>41398.604399999997</v>
      </c>
      <c r="Q26" s="81"/>
      <c r="R26" s="373">
        <f>R8-R14</f>
        <v>33326.430899999999</v>
      </c>
      <c r="S26" s="81"/>
      <c r="T26" s="373">
        <f>T8-T14</f>
        <v>29448.224875</v>
      </c>
      <c r="U26" s="81"/>
      <c r="V26" s="373">
        <f>V8-V14</f>
        <v>33517.826249999998</v>
      </c>
      <c r="W26" s="81"/>
      <c r="X26" s="373">
        <f>X8-X14</f>
        <v>29257.085625</v>
      </c>
      <c r="Y26" s="81"/>
      <c r="Z26" s="373">
        <f>Z8-Z14</f>
        <v>30677.3325</v>
      </c>
      <c r="AA26" s="81"/>
      <c r="AB26" s="373">
        <f>AB8-AB14</f>
        <v>24546.071950000001</v>
      </c>
      <c r="AC26" s="81"/>
      <c r="AD26" s="373">
        <f>AD8-AD14</f>
        <v>28201.869900000005</v>
      </c>
      <c r="AE26" s="81"/>
      <c r="AF26" s="373">
        <f>AF8-AF14</f>
        <v>15145.44865</v>
      </c>
      <c r="AG26" s="81"/>
      <c r="AH26" s="373">
        <f>AH8-AH14</f>
        <v>0</v>
      </c>
      <c r="AI26" s="81"/>
      <c r="AJ26" s="373">
        <f>AJ8-AJ14</f>
        <v>0</v>
      </c>
    </row>
    <row r="27" spans="1:36" x14ac:dyDescent="0.25">
      <c r="A27" s="681"/>
      <c r="B27" s="685" t="s">
        <v>351</v>
      </c>
      <c r="C27" s="67" t="s">
        <v>85</v>
      </c>
      <c r="D27" s="74"/>
      <c r="E27" s="51">
        <f t="shared" si="18"/>
        <v>0</v>
      </c>
      <c r="G27" s="79"/>
      <c r="H27" s="376">
        <f>H15</f>
        <v>0</v>
      </c>
      <c r="I27" s="79"/>
      <c r="J27" s="376">
        <f>J15</f>
        <v>0</v>
      </c>
      <c r="K27" s="79"/>
      <c r="L27" s="376">
        <f>L15</f>
        <v>0</v>
      </c>
      <c r="M27" s="79"/>
      <c r="N27" s="376">
        <f>N15</f>
        <v>0</v>
      </c>
      <c r="O27" s="79"/>
      <c r="P27" s="376">
        <f>P15</f>
        <v>0</v>
      </c>
      <c r="Q27" s="79"/>
      <c r="R27" s="376">
        <f>R15</f>
        <v>0</v>
      </c>
      <c r="S27" s="79"/>
      <c r="T27" s="376">
        <f>T15</f>
        <v>0</v>
      </c>
      <c r="U27" s="79"/>
      <c r="V27" s="376">
        <f>V15</f>
        <v>0</v>
      </c>
      <c r="W27" s="79"/>
      <c r="X27" s="376">
        <f>X15</f>
        <v>0</v>
      </c>
      <c r="Y27" s="79"/>
      <c r="Z27" s="376">
        <f>Z15</f>
        <v>0</v>
      </c>
      <c r="AA27" s="79"/>
      <c r="AB27" s="376">
        <f>AB15</f>
        <v>0</v>
      </c>
      <c r="AC27" s="79"/>
      <c r="AD27" s="376">
        <f>AD15</f>
        <v>0</v>
      </c>
      <c r="AE27" s="79"/>
      <c r="AF27" s="376">
        <f>AF15</f>
        <v>0</v>
      </c>
      <c r="AG27" s="79"/>
      <c r="AH27" s="376">
        <f>AH15</f>
        <v>0</v>
      </c>
      <c r="AI27" s="79"/>
      <c r="AJ27" s="376">
        <f>AJ15</f>
        <v>0</v>
      </c>
    </row>
    <row r="28" spans="1:36" ht="14.25" customHeight="1" x14ac:dyDescent="0.25">
      <c r="A28" s="681"/>
      <c r="B28" s="684"/>
      <c r="C28" s="68" t="s">
        <v>86</v>
      </c>
      <c r="D28" s="75"/>
      <c r="E28" s="69">
        <f t="shared" si="18"/>
        <v>0</v>
      </c>
      <c r="G28" s="80"/>
      <c r="H28" s="375">
        <f>H18</f>
        <v>0</v>
      </c>
      <c r="I28" s="80"/>
      <c r="J28" s="52">
        <f>J18</f>
        <v>0</v>
      </c>
      <c r="K28" s="80"/>
      <c r="L28" s="375">
        <f>L18</f>
        <v>0</v>
      </c>
      <c r="M28" s="80"/>
      <c r="N28" s="52">
        <f>N18</f>
        <v>0</v>
      </c>
      <c r="O28" s="80"/>
      <c r="P28" s="375">
        <f>P18</f>
        <v>0</v>
      </c>
      <c r="Q28" s="80"/>
      <c r="R28" s="375">
        <f>R18</f>
        <v>0</v>
      </c>
      <c r="S28" s="80"/>
      <c r="T28" s="375">
        <f>T18</f>
        <v>0</v>
      </c>
      <c r="U28" s="80"/>
      <c r="V28" s="52">
        <f>V18</f>
        <v>0</v>
      </c>
      <c r="W28" s="80"/>
      <c r="X28" s="375">
        <f>X18</f>
        <v>0</v>
      </c>
      <c r="Y28" s="80"/>
      <c r="Z28" s="375">
        <f>Z18</f>
        <v>0</v>
      </c>
      <c r="AA28" s="80"/>
      <c r="AB28" s="375">
        <f>AB18</f>
        <v>0</v>
      </c>
      <c r="AC28" s="80"/>
      <c r="AD28" s="52">
        <f>AD18</f>
        <v>0</v>
      </c>
      <c r="AE28" s="80"/>
      <c r="AF28" s="375">
        <f>AF18</f>
        <v>0</v>
      </c>
      <c r="AG28" s="80"/>
      <c r="AH28" s="375">
        <f>AH18</f>
        <v>0</v>
      </c>
      <c r="AI28" s="80"/>
      <c r="AJ28" s="375">
        <f>AJ18</f>
        <v>0</v>
      </c>
    </row>
    <row r="29" spans="1:36" x14ac:dyDescent="0.25">
      <c r="A29" s="681"/>
      <c r="B29" s="684"/>
      <c r="C29" s="68" t="s">
        <v>87</v>
      </c>
      <c r="D29" s="75"/>
      <c r="E29" s="69">
        <f t="shared" si="18"/>
        <v>0</v>
      </c>
      <c r="G29" s="80"/>
      <c r="H29" s="375">
        <f t="shared" ref="H29:H30" si="20">H19</f>
        <v>0</v>
      </c>
      <c r="I29" s="80"/>
      <c r="J29" s="52">
        <f t="shared" ref="J29:J30" si="21">J19</f>
        <v>0</v>
      </c>
      <c r="K29" s="80"/>
      <c r="L29" s="375">
        <f t="shared" ref="L29:N30" si="22">L19</f>
        <v>0</v>
      </c>
      <c r="M29" s="80"/>
      <c r="N29" s="52">
        <f t="shared" si="22"/>
        <v>0</v>
      </c>
      <c r="O29" s="80"/>
      <c r="P29" s="375">
        <f t="shared" ref="P29:R29" si="23">P19</f>
        <v>0</v>
      </c>
      <c r="Q29" s="80"/>
      <c r="R29" s="375">
        <f t="shared" si="23"/>
        <v>0</v>
      </c>
      <c r="S29" s="80"/>
      <c r="T29" s="375">
        <f t="shared" ref="T29" si="24">T19</f>
        <v>0</v>
      </c>
      <c r="U29" s="80"/>
      <c r="V29" s="52">
        <f t="shared" ref="V29" si="25">V19</f>
        <v>0</v>
      </c>
      <c r="W29" s="80"/>
      <c r="X29" s="375">
        <f t="shared" ref="X29" si="26">X19</f>
        <v>0</v>
      </c>
      <c r="Y29" s="80"/>
      <c r="Z29" s="375">
        <f t="shared" ref="Z29" si="27">Z19</f>
        <v>0</v>
      </c>
      <c r="AA29" s="80"/>
      <c r="AB29" s="375">
        <f t="shared" ref="AB29:AB30" si="28">AB19</f>
        <v>0</v>
      </c>
      <c r="AC29" s="80"/>
      <c r="AD29" s="52">
        <f t="shared" ref="AD29:AD30" si="29">AD19</f>
        <v>0</v>
      </c>
      <c r="AE29" s="80"/>
      <c r="AF29" s="375">
        <f t="shared" ref="AF29:AF30" si="30">AF19</f>
        <v>0</v>
      </c>
      <c r="AG29" s="80"/>
      <c r="AH29" s="375">
        <f t="shared" ref="AH29:AH30" si="31">AH19</f>
        <v>0</v>
      </c>
      <c r="AI29" s="80"/>
      <c r="AJ29" s="375">
        <f t="shared" ref="AJ29:AJ30" si="32">AJ19</f>
        <v>0</v>
      </c>
    </row>
    <row r="30" spans="1:36" ht="13.8" thickBot="1" x14ac:dyDescent="0.3">
      <c r="A30" s="681"/>
      <c r="B30" s="686"/>
      <c r="C30" s="72" t="s">
        <v>88</v>
      </c>
      <c r="D30" s="76"/>
      <c r="E30" s="73">
        <f t="shared" si="18"/>
        <v>0</v>
      </c>
      <c r="G30" s="81"/>
      <c r="H30" s="373">
        <f t="shared" si="20"/>
        <v>0</v>
      </c>
      <c r="I30" s="81"/>
      <c r="J30" s="373">
        <f t="shared" si="21"/>
        <v>0</v>
      </c>
      <c r="K30" s="81"/>
      <c r="L30" s="373">
        <f t="shared" si="22"/>
        <v>0</v>
      </c>
      <c r="M30" s="81"/>
      <c r="N30" s="373">
        <f t="shared" si="22"/>
        <v>0</v>
      </c>
      <c r="O30" s="81"/>
      <c r="P30" s="373">
        <f t="shared" ref="P30:R30" si="33">P20</f>
        <v>0</v>
      </c>
      <c r="Q30" s="81"/>
      <c r="R30" s="373">
        <f t="shared" si="33"/>
        <v>0</v>
      </c>
      <c r="S30" s="81"/>
      <c r="T30" s="373">
        <f t="shared" ref="T30" si="34">T20</f>
        <v>0</v>
      </c>
      <c r="U30" s="81"/>
      <c r="V30" s="373">
        <f t="shared" ref="V30" si="35">V20</f>
        <v>0</v>
      </c>
      <c r="W30" s="81"/>
      <c r="X30" s="373">
        <f t="shared" ref="X30" si="36">X20</f>
        <v>0</v>
      </c>
      <c r="Y30" s="81"/>
      <c r="Z30" s="373">
        <f t="shared" ref="Z30" si="37">Z20</f>
        <v>0</v>
      </c>
      <c r="AA30" s="81"/>
      <c r="AB30" s="373">
        <f t="shared" si="28"/>
        <v>0</v>
      </c>
      <c r="AC30" s="81"/>
      <c r="AD30" s="373">
        <f t="shared" si="29"/>
        <v>0</v>
      </c>
      <c r="AE30" s="81"/>
      <c r="AF30" s="373">
        <f t="shared" si="30"/>
        <v>0</v>
      </c>
      <c r="AG30" s="81"/>
      <c r="AH30" s="373">
        <f t="shared" si="31"/>
        <v>0</v>
      </c>
      <c r="AI30" s="81"/>
      <c r="AJ30" s="373">
        <f t="shared" si="32"/>
        <v>0</v>
      </c>
    </row>
    <row r="31" spans="1:36" x14ac:dyDescent="0.25">
      <c r="A31" s="681"/>
      <c r="B31" s="683" t="s">
        <v>239</v>
      </c>
      <c r="C31" s="67" t="s">
        <v>85</v>
      </c>
      <c r="D31" s="74"/>
      <c r="E31" s="51">
        <f t="shared" si="18"/>
        <v>0</v>
      </c>
      <c r="G31" s="79"/>
      <c r="H31" s="89"/>
      <c r="I31" s="79"/>
      <c r="J31" s="89"/>
      <c r="K31" s="79"/>
      <c r="L31" s="89"/>
      <c r="M31" s="79"/>
      <c r="N31" s="89"/>
      <c r="O31" s="79"/>
      <c r="P31" s="89"/>
      <c r="Q31" s="79"/>
      <c r="R31" s="89"/>
      <c r="S31" s="79"/>
      <c r="T31" s="89"/>
      <c r="U31" s="79"/>
      <c r="V31" s="89"/>
      <c r="W31" s="79"/>
      <c r="X31" s="89"/>
      <c r="Y31" s="79"/>
      <c r="Z31" s="89"/>
      <c r="AA31" s="79"/>
      <c r="AB31" s="89"/>
      <c r="AC31" s="79"/>
      <c r="AD31" s="89"/>
      <c r="AE31" s="79"/>
      <c r="AF31" s="89"/>
      <c r="AG31" s="79"/>
      <c r="AH31" s="89"/>
      <c r="AI31" s="79"/>
      <c r="AJ31" s="89"/>
    </row>
    <row r="32" spans="1:36" x14ac:dyDescent="0.25">
      <c r="A32" s="681"/>
      <c r="B32" s="684"/>
      <c r="C32" s="68" t="s">
        <v>86</v>
      </c>
      <c r="D32" s="75"/>
      <c r="E32" s="69">
        <f t="shared" si="18"/>
        <v>0</v>
      </c>
      <c r="G32" s="80"/>
      <c r="H32" s="90"/>
      <c r="I32" s="80"/>
      <c r="J32" s="90"/>
      <c r="K32" s="80"/>
      <c r="L32" s="90"/>
      <c r="M32" s="80"/>
      <c r="N32" s="90"/>
      <c r="O32" s="80"/>
      <c r="P32" s="90"/>
      <c r="Q32" s="80"/>
      <c r="R32" s="90"/>
      <c r="S32" s="80"/>
      <c r="T32" s="90"/>
      <c r="U32" s="80"/>
      <c r="V32" s="90"/>
      <c r="W32" s="80"/>
      <c r="X32" s="90"/>
      <c r="Y32" s="80"/>
      <c r="Z32" s="90"/>
      <c r="AA32" s="80"/>
      <c r="AB32" s="90"/>
      <c r="AC32" s="80"/>
      <c r="AD32" s="90"/>
      <c r="AE32" s="80"/>
      <c r="AF32" s="90"/>
      <c r="AG32" s="80"/>
      <c r="AH32" s="90"/>
      <c r="AI32" s="80"/>
      <c r="AJ32" s="90"/>
    </row>
    <row r="33" spans="1:36" x14ac:dyDescent="0.25">
      <c r="A33" s="681"/>
      <c r="B33" s="684"/>
      <c r="C33" s="68" t="s">
        <v>87</v>
      </c>
      <c r="D33" s="75"/>
      <c r="E33" s="69">
        <f t="shared" si="18"/>
        <v>0</v>
      </c>
      <c r="G33" s="80"/>
      <c r="H33" s="90"/>
      <c r="I33" s="80"/>
      <c r="J33" s="90"/>
      <c r="K33" s="80"/>
      <c r="L33" s="90"/>
      <c r="M33" s="80"/>
      <c r="N33" s="90"/>
      <c r="O33" s="80"/>
      <c r="P33" s="90"/>
      <c r="Q33" s="80"/>
      <c r="R33" s="90"/>
      <c r="S33" s="80"/>
      <c r="T33" s="90"/>
      <c r="U33" s="80"/>
      <c r="V33" s="90"/>
      <c r="W33" s="80"/>
      <c r="X33" s="90"/>
      <c r="Y33" s="80"/>
      <c r="Z33" s="90"/>
      <c r="AA33" s="80"/>
      <c r="AB33" s="90"/>
      <c r="AC33" s="80"/>
      <c r="AD33" s="90"/>
      <c r="AE33" s="80"/>
      <c r="AF33" s="90"/>
      <c r="AG33" s="80"/>
      <c r="AH33" s="90"/>
      <c r="AI33" s="80"/>
      <c r="AJ33" s="90"/>
    </row>
    <row r="34" spans="1:36" ht="13.8" thickBot="1" x14ac:dyDescent="0.3">
      <c r="A34" s="682"/>
      <c r="B34" s="693"/>
      <c r="C34" s="70" t="s">
        <v>88</v>
      </c>
      <c r="D34" s="77"/>
      <c r="E34" s="71">
        <f t="shared" si="18"/>
        <v>0</v>
      </c>
      <c r="G34" s="82"/>
      <c r="H34" s="91"/>
      <c r="I34" s="82"/>
      <c r="J34" s="91"/>
      <c r="K34" s="82"/>
      <c r="L34" s="91"/>
      <c r="M34" s="82"/>
      <c r="N34" s="91"/>
      <c r="O34" s="82"/>
      <c r="P34" s="91"/>
      <c r="Q34" s="82"/>
      <c r="R34" s="91"/>
      <c r="S34" s="82"/>
      <c r="T34" s="91"/>
      <c r="U34" s="82"/>
      <c r="V34" s="91"/>
      <c r="W34" s="82"/>
      <c r="X34" s="91"/>
      <c r="Y34" s="82"/>
      <c r="Z34" s="91"/>
      <c r="AA34" s="82"/>
      <c r="AB34" s="91"/>
      <c r="AC34" s="82"/>
      <c r="AD34" s="91"/>
      <c r="AE34" s="82"/>
      <c r="AF34" s="91"/>
      <c r="AG34" s="82"/>
      <c r="AH34" s="91"/>
      <c r="AI34" s="82"/>
      <c r="AJ34" s="91"/>
    </row>
    <row r="35" spans="1:36" ht="14.4" thickTop="1" thickBot="1" x14ac:dyDescent="0.3">
      <c r="A35" s="674"/>
      <c r="B35" s="675"/>
      <c r="C35" s="84"/>
      <c r="D35" s="86"/>
      <c r="E35" s="85"/>
      <c r="G35" s="379"/>
      <c r="H35" s="380"/>
      <c r="I35" s="379"/>
      <c r="J35" s="380"/>
      <c r="K35" s="379"/>
      <c r="L35" s="380"/>
      <c r="M35" s="379"/>
      <c r="N35" s="380"/>
      <c r="O35" s="379"/>
      <c r="P35" s="380"/>
      <c r="Q35" s="379"/>
      <c r="R35" s="380"/>
      <c r="S35" s="379"/>
      <c r="T35" s="380"/>
      <c r="U35" s="379"/>
      <c r="V35" s="380"/>
      <c r="W35" s="379"/>
      <c r="X35" s="380"/>
      <c r="Y35" s="379"/>
      <c r="Z35" s="380"/>
      <c r="AA35" s="379"/>
      <c r="AB35" s="380"/>
      <c r="AC35" s="379"/>
      <c r="AD35" s="380"/>
      <c r="AE35" s="379"/>
      <c r="AF35" s="380"/>
      <c r="AG35" s="379"/>
      <c r="AH35" s="380"/>
      <c r="AI35" s="379"/>
      <c r="AJ35" s="380"/>
    </row>
    <row r="36" spans="1:36" ht="13.8" thickTop="1" x14ac:dyDescent="0.25">
      <c r="B36" s="668" t="s">
        <v>5915</v>
      </c>
      <c r="C36" s="38" t="s">
        <v>85</v>
      </c>
      <c r="D36" s="44">
        <f t="shared" ref="D36:D47" si="38">SUMIF(F$2:AD$2,D$2,F36:AD36)</f>
        <v>309.5</v>
      </c>
      <c r="E36" s="39">
        <f t="shared" ref="E36:E47" si="39">SUMIF(F$2:AD$2,E$2,F36:AD36)</f>
        <v>139234.36499999999</v>
      </c>
      <c r="G36" s="149" cm="1">
        <f t="array" ref="G36">SUMPRODUCT(TAB_CS[[Apr-2022]:[Jun-2022]]*(TAB_CS[Tri-2]=_xlfn.CONCAT('Consortium calculs'!$C36,"BL")))</f>
        <v>0</v>
      </c>
      <c r="H36" s="83" cm="1">
        <f t="array" ref="H36">SUMPRODUCT(TAB_CS[[Apr-2022]:[Jun-2022]]*(TAB_CS[Profile in €])*(TAB_CS[Tri-2]=_xlfn.CONCAT('Consortium calculs'!$C36,"BL")))</f>
        <v>0</v>
      </c>
      <c r="I36" s="149" cm="1">
        <f t="array" ref="I36">SUMPRODUCT(TAB_CS[[Jul-2022]:[Sep-2022]]*(TAB_CS[Tri-2]=_xlfn.CONCAT('Consortium calculs'!$C36,"BL")))</f>
        <v>0</v>
      </c>
      <c r="J36" s="83" cm="1">
        <f t="array" ref="J36">SUMPRODUCT(TAB_CS[[Jul-2022]:[Sep-2022]]*(TAB_CS[Profile in €])*(TAB_CS[Tri-2]=_xlfn.CONCAT('Consortium calculs'!$C36,"BL")))</f>
        <v>0</v>
      </c>
      <c r="K36" s="149" cm="1">
        <f t="array" ref="K36">SUMPRODUCT(TAB_CS[[Oct-2022]:[Dec-2022]]*(TAB_CS[Tri-2]=_xlfn.CONCAT('Consortium calculs'!$C36,"BL")))</f>
        <v>55</v>
      </c>
      <c r="L36" s="83" cm="1">
        <f t="array" ref="L36">SUMPRODUCT(TAB_CS[[Oct-2022]:[Dec-2022]]*(TAB_CS[Profile in €])*(TAB_CS[Tri-2]=_xlfn.CONCAT('Consortium calculs'!$C36,"BL")))</f>
        <v>24829.09</v>
      </c>
      <c r="M36" s="460" cm="1">
        <f t="array" ref="M36">SUMPRODUCT(TAB_CS[[Jan-2023]:[Mar-2023]]*(TAB_CS[Tri-2]=_xlfn.CONCAT('Consortium calculs'!$C36,"BL")))</f>
        <v>125.5</v>
      </c>
      <c r="N36" s="462" cm="1">
        <f t="array" ref="N36">SUMPRODUCT(TAB_CS[[Jan-2023]:[Mar-2023]]*(TAB_CS[Profile in €])*(TAB_CS[Tri-2]=_xlfn.CONCAT('Consortium calculs'!$C36,"BL")))</f>
        <v>56800.165000000001</v>
      </c>
      <c r="O36" s="460" cm="1">
        <f t="array" ref="O36">SUMPRODUCT(TAB_CS[[Apr-2023]:[Jun-2023]]*(TAB_CS[Tri-2]=_xlfn.CONCAT('Consortium calculs'!$C36,"BL")))</f>
        <v>100.5</v>
      </c>
      <c r="P36" s="462" cm="1">
        <f t="array" ref="P36">SUMPRODUCT(TAB_CS[[Apr-2023]:[Jun-2023]]*(TAB_CS[Profile in €])*(TAB_CS[Tri-2]=_xlfn.CONCAT('Consortium calculs'!$C36,"BL")))</f>
        <v>45138.934999999998</v>
      </c>
      <c r="Q36" s="460" cm="1">
        <f t="array" ref="Q36">SUMPRODUCT(TAB_CS[[Jul-2023]:[Sep-2023]]*(TAB_CS[Tri-2]=_xlfn.CONCAT('Consortium calculs'!$C36,"BL")))</f>
        <v>28.5</v>
      </c>
      <c r="R36" s="462" cm="1">
        <f t="array" ref="R36">SUMPRODUCT(TAB_CS[[Jul-2023]:[Sep-2023]]*(TAB_CS[Profile in €])*(TAB_CS[Tri-2]=_xlfn.CONCAT('Consortium calculs'!$C36,"BL")))</f>
        <v>12466.174999999999</v>
      </c>
      <c r="S36" s="460" cm="1">
        <f t="array" ref="S36">SUMPRODUCT(TAB_CS[[Oct-2023]:[Dec-2023]]*(TAB_CS[Tri-2]=_xlfn.CONCAT('Consortium calculs'!$C36,"BL")))</f>
        <v>0</v>
      </c>
      <c r="T36" s="462" cm="1">
        <f t="array" ref="T36">SUMPRODUCT(TAB_CS[[Oct-2023]:[Dec-2023]]*(TAB_CS[Profile in €])*(TAB_CS[Tri-2]=_xlfn.CONCAT('Consortium calculs'!$C36,"BL")))</f>
        <v>0</v>
      </c>
      <c r="U36" s="460" cm="1">
        <f t="array" ref="U36">SUMPRODUCT(TAB_CS[[Jan-2024]:[Mar-2024]]*(TAB_CS[Tri-2]=_xlfn.CONCAT('Consortium calculs'!$C36,"BL")))</f>
        <v>0</v>
      </c>
      <c r="V36" s="462" cm="1">
        <f t="array" ref="V36">SUMPRODUCT(TAB_CS[[Jan-2024]:[Mar-2024]]*(TAB_CS[Profile in €])*(TAB_CS[Tri-2]=_xlfn.CONCAT('Consortium calculs'!$C36,"BL")))</f>
        <v>0</v>
      </c>
      <c r="W36" s="460" cm="1">
        <f t="array" ref="W36">SUMPRODUCT(TAB_CS[[Apr-2024]:[Jun-2024]]*(TAB_CS[Tri-2]=_xlfn.CONCAT('Consortium calculs'!$C36,"BL")))</f>
        <v>0</v>
      </c>
      <c r="X36" s="462" cm="1">
        <f t="array" ref="X36">SUMPRODUCT(TAB_CS[[Apr-2024]:[Jun-2024]]*(TAB_CS[Profile in €])*(TAB_CS[Tri-2]=_xlfn.CONCAT('Consortium calculs'!$C36,"BL")))</f>
        <v>0</v>
      </c>
      <c r="Y36" s="460" cm="1">
        <f t="array" ref="Y36">SUMPRODUCT(TAB_CS[[Jul-2024]:[Sep-2024]]*(TAB_CS[Tri-2]=_xlfn.CONCAT('Consortium calculs'!$C36,"BL")))</f>
        <v>0</v>
      </c>
      <c r="Z36" s="462" cm="1">
        <f t="array" ref="Z36">SUMPRODUCT(TAB_CS[[Jul-2024]:[Sep-2024]]*(TAB_CS[Profile in €])*(TAB_CS[Tri-2]=_xlfn.CONCAT('Consortium calculs'!$C36,"BL")))</f>
        <v>0</v>
      </c>
      <c r="AA36" s="460" cm="1">
        <f t="array" ref="AA36">SUMPRODUCT(TAB_CS[[Oct-2023]:[Dec-2023]]*(TAB_CS[Tri-2]=_xlfn.CONCAT('Consortium calculs'!$C36,"BL")))</f>
        <v>0</v>
      </c>
      <c r="AB36" s="462" cm="1">
        <f t="array" ref="AB36">SUMPRODUCT(TAB_CS[[Oct-2023]:[Dec-2023]]*(TAB_CS[Profile in €])*(TAB_CS[Tri-2]=_xlfn.CONCAT('Consortium calculs'!$C36,"BL")))</f>
        <v>0</v>
      </c>
      <c r="AC36" s="460" cm="1">
        <f t="array" ref="AC36">SUMPRODUCT(TAB_CS[[Jan-2024]:[Mar-2024]]*(TAB_CS[Tri-2]=_xlfn.CONCAT('Consortium calculs'!$C36,"BL")))</f>
        <v>0</v>
      </c>
      <c r="AD36" s="462" cm="1">
        <f t="array" ref="AD36">SUMPRODUCT(TAB_CS[[Jan-2024]:[Mar-2024]]*(TAB_CS[Profile in €])*(TAB_CS[Tri-2]=_xlfn.CONCAT('Consortium calculs'!$C36,"BL")))</f>
        <v>0</v>
      </c>
      <c r="AE36" s="460" cm="1">
        <f t="array" ref="AE36">SUMPRODUCT(TAB_CS[[Apr-2024]:[Jun-2024]]*(TAB_CS[Tri-2]=_xlfn.CONCAT('Consortium calculs'!$C36,"BL")))</f>
        <v>0</v>
      </c>
      <c r="AF36" s="462" cm="1">
        <f t="array" ref="AF36">SUMPRODUCT(TAB_CS[[Apr-2024]:[Jun-2024]]*(TAB_CS[Profile in €])*(TAB_CS[Tri-2]=_xlfn.CONCAT('Consortium calculs'!$C36,"BL")))</f>
        <v>0</v>
      </c>
      <c r="AG36" s="460" cm="1">
        <f t="array" ref="AG36">SUMPRODUCT(TAB_CS[[Jul-2024]:[Sep-2024]]*(TAB_CS[Tri-2]=_xlfn.CONCAT('Consortium calculs'!$C36,"BL")))</f>
        <v>0</v>
      </c>
      <c r="AH36" s="462" cm="1">
        <f t="array" ref="AH36">SUMPRODUCT(TAB_CS[[Jul-2024]:[Sep-2024]]*(TAB_CS[Profile in €])*(TAB_CS[Tri-2]=_xlfn.CONCAT('Consortium calculs'!$C36,"BL")))</f>
        <v>0</v>
      </c>
      <c r="AI36" s="460" cm="1">
        <f t="array" ref="AI36">SUMPRODUCT(TAB_CS[[Oct-2023]:[Dec-2023]]*(TAB_CS[Tri-2]=_xlfn.CONCAT('Consortium calculs'!$C36,"BL")))</f>
        <v>0</v>
      </c>
      <c r="AJ36" s="462" cm="1">
        <f t="array" ref="AJ36">SUMPRODUCT(TAB_CS[[Oct-2023]:[Dec-2023]]*(TAB_CS[Profile in €])*(TAB_CS[Tri-2]=_xlfn.CONCAT('Consortium calculs'!$C36,"BL")))</f>
        <v>0</v>
      </c>
    </row>
    <row r="37" spans="1:36" x14ac:dyDescent="0.25">
      <c r="B37" s="668"/>
      <c r="C37" s="40" t="s">
        <v>202</v>
      </c>
      <c r="D37" s="44">
        <f t="shared" si="38"/>
        <v>0</v>
      </c>
      <c r="E37" s="39">
        <f t="shared" si="39"/>
        <v>0</v>
      </c>
      <c r="G37" s="149" cm="1">
        <f t="array" ref="G37">SUMPRODUCT(TAB_CS[[Apr-2022]:[Jun-2022]]*(TAB_CS[Tri-2]=_xlfn.CONCAT('Consortium calculs'!$C37,"BL")))</f>
        <v>0</v>
      </c>
      <c r="H37" s="83" cm="1">
        <f t="array" ref="H37">SUMPRODUCT(TAB_CS[[Apr-2022]:[Jun-2022]]*(TAB_CS[Profile in €])*(TAB_CS[Tri-2]=_xlfn.CONCAT('Consortium calculs'!$C37,"BL")))</f>
        <v>0</v>
      </c>
      <c r="I37" s="149" cm="1">
        <f t="array" ref="I37">SUMPRODUCT(TAB_CS[[Jul-2022]:[Sep-2022]]*(TAB_CS[Tri-2]=_xlfn.CONCAT('Consortium calculs'!$C37,"BL")))</f>
        <v>0</v>
      </c>
      <c r="J37" s="83" cm="1">
        <f t="array" ref="J37">SUMPRODUCT(TAB_CS[[Jul-2022]:[Sep-2022]]*(TAB_CS[Profile in €])*(TAB_CS[Tri-2]=_xlfn.CONCAT('Consortium calculs'!$C37,"BL")))</f>
        <v>0</v>
      </c>
      <c r="K37" s="149" cm="1">
        <f t="array" ref="K37">SUMPRODUCT(TAB_CS[[Oct-2022]:[Dec-2022]]*(TAB_CS[Tri-2]=_xlfn.CONCAT('Consortium calculs'!$C37,"BL")))</f>
        <v>0</v>
      </c>
      <c r="L37" s="83" cm="1">
        <f t="array" ref="L37">SUMPRODUCT(TAB_CS[[Oct-2022]:[Dec-2022]]*(TAB_CS[Profile in €])*(TAB_CS[Tri-2]=_xlfn.CONCAT('Consortium calculs'!$C37,"BL")))</f>
        <v>0</v>
      </c>
      <c r="M37" s="460" cm="1">
        <f t="array" ref="M37">SUMPRODUCT(TAB_CS[[Jan-2023]:[Mar-2023]]*(TAB_CS[Tri-2]=_xlfn.CONCAT('Consortium calculs'!$C37,"BL")))</f>
        <v>0</v>
      </c>
      <c r="N37" s="462" cm="1">
        <f t="array" ref="N37">SUMPRODUCT(TAB_CS[[Jan-2023]:[Mar-2023]]*(TAB_CS[Profile in €])*(TAB_CS[Tri-2]=_xlfn.CONCAT('Consortium calculs'!$C37,"BL")))</f>
        <v>0</v>
      </c>
      <c r="O37" s="460" cm="1">
        <f t="array" ref="O37">SUMPRODUCT(TAB_CS[[Apr-2023]:[Jun-2023]]*(TAB_CS[Tri-2]=_xlfn.CONCAT('Consortium calculs'!$C37,"BL")))</f>
        <v>0</v>
      </c>
      <c r="P37" s="462" cm="1">
        <f t="array" ref="P37">SUMPRODUCT(TAB_CS[[Apr-2023]:[Jun-2023]]*(TAB_CS[Profile in €])*(TAB_CS[Tri-2]=_xlfn.CONCAT('Consortium calculs'!$C37,"BL")))</f>
        <v>0</v>
      </c>
      <c r="Q37" s="460" cm="1">
        <f t="array" ref="Q37">SUMPRODUCT(TAB_CS[[Jul-2023]:[Sep-2023]]*(TAB_CS[Tri-2]=_xlfn.CONCAT('Consortium calculs'!$C37,"BL")))</f>
        <v>0</v>
      </c>
      <c r="R37" s="462" cm="1">
        <f t="array" ref="R37">SUMPRODUCT(TAB_CS[[Jul-2023]:[Sep-2023]]*(TAB_CS[Profile in €])*(TAB_CS[Tri-2]=_xlfn.CONCAT('Consortium calculs'!$C37,"BL")))</f>
        <v>0</v>
      </c>
      <c r="S37" s="460" cm="1">
        <f t="array" ref="S37">SUMPRODUCT(TAB_CS[[Oct-2023]:[Dec-2023]]*(TAB_CS[Tri-2]=_xlfn.CONCAT('Consortium calculs'!$C37,"BL")))</f>
        <v>0</v>
      </c>
      <c r="T37" s="462" cm="1">
        <f t="array" ref="T37">SUMPRODUCT(TAB_CS[[Oct-2023]:[Dec-2023]]*(TAB_CS[Profile in €])*(TAB_CS[Tri-2]=_xlfn.CONCAT('Consortium calculs'!$C37,"BL")))</f>
        <v>0</v>
      </c>
      <c r="U37" s="460" cm="1">
        <f t="array" ref="U37">SUMPRODUCT(TAB_CS[[Jan-2024]:[Mar-2024]]*(TAB_CS[Tri-2]=_xlfn.CONCAT('Consortium calculs'!$C37,"BL")))</f>
        <v>0</v>
      </c>
      <c r="V37" s="462" cm="1">
        <f t="array" ref="V37">SUMPRODUCT(TAB_CS[[Jan-2024]:[Mar-2024]]*(TAB_CS[Profile in €])*(TAB_CS[Tri-2]=_xlfn.CONCAT('Consortium calculs'!$C37,"BL")))</f>
        <v>0</v>
      </c>
      <c r="W37" s="460" cm="1">
        <f t="array" ref="W37">SUMPRODUCT(TAB_CS[[Apr-2024]:[Jun-2024]]*(TAB_CS[Tri-2]=_xlfn.CONCAT('Consortium calculs'!$C37,"BL")))</f>
        <v>0</v>
      </c>
      <c r="X37" s="462" cm="1">
        <f t="array" ref="X37">SUMPRODUCT(TAB_CS[[Apr-2024]:[Jun-2024]]*(TAB_CS[Profile in €])*(TAB_CS[Tri-2]=_xlfn.CONCAT('Consortium calculs'!$C37,"BL")))</f>
        <v>0</v>
      </c>
      <c r="Y37" s="460" cm="1">
        <f t="array" ref="Y37">SUMPRODUCT(TAB_CS[[Jul-2024]:[Sep-2024]]*(TAB_CS[Tri-2]=_xlfn.CONCAT('Consortium calculs'!$C37,"BL")))</f>
        <v>0</v>
      </c>
      <c r="Z37" s="462" cm="1">
        <f t="array" ref="Z37">SUMPRODUCT(TAB_CS[[Jul-2024]:[Sep-2024]]*(TAB_CS[Profile in €])*(TAB_CS[Tri-2]=_xlfn.CONCAT('Consortium calculs'!$C37,"BL")))</f>
        <v>0</v>
      </c>
      <c r="AA37" s="460" cm="1">
        <f t="array" ref="AA37">SUMPRODUCT(TAB_CS[[Oct-2023]:[Dec-2023]]*(TAB_CS[Tri-2]=_xlfn.CONCAT('Consortium calculs'!$C37,"BL")))</f>
        <v>0</v>
      </c>
      <c r="AB37" s="462" cm="1">
        <f t="array" ref="AB37">SUMPRODUCT(TAB_CS[[Oct-2023]:[Dec-2023]]*(TAB_CS[Profile in €])*(TAB_CS[Tri-2]=_xlfn.CONCAT('Consortium calculs'!$C37,"BL")))</f>
        <v>0</v>
      </c>
      <c r="AC37" s="460" cm="1">
        <f t="array" ref="AC37">SUMPRODUCT(TAB_CS[[Jan-2024]:[Mar-2024]]*(TAB_CS[Tri-2]=_xlfn.CONCAT('Consortium calculs'!$C37,"BL")))</f>
        <v>0</v>
      </c>
      <c r="AD37" s="462" cm="1">
        <f t="array" ref="AD37">SUMPRODUCT(TAB_CS[[Jan-2024]:[Mar-2024]]*(TAB_CS[Profile in €])*(TAB_CS[Tri-2]=_xlfn.CONCAT('Consortium calculs'!$C37,"BL")))</f>
        <v>0</v>
      </c>
      <c r="AE37" s="460" cm="1">
        <f t="array" ref="AE37">SUMPRODUCT(TAB_CS[[Apr-2024]:[Jun-2024]]*(TAB_CS[Tri-2]=_xlfn.CONCAT('Consortium calculs'!$C37,"BL")))</f>
        <v>0</v>
      </c>
      <c r="AF37" s="462" cm="1">
        <f t="array" ref="AF37">SUMPRODUCT(TAB_CS[[Apr-2024]:[Jun-2024]]*(TAB_CS[Profile in €])*(TAB_CS[Tri-2]=_xlfn.CONCAT('Consortium calculs'!$C37,"BL")))</f>
        <v>0</v>
      </c>
      <c r="AG37" s="460" cm="1">
        <f t="array" ref="AG37">SUMPRODUCT(TAB_CS[[Jul-2024]:[Sep-2024]]*(TAB_CS[Tri-2]=_xlfn.CONCAT('Consortium calculs'!$C37,"BL")))</f>
        <v>0</v>
      </c>
      <c r="AH37" s="462" cm="1">
        <f t="array" ref="AH37">SUMPRODUCT(TAB_CS[[Jul-2024]:[Sep-2024]]*(TAB_CS[Profile in €])*(TAB_CS[Tri-2]=_xlfn.CONCAT('Consortium calculs'!$C37,"BL")))</f>
        <v>0</v>
      </c>
      <c r="AI37" s="460" cm="1">
        <f t="array" ref="AI37">SUMPRODUCT(TAB_CS[[Oct-2023]:[Dec-2023]]*(TAB_CS[Tri-2]=_xlfn.CONCAT('Consortium calculs'!$C37,"BL")))</f>
        <v>0</v>
      </c>
      <c r="AJ37" s="462" cm="1">
        <f t="array" ref="AJ37">SUMPRODUCT(TAB_CS[[Oct-2023]:[Dec-2023]]*(TAB_CS[Profile in €])*(TAB_CS[Tri-2]=_xlfn.CONCAT('Consortium calculs'!$C37,"BL")))</f>
        <v>0</v>
      </c>
    </row>
    <row r="38" spans="1:36" x14ac:dyDescent="0.25">
      <c r="B38" s="668"/>
      <c r="C38" s="40" t="s">
        <v>203</v>
      </c>
      <c r="D38" s="44">
        <f t="shared" si="38"/>
        <v>2400.5</v>
      </c>
      <c r="E38" s="39">
        <f t="shared" si="39"/>
        <v>1781754.7500000002</v>
      </c>
      <c r="G38" s="149" cm="1">
        <f t="array" ref="G38">SUMPRODUCT(TAB_CS[[Apr-2022]:[Jun-2022]]*(TAB_CS[Tri-2]=_xlfn.CONCAT('Consortium calculs'!$C38,"BL")))</f>
        <v>0</v>
      </c>
      <c r="H38" s="83" cm="1">
        <f t="array" ref="H38">SUMPRODUCT(TAB_CS[[Apr-2022]:[Jun-2022]]*(TAB_CS[Profile in €])*(TAB_CS[Tri-2]=_xlfn.CONCAT('Consortium calculs'!$C38,"BL")))</f>
        <v>0</v>
      </c>
      <c r="I38" s="149" cm="1">
        <f t="array" ref="I38">SUMPRODUCT(TAB_CS[[Jul-2022]:[Sep-2022]]*(TAB_CS[Tri-2]=_xlfn.CONCAT('Consortium calculs'!$C38,"BL")))</f>
        <v>0</v>
      </c>
      <c r="J38" s="83" cm="1">
        <f t="array" ref="J38">SUMPRODUCT(TAB_CS[[Jul-2022]:[Sep-2022]]*(TAB_CS[Profile in €])*(TAB_CS[Tri-2]=_xlfn.CONCAT('Consortium calculs'!$C38,"BL")))</f>
        <v>0</v>
      </c>
      <c r="K38" s="149" cm="1">
        <f t="array" ref="K38">SUMPRODUCT(TAB_CS[[Oct-2022]:[Dec-2022]]*(TAB_CS[Tri-2]=_xlfn.CONCAT('Consortium calculs'!$C38,"BL")))</f>
        <v>192</v>
      </c>
      <c r="L38" s="83" cm="1">
        <f t="array" ref="L38">SUMPRODUCT(TAB_CS[[Oct-2022]:[Dec-2022]]*(TAB_CS[Profile in €])*(TAB_CS[Tri-2]=_xlfn.CONCAT('Consortium calculs'!$C38,"BL")))</f>
        <v>141720.06999999998</v>
      </c>
      <c r="M38" s="460" cm="1">
        <f t="array" ref="M38">SUMPRODUCT(TAB_CS[[Jan-2023]:[Mar-2023]]*(TAB_CS[Tri-2]=_xlfn.CONCAT('Consortium calculs'!$C38,"BL")))</f>
        <v>736.5</v>
      </c>
      <c r="N38" s="462" cm="1">
        <f t="array" ref="N38">SUMPRODUCT(TAB_CS[[Jan-2023]:[Mar-2023]]*(TAB_CS[Profile in €])*(TAB_CS[Tri-2]=_xlfn.CONCAT('Consortium calculs'!$C38,"BL")))</f>
        <v>543617.625</v>
      </c>
      <c r="O38" s="460" cm="1">
        <f t="array" ref="O38">SUMPRODUCT(TAB_CS[[Apr-2023]:[Jun-2023]]*(TAB_CS[Tri-2]=_xlfn.CONCAT('Consortium calculs'!$C38,"BL")))</f>
        <v>456.5</v>
      </c>
      <c r="P38" s="462" cm="1">
        <f t="array" ref="P38">SUMPRODUCT(TAB_CS[[Apr-2023]:[Jun-2023]]*(TAB_CS[Profile in €])*(TAB_CS[Tri-2]=_xlfn.CONCAT('Consortium calculs'!$C38,"BL")))</f>
        <v>332801.69500000007</v>
      </c>
      <c r="Q38" s="460" cm="1">
        <f t="array" ref="Q38">SUMPRODUCT(TAB_CS[[Jul-2023]:[Sep-2023]]*(TAB_CS[Tri-2]=_xlfn.CONCAT('Consortium calculs'!$C38,"BL")))</f>
        <v>348.5</v>
      </c>
      <c r="R38" s="462" cm="1">
        <f t="array" ref="R38">SUMPRODUCT(TAB_CS[[Jul-2023]:[Sep-2023]]*(TAB_CS[Profile in €])*(TAB_CS[Tri-2]=_xlfn.CONCAT('Consortium calculs'!$C38,"BL")))</f>
        <v>258479.61500000002</v>
      </c>
      <c r="S38" s="460" cm="1">
        <f t="array" ref="S38">SUMPRODUCT(TAB_CS[[Oct-2023]:[Dec-2023]]*(TAB_CS[Tri-2]=_xlfn.CONCAT('Consortium calculs'!$C38,"BL")))</f>
        <v>210</v>
      </c>
      <c r="T38" s="462" cm="1">
        <f t="array" ref="T38">SUMPRODUCT(TAB_CS[[Oct-2023]:[Dec-2023]]*(TAB_CS[Profile in €])*(TAB_CS[Tri-2]=_xlfn.CONCAT('Consortium calculs'!$C38,"BL")))</f>
        <v>157548.24</v>
      </c>
      <c r="U38" s="460" cm="1">
        <f t="array" ref="U38">SUMPRODUCT(TAB_CS[[Jan-2024]:[Mar-2024]]*(TAB_CS[Tri-2]=_xlfn.CONCAT('Consortium calculs'!$C38,"BL")))</f>
        <v>63</v>
      </c>
      <c r="V38" s="462" cm="1">
        <f t="array" ref="V38">SUMPRODUCT(TAB_CS[[Jan-2024]:[Mar-2024]]*(TAB_CS[Profile in €])*(TAB_CS[Tri-2]=_xlfn.CONCAT('Consortium calculs'!$C38,"BL")))</f>
        <v>47487.51</v>
      </c>
      <c r="W38" s="460" cm="1">
        <f t="array" ref="W38">SUMPRODUCT(TAB_CS[[Apr-2024]:[Jun-2024]]*(TAB_CS[Tri-2]=_xlfn.CONCAT('Consortium calculs'!$C38,"BL")))</f>
        <v>59</v>
      </c>
      <c r="X38" s="462" cm="1">
        <f t="array" ref="X38">SUMPRODUCT(TAB_CS[[Apr-2024]:[Jun-2024]]*(TAB_CS[Profile in €])*(TAB_CS[Tri-2]=_xlfn.CONCAT('Consortium calculs'!$C38,"BL")))</f>
        <v>45877.165000000001</v>
      </c>
      <c r="Y38" s="460" cm="1">
        <f t="array" ref="Y38">SUMPRODUCT(TAB_CS[[Jul-2024]:[Sep-2024]]*(TAB_CS[Tri-2]=_xlfn.CONCAT('Consortium calculs'!$C38,"BL")))</f>
        <v>62</v>
      </c>
      <c r="Z38" s="462" cm="1">
        <f t="array" ref="Z38">SUMPRODUCT(TAB_CS[[Jul-2024]:[Sep-2024]]*(TAB_CS[Profile in €])*(TAB_CS[Tri-2]=_xlfn.CONCAT('Consortium calculs'!$C38,"BL")))</f>
        <v>49187.08</v>
      </c>
      <c r="AA38" s="460" cm="1">
        <f t="array" ref="AA38">SUMPRODUCT(TAB_CS[[Oct-2023]:[Dec-2023]]*(TAB_CS[Tri-2]=_xlfn.CONCAT('Consortium calculs'!$C38,"BL")))</f>
        <v>210</v>
      </c>
      <c r="AB38" s="462" cm="1">
        <f t="array" ref="AB38">SUMPRODUCT(TAB_CS[[Oct-2023]:[Dec-2023]]*(TAB_CS[Profile in €])*(TAB_CS[Tri-2]=_xlfn.CONCAT('Consortium calculs'!$C38,"BL")))</f>
        <v>157548.24</v>
      </c>
      <c r="AC38" s="460" cm="1">
        <f t="array" ref="AC38">SUMPRODUCT(TAB_CS[[Jan-2024]:[Mar-2024]]*(TAB_CS[Tri-2]=_xlfn.CONCAT('Consortium calculs'!$C38,"BL")))</f>
        <v>63</v>
      </c>
      <c r="AD38" s="462" cm="1">
        <f t="array" ref="AD38">SUMPRODUCT(TAB_CS[[Jan-2024]:[Mar-2024]]*(TAB_CS[Profile in €])*(TAB_CS[Tri-2]=_xlfn.CONCAT('Consortium calculs'!$C38,"BL")))</f>
        <v>47487.51</v>
      </c>
      <c r="AE38" s="460" cm="1">
        <f t="array" ref="AE38">SUMPRODUCT(TAB_CS[[Apr-2024]:[Jun-2024]]*(TAB_CS[Tri-2]=_xlfn.CONCAT('Consortium calculs'!$C38,"BL")))</f>
        <v>59</v>
      </c>
      <c r="AF38" s="462" cm="1">
        <f t="array" ref="AF38">SUMPRODUCT(TAB_CS[[Apr-2024]:[Jun-2024]]*(TAB_CS[Profile in €])*(TAB_CS[Tri-2]=_xlfn.CONCAT('Consortium calculs'!$C38,"BL")))</f>
        <v>45877.165000000001</v>
      </c>
      <c r="AG38" s="460" cm="1">
        <f t="array" ref="AG38">SUMPRODUCT(TAB_CS[[Jul-2024]:[Sep-2024]]*(TAB_CS[Tri-2]=_xlfn.CONCAT('Consortium calculs'!$C38,"BL")))</f>
        <v>62</v>
      </c>
      <c r="AH38" s="462" cm="1">
        <f t="array" ref="AH38">SUMPRODUCT(TAB_CS[[Jul-2024]:[Sep-2024]]*(TAB_CS[Profile in €])*(TAB_CS[Tri-2]=_xlfn.CONCAT('Consortium calculs'!$C38,"BL")))</f>
        <v>49187.08</v>
      </c>
      <c r="AI38" s="460" cm="1">
        <f t="array" ref="AI38">SUMPRODUCT(TAB_CS[[Oct-2023]:[Dec-2023]]*(TAB_CS[Tri-2]=_xlfn.CONCAT('Consortium calculs'!$C38,"BL")))</f>
        <v>210</v>
      </c>
      <c r="AJ38" s="462" cm="1">
        <f t="array" ref="AJ38">SUMPRODUCT(TAB_CS[[Oct-2023]:[Dec-2023]]*(TAB_CS[Profile in €])*(TAB_CS[Tri-2]=_xlfn.CONCAT('Consortium calculs'!$C38,"BL")))</f>
        <v>157548.24</v>
      </c>
    </row>
    <row r="39" spans="1:36" x14ac:dyDescent="0.25">
      <c r="B39" s="668"/>
      <c r="C39" s="40" t="s">
        <v>86</v>
      </c>
      <c r="D39" s="44">
        <f t="shared" si="38"/>
        <v>2099</v>
      </c>
      <c r="E39" s="39">
        <f t="shared" si="39"/>
        <v>1148188.7299999997</v>
      </c>
      <c r="G39" s="149" cm="1">
        <f t="array" ref="G39">SUMPRODUCT(TAB_CS[[Apr-2022]:[Jun-2022]]*(TAB_CS[Tri-2]=_xlfn.CONCAT('Consortium calculs'!$C39,"BL")))</f>
        <v>0</v>
      </c>
      <c r="H39" s="83" cm="1">
        <f t="array" ref="H39">SUMPRODUCT(TAB_CS[[Apr-2022]:[Jun-2022]]*(TAB_CS[Profile in €])*(TAB_CS[Tri-2]=_xlfn.CONCAT('Consortium calculs'!$C39,"BL")))</f>
        <v>0</v>
      </c>
      <c r="I39" s="149" cm="1">
        <f t="array" ref="I39">SUMPRODUCT(TAB_CS[[Jul-2022]:[Sep-2022]]*(TAB_CS[Tri-2]=_xlfn.CONCAT('Consortium calculs'!$C39,"BL")))</f>
        <v>19</v>
      </c>
      <c r="J39" s="83" cm="1">
        <f t="array" ref="J39">SUMPRODUCT(TAB_CS[[Jul-2022]:[Sep-2022]]*(TAB_CS[Profile in €])*(TAB_CS[Tri-2]=_xlfn.CONCAT('Consortium calculs'!$C39,"BL")))</f>
        <v>10455.280000000001</v>
      </c>
      <c r="K39" s="149" cm="1">
        <f t="array" ref="K39">SUMPRODUCT(TAB_CS[[Oct-2022]:[Dec-2022]]*(TAB_CS[Tri-2]=_xlfn.CONCAT('Consortium calculs'!$C39,"BL")))</f>
        <v>294.5</v>
      </c>
      <c r="L39" s="83" cm="1">
        <f t="array" ref="L39">SUMPRODUCT(TAB_CS[[Oct-2022]:[Dec-2022]]*(TAB_CS[Profile in €])*(TAB_CS[Tri-2]=_xlfn.CONCAT('Consortium calculs'!$C39,"BL")))</f>
        <v>165352.35499999998</v>
      </c>
      <c r="M39" s="460" cm="1">
        <f t="array" ref="M39">SUMPRODUCT(TAB_CS[[Jan-2023]:[Mar-2023]]*(TAB_CS[Tri-2]=_xlfn.CONCAT('Consortium calculs'!$C39,"BL")))</f>
        <v>686</v>
      </c>
      <c r="N39" s="462" cm="1">
        <f t="array" ref="N39">SUMPRODUCT(TAB_CS[[Jan-2023]:[Mar-2023]]*(TAB_CS[Profile in €])*(TAB_CS[Tri-2]=_xlfn.CONCAT('Consortium calculs'!$C39,"BL")))</f>
        <v>380107.08</v>
      </c>
      <c r="O39" s="460" cm="1">
        <f t="array" ref="O39">SUMPRODUCT(TAB_CS[[Apr-2023]:[Jun-2023]]*(TAB_CS[Tri-2]=_xlfn.CONCAT('Consortium calculs'!$C39,"BL")))</f>
        <v>418.5</v>
      </c>
      <c r="P39" s="462" cm="1">
        <f t="array" ref="P39">SUMPRODUCT(TAB_CS[[Apr-2023]:[Jun-2023]]*(TAB_CS[Profile in €])*(TAB_CS[Tri-2]=_xlfn.CONCAT('Consortium calculs'!$C39,"BL")))</f>
        <v>221372.12999999998</v>
      </c>
      <c r="Q39" s="460" cm="1">
        <f t="array" ref="Q39">SUMPRODUCT(TAB_CS[[Jul-2023]:[Sep-2023]]*(TAB_CS[Tri-2]=_xlfn.CONCAT('Consortium calculs'!$C39,"BL")))</f>
        <v>253</v>
      </c>
      <c r="R39" s="462" cm="1">
        <f t="array" ref="R39">SUMPRODUCT(TAB_CS[[Jul-2023]:[Sep-2023]]*(TAB_CS[Profile in €])*(TAB_CS[Tri-2]=_xlfn.CONCAT('Consortium calculs'!$C39,"BL")))</f>
        <v>128419.16499999998</v>
      </c>
      <c r="S39" s="460" cm="1">
        <f t="array" ref="S39">SUMPRODUCT(TAB_CS[[Oct-2023]:[Dec-2023]]*(TAB_CS[Tri-2]=_xlfn.CONCAT('Consortium calculs'!$C39,"BL")))</f>
        <v>120.5</v>
      </c>
      <c r="T39" s="462" cm="1">
        <f t="array" ref="T39">SUMPRODUCT(TAB_CS[[Oct-2023]:[Dec-2023]]*(TAB_CS[Profile in €])*(TAB_CS[Tri-2]=_xlfn.CONCAT('Consortium calculs'!$C39,"BL")))</f>
        <v>64930.98000000001</v>
      </c>
      <c r="U39" s="460" cm="1">
        <f t="array" ref="U39">SUMPRODUCT(TAB_CS[[Jan-2024]:[Mar-2024]]*(TAB_CS[Tri-2]=_xlfn.CONCAT('Consortium calculs'!$C39,"BL")))</f>
        <v>51.5</v>
      </c>
      <c r="V39" s="462" cm="1">
        <f t="array" ref="V39">SUMPRODUCT(TAB_CS[[Jan-2024]:[Mar-2024]]*(TAB_CS[Profile in €])*(TAB_CS[Tri-2]=_xlfn.CONCAT('Consortium calculs'!$C39,"BL")))</f>
        <v>29207.199999999997</v>
      </c>
      <c r="W39" s="460" cm="1">
        <f t="array" ref="W39">SUMPRODUCT(TAB_CS[[Apr-2024]:[Jun-2024]]*(TAB_CS[Tri-2]=_xlfn.CONCAT('Consortium calculs'!$C39,"BL")))</f>
        <v>45.5</v>
      </c>
      <c r="X39" s="462" cm="1">
        <f t="array" ref="X39">SUMPRODUCT(TAB_CS[[Apr-2024]:[Jun-2024]]*(TAB_CS[Profile in €])*(TAB_CS[Tri-2]=_xlfn.CONCAT('Consortium calculs'!$C39,"BL")))</f>
        <v>29025.82</v>
      </c>
      <c r="Y39" s="460" cm="1">
        <f t="array" ref="Y39">SUMPRODUCT(TAB_CS[[Jul-2024]:[Sep-2024]]*(TAB_CS[Tri-2]=_xlfn.CONCAT('Consortium calculs'!$C39,"BL")))</f>
        <v>38.5</v>
      </c>
      <c r="Z39" s="462" cm="1">
        <f t="array" ref="Z39">SUMPRODUCT(TAB_CS[[Jul-2024]:[Sep-2024]]*(TAB_CS[Profile in €])*(TAB_CS[Tri-2]=_xlfn.CONCAT('Consortium calculs'!$C39,"BL")))</f>
        <v>25180.539999999997</v>
      </c>
      <c r="AA39" s="460" cm="1">
        <f t="array" ref="AA39">SUMPRODUCT(TAB_CS[[Oct-2023]:[Dec-2023]]*(TAB_CS[Tri-2]=_xlfn.CONCAT('Consortium calculs'!$C39,"BL")))</f>
        <v>120.5</v>
      </c>
      <c r="AB39" s="462" cm="1">
        <f t="array" ref="AB39">SUMPRODUCT(TAB_CS[[Oct-2023]:[Dec-2023]]*(TAB_CS[Profile in €])*(TAB_CS[Tri-2]=_xlfn.CONCAT('Consortium calculs'!$C39,"BL")))</f>
        <v>64930.98000000001</v>
      </c>
      <c r="AC39" s="460" cm="1">
        <f t="array" ref="AC39">SUMPRODUCT(TAB_CS[[Jan-2024]:[Mar-2024]]*(TAB_CS[Tri-2]=_xlfn.CONCAT('Consortium calculs'!$C39,"BL")))</f>
        <v>51.5</v>
      </c>
      <c r="AD39" s="462" cm="1">
        <f t="array" ref="AD39">SUMPRODUCT(TAB_CS[[Jan-2024]:[Mar-2024]]*(TAB_CS[Profile in €])*(TAB_CS[Tri-2]=_xlfn.CONCAT('Consortium calculs'!$C39,"BL")))</f>
        <v>29207.199999999997</v>
      </c>
      <c r="AE39" s="460" cm="1">
        <f t="array" ref="AE39">SUMPRODUCT(TAB_CS[[Apr-2024]:[Jun-2024]]*(TAB_CS[Tri-2]=_xlfn.CONCAT('Consortium calculs'!$C39,"BL")))</f>
        <v>45.5</v>
      </c>
      <c r="AF39" s="462" cm="1">
        <f t="array" ref="AF39">SUMPRODUCT(TAB_CS[[Apr-2024]:[Jun-2024]]*(TAB_CS[Profile in €])*(TAB_CS[Tri-2]=_xlfn.CONCAT('Consortium calculs'!$C39,"BL")))</f>
        <v>29025.82</v>
      </c>
      <c r="AG39" s="460" cm="1">
        <f t="array" ref="AG39">SUMPRODUCT(TAB_CS[[Jul-2024]:[Sep-2024]]*(TAB_CS[Tri-2]=_xlfn.CONCAT('Consortium calculs'!$C39,"BL")))</f>
        <v>38.5</v>
      </c>
      <c r="AH39" s="462" cm="1">
        <f t="array" ref="AH39">SUMPRODUCT(TAB_CS[[Jul-2024]:[Sep-2024]]*(TAB_CS[Profile in €])*(TAB_CS[Tri-2]=_xlfn.CONCAT('Consortium calculs'!$C39,"BL")))</f>
        <v>25180.539999999997</v>
      </c>
      <c r="AI39" s="460" cm="1">
        <f t="array" ref="AI39">SUMPRODUCT(TAB_CS[[Oct-2023]:[Dec-2023]]*(TAB_CS[Tri-2]=_xlfn.CONCAT('Consortium calculs'!$C39,"BL")))</f>
        <v>120.5</v>
      </c>
      <c r="AJ39" s="462" cm="1">
        <f t="array" ref="AJ39">SUMPRODUCT(TAB_CS[[Oct-2023]:[Dec-2023]]*(TAB_CS[Profile in €])*(TAB_CS[Tri-2]=_xlfn.CONCAT('Consortium calculs'!$C39,"BL")))</f>
        <v>64930.98000000001</v>
      </c>
    </row>
    <row r="40" spans="1:36" x14ac:dyDescent="0.25">
      <c r="B40" s="668"/>
      <c r="C40" s="40" t="s">
        <v>87</v>
      </c>
      <c r="D40" s="44">
        <f t="shared" si="38"/>
        <v>579.5</v>
      </c>
      <c r="E40" s="39">
        <f t="shared" si="39"/>
        <v>422756.36500000005</v>
      </c>
      <c r="G40" s="149" cm="1">
        <f t="array" ref="G40">SUMPRODUCT(TAB_CS[[Apr-2022]:[Jun-2022]]*(TAB_CS[Tri-2]=_xlfn.CONCAT('Consortium calculs'!$C40,"BL")))</f>
        <v>0</v>
      </c>
      <c r="H40" s="83" cm="1">
        <f t="array" ref="H40">SUMPRODUCT(TAB_CS[[Apr-2022]:[Jun-2022]]*(TAB_CS[Profile in €])*(TAB_CS[Tri-2]=_xlfn.CONCAT('Consortium calculs'!$C40,"BL")))</f>
        <v>0</v>
      </c>
      <c r="I40" s="149" cm="1">
        <f t="array" ref="I40">SUMPRODUCT(TAB_CS[[Jul-2022]:[Sep-2022]]*(TAB_CS[Tri-2]=_xlfn.CONCAT('Consortium calculs'!$C40,"BL")))</f>
        <v>0</v>
      </c>
      <c r="J40" s="83" cm="1">
        <f t="array" ref="J40">SUMPRODUCT(TAB_CS[[Jul-2022]:[Sep-2022]]*(TAB_CS[Profile in €])*(TAB_CS[Tri-2]=_xlfn.CONCAT('Consortium calculs'!$C40,"BL")))</f>
        <v>0</v>
      </c>
      <c r="K40" s="149" cm="1">
        <f t="array" ref="K40">SUMPRODUCT(TAB_CS[[Oct-2022]:[Dec-2022]]*(TAB_CS[Tri-2]=_xlfn.CONCAT('Consortium calculs'!$C40,"BL")))</f>
        <v>0</v>
      </c>
      <c r="L40" s="83" cm="1">
        <f t="array" ref="L40">SUMPRODUCT(TAB_CS[[Oct-2022]:[Dec-2022]]*(TAB_CS[Profile in €])*(TAB_CS[Tri-2]=_xlfn.CONCAT('Consortium calculs'!$C40,"BL")))</f>
        <v>0</v>
      </c>
      <c r="M40" s="460" cm="1">
        <f t="array" ref="M40">SUMPRODUCT(TAB_CS[[Jan-2023]:[Mar-2023]]*(TAB_CS[Tri-2]=_xlfn.CONCAT('Consortium calculs'!$C40,"BL")))</f>
        <v>108</v>
      </c>
      <c r="N40" s="462" cm="1">
        <f t="array" ref="N40">SUMPRODUCT(TAB_CS[[Jan-2023]:[Mar-2023]]*(TAB_CS[Profile in €])*(TAB_CS[Tri-2]=_xlfn.CONCAT('Consortium calculs'!$C40,"BL")))</f>
        <v>78793.73000000001</v>
      </c>
      <c r="O40" s="460" cm="1">
        <f t="array" ref="O40">SUMPRODUCT(TAB_CS[[Apr-2023]:[Jun-2023]]*(TAB_CS[Tri-2]=_xlfn.CONCAT('Consortium calculs'!$C40,"BL")))</f>
        <v>101.5</v>
      </c>
      <c r="P40" s="462" cm="1">
        <f t="array" ref="P40">SUMPRODUCT(TAB_CS[[Apr-2023]:[Jun-2023]]*(TAB_CS[Profile in €])*(TAB_CS[Tri-2]=_xlfn.CONCAT('Consortium calculs'!$C40,"BL")))</f>
        <v>73795.604999999996</v>
      </c>
      <c r="Q40" s="460" cm="1">
        <f t="array" ref="Q40">SUMPRODUCT(TAB_CS[[Jul-2023]:[Sep-2023]]*(TAB_CS[Tri-2]=_xlfn.CONCAT('Consortium calculs'!$C40,"BL")))</f>
        <v>91</v>
      </c>
      <c r="R40" s="462" cm="1">
        <f t="array" ref="R40">SUMPRODUCT(TAB_CS[[Jul-2023]:[Sep-2023]]*(TAB_CS[Profile in €])*(TAB_CS[Tri-2]=_xlfn.CONCAT('Consortium calculs'!$C40,"BL")))</f>
        <v>66275.5</v>
      </c>
      <c r="S40" s="460" cm="1">
        <f t="array" ref="S40">SUMPRODUCT(TAB_CS[[Oct-2023]:[Dec-2023]]*(TAB_CS[Tri-2]=_xlfn.CONCAT('Consortium calculs'!$C40,"BL")))</f>
        <v>111.5</v>
      </c>
      <c r="T40" s="462" cm="1">
        <f t="array" ref="T40">SUMPRODUCT(TAB_CS[[Oct-2023]:[Dec-2023]]*(TAB_CS[Profile in €])*(TAB_CS[Tri-2]=_xlfn.CONCAT('Consortium calculs'!$C40,"BL")))</f>
        <v>81086.755000000005</v>
      </c>
      <c r="U40" s="460" cm="1">
        <f t="array" ref="U40">SUMPRODUCT(TAB_CS[[Jan-2024]:[Mar-2024]]*(TAB_CS[Tri-2]=_xlfn.CONCAT('Consortium calculs'!$C40,"BL")))</f>
        <v>28</v>
      </c>
      <c r="V40" s="462" cm="1">
        <f t="array" ref="V40">SUMPRODUCT(TAB_CS[[Jan-2024]:[Mar-2024]]*(TAB_CS[Profile in €])*(TAB_CS[Tri-2]=_xlfn.CONCAT('Consortium calculs'!$C40,"BL")))</f>
        <v>20859.009999999998</v>
      </c>
      <c r="W40" s="460" cm="1">
        <f t="array" ref="W40">SUMPRODUCT(TAB_CS[[Apr-2024]:[Jun-2024]]*(TAB_CS[Tri-2]=_xlfn.CONCAT('Consortium calculs'!$C40,"BL")))</f>
        <v>0</v>
      </c>
      <c r="X40" s="462" cm="1">
        <f t="array" ref="X40">SUMPRODUCT(TAB_CS[[Apr-2024]:[Jun-2024]]*(TAB_CS[Profile in €])*(TAB_CS[Tri-2]=_xlfn.CONCAT('Consortium calculs'!$C40,"BL")))</f>
        <v>0</v>
      </c>
      <c r="Y40" s="460" cm="1">
        <f t="array" ref="Y40">SUMPRODUCT(TAB_CS[[Jul-2024]:[Sep-2024]]*(TAB_CS[Tri-2]=_xlfn.CONCAT('Consortium calculs'!$C40,"BL")))</f>
        <v>0</v>
      </c>
      <c r="Z40" s="462" cm="1">
        <f t="array" ref="Z40">SUMPRODUCT(TAB_CS[[Jul-2024]:[Sep-2024]]*(TAB_CS[Profile in €])*(TAB_CS[Tri-2]=_xlfn.CONCAT('Consortium calculs'!$C40,"BL")))</f>
        <v>0</v>
      </c>
      <c r="AA40" s="460" cm="1">
        <f t="array" ref="AA40">SUMPRODUCT(TAB_CS[[Oct-2023]:[Dec-2023]]*(TAB_CS[Tri-2]=_xlfn.CONCAT('Consortium calculs'!$C40,"BL")))</f>
        <v>111.5</v>
      </c>
      <c r="AB40" s="462" cm="1">
        <f t="array" ref="AB40">SUMPRODUCT(TAB_CS[[Oct-2023]:[Dec-2023]]*(TAB_CS[Profile in €])*(TAB_CS[Tri-2]=_xlfn.CONCAT('Consortium calculs'!$C40,"BL")))</f>
        <v>81086.755000000005</v>
      </c>
      <c r="AC40" s="460" cm="1">
        <f t="array" ref="AC40">SUMPRODUCT(TAB_CS[[Jan-2024]:[Mar-2024]]*(TAB_CS[Tri-2]=_xlfn.CONCAT('Consortium calculs'!$C40,"BL")))</f>
        <v>28</v>
      </c>
      <c r="AD40" s="462" cm="1">
        <f t="array" ref="AD40">SUMPRODUCT(TAB_CS[[Jan-2024]:[Mar-2024]]*(TAB_CS[Profile in €])*(TAB_CS[Tri-2]=_xlfn.CONCAT('Consortium calculs'!$C40,"BL")))</f>
        <v>20859.009999999998</v>
      </c>
      <c r="AE40" s="460" cm="1">
        <f t="array" ref="AE40">SUMPRODUCT(TAB_CS[[Apr-2024]:[Jun-2024]]*(TAB_CS[Tri-2]=_xlfn.CONCAT('Consortium calculs'!$C40,"BL")))</f>
        <v>0</v>
      </c>
      <c r="AF40" s="462" cm="1">
        <f t="array" ref="AF40">SUMPRODUCT(TAB_CS[[Apr-2024]:[Jun-2024]]*(TAB_CS[Profile in €])*(TAB_CS[Tri-2]=_xlfn.CONCAT('Consortium calculs'!$C40,"BL")))</f>
        <v>0</v>
      </c>
      <c r="AG40" s="460" cm="1">
        <f t="array" ref="AG40">SUMPRODUCT(TAB_CS[[Jul-2024]:[Sep-2024]]*(TAB_CS[Tri-2]=_xlfn.CONCAT('Consortium calculs'!$C40,"BL")))</f>
        <v>0</v>
      </c>
      <c r="AH40" s="462" cm="1">
        <f t="array" ref="AH40">SUMPRODUCT(TAB_CS[[Jul-2024]:[Sep-2024]]*(TAB_CS[Profile in €])*(TAB_CS[Tri-2]=_xlfn.CONCAT('Consortium calculs'!$C40,"BL")))</f>
        <v>0</v>
      </c>
      <c r="AI40" s="460" cm="1">
        <f t="array" ref="AI40">SUMPRODUCT(TAB_CS[[Oct-2023]:[Dec-2023]]*(TAB_CS[Tri-2]=_xlfn.CONCAT('Consortium calculs'!$C40,"BL")))</f>
        <v>111.5</v>
      </c>
      <c r="AJ40" s="462" cm="1">
        <f t="array" ref="AJ40">SUMPRODUCT(TAB_CS[[Oct-2023]:[Dec-2023]]*(TAB_CS[Profile in €])*(TAB_CS[Tri-2]=_xlfn.CONCAT('Consortium calculs'!$C40,"BL")))</f>
        <v>81086.755000000005</v>
      </c>
    </row>
    <row r="41" spans="1:36" ht="13.8" thickBot="1" x14ac:dyDescent="0.3">
      <c r="B41" s="669"/>
      <c r="C41" s="45" t="s">
        <v>88</v>
      </c>
      <c r="D41" s="47">
        <f t="shared" si="38"/>
        <v>546</v>
      </c>
      <c r="E41" s="46">
        <f t="shared" si="39"/>
        <v>306472.84499999997</v>
      </c>
      <c r="G41" s="377" cm="1">
        <f t="array" ref="G41">SUMPRODUCT(TAB_CS[[Apr-2022]:[Jun-2022]]*(TAB_CS[Tri-2]=_xlfn.CONCAT('Consortium calculs'!$C41,"BL")))</f>
        <v>0</v>
      </c>
      <c r="H41" s="378" cm="1">
        <f t="array" ref="H41">SUMPRODUCT(TAB_CS[[Apr-2022]:[Jun-2022]]*(TAB_CS[Profile in €])*(TAB_CS[Tri-2]=_xlfn.CONCAT('Consortium calculs'!$C41,"BL")))</f>
        <v>0</v>
      </c>
      <c r="I41" s="377" cm="1">
        <f t="array" ref="I41">SUMPRODUCT(TAB_CS[[Jul-2022]:[Sep-2022]]*(TAB_CS[Tri-2]=_xlfn.CONCAT('Consortium calculs'!$C41,"BL")))</f>
        <v>4</v>
      </c>
      <c r="J41" s="378" cm="1">
        <f t="array" ref="J41">SUMPRODUCT(TAB_CS[[Jul-2022]:[Sep-2022]]*(TAB_CS[Profile in €])*(TAB_CS[Tri-2]=_xlfn.CONCAT('Consortium calculs'!$C41,"BL")))</f>
        <v>2156.08</v>
      </c>
      <c r="K41" s="377" cm="1">
        <f t="array" ref="K41">SUMPRODUCT(TAB_CS[[Oct-2022]:[Dec-2022]]*(TAB_CS[Tri-2]=_xlfn.CONCAT('Consortium calculs'!$C41,"BL")))</f>
        <v>51.5</v>
      </c>
      <c r="L41" s="378" cm="1">
        <f t="array" ref="L41">SUMPRODUCT(TAB_CS[[Oct-2022]:[Dec-2022]]*(TAB_CS[Profile in €])*(TAB_CS[Tri-2]=_xlfn.CONCAT('Consortium calculs'!$C41,"BL")))</f>
        <v>27759.53</v>
      </c>
      <c r="M41" s="461" cm="1">
        <f t="array" ref="M41">SUMPRODUCT(TAB_CS[[Jan-2023]:[Mar-2023]]*(TAB_CS[Tri-2]=_xlfn.CONCAT('Consortium calculs'!$C41,"BL")))</f>
        <v>64</v>
      </c>
      <c r="N41" s="463" cm="1">
        <f t="array" ref="N41">SUMPRODUCT(TAB_CS[[Jan-2023]:[Mar-2023]]*(TAB_CS[Profile in €])*(TAB_CS[Tri-2]=_xlfn.CONCAT('Consortium calculs'!$C41,"BL")))</f>
        <v>34497.279999999999</v>
      </c>
      <c r="O41" s="461" cm="1">
        <f t="array" ref="O41">SUMPRODUCT(TAB_CS[[Apr-2023]:[Jun-2023]]*(TAB_CS[Tri-2]=_xlfn.CONCAT('Consortium calculs'!$C41,"BL")))</f>
        <v>52</v>
      </c>
      <c r="P41" s="463" cm="1">
        <f t="array" ref="P41">SUMPRODUCT(TAB_CS[[Apr-2023]:[Jun-2023]]*(TAB_CS[Profile in €])*(TAB_CS[Tri-2]=_xlfn.CONCAT('Consortium calculs'!$C41,"BL")))</f>
        <v>28029.039999999997</v>
      </c>
      <c r="Q41" s="461" cm="1">
        <f t="array" ref="Q41">SUMPRODUCT(TAB_CS[[Jul-2023]:[Sep-2023]]*(TAB_CS[Tri-2]=_xlfn.CONCAT('Consortium calculs'!$C41,"BL")))</f>
        <v>47</v>
      </c>
      <c r="R41" s="463" cm="1">
        <f t="array" ref="R41">SUMPRODUCT(TAB_CS[[Jul-2023]:[Sep-2023]]*(TAB_CS[Profile in €])*(TAB_CS[Tri-2]=_xlfn.CONCAT('Consortium calculs'!$C41,"BL")))</f>
        <v>25333.94</v>
      </c>
      <c r="S41" s="461" cm="1">
        <f t="array" ref="S41">SUMPRODUCT(TAB_CS[[Oct-2023]:[Dec-2023]]*(TAB_CS[Tri-2]=_xlfn.CONCAT('Consortium calculs'!$C41,"BL")))</f>
        <v>52</v>
      </c>
      <c r="T41" s="463" cm="1">
        <f t="array" ref="T41">SUMPRODUCT(TAB_CS[[Oct-2023]:[Dec-2023]]*(TAB_CS[Profile in €])*(TAB_CS[Tri-2]=_xlfn.CONCAT('Consortium calculs'!$C41,"BL")))</f>
        <v>29896.674999999999</v>
      </c>
      <c r="U41" s="461" cm="1">
        <f t="array" ref="U41">SUMPRODUCT(TAB_CS[[Jan-2024]:[Mar-2024]]*(TAB_CS[Tri-2]=_xlfn.CONCAT('Consortium calculs'!$C41,"BL")))</f>
        <v>59</v>
      </c>
      <c r="V41" s="463" cm="1">
        <f t="array" ref="V41">SUMPRODUCT(TAB_CS[[Jan-2024]:[Mar-2024]]*(TAB_CS[Profile in €])*(TAB_CS[Tri-2]=_xlfn.CONCAT('Consortium calculs'!$C41,"BL")))</f>
        <v>34028.25</v>
      </c>
      <c r="W41" s="461" cm="1">
        <f t="array" ref="W41">SUMPRODUCT(TAB_CS[[Apr-2024]:[Jun-2024]]*(TAB_CS[Tri-2]=_xlfn.CONCAT('Consortium calculs'!$C41,"BL")))</f>
        <v>51.5</v>
      </c>
      <c r="X41" s="463" cm="1">
        <f t="array" ref="X41">SUMPRODUCT(TAB_CS[[Apr-2024]:[Jun-2024]]*(TAB_CS[Profile in €])*(TAB_CS[Tri-2]=_xlfn.CONCAT('Consortium calculs'!$C41,"BL")))</f>
        <v>29702.625</v>
      </c>
      <c r="Y41" s="461" cm="1">
        <f t="array" ref="Y41">SUMPRODUCT(TAB_CS[[Jul-2024]:[Sep-2024]]*(TAB_CS[Tri-2]=_xlfn.CONCAT('Consortium calculs'!$C41,"BL")))</f>
        <v>54</v>
      </c>
      <c r="Z41" s="463" cm="1">
        <f t="array" ref="Z41">SUMPRODUCT(TAB_CS[[Jul-2024]:[Sep-2024]]*(TAB_CS[Profile in €])*(TAB_CS[Tri-2]=_xlfn.CONCAT('Consortium calculs'!$C41,"BL")))</f>
        <v>31144.5</v>
      </c>
      <c r="AA41" s="461" cm="1">
        <f t="array" ref="AA41">SUMPRODUCT(TAB_CS[[Oct-2023]:[Dec-2023]]*(TAB_CS[Tri-2]=_xlfn.CONCAT('Consortium calculs'!$C41,"BL")))</f>
        <v>52</v>
      </c>
      <c r="AB41" s="463" cm="1">
        <f t="array" ref="AB41">SUMPRODUCT(TAB_CS[[Oct-2023]:[Dec-2023]]*(TAB_CS[Profile in €])*(TAB_CS[Tri-2]=_xlfn.CONCAT('Consortium calculs'!$C41,"BL")))</f>
        <v>29896.674999999999</v>
      </c>
      <c r="AC41" s="461" cm="1">
        <f t="array" ref="AC41">SUMPRODUCT(TAB_CS[[Jan-2024]:[Mar-2024]]*(TAB_CS[Tri-2]=_xlfn.CONCAT('Consortium calculs'!$C41,"BL")))</f>
        <v>59</v>
      </c>
      <c r="AD41" s="463" cm="1">
        <f t="array" ref="AD41">SUMPRODUCT(TAB_CS[[Jan-2024]:[Mar-2024]]*(TAB_CS[Profile in €])*(TAB_CS[Tri-2]=_xlfn.CONCAT('Consortium calculs'!$C41,"BL")))</f>
        <v>34028.25</v>
      </c>
      <c r="AE41" s="461" cm="1">
        <f t="array" ref="AE41">SUMPRODUCT(TAB_CS[[Apr-2024]:[Jun-2024]]*(TAB_CS[Tri-2]=_xlfn.CONCAT('Consortium calculs'!$C41,"BL")))</f>
        <v>51.5</v>
      </c>
      <c r="AF41" s="463" cm="1">
        <f t="array" ref="AF41">SUMPRODUCT(TAB_CS[[Apr-2024]:[Jun-2024]]*(TAB_CS[Profile in €])*(TAB_CS[Tri-2]=_xlfn.CONCAT('Consortium calculs'!$C41,"BL")))</f>
        <v>29702.625</v>
      </c>
      <c r="AG41" s="461" cm="1">
        <f t="array" ref="AG41">SUMPRODUCT(TAB_CS[[Jul-2024]:[Sep-2024]]*(TAB_CS[Tri-2]=_xlfn.CONCAT('Consortium calculs'!$C41,"BL")))</f>
        <v>54</v>
      </c>
      <c r="AH41" s="463" cm="1">
        <f t="array" ref="AH41">SUMPRODUCT(TAB_CS[[Jul-2024]:[Sep-2024]]*(TAB_CS[Profile in €])*(TAB_CS[Tri-2]=_xlfn.CONCAT('Consortium calculs'!$C41,"BL")))</f>
        <v>31144.5</v>
      </c>
      <c r="AI41" s="461" cm="1">
        <f t="array" ref="AI41">SUMPRODUCT(TAB_CS[[Oct-2023]:[Dec-2023]]*(TAB_CS[Tri-2]=_xlfn.CONCAT('Consortium calculs'!$C41,"BL")))</f>
        <v>52</v>
      </c>
      <c r="AJ41" s="463" cm="1">
        <f t="array" ref="AJ41">SUMPRODUCT(TAB_CS[[Oct-2023]:[Dec-2023]]*(TAB_CS[Profile in €])*(TAB_CS[Tri-2]=_xlfn.CONCAT('Consortium calculs'!$C41,"BL")))</f>
        <v>29896.674999999999</v>
      </c>
    </row>
    <row r="42" spans="1:36" x14ac:dyDescent="0.25">
      <c r="B42" s="668" t="s">
        <v>5916</v>
      </c>
      <c r="C42" s="38" t="s">
        <v>85</v>
      </c>
      <c r="D42" s="44">
        <f t="shared" si="38"/>
        <v>2693</v>
      </c>
      <c r="E42" s="39">
        <f t="shared" si="39"/>
        <v>1433861.8900000001</v>
      </c>
      <c r="G42" s="460" cm="1">
        <f t="array" ref="G42">SUMPRODUCT(TAB_CS[[Apr-2022]:[Jun-2022]]*(TAB_CS[Tri-2]=_xlfn.CONCAT('Consortium calculs'!$C42,"NB")))</f>
        <v>0</v>
      </c>
      <c r="H42" s="462" cm="1">
        <f t="array" ref="H42">SUMPRODUCT(TAB_CS[[Apr-2022]:[Jun-2022]]*(TAB_CS[Profile in €])*(TAB_CS[Tri-2]=_xlfn.CONCAT('Consortium calculs'!$C42,"NB")))</f>
        <v>0</v>
      </c>
      <c r="I42" s="460" cm="1">
        <f t="array" ref="I42">SUMPRODUCT(TAB_CS[[Jul-2022]:[Sep-2022]]*(TAB_CS[Tri-2]=_xlfn.CONCAT('Consortium calculs'!$C42,"NB")))</f>
        <v>0</v>
      </c>
      <c r="J42" s="462" cm="1">
        <f t="array" ref="J42">SUMPRODUCT(TAB_CS[[Jul-2022]:[Sep-2022]]*(TAB_CS[Profile in €])*(TAB_CS[Tri-2]=_xlfn.CONCAT('Consortium calculs'!$C42,"NB")))</f>
        <v>0</v>
      </c>
      <c r="K42" s="460" cm="1">
        <f t="array" ref="K42">SUMPRODUCT(TAB_CS[[Oct-2022]:[Dec-2022]]*(TAB_CS[Tri-2]=_xlfn.CONCAT('Consortium calculs'!$C42,"NB")))</f>
        <v>0</v>
      </c>
      <c r="L42" s="462" cm="1">
        <f t="array" ref="L42">SUMPRODUCT(TAB_CS[[Oct-2022]:[Dec-2022]]*(TAB_CS[Profile in €])*(TAB_CS[Tri-2]=_xlfn.CONCAT('Consortium calculs'!$C42,"NB")))</f>
        <v>0</v>
      </c>
      <c r="M42" s="460" cm="1">
        <f t="array" ref="M42">SUMPRODUCT(TAB_CS[[Jan-2023]:[Mar-2023]]*(TAB_CS[Tri-2]=_xlfn.CONCAT('Consortium calculs'!$C42,"NB")))</f>
        <v>0</v>
      </c>
      <c r="N42" s="462" cm="1">
        <f t="array" ref="N42">SUMPRODUCT(TAB_CS[[Jan-2023]:[Mar-2023]]*(TAB_CS[Profile in €])*(TAB_CS[Tri-2]=_xlfn.CONCAT('Consortium calculs'!$C42,"NB")))</f>
        <v>0</v>
      </c>
      <c r="O42" s="460" cm="1">
        <f t="array" ref="O42">SUMPRODUCT(TAB_CS[[Apr-2023]:[Jun-2023]]*(TAB_CS[Tri-2]=_xlfn.CONCAT('Consortium calculs'!$C42,"NB")))</f>
        <v>42</v>
      </c>
      <c r="P42" s="462" cm="1">
        <f t="array" ref="P42">SUMPRODUCT(TAB_CS[[Apr-2023]:[Jun-2023]]*(TAB_CS[Profile in €])*(TAB_CS[Tri-2]=_xlfn.CONCAT('Consortium calculs'!$C42,"NB")))</f>
        <v>19062.940000000002</v>
      </c>
      <c r="Q42" s="460" cm="1">
        <f t="array" ref="Q42">SUMPRODUCT(TAB_CS[[Jul-2023]:[Sep-2023]]*(TAB_CS[Tri-2]=_xlfn.CONCAT('Consortium calculs'!$C42,"NB")))</f>
        <v>173.5</v>
      </c>
      <c r="R42" s="462" cm="1">
        <f t="array" ref="R42">SUMPRODUCT(TAB_CS[[Jul-2023]:[Sep-2023]]*(TAB_CS[Profile in €])*(TAB_CS[Tri-2]=_xlfn.CONCAT('Consortium calculs'!$C42,"NB")))</f>
        <v>81925.604999999996</v>
      </c>
      <c r="S42" s="460" cm="1">
        <f t="array" ref="S42">SUMPRODUCT(TAB_CS[[Oct-2023]:[Dec-2023]]*(TAB_CS[Tri-2]=_xlfn.CONCAT('Consortium calculs'!$C42,"NB")))</f>
        <v>341</v>
      </c>
      <c r="T42" s="462" cm="1">
        <f t="array" ref="T42">SUMPRODUCT(TAB_CS[[Oct-2023]:[Dec-2023]]*(TAB_CS[Profile in €])*(TAB_CS[Tri-2]=_xlfn.CONCAT('Consortium calculs'!$C42,"NB")))</f>
        <v>176372.17499999999</v>
      </c>
      <c r="U42" s="460" cm="1">
        <f t="array" ref="U42">SUMPRODUCT(TAB_CS[[Jan-2024]:[Mar-2024]]*(TAB_CS[Tri-2]=_xlfn.CONCAT('Consortium calculs'!$C42,"NB")))</f>
        <v>440</v>
      </c>
      <c r="V42" s="462" cm="1">
        <f t="array" ref="V42">SUMPRODUCT(TAB_CS[[Jan-2024]:[Mar-2024]]*(TAB_CS[Profile in €])*(TAB_CS[Tri-2]=_xlfn.CONCAT('Consortium calculs'!$C42,"NB")))</f>
        <v>230302.78999999998</v>
      </c>
      <c r="W42" s="460" cm="1">
        <f t="array" ref="W42">SUMPRODUCT(TAB_CS[[Apr-2024]:[Jun-2024]]*(TAB_CS[Tri-2]=_xlfn.CONCAT('Consortium calculs'!$C42,"NB")))</f>
        <v>421.5</v>
      </c>
      <c r="X42" s="462" cm="1">
        <f t="array" ref="X42">SUMPRODUCT(TAB_CS[[Apr-2024]:[Jun-2024]]*(TAB_CS[Profile in €])*(TAB_CS[Tri-2]=_xlfn.CONCAT('Consortium calculs'!$C42,"NB")))</f>
        <v>230847.78000000003</v>
      </c>
      <c r="Y42" s="460" cm="1">
        <f t="array" ref="Y42">SUMPRODUCT(TAB_CS[[Jul-2024]:[Sep-2024]]*(TAB_CS[Tri-2]=_xlfn.CONCAT('Consortium calculs'!$C42,"NB")))</f>
        <v>494</v>
      </c>
      <c r="Z42" s="462" cm="1">
        <f t="array" ref="Z42">SUMPRODUCT(TAB_CS[[Jul-2024]:[Sep-2024]]*(TAB_CS[Profile in €])*(TAB_CS[Tri-2]=_xlfn.CONCAT('Consortium calculs'!$C42,"NB")))</f>
        <v>288675.63500000007</v>
      </c>
      <c r="AA42" s="460" cm="1">
        <f t="array" ref="AA42">SUMPRODUCT(TAB_CS[[Oct-2023]:[Dec-2023]]*(TAB_CS[Tri-2]=_xlfn.CONCAT('Consortium calculs'!$C42,"NB")))</f>
        <v>341</v>
      </c>
      <c r="AB42" s="462" cm="1">
        <f t="array" ref="AB42">SUMPRODUCT(TAB_CS[[Oct-2023]:[Dec-2023]]*(TAB_CS[Profile in €])*(TAB_CS[Tri-2]=_xlfn.CONCAT('Consortium calculs'!$C42,"NB")))</f>
        <v>176372.17499999999</v>
      </c>
      <c r="AC42" s="460" cm="1">
        <f t="array" ref="AC42">SUMPRODUCT(TAB_CS[[Jan-2024]:[Mar-2024]]*(TAB_CS[Tri-2]=_xlfn.CONCAT('Consortium calculs'!$C42,"NB")))</f>
        <v>440</v>
      </c>
      <c r="AD42" s="462" cm="1">
        <f t="array" ref="AD42">SUMPRODUCT(TAB_CS[[Jan-2024]:[Mar-2024]]*(TAB_CS[Profile in €])*(TAB_CS[Tri-2]=_xlfn.CONCAT('Consortium calculs'!$C42,"NB")))</f>
        <v>230302.78999999998</v>
      </c>
      <c r="AE42" s="460" cm="1">
        <f t="array" ref="AE42">SUMPRODUCT(TAB_CS[[Apr-2024]:[Jun-2024]]*(TAB_CS[Tri-2]=_xlfn.CONCAT('Consortium calculs'!$C42,"NB")))</f>
        <v>421.5</v>
      </c>
      <c r="AF42" s="462" cm="1">
        <f t="array" ref="AF42">SUMPRODUCT(TAB_CS[[Apr-2024]:[Jun-2024]]*(TAB_CS[Profile in €])*(TAB_CS[Tri-2]=_xlfn.CONCAT('Consortium calculs'!$C42,"NB")))</f>
        <v>230847.78000000003</v>
      </c>
      <c r="AG42" s="460" cm="1">
        <f t="array" ref="AG42">SUMPRODUCT(TAB_CS[[Jul-2024]:[Sep-2024]]*(TAB_CS[Tri-2]=_xlfn.CONCAT('Consortium calculs'!$C42,"NB")))</f>
        <v>494</v>
      </c>
      <c r="AH42" s="462" cm="1">
        <f t="array" ref="AH42">SUMPRODUCT(TAB_CS[[Jul-2024]:[Sep-2024]]*(TAB_CS[Profile in €])*(TAB_CS[Tri-2]=_xlfn.CONCAT('Consortium calculs'!$C42,"NB")))</f>
        <v>288675.63500000007</v>
      </c>
      <c r="AI42" s="460" cm="1">
        <f t="array" ref="AI42">SUMPRODUCT(TAB_CS[[Oct-2023]:[Dec-2023]]*(TAB_CS[Tri-2]=_xlfn.CONCAT('Consortium calculs'!$C42,"NB")))</f>
        <v>341</v>
      </c>
      <c r="AJ42" s="462" cm="1">
        <f t="array" ref="AJ42">SUMPRODUCT(TAB_CS[[Oct-2023]:[Dec-2023]]*(TAB_CS[Profile in €])*(TAB_CS[Tri-2]=_xlfn.CONCAT('Consortium calculs'!$C42,"NB")))</f>
        <v>176372.17499999999</v>
      </c>
    </row>
    <row r="43" spans="1:36" x14ac:dyDescent="0.25">
      <c r="B43" s="668"/>
      <c r="C43" s="40" t="s">
        <v>202</v>
      </c>
      <c r="D43" s="44">
        <f t="shared" si="38"/>
        <v>0</v>
      </c>
      <c r="E43" s="39">
        <f t="shared" si="39"/>
        <v>0</v>
      </c>
      <c r="G43" s="460" cm="1">
        <f t="array" ref="G43">SUMPRODUCT(TAB_CS[[Apr-2022]:[Jun-2022]]*(TAB_CS[Tri-2]=_xlfn.CONCAT('Consortium calculs'!$C43,"NB")))</f>
        <v>0</v>
      </c>
      <c r="H43" s="462" cm="1">
        <f t="array" ref="H43">SUMPRODUCT(TAB_CS[[Apr-2022]:[Jun-2022]]*(TAB_CS[Profile in €])*(TAB_CS[Tri-2]=_xlfn.CONCAT('Consortium calculs'!$C43,"NB")))</f>
        <v>0</v>
      </c>
      <c r="I43" s="460" cm="1">
        <f t="array" ref="I43">SUMPRODUCT(TAB_CS[[Jul-2022]:[Sep-2022]]*(TAB_CS[Tri-2]=_xlfn.CONCAT('Consortium calculs'!$C43,"NB")))</f>
        <v>0</v>
      </c>
      <c r="J43" s="462" cm="1">
        <f t="array" ref="J43">SUMPRODUCT(TAB_CS[[Jul-2022]:[Sep-2022]]*(TAB_CS[Profile in €])*(TAB_CS[Tri-2]=_xlfn.CONCAT('Consortium calculs'!$C43,"NB")))</f>
        <v>0</v>
      </c>
      <c r="K43" s="460" cm="1">
        <f t="array" ref="K43">SUMPRODUCT(TAB_CS[[Oct-2022]:[Dec-2022]]*(TAB_CS[Tri-2]=_xlfn.CONCAT('Consortium calculs'!$C43,"NB")))</f>
        <v>0</v>
      </c>
      <c r="L43" s="462" cm="1">
        <f t="array" ref="L43">SUMPRODUCT(TAB_CS[[Oct-2022]:[Dec-2022]]*(TAB_CS[Profile in €])*(TAB_CS[Tri-2]=_xlfn.CONCAT('Consortium calculs'!$C43,"NB")))</f>
        <v>0</v>
      </c>
      <c r="M43" s="460" cm="1">
        <f t="array" ref="M43">SUMPRODUCT(TAB_CS[[Jan-2023]:[Mar-2023]]*(TAB_CS[Tri-2]=_xlfn.CONCAT('Consortium calculs'!$C43,"NB")))</f>
        <v>0</v>
      </c>
      <c r="N43" s="462" cm="1">
        <f t="array" ref="N43">SUMPRODUCT(TAB_CS[[Jan-2023]:[Mar-2023]]*(TAB_CS[Profile in €])*(TAB_CS[Tri-2]=_xlfn.CONCAT('Consortium calculs'!$C43,"NB")))</f>
        <v>0</v>
      </c>
      <c r="O43" s="460" cm="1">
        <f t="array" ref="O43">SUMPRODUCT(TAB_CS[[Apr-2023]:[Jun-2023]]*(TAB_CS[Tri-2]=_xlfn.CONCAT('Consortium calculs'!$C43,"NB")))</f>
        <v>0</v>
      </c>
      <c r="P43" s="462" cm="1">
        <f t="array" ref="P43">SUMPRODUCT(TAB_CS[[Apr-2023]:[Jun-2023]]*(TAB_CS[Profile in €])*(TAB_CS[Tri-2]=_xlfn.CONCAT('Consortium calculs'!$C43,"NB")))</f>
        <v>0</v>
      </c>
      <c r="Q43" s="460" cm="1">
        <f t="array" ref="Q43">SUMPRODUCT(TAB_CS[[Jul-2023]:[Sep-2023]]*(TAB_CS[Tri-2]=_xlfn.CONCAT('Consortium calculs'!$C43,"NB")))</f>
        <v>0</v>
      </c>
      <c r="R43" s="462" cm="1">
        <f t="array" ref="R43">SUMPRODUCT(TAB_CS[[Jul-2023]:[Sep-2023]]*(TAB_CS[Profile in €])*(TAB_CS[Tri-2]=_xlfn.CONCAT('Consortium calculs'!$C43,"NB")))</f>
        <v>0</v>
      </c>
      <c r="S43" s="460" cm="1">
        <f t="array" ref="S43">SUMPRODUCT(TAB_CS[[Oct-2023]:[Dec-2023]]*(TAB_CS[Tri-2]=_xlfn.CONCAT('Consortium calculs'!$C43,"NB")))</f>
        <v>0</v>
      </c>
      <c r="T43" s="462" cm="1">
        <f t="array" ref="T43">SUMPRODUCT(TAB_CS[[Oct-2023]:[Dec-2023]]*(TAB_CS[Profile in €])*(TAB_CS[Tri-2]=_xlfn.CONCAT('Consortium calculs'!$C43,"NB")))</f>
        <v>0</v>
      </c>
      <c r="U43" s="460" cm="1">
        <f t="array" ref="U43">SUMPRODUCT(TAB_CS[[Jan-2024]:[Mar-2024]]*(TAB_CS[Tri-2]=_xlfn.CONCAT('Consortium calculs'!$C43,"NB")))</f>
        <v>0</v>
      </c>
      <c r="V43" s="462" cm="1">
        <f t="array" ref="V43">SUMPRODUCT(TAB_CS[[Jan-2024]:[Mar-2024]]*(TAB_CS[Profile in €])*(TAB_CS[Tri-2]=_xlfn.CONCAT('Consortium calculs'!$C43,"NB")))</f>
        <v>0</v>
      </c>
      <c r="W43" s="460" cm="1">
        <f t="array" ref="W43">SUMPRODUCT(TAB_CS[[Apr-2024]:[Jun-2024]]*(TAB_CS[Tri-2]=_xlfn.CONCAT('Consortium calculs'!$C43,"NB")))</f>
        <v>0</v>
      </c>
      <c r="X43" s="462" cm="1">
        <f t="array" ref="X43">SUMPRODUCT(TAB_CS[[Apr-2024]:[Jun-2024]]*(TAB_CS[Profile in €])*(TAB_CS[Tri-2]=_xlfn.CONCAT('Consortium calculs'!$C43,"NB")))</f>
        <v>0</v>
      </c>
      <c r="Y43" s="460" cm="1">
        <f t="array" ref="Y43">SUMPRODUCT(TAB_CS[[Jul-2024]:[Sep-2024]]*(TAB_CS[Tri-2]=_xlfn.CONCAT('Consortium calculs'!$C43,"NB")))</f>
        <v>0</v>
      </c>
      <c r="Z43" s="462" cm="1">
        <f t="array" ref="Z43">SUMPRODUCT(TAB_CS[[Jul-2024]:[Sep-2024]]*(TAB_CS[Profile in €])*(TAB_CS[Tri-2]=_xlfn.CONCAT('Consortium calculs'!$C43,"NB")))</f>
        <v>0</v>
      </c>
      <c r="AA43" s="460" cm="1">
        <f t="array" ref="AA43">SUMPRODUCT(TAB_CS[[Oct-2023]:[Dec-2023]]*(TAB_CS[Tri-2]=_xlfn.CONCAT('Consortium calculs'!$C43,"NB")))</f>
        <v>0</v>
      </c>
      <c r="AB43" s="462" cm="1">
        <f t="array" ref="AB43">SUMPRODUCT(TAB_CS[[Oct-2023]:[Dec-2023]]*(TAB_CS[Profile in €])*(TAB_CS[Tri-2]=_xlfn.CONCAT('Consortium calculs'!$C43,"NB")))</f>
        <v>0</v>
      </c>
      <c r="AC43" s="460" cm="1">
        <f t="array" ref="AC43">SUMPRODUCT(TAB_CS[[Jan-2024]:[Mar-2024]]*(TAB_CS[Tri-2]=_xlfn.CONCAT('Consortium calculs'!$C43,"NB")))</f>
        <v>0</v>
      </c>
      <c r="AD43" s="462" cm="1">
        <f t="array" ref="AD43">SUMPRODUCT(TAB_CS[[Jan-2024]:[Mar-2024]]*(TAB_CS[Profile in €])*(TAB_CS[Tri-2]=_xlfn.CONCAT('Consortium calculs'!$C43,"NB")))</f>
        <v>0</v>
      </c>
      <c r="AE43" s="460" cm="1">
        <f t="array" ref="AE43">SUMPRODUCT(TAB_CS[[Apr-2024]:[Jun-2024]]*(TAB_CS[Tri-2]=_xlfn.CONCAT('Consortium calculs'!$C43,"NB")))</f>
        <v>0</v>
      </c>
      <c r="AF43" s="462" cm="1">
        <f t="array" ref="AF43">SUMPRODUCT(TAB_CS[[Apr-2024]:[Jun-2024]]*(TAB_CS[Profile in €])*(TAB_CS[Tri-2]=_xlfn.CONCAT('Consortium calculs'!$C43,"NB")))</f>
        <v>0</v>
      </c>
      <c r="AG43" s="460" cm="1">
        <f t="array" ref="AG43">SUMPRODUCT(TAB_CS[[Jul-2024]:[Sep-2024]]*(TAB_CS[Tri-2]=_xlfn.CONCAT('Consortium calculs'!$C43,"NB")))</f>
        <v>0</v>
      </c>
      <c r="AH43" s="462" cm="1">
        <f t="array" ref="AH43">SUMPRODUCT(TAB_CS[[Jul-2024]:[Sep-2024]]*(TAB_CS[Profile in €])*(TAB_CS[Tri-2]=_xlfn.CONCAT('Consortium calculs'!$C43,"NB")))</f>
        <v>0</v>
      </c>
      <c r="AI43" s="460" cm="1">
        <f t="array" ref="AI43">SUMPRODUCT(TAB_CS[[Oct-2023]:[Dec-2023]]*(TAB_CS[Tri-2]=_xlfn.CONCAT('Consortium calculs'!$C43,"NB")))</f>
        <v>0</v>
      </c>
      <c r="AJ43" s="462" cm="1">
        <f t="array" ref="AJ43">SUMPRODUCT(TAB_CS[[Oct-2023]:[Dec-2023]]*(TAB_CS[Profile in €])*(TAB_CS[Tri-2]=_xlfn.CONCAT('Consortium calculs'!$C43,"NB")))</f>
        <v>0</v>
      </c>
    </row>
    <row r="44" spans="1:36" x14ac:dyDescent="0.25">
      <c r="B44" s="668"/>
      <c r="C44" s="40" t="s">
        <v>203</v>
      </c>
      <c r="D44" s="44">
        <f t="shared" si="38"/>
        <v>4089.5</v>
      </c>
      <c r="E44" s="39">
        <f t="shared" si="39"/>
        <v>2958382.96</v>
      </c>
      <c r="G44" s="460" cm="1">
        <f t="array" ref="G44">SUMPRODUCT(TAB_CS[[Apr-2022]:[Jun-2022]]*(TAB_CS[Tri-2]=_xlfn.CONCAT('Consortium calculs'!$C44,"NB")))</f>
        <v>0</v>
      </c>
      <c r="H44" s="462" cm="1">
        <f t="array" ref="H44">SUMPRODUCT(TAB_CS[[Apr-2022]:[Jun-2022]]*(TAB_CS[Profile in €])*(TAB_CS[Tri-2]=_xlfn.CONCAT('Consortium calculs'!$C44,"NB")))</f>
        <v>0</v>
      </c>
      <c r="I44" s="460" cm="1">
        <f t="array" ref="I44">SUMPRODUCT(TAB_CS[[Jul-2022]:[Sep-2022]]*(TAB_CS[Tri-2]=_xlfn.CONCAT('Consortium calculs'!$C44,"NB")))</f>
        <v>0</v>
      </c>
      <c r="J44" s="462" cm="1">
        <f t="array" ref="J44">SUMPRODUCT(TAB_CS[[Jul-2022]:[Sep-2022]]*(TAB_CS[Profile in €])*(TAB_CS[Tri-2]=_xlfn.CONCAT('Consortium calculs'!$C44,"NB")))</f>
        <v>0</v>
      </c>
      <c r="K44" s="460" cm="1">
        <f t="array" ref="K44">SUMPRODUCT(TAB_CS[[Oct-2022]:[Dec-2022]]*(TAB_CS[Tri-2]=_xlfn.CONCAT('Consortium calculs'!$C44,"NB")))</f>
        <v>0</v>
      </c>
      <c r="L44" s="462" cm="1">
        <f t="array" ref="L44">SUMPRODUCT(TAB_CS[[Oct-2022]:[Dec-2022]]*(TAB_CS[Profile in €])*(TAB_CS[Tri-2]=_xlfn.CONCAT('Consortium calculs'!$C44,"NB")))</f>
        <v>0</v>
      </c>
      <c r="M44" s="460" cm="1">
        <f t="array" ref="M44">SUMPRODUCT(TAB_CS[[Jan-2023]:[Mar-2023]]*(TAB_CS[Tri-2]=_xlfn.CONCAT('Consortium calculs'!$C44,"NB")))</f>
        <v>0</v>
      </c>
      <c r="N44" s="462" cm="1">
        <f t="array" ref="N44">SUMPRODUCT(TAB_CS[[Jan-2023]:[Mar-2023]]*(TAB_CS[Profile in €])*(TAB_CS[Tri-2]=_xlfn.CONCAT('Consortium calculs'!$C44,"NB")))</f>
        <v>0</v>
      </c>
      <c r="O44" s="460" cm="1">
        <f t="array" ref="O44">SUMPRODUCT(TAB_CS[[Apr-2023]:[Jun-2023]]*(TAB_CS[Tri-2]=_xlfn.CONCAT('Consortium calculs'!$C44,"NB")))</f>
        <v>197</v>
      </c>
      <c r="P44" s="462" cm="1">
        <f t="array" ref="P44">SUMPRODUCT(TAB_CS[[Apr-2023]:[Jun-2023]]*(TAB_CS[Profile in €])*(TAB_CS[Tri-2]=_xlfn.CONCAT('Consortium calculs'!$C44,"NB")))</f>
        <v>153830.44000000003</v>
      </c>
      <c r="Q44" s="460" cm="1">
        <f t="array" ref="Q44">SUMPRODUCT(TAB_CS[[Jul-2023]:[Sep-2023]]*(TAB_CS[Tri-2]=_xlfn.CONCAT('Consortium calculs'!$C44,"NB")))</f>
        <v>289.5</v>
      </c>
      <c r="R44" s="462" cm="1">
        <f t="array" ref="R44">SUMPRODUCT(TAB_CS[[Jul-2023]:[Sep-2023]]*(TAB_CS[Profile in €])*(TAB_CS[Tri-2]=_xlfn.CONCAT('Consortium calculs'!$C44,"NB")))</f>
        <v>207386.43000000002</v>
      </c>
      <c r="S44" s="460" cm="1">
        <f t="array" ref="S44">SUMPRODUCT(TAB_CS[[Oct-2023]:[Dec-2023]]*(TAB_CS[Tri-2]=_xlfn.CONCAT('Consortium calculs'!$C44,"NB")))</f>
        <v>502.5</v>
      </c>
      <c r="T44" s="462" cm="1">
        <f t="array" ref="T44">SUMPRODUCT(TAB_CS[[Oct-2023]:[Dec-2023]]*(TAB_CS[Profile in €])*(TAB_CS[Tri-2]=_xlfn.CONCAT('Consortium calculs'!$C44,"NB")))</f>
        <v>355340.36499999993</v>
      </c>
      <c r="U44" s="460" cm="1">
        <f t="array" ref="U44">SUMPRODUCT(TAB_CS[[Jan-2024]:[Mar-2024]]*(TAB_CS[Tri-2]=_xlfn.CONCAT('Consortium calculs'!$C44,"NB")))</f>
        <v>676.5</v>
      </c>
      <c r="V44" s="462" cm="1">
        <f t="array" ref="V44">SUMPRODUCT(TAB_CS[[Jan-2024]:[Mar-2024]]*(TAB_CS[Profile in €])*(TAB_CS[Tri-2]=_xlfn.CONCAT('Consortium calculs'!$C44,"NB")))</f>
        <v>485708.76499999996</v>
      </c>
      <c r="W44" s="460" cm="1">
        <f t="array" ref="W44">SUMPRODUCT(TAB_CS[[Apr-2024]:[Jun-2024]]*(TAB_CS[Tri-2]=_xlfn.CONCAT('Consortium calculs'!$C44,"NB")))</f>
        <v>643</v>
      </c>
      <c r="X44" s="462" cm="1">
        <f t="array" ref="X44">SUMPRODUCT(TAB_CS[[Apr-2024]:[Jun-2024]]*(TAB_CS[Profile in €])*(TAB_CS[Tri-2]=_xlfn.CONCAT('Consortium calculs'!$C44,"NB")))</f>
        <v>473456.27499999991</v>
      </c>
      <c r="Y44" s="460" cm="1">
        <f t="array" ref="Y44">SUMPRODUCT(TAB_CS[[Jul-2024]:[Sep-2024]]*(TAB_CS[Tri-2]=_xlfn.CONCAT('Consortium calculs'!$C44,"NB")))</f>
        <v>602</v>
      </c>
      <c r="Z44" s="462" cm="1">
        <f t="array" ref="Z44">SUMPRODUCT(TAB_CS[[Jul-2024]:[Sep-2024]]*(TAB_CS[Profile in €])*(TAB_CS[Tri-2]=_xlfn.CONCAT('Consortium calculs'!$C44,"NB")))</f>
        <v>441611.55500000005</v>
      </c>
      <c r="AA44" s="460" cm="1">
        <f t="array" ref="AA44">SUMPRODUCT(TAB_CS[[Oct-2023]:[Dec-2023]]*(TAB_CS[Tri-2]=_xlfn.CONCAT('Consortium calculs'!$C44,"NB")))</f>
        <v>502.5</v>
      </c>
      <c r="AB44" s="462" cm="1">
        <f t="array" ref="AB44">SUMPRODUCT(TAB_CS[[Oct-2023]:[Dec-2023]]*(TAB_CS[Profile in €])*(TAB_CS[Tri-2]=_xlfn.CONCAT('Consortium calculs'!$C44,"NB")))</f>
        <v>355340.36499999993</v>
      </c>
      <c r="AC44" s="460" cm="1">
        <f t="array" ref="AC44">SUMPRODUCT(TAB_CS[[Jan-2024]:[Mar-2024]]*(TAB_CS[Tri-2]=_xlfn.CONCAT('Consortium calculs'!$C44,"NB")))</f>
        <v>676.5</v>
      </c>
      <c r="AD44" s="462" cm="1">
        <f t="array" ref="AD44">SUMPRODUCT(TAB_CS[[Jan-2024]:[Mar-2024]]*(TAB_CS[Profile in €])*(TAB_CS[Tri-2]=_xlfn.CONCAT('Consortium calculs'!$C44,"NB")))</f>
        <v>485708.76499999996</v>
      </c>
      <c r="AE44" s="460" cm="1">
        <f t="array" ref="AE44">SUMPRODUCT(TAB_CS[[Apr-2024]:[Jun-2024]]*(TAB_CS[Tri-2]=_xlfn.CONCAT('Consortium calculs'!$C44,"NB")))</f>
        <v>643</v>
      </c>
      <c r="AF44" s="462" cm="1">
        <f t="array" ref="AF44">SUMPRODUCT(TAB_CS[[Apr-2024]:[Jun-2024]]*(TAB_CS[Profile in €])*(TAB_CS[Tri-2]=_xlfn.CONCAT('Consortium calculs'!$C44,"NB")))</f>
        <v>473456.27499999991</v>
      </c>
      <c r="AG44" s="460" cm="1">
        <f t="array" ref="AG44">SUMPRODUCT(TAB_CS[[Jul-2024]:[Sep-2024]]*(TAB_CS[Tri-2]=_xlfn.CONCAT('Consortium calculs'!$C44,"NB")))</f>
        <v>602</v>
      </c>
      <c r="AH44" s="462" cm="1">
        <f t="array" ref="AH44">SUMPRODUCT(TAB_CS[[Jul-2024]:[Sep-2024]]*(TAB_CS[Profile in €])*(TAB_CS[Tri-2]=_xlfn.CONCAT('Consortium calculs'!$C44,"NB")))</f>
        <v>441611.55500000005</v>
      </c>
      <c r="AI44" s="460" cm="1">
        <f t="array" ref="AI44">SUMPRODUCT(TAB_CS[[Oct-2023]:[Dec-2023]]*(TAB_CS[Tri-2]=_xlfn.CONCAT('Consortium calculs'!$C44,"NB")))</f>
        <v>502.5</v>
      </c>
      <c r="AJ44" s="462" cm="1">
        <f t="array" ref="AJ44">SUMPRODUCT(TAB_CS[[Oct-2023]:[Dec-2023]]*(TAB_CS[Profile in €])*(TAB_CS[Tri-2]=_xlfn.CONCAT('Consortium calculs'!$C44,"NB")))</f>
        <v>355340.36499999993</v>
      </c>
    </row>
    <row r="45" spans="1:36" x14ac:dyDescent="0.25">
      <c r="B45" s="668"/>
      <c r="C45" s="40" t="s">
        <v>86</v>
      </c>
      <c r="D45" s="44">
        <f t="shared" si="38"/>
        <v>6550</v>
      </c>
      <c r="E45" s="39">
        <f t="shared" si="39"/>
        <v>3767922.7450000006</v>
      </c>
      <c r="G45" s="460" cm="1">
        <f t="array" ref="G45">SUMPRODUCT(TAB_CS[[Apr-2022]:[Jun-2022]]*(TAB_CS[Tri-2]=_xlfn.CONCAT('Consortium calculs'!$C45,"NB")))</f>
        <v>0</v>
      </c>
      <c r="H45" s="462" cm="1">
        <f t="array" ref="H45">SUMPRODUCT(TAB_CS[[Apr-2022]:[Jun-2022]]*(TAB_CS[Profile in €])*(TAB_CS[Tri-2]=_xlfn.CONCAT('Consortium calculs'!$C45,"NB")))</f>
        <v>0</v>
      </c>
      <c r="I45" s="460" cm="1">
        <f t="array" ref="I45">SUMPRODUCT(TAB_CS[[Jul-2022]:[Sep-2022]]*(TAB_CS[Tri-2]=_xlfn.CONCAT('Consortium calculs'!$C45,"NB")))</f>
        <v>0</v>
      </c>
      <c r="J45" s="462" cm="1">
        <f t="array" ref="J45">SUMPRODUCT(TAB_CS[[Jul-2022]:[Sep-2022]]*(TAB_CS[Profile in €])*(TAB_CS[Tri-2]=_xlfn.CONCAT('Consortium calculs'!$C45,"NB")))</f>
        <v>0</v>
      </c>
      <c r="K45" s="460" cm="1">
        <f t="array" ref="K45">SUMPRODUCT(TAB_CS[[Oct-2022]:[Dec-2022]]*(TAB_CS[Tri-2]=_xlfn.CONCAT('Consortium calculs'!$C45,"NB")))</f>
        <v>55</v>
      </c>
      <c r="L45" s="462" cm="1">
        <f t="array" ref="L45">SUMPRODUCT(TAB_CS[[Oct-2022]:[Dec-2022]]*(TAB_CS[Profile in €])*(TAB_CS[Tri-2]=_xlfn.CONCAT('Consortium calculs'!$C45,"NB")))</f>
        <v>30099.350000000002</v>
      </c>
      <c r="M45" s="460" cm="1">
        <f t="array" ref="M45">SUMPRODUCT(TAB_CS[[Jan-2023]:[Mar-2023]]*(TAB_CS[Tri-2]=_xlfn.CONCAT('Consortium calculs'!$C45,"NB")))</f>
        <v>141.5</v>
      </c>
      <c r="N45" s="462" cm="1">
        <f t="array" ref="N45">SUMPRODUCT(TAB_CS[[Jan-2023]:[Mar-2023]]*(TAB_CS[Profile in €])*(TAB_CS[Tri-2]=_xlfn.CONCAT('Consortium calculs'!$C45,"NB")))</f>
        <v>77379.179999999993</v>
      </c>
      <c r="O45" s="460" cm="1">
        <f t="array" ref="O45">SUMPRODUCT(TAB_CS[[Apr-2023]:[Jun-2023]]*(TAB_CS[Tri-2]=_xlfn.CONCAT('Consortium calculs'!$C45,"NB")))</f>
        <v>318</v>
      </c>
      <c r="P45" s="462" cm="1">
        <f t="array" ref="P45">SUMPRODUCT(TAB_CS[[Apr-2023]:[Jun-2023]]*(TAB_CS[Profile in €])*(TAB_CS[Tri-2]=_xlfn.CONCAT('Consortium calculs'!$C45,"NB")))</f>
        <v>175185.76</v>
      </c>
      <c r="Q45" s="460" cm="1">
        <f t="array" ref="Q45">SUMPRODUCT(TAB_CS[[Jul-2023]:[Sep-2023]]*(TAB_CS[Tri-2]=_xlfn.CONCAT('Consortium calculs'!$C45,"NB")))</f>
        <v>604.5</v>
      </c>
      <c r="R45" s="462" cm="1">
        <f t="array" ref="R45">SUMPRODUCT(TAB_CS[[Jul-2023]:[Sep-2023]]*(TAB_CS[Profile in €])*(TAB_CS[Tri-2]=_xlfn.CONCAT('Consortium calculs'!$C45,"NB")))</f>
        <v>346062.71500000003</v>
      </c>
      <c r="S45" s="460" cm="1">
        <f t="array" ref="S45">SUMPRODUCT(TAB_CS[[Oct-2023]:[Dec-2023]]*(TAB_CS[Tri-2]=_xlfn.CONCAT('Consortium calculs'!$C45,"NB")))</f>
        <v>809.5</v>
      </c>
      <c r="T45" s="462" cm="1">
        <f t="array" ref="T45">SUMPRODUCT(TAB_CS[[Oct-2023]:[Dec-2023]]*(TAB_CS[Profile in €])*(TAB_CS[Tri-2]=_xlfn.CONCAT('Consortium calculs'!$C45,"NB")))</f>
        <v>454625.18</v>
      </c>
      <c r="U45" s="460" cm="1">
        <f t="array" ref="U45">SUMPRODUCT(TAB_CS[[Jan-2024]:[Mar-2024]]*(TAB_CS[Tri-2]=_xlfn.CONCAT('Consortium calculs'!$C45,"NB")))</f>
        <v>961</v>
      </c>
      <c r="V45" s="462" cm="1">
        <f t="array" ref="V45">SUMPRODUCT(TAB_CS[[Jan-2024]:[Mar-2024]]*(TAB_CS[Profile in €])*(TAB_CS[Tri-2]=_xlfn.CONCAT('Consortium calculs'!$C45,"NB")))</f>
        <v>554434.84500000032</v>
      </c>
      <c r="W45" s="460" cm="1">
        <f t="array" ref="W45">SUMPRODUCT(TAB_CS[[Apr-2024]:[Jun-2024]]*(TAB_CS[Tri-2]=_xlfn.CONCAT('Consortium calculs'!$C45,"NB")))</f>
        <v>937.5</v>
      </c>
      <c r="X45" s="462" cm="1">
        <f t="array" ref="X45">SUMPRODUCT(TAB_CS[[Apr-2024]:[Jun-2024]]*(TAB_CS[Profile in €])*(TAB_CS[Tri-2]=_xlfn.CONCAT('Consortium calculs'!$C45,"NB")))</f>
        <v>552204.73499999999</v>
      </c>
      <c r="Y45" s="460" cm="1">
        <f t="array" ref="Y45">SUMPRODUCT(TAB_CS[[Jul-2024]:[Sep-2024]]*(TAB_CS[Tri-2]=_xlfn.CONCAT('Consortium calculs'!$C45,"NB")))</f>
        <v>952.5</v>
      </c>
      <c r="Z45" s="462" cm="1">
        <f t="array" ref="Z45">SUMPRODUCT(TAB_CS[[Jul-2024]:[Sep-2024]]*(TAB_CS[Profile in €])*(TAB_CS[Tri-2]=_xlfn.CONCAT('Consortium calculs'!$C45,"NB")))</f>
        <v>568870.95500000007</v>
      </c>
      <c r="AA45" s="460" cm="1">
        <f t="array" ref="AA45">SUMPRODUCT(TAB_CS[[Oct-2023]:[Dec-2023]]*(TAB_CS[Tri-2]=_xlfn.CONCAT('Consortium calculs'!$C45,"NB")))</f>
        <v>809.5</v>
      </c>
      <c r="AB45" s="462" cm="1">
        <f t="array" ref="AB45">SUMPRODUCT(TAB_CS[[Oct-2023]:[Dec-2023]]*(TAB_CS[Profile in €])*(TAB_CS[Tri-2]=_xlfn.CONCAT('Consortium calculs'!$C45,"NB")))</f>
        <v>454625.18</v>
      </c>
      <c r="AC45" s="460" cm="1">
        <f t="array" ref="AC45">SUMPRODUCT(TAB_CS[[Jan-2024]:[Mar-2024]]*(TAB_CS[Tri-2]=_xlfn.CONCAT('Consortium calculs'!$C45,"NB")))</f>
        <v>961</v>
      </c>
      <c r="AD45" s="462" cm="1">
        <f t="array" ref="AD45">SUMPRODUCT(TAB_CS[[Jan-2024]:[Mar-2024]]*(TAB_CS[Profile in €])*(TAB_CS[Tri-2]=_xlfn.CONCAT('Consortium calculs'!$C45,"NB")))</f>
        <v>554434.84500000032</v>
      </c>
      <c r="AE45" s="460" cm="1">
        <f t="array" ref="AE45">SUMPRODUCT(TAB_CS[[Apr-2024]:[Jun-2024]]*(TAB_CS[Tri-2]=_xlfn.CONCAT('Consortium calculs'!$C45,"NB")))</f>
        <v>937.5</v>
      </c>
      <c r="AF45" s="462" cm="1">
        <f t="array" ref="AF45">SUMPRODUCT(TAB_CS[[Apr-2024]:[Jun-2024]]*(TAB_CS[Profile in €])*(TAB_CS[Tri-2]=_xlfn.CONCAT('Consortium calculs'!$C45,"NB")))</f>
        <v>552204.73499999999</v>
      </c>
      <c r="AG45" s="460" cm="1">
        <f t="array" ref="AG45">SUMPRODUCT(TAB_CS[[Jul-2024]:[Sep-2024]]*(TAB_CS[Tri-2]=_xlfn.CONCAT('Consortium calculs'!$C45,"NB")))</f>
        <v>952.5</v>
      </c>
      <c r="AH45" s="462" cm="1">
        <f t="array" ref="AH45">SUMPRODUCT(TAB_CS[[Jul-2024]:[Sep-2024]]*(TAB_CS[Profile in €])*(TAB_CS[Tri-2]=_xlfn.CONCAT('Consortium calculs'!$C45,"NB")))</f>
        <v>568870.95500000007</v>
      </c>
      <c r="AI45" s="460" cm="1">
        <f t="array" ref="AI45">SUMPRODUCT(TAB_CS[[Oct-2023]:[Dec-2023]]*(TAB_CS[Tri-2]=_xlfn.CONCAT('Consortium calculs'!$C45,"NB")))</f>
        <v>809.5</v>
      </c>
      <c r="AJ45" s="462" cm="1">
        <f t="array" ref="AJ45">SUMPRODUCT(TAB_CS[[Oct-2023]:[Dec-2023]]*(TAB_CS[Profile in €])*(TAB_CS[Tri-2]=_xlfn.CONCAT('Consortium calculs'!$C45,"NB")))</f>
        <v>454625.18</v>
      </c>
    </row>
    <row r="46" spans="1:36" x14ac:dyDescent="0.25">
      <c r="B46" s="668"/>
      <c r="C46" s="40" t="s">
        <v>87</v>
      </c>
      <c r="D46" s="44">
        <f t="shared" si="38"/>
        <v>1580</v>
      </c>
      <c r="E46" s="39">
        <f t="shared" si="39"/>
        <v>906991.21500000008</v>
      </c>
      <c r="G46" s="460" cm="1">
        <f t="array" ref="G46">SUMPRODUCT(TAB_CS[[Apr-2022]:[Jun-2022]]*(TAB_CS[Tri-2]=_xlfn.CONCAT('Consortium calculs'!$C46,"NB")))</f>
        <v>0</v>
      </c>
      <c r="H46" s="462" cm="1">
        <f t="array" ref="H46">SUMPRODUCT(TAB_CS[[Apr-2022]:[Jun-2022]]*(TAB_CS[Profile in €])*(TAB_CS[Tri-2]=_xlfn.CONCAT('Consortium calculs'!$C46,"NB")))</f>
        <v>0</v>
      </c>
      <c r="I46" s="460" cm="1">
        <f t="array" ref="I46">SUMPRODUCT(TAB_CS[[Jul-2022]:[Sep-2022]]*(TAB_CS[Tri-2]=_xlfn.CONCAT('Consortium calculs'!$C46,"NB")))</f>
        <v>0</v>
      </c>
      <c r="J46" s="462" cm="1">
        <f t="array" ref="J46">SUMPRODUCT(TAB_CS[[Jul-2022]:[Sep-2022]]*(TAB_CS[Profile in €])*(TAB_CS[Tri-2]=_xlfn.CONCAT('Consortium calculs'!$C46,"NB")))</f>
        <v>0</v>
      </c>
      <c r="K46" s="460" cm="1">
        <f t="array" ref="K46">SUMPRODUCT(TAB_CS[[Oct-2022]:[Dec-2022]]*(TAB_CS[Tri-2]=_xlfn.CONCAT('Consortium calculs'!$C46,"NB")))</f>
        <v>0</v>
      </c>
      <c r="L46" s="462" cm="1">
        <f t="array" ref="L46">SUMPRODUCT(TAB_CS[[Oct-2022]:[Dec-2022]]*(TAB_CS[Profile in €])*(TAB_CS[Tri-2]=_xlfn.CONCAT('Consortium calculs'!$C46,"NB")))</f>
        <v>0</v>
      </c>
      <c r="M46" s="460" cm="1">
        <f t="array" ref="M46">SUMPRODUCT(TAB_CS[[Jan-2023]:[Mar-2023]]*(TAB_CS[Tri-2]=_xlfn.CONCAT('Consortium calculs'!$C46,"NB")))</f>
        <v>13</v>
      </c>
      <c r="N46" s="462" cm="1">
        <f t="array" ref="N46">SUMPRODUCT(TAB_CS[[Jan-2023]:[Mar-2023]]*(TAB_CS[Profile in €])*(TAB_CS[Tri-2]=_xlfn.CONCAT('Consortium calculs'!$C46,"NB")))</f>
        <v>6160.7</v>
      </c>
      <c r="O46" s="460" cm="1">
        <f t="array" ref="O46">SUMPRODUCT(TAB_CS[[Apr-2023]:[Jun-2023]]*(TAB_CS[Tri-2]=_xlfn.CONCAT('Consortium calculs'!$C46,"NB")))</f>
        <v>67</v>
      </c>
      <c r="P46" s="462" cm="1">
        <f t="array" ref="P46">SUMPRODUCT(TAB_CS[[Apr-2023]:[Jun-2023]]*(TAB_CS[Profile in €])*(TAB_CS[Tri-2]=_xlfn.CONCAT('Consortium calculs'!$C46,"NB")))</f>
        <v>33710.39</v>
      </c>
      <c r="Q46" s="460" cm="1">
        <f t="array" ref="Q46">SUMPRODUCT(TAB_CS[[Jul-2023]:[Sep-2023]]*(TAB_CS[Tri-2]=_xlfn.CONCAT('Consortium calculs'!$C46,"NB")))</f>
        <v>112</v>
      </c>
      <c r="R46" s="462" cm="1">
        <f t="array" ref="R46">SUMPRODUCT(TAB_CS[[Jul-2023]:[Sep-2023]]*(TAB_CS[Profile in €])*(TAB_CS[Tri-2]=_xlfn.CONCAT('Consortium calculs'!$C46,"NB")))</f>
        <v>69309.259999999995</v>
      </c>
      <c r="S46" s="460" cm="1">
        <f t="array" ref="S46">SUMPRODUCT(TAB_CS[[Oct-2023]:[Dec-2023]]*(TAB_CS[Tri-2]=_xlfn.CONCAT('Consortium calculs'!$C46,"NB")))</f>
        <v>146</v>
      </c>
      <c r="T46" s="462" cm="1">
        <f t="array" ref="T46">SUMPRODUCT(TAB_CS[[Oct-2023]:[Dec-2023]]*(TAB_CS[Profile in €])*(TAB_CS[Tri-2]=_xlfn.CONCAT('Consortium calculs'!$C46,"NB")))</f>
        <v>70462.149999999994</v>
      </c>
      <c r="U46" s="460" cm="1">
        <f t="array" ref="U46">SUMPRODUCT(TAB_CS[[Jan-2024]:[Mar-2024]]*(TAB_CS[Tri-2]=_xlfn.CONCAT('Consortium calculs'!$C46,"NB")))</f>
        <v>250</v>
      </c>
      <c r="V46" s="462" cm="1">
        <f t="array" ref="V46">SUMPRODUCT(TAB_CS[[Jan-2024]:[Mar-2024]]*(TAB_CS[Profile in €])*(TAB_CS[Tri-2]=_xlfn.CONCAT('Consortium calculs'!$C46,"NB")))</f>
        <v>146888.405</v>
      </c>
      <c r="W46" s="460" cm="1">
        <f t="array" ref="W46">SUMPRODUCT(TAB_CS[[Apr-2024]:[Jun-2024]]*(TAB_CS[Tri-2]=_xlfn.CONCAT('Consortium calculs'!$C46,"NB")))</f>
        <v>286</v>
      </c>
      <c r="X46" s="462" cm="1">
        <f t="array" ref="X46">SUMPRODUCT(TAB_CS[[Apr-2024]:[Jun-2024]]*(TAB_CS[Profile in €])*(TAB_CS[Tri-2]=_xlfn.CONCAT('Consortium calculs'!$C46,"NB")))</f>
        <v>175706.25</v>
      </c>
      <c r="Y46" s="460" cm="1">
        <f t="array" ref="Y46">SUMPRODUCT(TAB_CS[[Jul-2024]:[Sep-2024]]*(TAB_CS[Tri-2]=_xlfn.CONCAT('Consortium calculs'!$C46,"NB")))</f>
        <v>310</v>
      </c>
      <c r="Z46" s="462" cm="1">
        <f t="array" ref="Z46">SUMPRODUCT(TAB_CS[[Jul-2024]:[Sep-2024]]*(TAB_CS[Profile in €])*(TAB_CS[Tri-2]=_xlfn.CONCAT('Consortium calculs'!$C46,"NB")))</f>
        <v>187403.50499999998</v>
      </c>
      <c r="AA46" s="460" cm="1">
        <f t="array" ref="AA46">SUMPRODUCT(TAB_CS[[Oct-2023]:[Dec-2023]]*(TAB_CS[Tri-2]=_xlfn.CONCAT('Consortium calculs'!$C46,"NB")))</f>
        <v>146</v>
      </c>
      <c r="AB46" s="462" cm="1">
        <f t="array" ref="AB46">SUMPRODUCT(TAB_CS[[Oct-2023]:[Dec-2023]]*(TAB_CS[Profile in €])*(TAB_CS[Tri-2]=_xlfn.CONCAT('Consortium calculs'!$C46,"NB")))</f>
        <v>70462.149999999994</v>
      </c>
      <c r="AC46" s="460" cm="1">
        <f t="array" ref="AC46">SUMPRODUCT(TAB_CS[[Jan-2024]:[Mar-2024]]*(TAB_CS[Tri-2]=_xlfn.CONCAT('Consortium calculs'!$C46,"NB")))</f>
        <v>250</v>
      </c>
      <c r="AD46" s="462" cm="1">
        <f t="array" ref="AD46">SUMPRODUCT(TAB_CS[[Jan-2024]:[Mar-2024]]*(TAB_CS[Profile in €])*(TAB_CS[Tri-2]=_xlfn.CONCAT('Consortium calculs'!$C46,"NB")))</f>
        <v>146888.405</v>
      </c>
      <c r="AE46" s="460" cm="1">
        <f t="array" ref="AE46">SUMPRODUCT(TAB_CS[[Apr-2024]:[Jun-2024]]*(TAB_CS[Tri-2]=_xlfn.CONCAT('Consortium calculs'!$C46,"NB")))</f>
        <v>286</v>
      </c>
      <c r="AF46" s="462" cm="1">
        <f t="array" ref="AF46">SUMPRODUCT(TAB_CS[[Apr-2024]:[Jun-2024]]*(TAB_CS[Profile in €])*(TAB_CS[Tri-2]=_xlfn.CONCAT('Consortium calculs'!$C46,"NB")))</f>
        <v>175706.25</v>
      </c>
      <c r="AG46" s="460" cm="1">
        <f t="array" ref="AG46">SUMPRODUCT(TAB_CS[[Jul-2024]:[Sep-2024]]*(TAB_CS[Tri-2]=_xlfn.CONCAT('Consortium calculs'!$C46,"NB")))</f>
        <v>310</v>
      </c>
      <c r="AH46" s="462" cm="1">
        <f t="array" ref="AH46">SUMPRODUCT(TAB_CS[[Jul-2024]:[Sep-2024]]*(TAB_CS[Profile in €])*(TAB_CS[Tri-2]=_xlfn.CONCAT('Consortium calculs'!$C46,"NB")))</f>
        <v>187403.50499999998</v>
      </c>
      <c r="AI46" s="460" cm="1">
        <f t="array" ref="AI46">SUMPRODUCT(TAB_CS[[Oct-2023]:[Dec-2023]]*(TAB_CS[Tri-2]=_xlfn.CONCAT('Consortium calculs'!$C46,"NB")))</f>
        <v>146</v>
      </c>
      <c r="AJ46" s="462" cm="1">
        <f t="array" ref="AJ46">SUMPRODUCT(TAB_CS[[Oct-2023]:[Dec-2023]]*(TAB_CS[Profile in €])*(TAB_CS[Tri-2]=_xlfn.CONCAT('Consortium calculs'!$C46,"NB")))</f>
        <v>70462.149999999994</v>
      </c>
    </row>
    <row r="47" spans="1:36" ht="13.8" thickBot="1" x14ac:dyDescent="0.3">
      <c r="B47" s="669"/>
      <c r="C47" s="45" t="s">
        <v>88</v>
      </c>
      <c r="D47" s="47">
        <f t="shared" si="38"/>
        <v>22.5</v>
      </c>
      <c r="E47" s="46">
        <f t="shared" si="39"/>
        <v>22500</v>
      </c>
      <c r="G47" s="461" cm="1">
        <f t="array" ref="G47">SUMPRODUCT(TAB_CS[[Apr-2022]:[Jun-2022]]*(TAB_CS[Tri-2]=_xlfn.CONCAT('Consortium calculs'!$C47,"NB")))</f>
        <v>0</v>
      </c>
      <c r="H47" s="463" cm="1">
        <f t="array" ref="H47">SUMPRODUCT(TAB_CS[[Apr-2022]:[Jun-2022]]*(TAB_CS[Profile in €])*(TAB_CS[Tri-2]=_xlfn.CONCAT('Consortium calculs'!$C47,"NB")))</f>
        <v>0</v>
      </c>
      <c r="I47" s="461" cm="1">
        <f t="array" ref="I47">SUMPRODUCT(TAB_CS[[Jul-2022]:[Sep-2022]]*(TAB_CS[Tri-2]=_xlfn.CONCAT('Consortium calculs'!$C47,"NB")))</f>
        <v>0</v>
      </c>
      <c r="J47" s="463" cm="1">
        <f t="array" ref="J47">SUMPRODUCT(TAB_CS[[Jul-2022]:[Sep-2022]]*(TAB_CS[Profile in €])*(TAB_CS[Tri-2]=_xlfn.CONCAT('Consortium calculs'!$C47,"NB")))</f>
        <v>0</v>
      </c>
      <c r="K47" s="461" cm="1">
        <f t="array" ref="K47">SUMPRODUCT(TAB_CS[[Oct-2022]:[Dec-2022]]*(TAB_CS[Tri-2]=_xlfn.CONCAT('Consortium calculs'!$C47,"NB")))</f>
        <v>0</v>
      </c>
      <c r="L47" s="463" cm="1">
        <f t="array" ref="L47">SUMPRODUCT(TAB_CS[[Oct-2022]:[Dec-2022]]*(TAB_CS[Profile in €])*(TAB_CS[Tri-2]=_xlfn.CONCAT('Consortium calculs'!$C47,"NB")))</f>
        <v>0</v>
      </c>
      <c r="M47" s="461" cm="1">
        <f t="array" ref="M47">SUMPRODUCT(TAB_CS[[Jan-2023]:[Mar-2023]]*(TAB_CS[Tri-2]=_xlfn.CONCAT('Consortium calculs'!$C47,"NB")))</f>
        <v>0</v>
      </c>
      <c r="N47" s="463" cm="1">
        <f t="array" ref="N47">SUMPRODUCT(TAB_CS[[Jan-2023]:[Mar-2023]]*(TAB_CS[Profile in €])*(TAB_CS[Tri-2]=_xlfn.CONCAT('Consortium calculs'!$C47,"NB")))</f>
        <v>0</v>
      </c>
      <c r="O47" s="461" cm="1">
        <f t="array" ref="O47">SUMPRODUCT(TAB_CS[[Apr-2023]:[Jun-2023]]*(TAB_CS[Tri-2]=_xlfn.CONCAT('Consortium calculs'!$C47,"NB")))</f>
        <v>14</v>
      </c>
      <c r="P47" s="463" cm="1">
        <f t="array" ref="P47">SUMPRODUCT(TAB_CS[[Apr-2023]:[Jun-2023]]*(TAB_CS[Profile in €])*(TAB_CS[Tri-2]=_xlfn.CONCAT('Consortium calculs'!$C47,"NB")))</f>
        <v>14000</v>
      </c>
      <c r="Q47" s="461" cm="1">
        <f t="array" ref="Q47">SUMPRODUCT(TAB_CS[[Jul-2023]:[Sep-2023]]*(TAB_CS[Tri-2]=_xlfn.CONCAT('Consortium calculs'!$C47,"NB")))</f>
        <v>8.5</v>
      </c>
      <c r="R47" s="463" cm="1">
        <f t="array" ref="R47">SUMPRODUCT(TAB_CS[[Jul-2023]:[Sep-2023]]*(TAB_CS[Profile in €])*(TAB_CS[Tri-2]=_xlfn.CONCAT('Consortium calculs'!$C47,"NB")))</f>
        <v>8500</v>
      </c>
      <c r="S47" s="461" cm="1">
        <f t="array" ref="S47">SUMPRODUCT(TAB_CS[[Oct-2023]:[Dec-2023]]*(TAB_CS[Tri-2]=_xlfn.CONCAT('Consortium calculs'!$C47,"NB")))</f>
        <v>0</v>
      </c>
      <c r="T47" s="463" cm="1">
        <f t="array" ref="T47">SUMPRODUCT(TAB_CS[[Oct-2023]:[Dec-2023]]*(TAB_CS[Profile in €])*(TAB_CS[Tri-2]=_xlfn.CONCAT('Consortium calculs'!$C47,"NB")))</f>
        <v>0</v>
      </c>
      <c r="U47" s="461" cm="1">
        <f t="array" ref="U47">SUMPRODUCT(TAB_CS[[Jan-2024]:[Mar-2024]]*(TAB_CS[Tri-2]=_xlfn.CONCAT('Consortium calculs'!$C47,"NB")))</f>
        <v>0</v>
      </c>
      <c r="V47" s="463" cm="1">
        <f t="array" ref="V47">SUMPRODUCT(TAB_CS[[Jan-2024]:[Mar-2024]]*(TAB_CS[Profile in €])*(TAB_CS[Tri-2]=_xlfn.CONCAT('Consortium calculs'!$C47,"NB")))</f>
        <v>0</v>
      </c>
      <c r="W47" s="461" cm="1">
        <f t="array" ref="W47">SUMPRODUCT(TAB_CS[[Apr-2024]:[Jun-2024]]*(TAB_CS[Tri-2]=_xlfn.CONCAT('Consortium calculs'!$C47,"NB")))</f>
        <v>0</v>
      </c>
      <c r="X47" s="463" cm="1">
        <f t="array" ref="X47">SUMPRODUCT(TAB_CS[[Apr-2024]:[Jun-2024]]*(TAB_CS[Profile in €])*(TAB_CS[Tri-2]=_xlfn.CONCAT('Consortium calculs'!$C47,"NB")))</f>
        <v>0</v>
      </c>
      <c r="Y47" s="461" cm="1">
        <f t="array" ref="Y47">SUMPRODUCT(TAB_CS[[Jul-2024]:[Sep-2024]]*(TAB_CS[Tri-2]=_xlfn.CONCAT('Consortium calculs'!$C47,"NB")))</f>
        <v>0</v>
      </c>
      <c r="Z47" s="463" cm="1">
        <f t="array" ref="Z47">SUMPRODUCT(TAB_CS[[Jul-2024]:[Sep-2024]]*(TAB_CS[Profile in €])*(TAB_CS[Tri-2]=_xlfn.CONCAT('Consortium calculs'!$C47,"NB")))</f>
        <v>0</v>
      </c>
      <c r="AA47" s="461" cm="1">
        <f t="array" ref="AA47">SUMPRODUCT(TAB_CS[[Oct-2023]:[Dec-2023]]*(TAB_CS[Tri-2]=_xlfn.CONCAT('Consortium calculs'!$C47,"NB")))</f>
        <v>0</v>
      </c>
      <c r="AB47" s="463" cm="1">
        <f t="array" ref="AB47">SUMPRODUCT(TAB_CS[[Oct-2023]:[Dec-2023]]*(TAB_CS[Profile in €])*(TAB_CS[Tri-2]=_xlfn.CONCAT('Consortium calculs'!$C47,"NB")))</f>
        <v>0</v>
      </c>
      <c r="AC47" s="461" cm="1">
        <f t="array" ref="AC47">SUMPRODUCT(TAB_CS[[Jan-2024]:[Mar-2024]]*(TAB_CS[Tri-2]=_xlfn.CONCAT('Consortium calculs'!$C47,"NB")))</f>
        <v>0</v>
      </c>
      <c r="AD47" s="463" cm="1">
        <f t="array" ref="AD47">SUMPRODUCT(TAB_CS[[Jan-2024]:[Mar-2024]]*(TAB_CS[Profile in €])*(TAB_CS[Tri-2]=_xlfn.CONCAT('Consortium calculs'!$C47,"NB")))</f>
        <v>0</v>
      </c>
      <c r="AE47" s="461" cm="1">
        <f t="array" ref="AE47">SUMPRODUCT(TAB_CS[[Apr-2024]:[Jun-2024]]*(TAB_CS[Tri-2]=_xlfn.CONCAT('Consortium calculs'!$C47,"NB")))</f>
        <v>0</v>
      </c>
      <c r="AF47" s="463" cm="1">
        <f t="array" ref="AF47">SUMPRODUCT(TAB_CS[[Apr-2024]:[Jun-2024]]*(TAB_CS[Profile in €])*(TAB_CS[Tri-2]=_xlfn.CONCAT('Consortium calculs'!$C47,"NB")))</f>
        <v>0</v>
      </c>
      <c r="AG47" s="461" cm="1">
        <f t="array" ref="AG47">SUMPRODUCT(TAB_CS[[Jul-2024]:[Sep-2024]]*(TAB_CS[Tri-2]=_xlfn.CONCAT('Consortium calculs'!$C47,"NB")))</f>
        <v>0</v>
      </c>
      <c r="AH47" s="463" cm="1">
        <f t="array" ref="AH47">SUMPRODUCT(TAB_CS[[Jul-2024]:[Sep-2024]]*(TAB_CS[Profile in €])*(TAB_CS[Tri-2]=_xlfn.CONCAT('Consortium calculs'!$C47,"NB")))</f>
        <v>0</v>
      </c>
      <c r="AI47" s="461" cm="1">
        <f t="array" ref="AI47">SUMPRODUCT(TAB_CS[[Oct-2023]:[Dec-2023]]*(TAB_CS[Tri-2]=_xlfn.CONCAT('Consortium calculs'!$C47,"NB")))</f>
        <v>0</v>
      </c>
      <c r="AJ47" s="463" cm="1">
        <f t="array" ref="AJ47">SUMPRODUCT(TAB_CS[[Oct-2023]:[Dec-2023]]*(TAB_CS[Profile in €])*(TAB_CS[Tri-2]=_xlfn.CONCAT('Consortium calculs'!$C47,"NB")))</f>
        <v>0</v>
      </c>
    </row>
    <row r="51" spans="2:36" x14ac:dyDescent="0.25">
      <c r="B51" s="667" t="s">
        <v>6022</v>
      </c>
      <c r="C51" s="40" t="s">
        <v>85</v>
      </c>
      <c r="D51" s="586">
        <f t="shared" ref="D51:D56" si="40">SUMIF(F$2:AD$2,D$2,F51:AD51)</f>
        <v>2189.5</v>
      </c>
      <c r="E51" s="69">
        <f>SUMIF(F$2:AD$2,E$2,F51:AD51)</f>
        <v>1094912.2550000001</v>
      </c>
      <c r="F51" s="587"/>
      <c r="G51" s="588" cm="1">
        <f t="array" ref="G51">SUMPRODUCT(TAB_CS[[Apr-2022]:[Jun-2022]]*(TAB_CS[Company]='Consortium calculs'!$C51)*(TAB_CS[Lot]="Lot 1"))</f>
        <v>0</v>
      </c>
      <c r="H51" s="589" cm="1">
        <f t="array" ref="H51">SUMPRODUCT(TAB_CS[[Apr-2022]:[Jun-2022]]*(TAB_CS[Profile in €])*(TAB_CS[Company]='Consortium calculs'!$C51)*(TAB_CS[Lot]="Lot 1"))</f>
        <v>0</v>
      </c>
      <c r="I51" s="588" cm="1">
        <f t="array" ref="I51">SUMPRODUCT(TAB_CS[[Jul-2022]:[Sep-2022]]*(TAB_CS[Company]='Consortium calculs'!$C51)*(TAB_CS[Lot]="Lot 1"))</f>
        <v>0</v>
      </c>
      <c r="J51" s="589" cm="1">
        <f t="array" ref="J51">SUMPRODUCT(TAB_CS[[Jul-2022]:[Sep-2022]]*(TAB_CS[Profile in €])*(TAB_CS[Company]='Consortium calculs'!$C51)*(TAB_CS[Lot]="Lot 1"))</f>
        <v>0</v>
      </c>
      <c r="K51" s="588" cm="1">
        <f t="array" ref="K51">SUMPRODUCT(TAB_CS[[Oct-2022]:[Dec-2022]]*(TAB_CS[Company]='Consortium calculs'!$C51)*(TAB_CS[Lot]="Lot 1"))</f>
        <v>38</v>
      </c>
      <c r="L51" s="589" cm="1">
        <f t="array" ref="L51">SUMPRODUCT(TAB_CS[[Oct-2022]:[Dec-2022]]*(TAB_CS[Profile in €])*(TAB_CS[Company]='Consortium calculs'!$C51)*(TAB_CS[Lot]="Lot 1"))</f>
        <v>16854.900000000001</v>
      </c>
      <c r="M51" s="588" cm="1">
        <f t="array" ref="M51">SUMPRODUCT(TAB_CS[[Jan-2023]:[Mar-2023]]*(TAB_CS[Company]='Consortium calculs'!$C51)*(TAB_CS[Lot]="Lot 1"))</f>
        <v>68.5</v>
      </c>
      <c r="N51" s="589" cm="1">
        <f t="array" ref="N51">SUMPRODUCT(TAB_CS[[Jan-2023]:[Mar-2023]]*(TAB_CS[Profile in €])*(TAB_CS[Company]='Consortium calculs'!$C51)*(TAB_CS[Lot]="Lot 1"))</f>
        <v>30063.174999999999</v>
      </c>
      <c r="O51" s="588" cm="1">
        <f t="array" ref="O51">SUMPRODUCT(TAB_CS[[Apr-2023]:[Jun-2023]]*(TAB_CS[Company]='Consortium calculs'!$C51)*(TAB_CS[Lot]="Lot 1"))</f>
        <v>92.5</v>
      </c>
      <c r="P51" s="589" cm="1">
        <f t="array" ref="P51">SUMPRODUCT(TAB_CS[[Apr-2023]:[Jun-2023]]*(TAB_CS[Profile in €])*(TAB_CS[Company]='Consortium calculs'!$C51)*(TAB_CS[Lot]="Lot 1"))</f>
        <v>40748.375000000007</v>
      </c>
      <c r="Q51" s="588" cm="1">
        <f t="array" ref="Q51">SUMPRODUCT(TAB_CS[[Jul-2023]:[Sep-2023]]*(TAB_CS[Company]='Consortium calculs'!$C51)*(TAB_CS[Lot]="Lot 1"))</f>
        <v>124</v>
      </c>
      <c r="R51" s="589" cm="1">
        <f t="array" ref="R51">SUMPRODUCT(TAB_CS[[Jul-2023]:[Sep-2023]]*(TAB_CS[Profile in €])*(TAB_CS[Company]='Consortium calculs'!$C51)*(TAB_CS[Lot]="Lot 1"))</f>
        <v>52817.45</v>
      </c>
      <c r="S51" s="588" cm="1">
        <f t="array" ref="S51">SUMPRODUCT(TAB_CS[[Oct-2023]:[Dec-2023]]*(TAB_CS[Company]='Consortium calculs'!$C51)*(TAB_CS[Lot]="Lot 1"))</f>
        <v>233.5</v>
      </c>
      <c r="T51" s="589" cm="1">
        <f t="array" ref="T51">SUMPRODUCT(TAB_CS[[Oct-2023]:[Dec-2023]]*(TAB_CS[Profile in €])*(TAB_CS[Company]='Consortium calculs'!$C51)*(TAB_CS[Lot]="Lot 1"))</f>
        <v>111698.95000000001</v>
      </c>
      <c r="U51" s="588" cm="1">
        <f t="array" ref="U51">SUMPRODUCT(TAB_CS[[Jan-2024]:[Mar-2024]]*(TAB_CS[Company]='Consortium calculs'!$C51)*(TAB_CS[Lot]="Lot 1"))</f>
        <v>319</v>
      </c>
      <c r="V51" s="589" cm="1">
        <f t="array" ref="V51">SUMPRODUCT(TAB_CS[[Jan-2024]:[Mar-2024]]*(TAB_CS[Profile in €])*(TAB_CS[Company]='Consortium calculs'!$C51)*(TAB_CS[Lot]="Lot 1"))</f>
        <v>157226.88000000006</v>
      </c>
      <c r="W51" s="588" cm="1">
        <f t="array" ref="W51">SUMPRODUCT(TAB_CS[[Apr-2024]:[Jun-2024]]*(TAB_CS[Company]='Consortium calculs'!$C51)*(TAB_CS[Lot]="Lot 1"))</f>
        <v>302</v>
      </c>
      <c r="X51" s="589" cm="1">
        <f t="array" ref="X51">SUMPRODUCT(TAB_CS[[Apr-2024]:[Jun-2024]]*(TAB_CS[Profile in €])*(TAB_CS[Company]='Consortium calculs'!$C51)*(TAB_CS[Lot]="Lot 1"))</f>
        <v>156190.48500000002</v>
      </c>
      <c r="Y51" s="588" cm="1">
        <f t="array" ref="Y51">SUMPRODUCT(TAB_CS[[Jul-2024]:[Sep-2024]]*(TAB_CS[Company]='Consortium calculs'!$C51)*(TAB_CS[Lot]="Lot 1"))</f>
        <v>333.5</v>
      </c>
      <c r="Z51" s="589" cm="1">
        <f t="array" ref="Z51">SUMPRODUCT(TAB_CS[[Jul-2024]:[Sep-2024]]*(TAB_CS[Profile in €])*(TAB_CS[Company]='Consortium calculs'!$C51)*(TAB_CS[Lot]="Lot 1"))</f>
        <v>176914.60499999995</v>
      </c>
      <c r="AA51" s="588" cm="1">
        <f t="array" ref="AA51">SUMPRODUCT(TAB_CS[[Oct-2024]:[Dec-2024]]*(TAB_CS[Company]='Consortium calculs'!$C51)*(TAB_CS[Lot]="Lot 1"))</f>
        <v>376</v>
      </c>
      <c r="AB51" s="589" cm="1">
        <f t="array" ref="AB51">SUMPRODUCT(TAB_CS[[Oct-2024]:[Dec-2024]]*(TAB_CS[Profile in €])*(TAB_CS[Company]='Consortium calculs'!$C51)*(TAB_CS[Lot]="Lot 1"))</f>
        <v>193271.28999999998</v>
      </c>
      <c r="AC51" s="588" cm="1">
        <f t="array" ref="AC51">SUMPRODUCT(TAB_CS[[Jan-2025]:[Mar-2025]]*(TAB_CS[Company]='Consortium calculs'!$C51)*(TAB_CS[Lot]="Lot 1"))</f>
        <v>302.5</v>
      </c>
      <c r="AD51" s="589" cm="1">
        <f t="array" ref="AD51">SUMPRODUCT(TAB_CS[[Jan-2025]:[Mar-2025]]*(TAB_CS[Profile in €])*(TAB_CS[Company]='Consortium calculs'!$C51)*(TAB_CS[Lot]="Lot 1"))</f>
        <v>159126.14500000002</v>
      </c>
      <c r="AE51" s="588" cm="1">
        <f t="array" ref="AE51">SUMPRODUCT(TAB_CS[[Apr-2025]:[Jun-2025]]*(TAB_CS[Company]='Consortium calculs'!$C51)*(TAB_CS[Lot]="Lot 1"))</f>
        <v>80</v>
      </c>
      <c r="AF51" s="589" cm="1">
        <f t="array" ref="AF51">SUMPRODUCT(TAB_CS[[Apr-2025]:[Jun-2025]]*(TAB_CS[Profile in €])*(TAB_CS[Company]='Consortium calculs'!$C51)*(TAB_CS[Lot]="Lot 1"))</f>
        <v>37328.490000000005</v>
      </c>
      <c r="AG51" s="588" cm="1">
        <f t="array" ref="AG51">SUMPRODUCT(TAB_CS[[Jul-2025]:[Sep-2025]]*(TAB_CS[Company]='Consortium calculs'!$C51)*(TAB_CS[Lot]="Lot 1"))</f>
        <v>0</v>
      </c>
      <c r="AH51" s="589" cm="1">
        <f t="array" ref="AH51">SUMPRODUCT(TAB_CS[[Jul-2025]:[Sep-2025]]*(TAB_CS[Profile in €])*(TAB_CS[Company]='Consortium calculs'!$C51)*(TAB_CS[Lot]="Lot 1"))</f>
        <v>0</v>
      </c>
      <c r="AI51" s="588" cm="1">
        <f t="array" ref="AI51">SUMPRODUCT(TAB_CS[[Oct-2025]:[Dec-2025]]*(TAB_CS[Company]='Consortium calculs'!$C51)*(TAB_CS[Lot]="Lot 1"))</f>
        <v>0</v>
      </c>
      <c r="AJ51" s="589" cm="1">
        <f t="array" ref="AJ51">SUMPRODUCT(TAB_CS[[Oct-2025]:[Dec-2025]]*(TAB_CS[Profile in €])*(TAB_CS[Company]='Consortium calculs'!$C51)*(TAB_CS[Lot]="Lot 1"))</f>
        <v>0</v>
      </c>
    </row>
    <row r="52" spans="2:36" x14ac:dyDescent="0.25">
      <c r="B52" s="668"/>
      <c r="C52" s="40" t="s">
        <v>202</v>
      </c>
      <c r="D52" s="44">
        <f t="shared" si="40"/>
        <v>0</v>
      </c>
      <c r="E52" s="39">
        <f t="shared" ref="E52:E56" si="41">SUMIF(F$2:AD$2,E$2,F52:AD52)</f>
        <v>0</v>
      </c>
      <c r="G52" s="588" cm="1">
        <f t="array" ref="G52">SUMPRODUCT(TAB_CS[[Apr-2022]:[Jun-2022]]*(TAB_CS[Company]='Consortium calculs'!$C52)*(TAB_CS[Lot]="Lot 1"))</f>
        <v>0</v>
      </c>
      <c r="H52" s="589" cm="1">
        <f t="array" ref="H52">SUMPRODUCT(TAB_CS[[Apr-2022]:[Jun-2022]]*(TAB_CS[Profile in €])*(TAB_CS[Company]='Consortium calculs'!$C52)*(TAB_CS[Lot]="Lot 1"))</f>
        <v>0</v>
      </c>
      <c r="I52" s="588" cm="1">
        <f t="array" ref="I52">SUMPRODUCT(TAB_CS[[Jul-2022]:[Sep-2022]]*(TAB_CS[Company]='Consortium calculs'!$C52)*(TAB_CS[Lot]="Lot 1"))</f>
        <v>0</v>
      </c>
      <c r="J52" s="589" cm="1">
        <f t="array" ref="J52">SUMPRODUCT(TAB_CS[[Jul-2022]:[Sep-2022]]*(TAB_CS[Profile in €])*(TAB_CS[Company]='Consortium calculs'!$C52)*(TAB_CS[Lot]="Lot 1"))</f>
        <v>0</v>
      </c>
      <c r="K52" s="588" cm="1">
        <f t="array" ref="K52">SUMPRODUCT(TAB_CS[[Oct-2022]:[Dec-2022]]*(TAB_CS[Company]='Consortium calculs'!$C52)*(TAB_CS[Lot]="Lot 1"))</f>
        <v>0</v>
      </c>
      <c r="L52" s="589" cm="1">
        <f t="array" ref="L52">SUMPRODUCT(TAB_CS[[Oct-2022]:[Dec-2022]]*(TAB_CS[Profile in €])*(TAB_CS[Company]='Consortium calculs'!$C52)*(TAB_CS[Lot]="Lot 1"))</f>
        <v>0</v>
      </c>
      <c r="M52" s="588" cm="1">
        <f t="array" ref="M52">SUMPRODUCT(TAB_CS[[Jan-2023]:[Mar-2023]]*(TAB_CS[Company]='Consortium calculs'!$C52)*(TAB_CS[Lot]="Lot 1"))</f>
        <v>0</v>
      </c>
      <c r="N52" s="589" cm="1">
        <f t="array" ref="N52">SUMPRODUCT(TAB_CS[[Jan-2023]:[Mar-2023]]*(TAB_CS[Profile in €])*(TAB_CS[Company]='Consortium calculs'!$C52)*(TAB_CS[Lot]="Lot 1"))</f>
        <v>0</v>
      </c>
      <c r="O52" s="588" cm="1">
        <f t="array" ref="O52">SUMPRODUCT(TAB_CS[[Apr-2023]:[Jun-2023]]*(TAB_CS[Company]='Consortium calculs'!$C52)*(TAB_CS[Lot]="Lot 1"))</f>
        <v>0</v>
      </c>
      <c r="P52" s="589" cm="1">
        <f t="array" ref="P52">SUMPRODUCT(TAB_CS[[Apr-2023]:[Jun-2023]]*(TAB_CS[Profile in €])*(TAB_CS[Company]='Consortium calculs'!$C52)*(TAB_CS[Lot]="Lot 1"))</f>
        <v>0</v>
      </c>
      <c r="Q52" s="588" cm="1">
        <f t="array" ref="Q52">SUMPRODUCT(TAB_CS[[Jul-2023]:[Sep-2023]]*(TAB_CS[Company]='Consortium calculs'!$C52)*(TAB_CS[Lot]="Lot 1"))</f>
        <v>0</v>
      </c>
      <c r="R52" s="589" cm="1">
        <f t="array" ref="R52">SUMPRODUCT(TAB_CS[[Jul-2023]:[Sep-2023]]*(TAB_CS[Profile in €])*(TAB_CS[Company]='Consortium calculs'!$C52)*(TAB_CS[Lot]="Lot 1"))</f>
        <v>0</v>
      </c>
      <c r="S52" s="588" cm="1">
        <f t="array" ref="S52">SUMPRODUCT(TAB_CS[[Oct-2023]:[Dec-2023]]*(TAB_CS[Company]='Consortium calculs'!$C52)*(TAB_CS[Lot]="Lot 1"))</f>
        <v>0</v>
      </c>
      <c r="T52" s="589" cm="1">
        <f t="array" ref="T52">SUMPRODUCT(TAB_CS[[Oct-2023]:[Dec-2023]]*(TAB_CS[Profile in €])*(TAB_CS[Company]='Consortium calculs'!$C52)*(TAB_CS[Lot]="Lot 1"))</f>
        <v>0</v>
      </c>
      <c r="U52" s="588" cm="1">
        <f t="array" ref="U52">SUMPRODUCT(TAB_CS[[Jan-2024]:[Mar-2024]]*(TAB_CS[Company]='Consortium calculs'!$C52)*(TAB_CS[Lot]="Lot 1"))</f>
        <v>0</v>
      </c>
      <c r="V52" s="589" cm="1">
        <f t="array" ref="V52">SUMPRODUCT(TAB_CS[[Jan-2024]:[Mar-2024]]*(TAB_CS[Profile in €])*(TAB_CS[Company]='Consortium calculs'!$C52)*(TAB_CS[Lot]="Lot 1"))</f>
        <v>0</v>
      </c>
      <c r="W52" s="588" cm="1">
        <f t="array" ref="W52">SUMPRODUCT(TAB_CS[[Apr-2024]:[Jun-2024]]*(TAB_CS[Company]='Consortium calculs'!$C52)*(TAB_CS[Lot]="Lot 1"))</f>
        <v>0</v>
      </c>
      <c r="X52" s="589" cm="1">
        <f t="array" ref="X52">SUMPRODUCT(TAB_CS[[Apr-2024]:[Jun-2024]]*(TAB_CS[Profile in €])*(TAB_CS[Company]='Consortium calculs'!$C52)*(TAB_CS[Lot]="Lot 1"))</f>
        <v>0</v>
      </c>
      <c r="Y52" s="588" cm="1">
        <f t="array" ref="Y52">SUMPRODUCT(TAB_CS[[Jul-2024]:[Sep-2024]]*(TAB_CS[Company]='Consortium calculs'!$C52)*(TAB_CS[Lot]="Lot 1"))</f>
        <v>0</v>
      </c>
      <c r="Z52" s="589" cm="1">
        <f t="array" ref="Z52">SUMPRODUCT(TAB_CS[[Jul-2024]:[Sep-2024]]*(TAB_CS[Profile in €])*(TAB_CS[Company]='Consortium calculs'!$C52)*(TAB_CS[Lot]="Lot 1"))</f>
        <v>0</v>
      </c>
      <c r="AA52" s="588" cm="1">
        <f t="array" ref="AA52">SUMPRODUCT(TAB_CS[[Oct-2024]:[Dec-2024]]*(TAB_CS[Company]='Consortium calculs'!$C52)*(TAB_CS[Lot]="Lot 1"))</f>
        <v>0</v>
      </c>
      <c r="AB52" s="589" cm="1">
        <f t="array" ref="AB52">SUMPRODUCT(TAB_CS[[Oct-2024]:[Dec-2024]]*(TAB_CS[Profile in €])*(TAB_CS[Company]='Consortium calculs'!$C52)*(TAB_CS[Lot]="Lot 1"))</f>
        <v>0</v>
      </c>
      <c r="AC52" s="588" cm="1">
        <f t="array" ref="AC52">SUMPRODUCT(TAB_CS[[Jan-2025]:[Mar-2025]]*(TAB_CS[Company]='Consortium calculs'!$C52)*(TAB_CS[Lot]="Lot 1"))</f>
        <v>0</v>
      </c>
      <c r="AD52" s="589" cm="1">
        <f t="array" ref="AD52">SUMPRODUCT(TAB_CS[[Jan-2025]:[Mar-2025]]*(TAB_CS[Profile in €])*(TAB_CS[Company]='Consortium calculs'!$C52)*(TAB_CS[Lot]="Lot 1"))</f>
        <v>0</v>
      </c>
      <c r="AE52" s="588" cm="1">
        <f t="array" ref="AE52">SUMPRODUCT(TAB_CS[[Apr-2025]:[Jun-2025]]*(TAB_CS[Company]='Consortium calculs'!$C52)*(TAB_CS[Lot]="Lot 1"))</f>
        <v>0</v>
      </c>
      <c r="AF52" s="589" cm="1">
        <f t="array" ref="AF52">SUMPRODUCT(TAB_CS[[Apr-2025]:[Jun-2025]]*(TAB_CS[Profile in €])*(TAB_CS[Company]='Consortium calculs'!$C52)*(TAB_CS[Lot]="Lot 1"))</f>
        <v>0</v>
      </c>
      <c r="AG52" s="588" cm="1">
        <f t="array" ref="AG52">SUMPRODUCT(TAB_CS[[Jul-2025]:[Sep-2025]]*(TAB_CS[Company]='Consortium calculs'!$C52)*(TAB_CS[Lot]="Lot 1"))</f>
        <v>0</v>
      </c>
      <c r="AH52" s="589" cm="1">
        <f t="array" ref="AH52">SUMPRODUCT(TAB_CS[[Jul-2025]:[Sep-2025]]*(TAB_CS[Profile in €])*(TAB_CS[Company]='Consortium calculs'!$C52)*(TAB_CS[Lot]="Lot 1"))</f>
        <v>0</v>
      </c>
      <c r="AI52" s="588" cm="1">
        <f t="array" ref="AI52">SUMPRODUCT(TAB_CS[[Oct-2025]:[Dec-2025]]*(TAB_CS[Company]='Consortium calculs'!$C52)*(TAB_CS[Lot]="Lot 1"))</f>
        <v>0</v>
      </c>
      <c r="AJ52" s="589" cm="1">
        <f t="array" ref="AJ52">SUMPRODUCT(TAB_CS[[Oct-2025]:[Dec-2025]]*(TAB_CS[Profile in €])*(TAB_CS[Company]='Consortium calculs'!$C52)*(TAB_CS[Lot]="Lot 1"))</f>
        <v>0</v>
      </c>
    </row>
    <row r="53" spans="2:36" x14ac:dyDescent="0.25">
      <c r="B53" s="668"/>
      <c r="C53" s="40" t="s">
        <v>203</v>
      </c>
      <c r="D53" s="44">
        <f t="shared" si="40"/>
        <v>504</v>
      </c>
      <c r="E53" s="39">
        <f t="shared" si="41"/>
        <v>270556.12</v>
      </c>
      <c r="G53" s="588" cm="1">
        <f t="array" ref="G53">SUMPRODUCT(TAB_CS[[Apr-2022]:[Jun-2022]]*(TAB_CS[Company]='Consortium calculs'!$C53)*(TAB_CS[Lot]="Lot 1"))</f>
        <v>0</v>
      </c>
      <c r="H53" s="589" cm="1">
        <f t="array" ref="H53">SUMPRODUCT(TAB_CS[[Apr-2022]:[Jun-2022]]*(TAB_CS[Profile in €])*(TAB_CS[Company]='Consortium calculs'!$C53)*(TAB_CS[Lot]="Lot 1"))</f>
        <v>0</v>
      </c>
      <c r="I53" s="588" cm="1">
        <f t="array" ref="I53">SUMPRODUCT(TAB_CS[[Jul-2022]:[Sep-2022]]*(TAB_CS[Company]='Consortium calculs'!$C53)*(TAB_CS[Lot]="Lot 1"))</f>
        <v>0</v>
      </c>
      <c r="J53" s="589" cm="1">
        <f t="array" ref="J53">SUMPRODUCT(TAB_CS[[Jul-2022]:[Sep-2022]]*(TAB_CS[Profile in €])*(TAB_CS[Company]='Consortium calculs'!$C53)*(TAB_CS[Lot]="Lot 1"))</f>
        <v>0</v>
      </c>
      <c r="K53" s="588" cm="1">
        <f t="array" ref="K53">SUMPRODUCT(TAB_CS[[Oct-2022]:[Dec-2022]]*(TAB_CS[Company]='Consortium calculs'!$C53)*(TAB_CS[Lot]="Lot 1"))</f>
        <v>4</v>
      </c>
      <c r="L53" s="589" cm="1">
        <f t="array" ref="L53">SUMPRODUCT(TAB_CS[[Oct-2022]:[Dec-2022]]*(TAB_CS[Profile in €])*(TAB_CS[Company]='Consortium calculs'!$C53)*(TAB_CS[Lot]="Lot 1"))</f>
        <v>2124.48</v>
      </c>
      <c r="M53" s="588" cm="1">
        <f t="array" ref="M53">SUMPRODUCT(TAB_CS[[Jan-2023]:[Mar-2023]]*(TAB_CS[Company]='Consortium calculs'!$C53)*(TAB_CS[Lot]="Lot 1"))</f>
        <v>62</v>
      </c>
      <c r="N53" s="589" cm="1">
        <f t="array" ref="N53">SUMPRODUCT(TAB_CS[[Jan-2023]:[Mar-2023]]*(TAB_CS[Profile in €])*(TAB_CS[Company]='Consortium calculs'!$C53)*(TAB_CS[Lot]="Lot 1"))</f>
        <v>32929.440000000002</v>
      </c>
      <c r="O53" s="588" cm="1">
        <f t="array" ref="O53">SUMPRODUCT(TAB_CS[[Apr-2023]:[Jun-2023]]*(TAB_CS[Company]='Consortium calculs'!$C53)*(TAB_CS[Lot]="Lot 1"))</f>
        <v>50</v>
      </c>
      <c r="P53" s="589" cm="1">
        <f t="array" ref="P53">SUMPRODUCT(TAB_CS[[Apr-2023]:[Jun-2023]]*(TAB_CS[Profile in €])*(TAB_CS[Company]='Consortium calculs'!$C53)*(TAB_CS[Lot]="Lot 1"))</f>
        <v>26556</v>
      </c>
      <c r="Q53" s="588" cm="1">
        <f t="array" ref="Q53">SUMPRODUCT(TAB_CS[[Jul-2023]:[Sep-2023]]*(TAB_CS[Company]='Consortium calculs'!$C53)*(TAB_CS[Lot]="Lot 1"))</f>
        <v>51.5</v>
      </c>
      <c r="R53" s="589" cm="1">
        <f t="array" ref="R53">SUMPRODUCT(TAB_CS[[Jul-2023]:[Sep-2023]]*(TAB_CS[Profile in €])*(TAB_CS[Company]='Consortium calculs'!$C53)*(TAB_CS[Lot]="Lot 1"))</f>
        <v>27352.68</v>
      </c>
      <c r="S53" s="588" cm="1">
        <f t="array" ref="S53">SUMPRODUCT(TAB_CS[[Oct-2023]:[Dec-2023]]*(TAB_CS[Company]='Consortium calculs'!$C53)*(TAB_CS[Lot]="Lot 1"))</f>
        <v>56</v>
      </c>
      <c r="T53" s="589" cm="1">
        <f t="array" ref="T53">SUMPRODUCT(TAB_CS[[Oct-2023]:[Dec-2023]]*(TAB_CS[Profile in €])*(TAB_CS[Company]='Consortium calculs'!$C53)*(TAB_CS[Lot]="Lot 1"))</f>
        <v>29742.719999999998</v>
      </c>
      <c r="U53" s="588" cm="1">
        <f t="array" ref="U53">SUMPRODUCT(TAB_CS[[Jan-2024]:[Mar-2024]]*(TAB_CS[Company]='Consortium calculs'!$C53)*(TAB_CS[Lot]="Lot 1"))</f>
        <v>59</v>
      </c>
      <c r="V53" s="589" cm="1">
        <f t="array" ref="V53">SUMPRODUCT(TAB_CS[[Jan-2024]:[Mar-2024]]*(TAB_CS[Profile in €])*(TAB_CS[Company]='Consortium calculs'!$C53)*(TAB_CS[Lot]="Lot 1"))</f>
        <v>31336.080000000002</v>
      </c>
      <c r="W53" s="588" cm="1">
        <f t="array" ref="W53">SUMPRODUCT(TAB_CS[[Apr-2024]:[Jun-2024]]*(TAB_CS[Company]='Consortium calculs'!$C53)*(TAB_CS[Lot]="Lot 1"))</f>
        <v>54.5</v>
      </c>
      <c r="X53" s="589" cm="1">
        <f t="array" ref="X53">SUMPRODUCT(TAB_CS[[Apr-2024]:[Jun-2024]]*(TAB_CS[Profile in €])*(TAB_CS[Company]='Consortium calculs'!$C53)*(TAB_CS[Lot]="Lot 1"))</f>
        <v>28946.04</v>
      </c>
      <c r="Y53" s="588" cm="1">
        <f t="array" ref="Y53">SUMPRODUCT(TAB_CS[[Jul-2024]:[Sep-2024]]*(TAB_CS[Company]='Consortium calculs'!$C53)*(TAB_CS[Lot]="Lot 1"))</f>
        <v>59</v>
      </c>
      <c r="Z53" s="589" cm="1">
        <f t="array" ref="Z53">SUMPRODUCT(TAB_CS[[Jul-2024]:[Sep-2024]]*(TAB_CS[Profile in €])*(TAB_CS[Company]='Consortium calculs'!$C53)*(TAB_CS[Lot]="Lot 1"))</f>
        <v>31336.080000000002</v>
      </c>
      <c r="AA53" s="588" cm="1">
        <f t="array" ref="AA53">SUMPRODUCT(TAB_CS[[Oct-2024]:[Dec-2024]]*(TAB_CS[Company]='Consortium calculs'!$C53)*(TAB_CS[Lot]="Lot 1"))</f>
        <v>54</v>
      </c>
      <c r="AB53" s="589" cm="1">
        <f t="array" ref="AB53">SUMPRODUCT(TAB_CS[[Oct-2024]:[Dec-2024]]*(TAB_CS[Profile in €])*(TAB_CS[Company]='Consortium calculs'!$C53)*(TAB_CS[Lot]="Lot 1"))</f>
        <v>30046.6</v>
      </c>
      <c r="AC53" s="588" cm="1">
        <f t="array" ref="AC53">SUMPRODUCT(TAB_CS[[Jan-2025]:[Mar-2025]]*(TAB_CS[Company]='Consortium calculs'!$C53)*(TAB_CS[Lot]="Lot 1"))</f>
        <v>54</v>
      </c>
      <c r="AD53" s="589" cm="1">
        <f t="array" ref="AD53">SUMPRODUCT(TAB_CS[[Jan-2025]:[Mar-2025]]*(TAB_CS[Profile in €])*(TAB_CS[Company]='Consortium calculs'!$C53)*(TAB_CS[Lot]="Lot 1"))</f>
        <v>30186</v>
      </c>
      <c r="AE53" s="588" cm="1">
        <f t="array" ref="AE53">SUMPRODUCT(TAB_CS[[Apr-2025]:[Jun-2025]]*(TAB_CS[Company]='Consortium calculs'!$C53)*(TAB_CS[Lot]="Lot 1"))</f>
        <v>54</v>
      </c>
      <c r="AF53" s="589" cm="1">
        <f t="array" ref="AF53">SUMPRODUCT(TAB_CS[[Apr-2025]:[Jun-2025]]*(TAB_CS[Profile in €])*(TAB_CS[Company]='Consortium calculs'!$C53)*(TAB_CS[Lot]="Lot 1"))</f>
        <v>30186</v>
      </c>
      <c r="AG53" s="588" cm="1">
        <f t="array" ref="AG53">SUMPRODUCT(TAB_CS[[Jul-2025]:[Sep-2025]]*(TAB_CS[Company]='Consortium calculs'!$C53)*(TAB_CS[Lot]="Lot 1"))</f>
        <v>33</v>
      </c>
      <c r="AH53" s="589" cm="1">
        <f t="array" ref="AH53">SUMPRODUCT(TAB_CS[[Jul-2025]:[Sep-2025]]*(TAB_CS[Profile in €])*(TAB_CS[Company]='Consortium calculs'!$C53)*(TAB_CS[Lot]="Lot 1"))</f>
        <v>18447</v>
      </c>
      <c r="AI53" s="588" cm="1">
        <f t="array" ref="AI53">SUMPRODUCT(TAB_CS[[Oct-2025]:[Dec-2025]]*(TAB_CS[Company]='Consortium calculs'!$C53)*(TAB_CS[Lot]="Lot 1"))</f>
        <v>0</v>
      </c>
      <c r="AJ53" s="589" cm="1">
        <f t="array" ref="AJ53">SUMPRODUCT(TAB_CS[[Oct-2025]:[Dec-2025]]*(TAB_CS[Profile in €])*(TAB_CS[Company]='Consortium calculs'!$C53)*(TAB_CS[Lot]="Lot 1"))</f>
        <v>0</v>
      </c>
    </row>
    <row r="54" spans="2:36" x14ac:dyDescent="0.25">
      <c r="B54" s="668"/>
      <c r="C54" s="40" t="s">
        <v>86</v>
      </c>
      <c r="D54" s="44">
        <f t="shared" si="40"/>
        <v>5185</v>
      </c>
      <c r="E54" s="39">
        <f t="shared" si="41"/>
        <v>3062266.2250000006</v>
      </c>
      <c r="G54" s="588" cm="1">
        <f t="array" ref="G54">SUMPRODUCT(TAB_CS[[Apr-2022]:[Jun-2022]]*(TAB_CS[Company]='Consortium calculs'!$C54)*(TAB_CS[Lot]="Lot 1"))</f>
        <v>0</v>
      </c>
      <c r="H54" s="589" cm="1">
        <f t="array" ref="H54">SUMPRODUCT(TAB_CS[[Apr-2022]:[Jun-2022]]*(TAB_CS[Profile in €])*(TAB_CS[Company]='Consortium calculs'!$C54)*(TAB_CS[Lot]="Lot 1"))</f>
        <v>0</v>
      </c>
      <c r="I54" s="588" cm="1">
        <f t="array" ref="I54">SUMPRODUCT(TAB_CS[[Jul-2022]:[Sep-2022]]*(TAB_CS[Company]='Consortium calculs'!$C54)*(TAB_CS[Lot]="Lot 1"))</f>
        <v>11</v>
      </c>
      <c r="J54" s="589" cm="1">
        <f t="array" ref="J54">SUMPRODUCT(TAB_CS[[Jul-2022]:[Sep-2022]]*(TAB_CS[Profile in €])*(TAB_CS[Company]='Consortium calculs'!$C54)*(TAB_CS[Lot]="Lot 1"))</f>
        <v>6331.6</v>
      </c>
      <c r="K54" s="588" cm="1">
        <f t="array" ref="K54">SUMPRODUCT(TAB_CS[[Oct-2022]:[Dec-2022]]*(TAB_CS[Company]='Consortium calculs'!$C54)*(TAB_CS[Lot]="Lot 1"))</f>
        <v>236</v>
      </c>
      <c r="L54" s="589" cm="1">
        <f t="array" ref="L54">SUMPRODUCT(TAB_CS[[Oct-2022]:[Dec-2022]]*(TAB_CS[Profile in €])*(TAB_CS[Company]='Consortium calculs'!$C54)*(TAB_CS[Lot]="Lot 1"))</f>
        <v>132891.63999999998</v>
      </c>
      <c r="M54" s="588" cm="1">
        <f t="array" ref="M54">SUMPRODUCT(TAB_CS[[Jan-2023]:[Mar-2023]]*(TAB_CS[Company]='Consortium calculs'!$C54)*(TAB_CS[Lot]="Lot 1"))</f>
        <v>448.5</v>
      </c>
      <c r="N54" s="589" cm="1">
        <f t="array" ref="N54">SUMPRODUCT(TAB_CS[[Jan-2023]:[Mar-2023]]*(TAB_CS[Profile in €])*(TAB_CS[Company]='Consortium calculs'!$C54)*(TAB_CS[Lot]="Lot 1"))</f>
        <v>250792.80000000002</v>
      </c>
      <c r="O54" s="588" cm="1">
        <f t="array" ref="O54">SUMPRODUCT(TAB_CS[[Apr-2023]:[Jun-2023]]*(TAB_CS[Company]='Consortium calculs'!$C54)*(TAB_CS[Lot]="Lot 1"))</f>
        <v>381</v>
      </c>
      <c r="P54" s="589" cm="1">
        <f t="array" ref="P54">SUMPRODUCT(TAB_CS[[Apr-2023]:[Jun-2023]]*(TAB_CS[Profile in €])*(TAB_CS[Company]='Consortium calculs'!$C54)*(TAB_CS[Lot]="Lot 1"))</f>
        <v>213095.97500000001</v>
      </c>
      <c r="Q54" s="588" cm="1">
        <f t="array" ref="Q54">SUMPRODUCT(TAB_CS[[Jul-2023]:[Sep-2023]]*(TAB_CS[Company]='Consortium calculs'!$C54)*(TAB_CS[Lot]="Lot 1"))</f>
        <v>475</v>
      </c>
      <c r="R54" s="589" cm="1">
        <f t="array" ref="R54">SUMPRODUCT(TAB_CS[[Jul-2023]:[Sep-2023]]*(TAB_CS[Profile in €])*(TAB_CS[Company]='Consortium calculs'!$C54)*(TAB_CS[Lot]="Lot 1"))</f>
        <v>271230.30000000005</v>
      </c>
      <c r="S54" s="588" cm="1">
        <f t="array" ref="S54">SUMPRODUCT(TAB_CS[[Oct-2023]:[Dec-2023]]*(TAB_CS[Company]='Consortium calculs'!$C54)*(TAB_CS[Lot]="Lot 1"))</f>
        <v>581</v>
      </c>
      <c r="T54" s="589" cm="1">
        <f t="array" ref="T54">SUMPRODUCT(TAB_CS[[Oct-2023]:[Dec-2023]]*(TAB_CS[Profile in €])*(TAB_CS[Company]='Consortium calculs'!$C54)*(TAB_CS[Lot]="Lot 1"))</f>
        <v>334202.94</v>
      </c>
      <c r="U54" s="588" cm="1">
        <f t="array" ref="U54">SUMPRODUCT(TAB_CS[[Jan-2024]:[Mar-2024]]*(TAB_CS[Company]='Consortium calculs'!$C54)*(TAB_CS[Lot]="Lot 1"))</f>
        <v>621</v>
      </c>
      <c r="V54" s="589" cm="1">
        <f t="array" ref="V54">SUMPRODUCT(TAB_CS[[Jan-2024]:[Mar-2024]]*(TAB_CS[Profile in €])*(TAB_CS[Company]='Consortium calculs'!$C54)*(TAB_CS[Lot]="Lot 1"))</f>
        <v>360221.46000000008</v>
      </c>
      <c r="W54" s="588" cm="1">
        <f t="array" ref="W54">SUMPRODUCT(TAB_CS[[Apr-2024]:[Jun-2024]]*(TAB_CS[Company]='Consortium calculs'!$C54)*(TAB_CS[Lot]="Lot 1"))</f>
        <v>589.5</v>
      </c>
      <c r="X54" s="589" cm="1">
        <f t="array" ref="X54">SUMPRODUCT(TAB_CS[[Apr-2024]:[Jun-2024]]*(TAB_CS[Profile in €])*(TAB_CS[Company]='Consortium calculs'!$C54)*(TAB_CS[Lot]="Lot 1"))</f>
        <v>354395.35500000004</v>
      </c>
      <c r="Y54" s="588" cm="1">
        <f t="array" ref="Y54">SUMPRODUCT(TAB_CS[[Jul-2024]:[Sep-2024]]*(TAB_CS[Company]='Consortium calculs'!$C54)*(TAB_CS[Lot]="Lot 1"))</f>
        <v>619</v>
      </c>
      <c r="Z54" s="589" cm="1">
        <f t="array" ref="Z54">SUMPRODUCT(TAB_CS[[Jul-2024]:[Sep-2024]]*(TAB_CS[Profile in €])*(TAB_CS[Company]='Consortium calculs'!$C54)*(TAB_CS[Lot]="Lot 1"))</f>
        <v>380006.62000000017</v>
      </c>
      <c r="AA54" s="588" cm="1">
        <f t="array" ref="AA54">SUMPRODUCT(TAB_CS[[Oct-2024]:[Dec-2024]]*(TAB_CS[Company]='Consortium calculs'!$C54)*(TAB_CS[Lot]="Lot 1"))</f>
        <v>662</v>
      </c>
      <c r="AB54" s="589" cm="1">
        <f t="array" ref="AB54">SUMPRODUCT(TAB_CS[[Oct-2024]:[Dec-2024]]*(TAB_CS[Profile in €])*(TAB_CS[Company]='Consortium calculs'!$C54)*(TAB_CS[Lot]="Lot 1"))</f>
        <v>408516.56000000006</v>
      </c>
      <c r="AC54" s="588" cm="1">
        <f t="array" ref="AC54">SUMPRODUCT(TAB_CS[[Jan-2025]:[Mar-2025]]*(TAB_CS[Company]='Consortium calculs'!$C54)*(TAB_CS[Lot]="Lot 1"))</f>
        <v>561</v>
      </c>
      <c r="AD54" s="589" cm="1">
        <f t="array" ref="AD54">SUMPRODUCT(TAB_CS[[Jan-2025]:[Mar-2025]]*(TAB_CS[Profile in €])*(TAB_CS[Company]='Consortium calculs'!$C54)*(TAB_CS[Lot]="Lot 1"))</f>
        <v>350580.97499999998</v>
      </c>
      <c r="AE54" s="588" cm="1">
        <f t="array" ref="AE54">SUMPRODUCT(TAB_CS[[Apr-2025]:[Jun-2025]]*(TAB_CS[Company]='Consortium calculs'!$C54)*(TAB_CS[Lot]="Lot 1"))</f>
        <v>282.5</v>
      </c>
      <c r="AF54" s="589" cm="1">
        <f t="array" ref="AF54">SUMPRODUCT(TAB_CS[[Apr-2025]:[Jun-2025]]*(TAB_CS[Profile in €])*(TAB_CS[Company]='Consortium calculs'!$C54)*(TAB_CS[Lot]="Lot 1"))</f>
        <v>181052.97000000003</v>
      </c>
      <c r="AG54" s="588" cm="1">
        <f t="array" ref="AG54">SUMPRODUCT(TAB_CS[[Jul-2025]:[Sep-2025]]*(TAB_CS[Company]='Consortium calculs'!$C54)*(TAB_CS[Lot]="Lot 1"))</f>
        <v>79.5</v>
      </c>
      <c r="AH54" s="589" cm="1">
        <f t="array" ref="AH54">SUMPRODUCT(TAB_CS[[Jul-2025]:[Sep-2025]]*(TAB_CS[Profile in €])*(TAB_CS[Company]='Consortium calculs'!$C54)*(TAB_CS[Lot]="Lot 1"))</f>
        <v>53041.815000000002</v>
      </c>
      <c r="AI54" s="588" cm="1">
        <f t="array" ref="AI54">SUMPRODUCT(TAB_CS[[Oct-2025]:[Dec-2025]]*(TAB_CS[Company]='Consortium calculs'!$C54)*(TAB_CS[Lot]="Lot 1"))</f>
        <v>13.5</v>
      </c>
      <c r="AJ54" s="589" cm="1">
        <f t="array" ref="AJ54">SUMPRODUCT(TAB_CS[[Oct-2025]:[Dec-2025]]*(TAB_CS[Profile in €])*(TAB_CS[Company]='Consortium calculs'!$C54)*(TAB_CS[Lot]="Lot 1"))</f>
        <v>9363.7350000000006</v>
      </c>
    </row>
    <row r="55" spans="2:36" x14ac:dyDescent="0.25">
      <c r="B55" s="668"/>
      <c r="C55" s="40" t="s">
        <v>87</v>
      </c>
      <c r="D55" s="44">
        <f t="shared" si="40"/>
        <v>738</v>
      </c>
      <c r="E55" s="39">
        <f t="shared" si="41"/>
        <v>303647.45999999996</v>
      </c>
      <c r="G55" s="588" cm="1">
        <f t="array" ref="G55">SUMPRODUCT(TAB_CS[[Apr-2022]:[Jun-2022]]*(TAB_CS[Company]='Consortium calculs'!$C55)*(TAB_CS[Lot]="Lot 1"))</f>
        <v>0</v>
      </c>
      <c r="H55" s="589" cm="1">
        <f t="array" ref="H55">SUMPRODUCT(TAB_CS[[Apr-2022]:[Jun-2022]]*(TAB_CS[Profile in €])*(TAB_CS[Company]='Consortium calculs'!$C55)*(TAB_CS[Lot]="Lot 1"))</f>
        <v>0</v>
      </c>
      <c r="I55" s="588" cm="1">
        <f t="array" ref="I55">SUMPRODUCT(TAB_CS[[Jul-2022]:[Sep-2022]]*(TAB_CS[Company]='Consortium calculs'!$C55)*(TAB_CS[Lot]="Lot 1"))</f>
        <v>0</v>
      </c>
      <c r="J55" s="589" cm="1">
        <f t="array" ref="J55">SUMPRODUCT(TAB_CS[[Jul-2022]:[Sep-2022]]*(TAB_CS[Profile in €])*(TAB_CS[Company]='Consortium calculs'!$C55)*(TAB_CS[Lot]="Lot 1"))</f>
        <v>0</v>
      </c>
      <c r="K55" s="588" cm="1">
        <f t="array" ref="K55">SUMPRODUCT(TAB_CS[[Oct-2022]:[Dec-2022]]*(TAB_CS[Company]='Consortium calculs'!$C55)*(TAB_CS[Lot]="Lot 1"))</f>
        <v>0</v>
      </c>
      <c r="L55" s="589" cm="1">
        <f t="array" ref="L55">SUMPRODUCT(TAB_CS[[Oct-2022]:[Dec-2022]]*(TAB_CS[Profile in €])*(TAB_CS[Company]='Consortium calculs'!$C55)*(TAB_CS[Lot]="Lot 1"))</f>
        <v>0</v>
      </c>
      <c r="M55" s="588" cm="1">
        <f t="array" ref="M55">SUMPRODUCT(TAB_CS[[Jan-2023]:[Mar-2023]]*(TAB_CS[Company]='Consortium calculs'!$C55)*(TAB_CS[Lot]="Lot 1"))</f>
        <v>13</v>
      </c>
      <c r="N55" s="589" cm="1">
        <f t="array" ref="N55">SUMPRODUCT(TAB_CS[[Jan-2023]:[Mar-2023]]*(TAB_CS[Profile in €])*(TAB_CS[Company]='Consortium calculs'!$C55)*(TAB_CS[Lot]="Lot 1"))</f>
        <v>6160.7</v>
      </c>
      <c r="O55" s="588" cm="1">
        <f t="array" ref="O55">SUMPRODUCT(TAB_CS[[Apr-2023]:[Jun-2023]]*(TAB_CS[Company]='Consortium calculs'!$C55)*(TAB_CS[Lot]="Lot 1"))</f>
        <v>60</v>
      </c>
      <c r="P55" s="589" cm="1">
        <f t="array" ref="P55">SUMPRODUCT(TAB_CS[[Apr-2023]:[Jun-2023]]*(TAB_CS[Profile in €])*(TAB_CS[Company]='Consortium calculs'!$C55)*(TAB_CS[Lot]="Lot 1"))</f>
        <v>28434</v>
      </c>
      <c r="Q55" s="588" cm="1">
        <f t="array" ref="Q55">SUMPRODUCT(TAB_CS[[Jul-2023]:[Sep-2023]]*(TAB_CS[Company]='Consortium calculs'!$C55)*(TAB_CS[Lot]="Lot 1"))</f>
        <v>54</v>
      </c>
      <c r="R55" s="589" cm="1">
        <f t="array" ref="R55">SUMPRODUCT(TAB_CS[[Jul-2023]:[Sep-2023]]*(TAB_CS[Profile in €])*(TAB_CS[Company]='Consortium calculs'!$C55)*(TAB_CS[Lot]="Lot 1"))</f>
        <v>25590.6</v>
      </c>
      <c r="S55" s="588" cm="1">
        <f t="array" ref="S55">SUMPRODUCT(TAB_CS[[Oct-2023]:[Dec-2023]]*(TAB_CS[Company]='Consortium calculs'!$C55)*(TAB_CS[Lot]="Lot 1"))</f>
        <v>103</v>
      </c>
      <c r="T55" s="589" cm="1">
        <f t="array" ref="T55">SUMPRODUCT(TAB_CS[[Oct-2023]:[Dec-2023]]*(TAB_CS[Profile in €])*(TAB_CS[Company]='Consortium calculs'!$C55)*(TAB_CS[Lot]="Lot 1"))</f>
        <v>38050.04</v>
      </c>
      <c r="U55" s="588" cm="1">
        <f t="array" ref="U55">SUMPRODUCT(TAB_CS[[Jan-2024]:[Mar-2024]]*(TAB_CS[Company]='Consortium calculs'!$C55)*(TAB_CS[Lot]="Lot 1"))</f>
        <v>116</v>
      </c>
      <c r="V55" s="589" cm="1">
        <f t="array" ref="V55">SUMPRODUCT(TAB_CS[[Jan-2024]:[Mar-2024]]*(TAB_CS[Profile in €])*(TAB_CS[Company]='Consortium calculs'!$C55)*(TAB_CS[Lot]="Lot 1"))</f>
        <v>43975.179999999993</v>
      </c>
      <c r="W55" s="588" cm="1">
        <f t="array" ref="W55">SUMPRODUCT(TAB_CS[[Apr-2024]:[Jun-2024]]*(TAB_CS[Company]='Consortium calculs'!$C55)*(TAB_CS[Lot]="Lot 1"))</f>
        <v>117</v>
      </c>
      <c r="X55" s="589" cm="1">
        <f t="array" ref="X55">SUMPRODUCT(TAB_CS[[Apr-2024]:[Jun-2024]]*(TAB_CS[Profile in €])*(TAB_CS[Company]='Consortium calculs'!$C55)*(TAB_CS[Lot]="Lot 1"))</f>
        <v>47340.75</v>
      </c>
      <c r="Y55" s="588" cm="1">
        <f t="array" ref="Y55">SUMPRODUCT(TAB_CS[[Jul-2024]:[Sep-2024]]*(TAB_CS[Company]='Consortium calculs'!$C55)*(TAB_CS[Lot]="Lot 1"))</f>
        <v>112</v>
      </c>
      <c r="Z55" s="589" cm="1">
        <f t="array" ref="Z55">SUMPRODUCT(TAB_CS[[Jul-2024]:[Sep-2024]]*(TAB_CS[Profile in €])*(TAB_CS[Company]='Consortium calculs'!$C55)*(TAB_CS[Lot]="Lot 1"))</f>
        <v>45116.989999999991</v>
      </c>
      <c r="AA55" s="588" cm="1">
        <f t="array" ref="AA55">SUMPRODUCT(TAB_CS[[Oct-2024]:[Dec-2024]]*(TAB_CS[Company]='Consortium calculs'!$C55)*(TAB_CS[Lot]="Lot 1"))</f>
        <v>115</v>
      </c>
      <c r="AB55" s="589" cm="1">
        <f t="array" ref="AB55">SUMPRODUCT(TAB_CS[[Oct-2024]:[Dec-2024]]*(TAB_CS[Profile in €])*(TAB_CS[Company]='Consortium calculs'!$C55)*(TAB_CS[Lot]="Lot 1"))</f>
        <v>47325.439999999995</v>
      </c>
      <c r="AC55" s="588" cm="1">
        <f t="array" ref="AC55">SUMPRODUCT(TAB_CS[[Jan-2025]:[Mar-2025]]*(TAB_CS[Company]='Consortium calculs'!$C55)*(TAB_CS[Lot]="Lot 1"))</f>
        <v>48</v>
      </c>
      <c r="AD55" s="589" cm="1">
        <f t="array" ref="AD55">SUMPRODUCT(TAB_CS[[Jan-2025]:[Mar-2025]]*(TAB_CS[Profile in €])*(TAB_CS[Company]='Consortium calculs'!$C55)*(TAB_CS[Lot]="Lot 1"))</f>
        <v>21653.759999999998</v>
      </c>
      <c r="AE55" s="588" cm="1">
        <f t="array" ref="AE55">SUMPRODUCT(TAB_CS[[Apr-2025]:[Jun-2025]]*(TAB_CS[Company]='Consortium calculs'!$C55)*(TAB_CS[Lot]="Lot 1"))</f>
        <v>0</v>
      </c>
      <c r="AF55" s="589" cm="1">
        <f t="array" ref="AF55">SUMPRODUCT(TAB_CS[[Apr-2025]:[Jun-2025]]*(TAB_CS[Profile in €])*(TAB_CS[Company]='Consortium calculs'!$C55)*(TAB_CS[Lot]="Lot 1"))</f>
        <v>0</v>
      </c>
      <c r="AG55" s="588" cm="1">
        <f t="array" ref="AG55">SUMPRODUCT(TAB_CS[[Jul-2025]:[Sep-2025]]*(TAB_CS[Company]='Consortium calculs'!$C55)*(TAB_CS[Lot]="Lot 1"))</f>
        <v>0</v>
      </c>
      <c r="AH55" s="589" cm="1">
        <f t="array" ref="AH55">SUMPRODUCT(TAB_CS[[Jul-2025]:[Sep-2025]]*(TAB_CS[Profile in €])*(TAB_CS[Company]='Consortium calculs'!$C55)*(TAB_CS[Lot]="Lot 1"))</f>
        <v>0</v>
      </c>
      <c r="AI55" s="588" cm="1">
        <f t="array" ref="AI55">SUMPRODUCT(TAB_CS[[Oct-2025]:[Dec-2025]]*(TAB_CS[Company]='Consortium calculs'!$C55)*(TAB_CS[Lot]="Lot 1"))</f>
        <v>0</v>
      </c>
      <c r="AJ55" s="589" cm="1">
        <f t="array" ref="AJ55">SUMPRODUCT(TAB_CS[[Oct-2025]:[Dec-2025]]*(TAB_CS[Profile in €])*(TAB_CS[Company]='Consortium calculs'!$C55)*(TAB_CS[Lot]="Lot 1"))</f>
        <v>0</v>
      </c>
    </row>
    <row r="56" spans="2:36" ht="13.8" thickBot="1" x14ac:dyDescent="0.3">
      <c r="B56" s="669"/>
      <c r="C56" s="40" t="s">
        <v>88</v>
      </c>
      <c r="D56" s="586">
        <f t="shared" si="40"/>
        <v>0</v>
      </c>
      <c r="E56" s="69">
        <f t="shared" si="41"/>
        <v>0</v>
      </c>
      <c r="G56" s="588" cm="1">
        <f t="array" ref="G56">SUMPRODUCT(TAB_CS[[Apr-2022]:[Jun-2022]]*(TAB_CS[Company]='Consortium calculs'!$C56)*(TAB_CS[Lot]="Lot 1"))</f>
        <v>0</v>
      </c>
      <c r="H56" s="589" cm="1">
        <f t="array" ref="H56">SUMPRODUCT(TAB_CS[[Apr-2022]:[Jun-2022]]*(TAB_CS[Profile in €])*(TAB_CS[Company]='Consortium calculs'!$C56)*(TAB_CS[Lot]="Lot 1"))</f>
        <v>0</v>
      </c>
      <c r="I56" s="588" cm="1">
        <f t="array" ref="I56">SUMPRODUCT(TAB_CS[[Jul-2022]:[Sep-2022]]*(TAB_CS[Company]='Consortium calculs'!$C56)*(TAB_CS[Lot]="Lot 1"))</f>
        <v>0</v>
      </c>
      <c r="J56" s="589" cm="1">
        <f t="array" ref="J56">SUMPRODUCT(TAB_CS[[Jul-2022]:[Sep-2022]]*(TAB_CS[Profile in €])*(TAB_CS[Company]='Consortium calculs'!$C56)*(TAB_CS[Lot]="Lot 1"))</f>
        <v>0</v>
      </c>
      <c r="K56" s="588" cm="1">
        <f t="array" ref="K56">SUMPRODUCT(TAB_CS[[Oct-2022]:[Dec-2022]]*(TAB_CS[Company]='Consortium calculs'!$C56)*(TAB_CS[Lot]="Lot 1"))</f>
        <v>0</v>
      </c>
      <c r="L56" s="589" cm="1">
        <f t="array" ref="L56">SUMPRODUCT(TAB_CS[[Oct-2022]:[Dec-2022]]*(TAB_CS[Profile in €])*(TAB_CS[Company]='Consortium calculs'!$C56)*(TAB_CS[Lot]="Lot 1"))</f>
        <v>0</v>
      </c>
      <c r="M56" s="588" cm="1">
        <f t="array" ref="M56">SUMPRODUCT(TAB_CS[[Jan-2023]:[Mar-2023]]*(TAB_CS[Company]='Consortium calculs'!$C56)*(TAB_CS[Lot]="Lot 1"))</f>
        <v>0</v>
      </c>
      <c r="N56" s="589" cm="1">
        <f t="array" ref="N56">SUMPRODUCT(TAB_CS[[Jan-2023]:[Mar-2023]]*(TAB_CS[Profile in €])*(TAB_CS[Company]='Consortium calculs'!$C56)*(TAB_CS[Lot]="Lot 1"))</f>
        <v>0</v>
      </c>
      <c r="O56" s="588" cm="1">
        <f t="array" ref="O56">SUMPRODUCT(TAB_CS[[Apr-2023]:[Jun-2023]]*(TAB_CS[Company]='Consortium calculs'!$C56)*(TAB_CS[Lot]="Lot 1"))</f>
        <v>0</v>
      </c>
      <c r="P56" s="589" cm="1">
        <f t="array" ref="P56">SUMPRODUCT(TAB_CS[[Apr-2023]:[Jun-2023]]*(TAB_CS[Profile in €])*(TAB_CS[Company]='Consortium calculs'!$C56)*(TAB_CS[Lot]="Lot 1"))</f>
        <v>0</v>
      </c>
      <c r="Q56" s="588" cm="1">
        <f t="array" ref="Q56">SUMPRODUCT(TAB_CS[[Jul-2023]:[Sep-2023]]*(TAB_CS[Company]='Consortium calculs'!$C56)*(TAB_CS[Lot]="Lot 1"))</f>
        <v>0</v>
      </c>
      <c r="R56" s="589" cm="1">
        <f t="array" ref="R56">SUMPRODUCT(TAB_CS[[Jul-2023]:[Sep-2023]]*(TAB_CS[Profile in €])*(TAB_CS[Company]='Consortium calculs'!$C56)*(TAB_CS[Lot]="Lot 1"))</f>
        <v>0</v>
      </c>
      <c r="S56" s="588" cm="1">
        <f t="array" ref="S56">SUMPRODUCT(TAB_CS[[Oct-2023]:[Dec-2023]]*(TAB_CS[Company]='Consortium calculs'!$C56)*(TAB_CS[Lot]="Lot 1"))</f>
        <v>0</v>
      </c>
      <c r="T56" s="589" cm="1">
        <f t="array" ref="T56">SUMPRODUCT(TAB_CS[[Oct-2023]:[Dec-2023]]*(TAB_CS[Profile in €])*(TAB_CS[Company]='Consortium calculs'!$C56)*(TAB_CS[Lot]="Lot 1"))</f>
        <v>0</v>
      </c>
      <c r="U56" s="588" cm="1">
        <f t="array" ref="U56">SUMPRODUCT(TAB_CS[[Jan-2024]:[Mar-2024]]*(TAB_CS[Company]='Consortium calculs'!$C56)*(TAB_CS[Lot]="Lot 1"))</f>
        <v>0</v>
      </c>
      <c r="V56" s="589" cm="1">
        <f t="array" ref="V56">SUMPRODUCT(TAB_CS[[Jan-2024]:[Mar-2024]]*(TAB_CS[Profile in €])*(TAB_CS[Company]='Consortium calculs'!$C56)*(TAB_CS[Lot]="Lot 1"))</f>
        <v>0</v>
      </c>
      <c r="W56" s="588" cm="1">
        <f t="array" ref="W56">SUMPRODUCT(TAB_CS[[Apr-2024]:[Jun-2024]]*(TAB_CS[Company]='Consortium calculs'!$C56)*(TAB_CS[Lot]="Lot 1"))</f>
        <v>0</v>
      </c>
      <c r="X56" s="589" cm="1">
        <f t="array" ref="X56">SUMPRODUCT(TAB_CS[[Apr-2024]:[Jun-2024]]*(TAB_CS[Profile in €])*(TAB_CS[Company]='Consortium calculs'!$C56)*(TAB_CS[Lot]="Lot 1"))</f>
        <v>0</v>
      </c>
      <c r="Y56" s="588" cm="1">
        <f t="array" ref="Y56">SUMPRODUCT(TAB_CS[[Jul-2024]:[Sep-2024]]*(TAB_CS[Company]='Consortium calculs'!$C56)*(TAB_CS[Lot]="Lot 1"))</f>
        <v>0</v>
      </c>
      <c r="Z56" s="589" cm="1">
        <f t="array" ref="Z56">SUMPRODUCT(TAB_CS[[Jul-2024]:[Sep-2024]]*(TAB_CS[Profile in €])*(TAB_CS[Company]='Consortium calculs'!$C56)*(TAB_CS[Lot]="Lot 1"))</f>
        <v>0</v>
      </c>
      <c r="AA56" s="588" cm="1">
        <f t="array" ref="AA56">SUMPRODUCT(TAB_CS[[Oct-2024]:[Dec-2024]]*(TAB_CS[Company]='Consortium calculs'!$C56)*(TAB_CS[Lot]="Lot 1"))</f>
        <v>0</v>
      </c>
      <c r="AB56" s="589" cm="1">
        <f t="array" ref="AB56">SUMPRODUCT(TAB_CS[[Oct-2024]:[Dec-2024]]*(TAB_CS[Profile in €])*(TAB_CS[Company]='Consortium calculs'!$C56)*(TAB_CS[Lot]="Lot 1"))</f>
        <v>0</v>
      </c>
      <c r="AC56" s="588" cm="1">
        <f t="array" ref="AC56">SUMPRODUCT(TAB_CS[[Jan-2025]:[Mar-2025]]*(TAB_CS[Company]='Consortium calculs'!$C56)*(TAB_CS[Lot]="Lot 1"))</f>
        <v>0</v>
      </c>
      <c r="AD56" s="589" cm="1">
        <f t="array" ref="AD56">SUMPRODUCT(TAB_CS[[Jan-2025]:[Mar-2025]]*(TAB_CS[Profile in €])*(TAB_CS[Company]='Consortium calculs'!$C56)*(TAB_CS[Lot]="Lot 1"))</f>
        <v>0</v>
      </c>
      <c r="AE56" s="588" cm="1">
        <f t="array" ref="AE56">SUMPRODUCT(TAB_CS[[Apr-2025]:[Jun-2025]]*(TAB_CS[Company]='Consortium calculs'!$C56)*(TAB_CS[Lot]="Lot 1"))</f>
        <v>0</v>
      </c>
      <c r="AF56" s="589" cm="1">
        <f t="array" ref="AF56">SUMPRODUCT(TAB_CS[[Apr-2025]:[Jun-2025]]*(TAB_CS[Profile in €])*(TAB_CS[Company]='Consortium calculs'!$C56)*(TAB_CS[Lot]="Lot 1"))</f>
        <v>0</v>
      </c>
      <c r="AG56" s="588" cm="1">
        <f t="array" ref="AG56">SUMPRODUCT(TAB_CS[[Jul-2025]:[Sep-2025]]*(TAB_CS[Company]='Consortium calculs'!$C56)*(TAB_CS[Lot]="Lot 1"))</f>
        <v>0</v>
      </c>
      <c r="AH56" s="589" cm="1">
        <f t="array" ref="AH56">SUMPRODUCT(TAB_CS[[Jul-2025]:[Sep-2025]]*(TAB_CS[Profile in €])*(TAB_CS[Company]='Consortium calculs'!$C56)*(TAB_CS[Lot]="Lot 1"))</f>
        <v>0</v>
      </c>
      <c r="AI56" s="588" cm="1">
        <f t="array" ref="AI56">SUMPRODUCT(TAB_CS[[Oct-2025]:[Dec-2025]]*(TAB_CS[Company]='Consortium calculs'!$C56)*(TAB_CS[Lot]="Lot 1"))</f>
        <v>0</v>
      </c>
      <c r="AJ56" s="589" cm="1">
        <f t="array" ref="AJ56">SUMPRODUCT(TAB_CS[[Oct-2025]:[Dec-2025]]*(TAB_CS[Profile in €])*(TAB_CS[Company]='Consortium calculs'!$C56)*(TAB_CS[Lot]="Lot 1"))</f>
        <v>0</v>
      </c>
    </row>
    <row r="58" spans="2:36" x14ac:dyDescent="0.25">
      <c r="B58" s="667" t="s">
        <v>6023</v>
      </c>
      <c r="C58" s="40" t="s">
        <v>85</v>
      </c>
      <c r="D58" s="586">
        <f t="shared" ref="D58:D63" si="42">SUMIF(F$2:AD$2,D$2,F58:AD58)</f>
        <v>502.5</v>
      </c>
      <c r="E58" s="69">
        <f>SUMIF(F$2:AD$2,E$2,F58:AD58)</f>
        <v>240125.16999999998</v>
      </c>
      <c r="F58" s="587"/>
      <c r="G58" s="588" cm="1">
        <f t="array" ref="G58">SUMPRODUCT(TAB_CS[[Apr-2022]:[Jun-2022]]*(TAB_CS[Company]='Consortium calculs'!$C58)*(TAB_CS[Lot]="Lot 2"))</f>
        <v>0</v>
      </c>
      <c r="H58" s="589" cm="1">
        <f t="array" ref="H58">SUMPRODUCT(TAB_CS[[Apr-2022]:[Jun-2022]]*(TAB_CS[Profile in €])*(TAB_CS[Company]='Consortium calculs'!$C58)*(TAB_CS[Lot]="Lot 2"))</f>
        <v>0</v>
      </c>
      <c r="I58" s="588" cm="1">
        <f t="array" ref="I58">SUMPRODUCT(TAB_CS[[Jul-2022]:[Sep-2022]]*(TAB_CS[Company]='Consortium calculs'!$C58)*(TAB_CS[Lot]="Lot 2"))</f>
        <v>0</v>
      </c>
      <c r="J58" s="589" cm="1">
        <f t="array" ref="J58">SUMPRODUCT(TAB_CS[[Jul-2022]:[Sep-2022]]*(TAB_CS[Profile in €])*(TAB_CS[Company]='Consortium calculs'!$C58)*(TAB_CS[Lot]="Lot 2"))</f>
        <v>0</v>
      </c>
      <c r="K58" s="588" cm="1">
        <f t="array" ref="K58">SUMPRODUCT(TAB_CS[[Oct-2022]:[Dec-2022]]*(TAB_CS[Company]='Consortium calculs'!$C58)*(TAB_CS[Lot]="Lot 2"))</f>
        <v>17</v>
      </c>
      <c r="L58" s="589" cm="1">
        <f t="array" ref="L58">SUMPRODUCT(TAB_CS[[Oct-2022]:[Dec-2022]]*(TAB_CS[Profile in €])*(TAB_CS[Company]='Consortium calculs'!$C58)*(TAB_CS[Lot]="Lot 2"))</f>
        <v>7974.19</v>
      </c>
      <c r="M58" s="588" cm="1">
        <f t="array" ref="M58">SUMPRODUCT(TAB_CS[[Jan-2023]:[Mar-2023]]*(TAB_CS[Company]='Consortium calculs'!$C58)*(TAB_CS[Lot]="Lot 2"))</f>
        <v>57</v>
      </c>
      <c r="N58" s="589" cm="1">
        <f t="array" ref="N58">SUMPRODUCT(TAB_CS[[Jan-2023]:[Mar-2023]]*(TAB_CS[Profile in €])*(TAB_CS[Company]='Consortium calculs'!$C58)*(TAB_CS[Lot]="Lot 2"))</f>
        <v>26736.989999999998</v>
      </c>
      <c r="O58" s="588" cm="1">
        <f t="array" ref="O58">SUMPRODUCT(TAB_CS[[Apr-2023]:[Jun-2023]]*(TAB_CS[Company]='Consortium calculs'!$C58)*(TAB_CS[Lot]="Lot 2"))</f>
        <v>50</v>
      </c>
      <c r="P58" s="589" cm="1">
        <f t="array" ref="P58">SUMPRODUCT(TAB_CS[[Apr-2023]:[Jun-2023]]*(TAB_CS[Profile in €])*(TAB_CS[Company]='Consortium calculs'!$C58)*(TAB_CS[Lot]="Lot 2"))</f>
        <v>23453.5</v>
      </c>
      <c r="Q58" s="588" cm="1">
        <f t="array" ref="Q58">SUMPRODUCT(TAB_CS[[Jul-2023]:[Sep-2023]]*(TAB_CS[Company]='Consortium calculs'!$C58)*(TAB_CS[Lot]="Lot 2"))</f>
        <v>57</v>
      </c>
      <c r="R58" s="589" cm="1">
        <f t="array" ref="R58">SUMPRODUCT(TAB_CS[[Jul-2023]:[Sep-2023]]*(TAB_CS[Profile in €])*(TAB_CS[Company]='Consortium calculs'!$C58)*(TAB_CS[Lot]="Lot 2"))</f>
        <v>26736.989999999998</v>
      </c>
      <c r="S58" s="588" cm="1">
        <f t="array" ref="S58">SUMPRODUCT(TAB_CS[[Oct-2023]:[Dec-2023]]*(TAB_CS[Company]='Consortium calculs'!$C58)*(TAB_CS[Lot]="Lot 2"))</f>
        <v>47.5</v>
      </c>
      <c r="T58" s="589" cm="1">
        <f t="array" ref="T58">SUMPRODUCT(TAB_CS[[Oct-2023]:[Dec-2023]]*(TAB_CS[Profile in €])*(TAB_CS[Company]='Consortium calculs'!$C58)*(TAB_CS[Lot]="Lot 2"))</f>
        <v>22280.824999999997</v>
      </c>
      <c r="U58" s="588" cm="1">
        <f t="array" ref="U58">SUMPRODUCT(TAB_CS[[Jan-2024]:[Mar-2024]]*(TAB_CS[Company]='Consortium calculs'!$C58)*(TAB_CS[Lot]="Lot 2"))</f>
        <v>59</v>
      </c>
      <c r="V58" s="589" cm="1">
        <f t="array" ref="V58">SUMPRODUCT(TAB_CS[[Jan-2024]:[Mar-2024]]*(TAB_CS[Profile in €])*(TAB_CS[Company]='Consortium calculs'!$C58)*(TAB_CS[Lot]="Lot 2"))</f>
        <v>27675.129999999997</v>
      </c>
      <c r="W58" s="588" cm="1">
        <f t="array" ref="W58">SUMPRODUCT(TAB_CS[[Apr-2024]:[Jun-2024]]*(TAB_CS[Company]='Consortium calculs'!$C58)*(TAB_CS[Lot]="Lot 2"))</f>
        <v>55.5</v>
      </c>
      <c r="X58" s="589" cm="1">
        <f t="array" ref="X58">SUMPRODUCT(TAB_CS[[Apr-2024]:[Jun-2024]]*(TAB_CS[Profile in €])*(TAB_CS[Company]='Consortium calculs'!$C58)*(TAB_CS[Lot]="Lot 2"))</f>
        <v>26525.584999999999</v>
      </c>
      <c r="Y58" s="588" cm="1">
        <f t="array" ref="Y58">SUMPRODUCT(TAB_CS[[Jul-2024]:[Sep-2024]]*(TAB_CS[Company]='Consortium calculs'!$C58)*(TAB_CS[Lot]="Lot 2"))</f>
        <v>51.5</v>
      </c>
      <c r="Z58" s="589" cm="1">
        <f t="array" ref="Z58">SUMPRODUCT(TAB_CS[[Jul-2024]:[Sep-2024]]*(TAB_CS[Profile in €])*(TAB_CS[Company]='Consortium calculs'!$C58)*(TAB_CS[Lot]="Lot 2"))</f>
        <v>25424.52</v>
      </c>
      <c r="AA58" s="588" cm="1">
        <f t="array" ref="AA58">SUMPRODUCT(TAB_CS[[Oct-2024]:[Dec-2024]]*(TAB_CS[Company]='Consortium calculs'!$C58)*(TAB_CS[Lot]="Lot 2"))</f>
        <v>54</v>
      </c>
      <c r="AB58" s="589" cm="1">
        <f t="array" ref="AB58">SUMPRODUCT(TAB_CS[[Oct-2024]:[Dec-2024]]*(TAB_CS[Profile in €])*(TAB_CS[Company]='Consortium calculs'!$C58)*(TAB_CS[Lot]="Lot 2"))</f>
        <v>26658.720000000001</v>
      </c>
      <c r="AC58" s="588" cm="1">
        <f t="array" ref="AC58">SUMPRODUCT(TAB_CS[[Jan-2025]:[Mar-2025]]*(TAB_CS[Company]='Consortium calculs'!$C58)*(TAB_CS[Lot]="Lot 2"))</f>
        <v>54</v>
      </c>
      <c r="AD58" s="589" cm="1">
        <f t="array" ref="AD58">SUMPRODUCT(TAB_CS[[Jan-2025]:[Mar-2025]]*(TAB_CS[Profile in €])*(TAB_CS[Company]='Consortium calculs'!$C58)*(TAB_CS[Lot]="Lot 2"))</f>
        <v>26658.720000000001</v>
      </c>
      <c r="AE58" s="588" cm="1">
        <f t="array" ref="AE58">SUMPRODUCT(TAB_CS[[Apr-2025]:[Jun-2025]]*(TAB_CS[Company]='Consortium calculs'!$C58)*(TAB_CS[Lot]="Lot 2"))</f>
        <v>40.5</v>
      </c>
      <c r="AF58" s="589" cm="1">
        <f t="array" ref="AF58">SUMPRODUCT(TAB_CS[[Apr-2025]:[Jun-2025]]*(TAB_CS[Profile in €])*(TAB_CS[Company]='Consortium calculs'!$C58)*(TAB_CS[Lot]="Lot 2"))</f>
        <v>19994.04</v>
      </c>
      <c r="AG58" s="588" cm="1">
        <f t="array" ref="AG58">SUMPRODUCT(TAB_CS[[Jul-2025]:[Sep-2025]]*(TAB_CS[Company]='Consortium calculs'!$C58)*(TAB_CS[Lot]="Lot 2"))</f>
        <v>0</v>
      </c>
      <c r="AH58" s="589" cm="1">
        <f t="array" ref="AH58">SUMPRODUCT(TAB_CS[[Jul-2025]:[Sep-2025]]*(TAB_CS[Profile in €])*(TAB_CS[Company]='Consortium calculs'!$C58)*(TAB_CS[Lot]="Lot 2"))</f>
        <v>0</v>
      </c>
      <c r="AI58" s="588" cm="1">
        <f t="array" ref="AI58">SUMPRODUCT(TAB_CS[[Oct-2025]:[Dec-2025]]*(TAB_CS[Company]='Consortium calculs'!$C58)*(TAB_CS[Lot]="Lot 2"))</f>
        <v>0</v>
      </c>
      <c r="AJ58" s="589" cm="1">
        <f t="array" ref="AJ58">SUMPRODUCT(TAB_CS[[Oct-2025]:[Dec-2025]]*(TAB_CS[Profile in €])*(TAB_CS[Company]='Consortium calculs'!$C58)*(TAB_CS[Lot]="Lot 2"))</f>
        <v>0</v>
      </c>
    </row>
    <row r="59" spans="2:36" x14ac:dyDescent="0.25">
      <c r="B59" s="668"/>
      <c r="C59" s="40" t="s">
        <v>202</v>
      </c>
      <c r="D59" s="44">
        <f t="shared" si="42"/>
        <v>0</v>
      </c>
      <c r="E59" s="39">
        <f t="shared" ref="E59:E63" si="43">SUMIF(F$2:AD$2,E$2,F59:AD59)</f>
        <v>0</v>
      </c>
      <c r="G59" s="588" cm="1">
        <f t="array" ref="G59">SUMPRODUCT(TAB_CS[[Apr-2022]:[Jun-2022]]*(TAB_CS[Company]='Consortium calculs'!$C59)*(TAB_CS[Lot]="Lot 2"))</f>
        <v>0</v>
      </c>
      <c r="H59" s="589" cm="1">
        <f t="array" ref="H59">SUMPRODUCT(TAB_CS[[Apr-2022]:[Jun-2022]]*(TAB_CS[Profile in €])*(TAB_CS[Company]='Consortium calculs'!$C59)*(TAB_CS[Lot]="Lot 2"))</f>
        <v>0</v>
      </c>
      <c r="I59" s="588" cm="1">
        <f t="array" ref="I59">SUMPRODUCT(TAB_CS[[Jul-2022]:[Sep-2022]]*(TAB_CS[Company]='Consortium calculs'!$C59)*(TAB_CS[Lot]="Lot 2"))</f>
        <v>0</v>
      </c>
      <c r="J59" s="589" cm="1">
        <f t="array" ref="J59">SUMPRODUCT(TAB_CS[[Jul-2022]:[Sep-2022]]*(TAB_CS[Profile in €])*(TAB_CS[Company]='Consortium calculs'!$C59)*(TAB_CS[Lot]="Lot 2"))</f>
        <v>0</v>
      </c>
      <c r="K59" s="588" cm="1">
        <f t="array" ref="K59">SUMPRODUCT(TAB_CS[[Oct-2022]:[Dec-2022]]*(TAB_CS[Company]='Consortium calculs'!$C59)*(TAB_CS[Lot]="Lot 2"))</f>
        <v>0</v>
      </c>
      <c r="L59" s="589" cm="1">
        <f t="array" ref="L59">SUMPRODUCT(TAB_CS[[Oct-2022]:[Dec-2022]]*(TAB_CS[Profile in €])*(TAB_CS[Company]='Consortium calculs'!$C59)*(TAB_CS[Lot]="Lot 2"))</f>
        <v>0</v>
      </c>
      <c r="M59" s="588" cm="1">
        <f t="array" ref="M59">SUMPRODUCT(TAB_CS[[Jan-2023]:[Mar-2023]]*(TAB_CS[Company]='Consortium calculs'!$C59)*(TAB_CS[Lot]="Lot 2"))</f>
        <v>0</v>
      </c>
      <c r="N59" s="589" cm="1">
        <f t="array" ref="N59">SUMPRODUCT(TAB_CS[[Jan-2023]:[Mar-2023]]*(TAB_CS[Profile in €])*(TAB_CS[Company]='Consortium calculs'!$C59)*(TAB_CS[Lot]="Lot 2"))</f>
        <v>0</v>
      </c>
      <c r="O59" s="588" cm="1">
        <f t="array" ref="O59">SUMPRODUCT(TAB_CS[[Apr-2023]:[Jun-2023]]*(TAB_CS[Company]='Consortium calculs'!$C59)*(TAB_CS[Lot]="Lot 2"))</f>
        <v>0</v>
      </c>
      <c r="P59" s="589" cm="1">
        <f t="array" ref="P59">SUMPRODUCT(TAB_CS[[Apr-2023]:[Jun-2023]]*(TAB_CS[Profile in €])*(TAB_CS[Company]='Consortium calculs'!$C59)*(TAB_CS[Lot]="Lot 2"))</f>
        <v>0</v>
      </c>
      <c r="Q59" s="588" cm="1">
        <f t="array" ref="Q59">SUMPRODUCT(TAB_CS[[Jul-2023]:[Sep-2023]]*(TAB_CS[Company]='Consortium calculs'!$C59)*(TAB_CS[Lot]="Lot 2"))</f>
        <v>0</v>
      </c>
      <c r="R59" s="589" cm="1">
        <f t="array" ref="R59">SUMPRODUCT(TAB_CS[[Jul-2023]:[Sep-2023]]*(TAB_CS[Profile in €])*(TAB_CS[Company]='Consortium calculs'!$C59)*(TAB_CS[Lot]="Lot 2"))</f>
        <v>0</v>
      </c>
      <c r="S59" s="588" cm="1">
        <f t="array" ref="S59">SUMPRODUCT(TAB_CS[[Oct-2023]:[Dec-2023]]*(TAB_CS[Company]='Consortium calculs'!$C59)*(TAB_CS[Lot]="Lot 2"))</f>
        <v>0</v>
      </c>
      <c r="T59" s="589" cm="1">
        <f t="array" ref="T59">SUMPRODUCT(TAB_CS[[Oct-2023]:[Dec-2023]]*(TAB_CS[Profile in €])*(TAB_CS[Company]='Consortium calculs'!$C59)*(TAB_CS[Lot]="Lot 2"))</f>
        <v>0</v>
      </c>
      <c r="U59" s="588" cm="1">
        <f t="array" ref="U59">SUMPRODUCT(TAB_CS[[Jan-2024]:[Mar-2024]]*(TAB_CS[Company]='Consortium calculs'!$C59)*(TAB_CS[Lot]="Lot 2"))</f>
        <v>0</v>
      </c>
      <c r="V59" s="589" cm="1">
        <f t="array" ref="V59">SUMPRODUCT(TAB_CS[[Jan-2024]:[Mar-2024]]*(TAB_CS[Profile in €])*(TAB_CS[Company]='Consortium calculs'!$C59)*(TAB_CS[Lot]="Lot 2"))</f>
        <v>0</v>
      </c>
      <c r="W59" s="588" cm="1">
        <f t="array" ref="W59">SUMPRODUCT(TAB_CS[[Apr-2024]:[Jun-2024]]*(TAB_CS[Company]='Consortium calculs'!$C59)*(TAB_CS[Lot]="Lot 2"))</f>
        <v>0</v>
      </c>
      <c r="X59" s="589" cm="1">
        <f t="array" ref="X59">SUMPRODUCT(TAB_CS[[Apr-2024]:[Jun-2024]]*(TAB_CS[Profile in €])*(TAB_CS[Company]='Consortium calculs'!$C59)*(TAB_CS[Lot]="Lot 2"))</f>
        <v>0</v>
      </c>
      <c r="Y59" s="588" cm="1">
        <f t="array" ref="Y59">SUMPRODUCT(TAB_CS[[Jul-2024]:[Sep-2024]]*(TAB_CS[Company]='Consortium calculs'!$C59)*(TAB_CS[Lot]="Lot 2"))</f>
        <v>0</v>
      </c>
      <c r="Z59" s="589" cm="1">
        <f t="array" ref="Z59">SUMPRODUCT(TAB_CS[[Jul-2024]:[Sep-2024]]*(TAB_CS[Profile in €])*(TAB_CS[Company]='Consortium calculs'!$C59)*(TAB_CS[Lot]="Lot 2"))</f>
        <v>0</v>
      </c>
      <c r="AA59" s="588" cm="1">
        <f t="array" ref="AA59">SUMPRODUCT(TAB_CS[[Oct-2024]:[Dec-2024]]*(TAB_CS[Company]='Consortium calculs'!$C59)*(TAB_CS[Lot]="Lot 2"))</f>
        <v>0</v>
      </c>
      <c r="AB59" s="589" cm="1">
        <f t="array" ref="AB59">SUMPRODUCT(TAB_CS[[Oct-2024]:[Dec-2024]]*(TAB_CS[Profile in €])*(TAB_CS[Company]='Consortium calculs'!$C59)*(TAB_CS[Lot]="Lot 2"))</f>
        <v>0</v>
      </c>
      <c r="AC59" s="588" cm="1">
        <f t="array" ref="AC59">SUMPRODUCT(TAB_CS[[Jan-2025]:[Mar-2025]]*(TAB_CS[Company]='Consortium calculs'!$C59)*(TAB_CS[Lot]="Lot 2"))</f>
        <v>0</v>
      </c>
      <c r="AD59" s="589" cm="1">
        <f t="array" ref="AD59">SUMPRODUCT(TAB_CS[[Jan-2025]:[Mar-2025]]*(TAB_CS[Profile in €])*(TAB_CS[Company]='Consortium calculs'!$C59)*(TAB_CS[Lot]="Lot 2"))</f>
        <v>0</v>
      </c>
      <c r="AE59" s="588" cm="1">
        <f t="array" ref="AE59">SUMPRODUCT(TAB_CS[[Apr-2025]:[Jun-2025]]*(TAB_CS[Company]='Consortium calculs'!$C59)*(TAB_CS[Lot]="Lot 2"))</f>
        <v>0</v>
      </c>
      <c r="AF59" s="589" cm="1">
        <f t="array" ref="AF59">SUMPRODUCT(TAB_CS[[Apr-2025]:[Jun-2025]]*(TAB_CS[Profile in €])*(TAB_CS[Company]='Consortium calculs'!$C59)*(TAB_CS[Lot]="Lot 2"))</f>
        <v>0</v>
      </c>
      <c r="AG59" s="588" cm="1">
        <f t="array" ref="AG59">SUMPRODUCT(TAB_CS[[Jul-2025]:[Sep-2025]]*(TAB_CS[Company]='Consortium calculs'!$C59)*(TAB_CS[Lot]="Lot 2"))</f>
        <v>0</v>
      </c>
      <c r="AH59" s="589" cm="1">
        <f t="array" ref="AH59">SUMPRODUCT(TAB_CS[[Jul-2025]:[Sep-2025]]*(TAB_CS[Profile in €])*(TAB_CS[Company]='Consortium calculs'!$C59)*(TAB_CS[Lot]="Lot 2"))</f>
        <v>0</v>
      </c>
      <c r="AI59" s="588" cm="1">
        <f t="array" ref="AI59">SUMPRODUCT(TAB_CS[[Oct-2025]:[Dec-2025]]*(TAB_CS[Company]='Consortium calculs'!$C59)*(TAB_CS[Lot]="Lot 2"))</f>
        <v>0</v>
      </c>
      <c r="AJ59" s="589" cm="1">
        <f t="array" ref="AJ59">SUMPRODUCT(TAB_CS[[Oct-2025]:[Dec-2025]]*(TAB_CS[Profile in €])*(TAB_CS[Company]='Consortium calculs'!$C59)*(TAB_CS[Lot]="Lot 2"))</f>
        <v>0</v>
      </c>
    </row>
    <row r="60" spans="2:36" x14ac:dyDescent="0.25">
      <c r="B60" s="668"/>
      <c r="C60" s="40" t="s">
        <v>203</v>
      </c>
      <c r="D60" s="44">
        <f t="shared" si="42"/>
        <v>4383</v>
      </c>
      <c r="E60" s="39">
        <f t="shared" si="43"/>
        <v>3177800.16</v>
      </c>
      <c r="G60" s="588" cm="1">
        <f t="array" ref="G60">SUMPRODUCT(TAB_CS[[Apr-2022]:[Jun-2022]]*(TAB_CS[Company]='Consortium calculs'!$C60)*(TAB_CS[Lot]="Lot 2"))</f>
        <v>0</v>
      </c>
      <c r="H60" s="589" cm="1">
        <f t="array" ref="H60">SUMPRODUCT(TAB_CS[[Apr-2022]:[Jun-2022]]*(TAB_CS[Profile in €])*(TAB_CS[Company]='Consortium calculs'!$C60)*(TAB_CS[Lot]="Lot 2"))</f>
        <v>0</v>
      </c>
      <c r="I60" s="588" cm="1">
        <f t="array" ref="I60">SUMPRODUCT(TAB_CS[[Jul-2022]:[Sep-2022]]*(TAB_CS[Company]='Consortium calculs'!$C60)*(TAB_CS[Lot]="Lot 2"))</f>
        <v>0</v>
      </c>
      <c r="J60" s="589" cm="1">
        <f t="array" ref="J60">SUMPRODUCT(TAB_CS[[Jul-2022]:[Sep-2022]]*(TAB_CS[Profile in €])*(TAB_CS[Company]='Consortium calculs'!$C60)*(TAB_CS[Lot]="Lot 2"))</f>
        <v>0</v>
      </c>
      <c r="K60" s="588" cm="1">
        <f t="array" ref="K60">SUMPRODUCT(TAB_CS[[Oct-2022]:[Dec-2022]]*(TAB_CS[Company]='Consortium calculs'!$C60)*(TAB_CS[Lot]="Lot 2"))</f>
        <v>175</v>
      </c>
      <c r="L60" s="589" cm="1">
        <f t="array" ref="L60">SUMPRODUCT(TAB_CS[[Oct-2022]:[Dec-2022]]*(TAB_CS[Profile in €])*(TAB_CS[Company]='Consortium calculs'!$C60)*(TAB_CS[Lot]="Lot 2"))</f>
        <v>128881.45999999999</v>
      </c>
      <c r="M60" s="588" cm="1">
        <f t="array" ref="M60">SUMPRODUCT(TAB_CS[[Jan-2023]:[Mar-2023]]*(TAB_CS[Company]='Consortium calculs'!$C60)*(TAB_CS[Lot]="Lot 2"))</f>
        <v>525.5</v>
      </c>
      <c r="N60" s="589" cm="1">
        <f t="array" ref="N60">SUMPRODUCT(TAB_CS[[Jan-2023]:[Mar-2023]]*(TAB_CS[Profile in €])*(TAB_CS[Company]='Consortium calculs'!$C60)*(TAB_CS[Lot]="Lot 2"))</f>
        <v>384808.51499999996</v>
      </c>
      <c r="O60" s="588" cm="1">
        <f t="array" ref="O60">SUMPRODUCT(TAB_CS[[Apr-2023]:[Jun-2023]]*(TAB_CS[Company]='Consortium calculs'!$C60)*(TAB_CS[Lot]="Lot 2"))</f>
        <v>447.5</v>
      </c>
      <c r="P60" s="589" cm="1">
        <f t="array" ref="P60">SUMPRODUCT(TAB_CS[[Apr-2023]:[Jun-2023]]*(TAB_CS[Profile in €])*(TAB_CS[Company]='Consortium calculs'!$C60)*(TAB_CS[Lot]="Lot 2"))</f>
        <v>327826.27499999997</v>
      </c>
      <c r="Q60" s="588" cm="1">
        <f t="array" ref="Q60">SUMPRODUCT(TAB_CS[[Jul-2023]:[Sep-2023]]*(TAB_CS[Company]='Consortium calculs'!$C60)*(TAB_CS[Lot]="Lot 2"))</f>
        <v>444.5</v>
      </c>
      <c r="R60" s="589" cm="1">
        <f t="array" ref="R60">SUMPRODUCT(TAB_CS[[Jul-2023]:[Sep-2023]]*(TAB_CS[Profile in €])*(TAB_CS[Company]='Consortium calculs'!$C60)*(TAB_CS[Lot]="Lot 2"))</f>
        <v>318296.13500000007</v>
      </c>
      <c r="S60" s="588" cm="1">
        <f t="array" ref="S60">SUMPRODUCT(TAB_CS[[Oct-2023]:[Dec-2023]]*(TAB_CS[Company]='Consortium calculs'!$C60)*(TAB_CS[Lot]="Lot 2"))</f>
        <v>498.5</v>
      </c>
      <c r="T60" s="589" cm="1">
        <f t="array" ref="T60">SUMPRODUCT(TAB_CS[[Oct-2023]:[Dec-2023]]*(TAB_CS[Profile in €])*(TAB_CS[Company]='Consortium calculs'!$C60)*(TAB_CS[Lot]="Lot 2"))</f>
        <v>349080.01500000001</v>
      </c>
      <c r="U60" s="588" cm="1">
        <f t="array" ref="U60">SUMPRODUCT(TAB_CS[[Jan-2024]:[Mar-2024]]*(TAB_CS[Company]='Consortium calculs'!$C60)*(TAB_CS[Lot]="Lot 2"))</f>
        <v>522.5</v>
      </c>
      <c r="V60" s="589" cm="1">
        <f t="array" ref="V60">SUMPRODUCT(TAB_CS[[Jan-2024]:[Mar-2024]]*(TAB_CS[Profile in €])*(TAB_CS[Company]='Consortium calculs'!$C60)*(TAB_CS[Lot]="Lot 2"))</f>
        <v>367879.25500000006</v>
      </c>
      <c r="W60" s="588" cm="1">
        <f t="array" ref="W60">SUMPRODUCT(TAB_CS[[Apr-2024]:[Jun-2024]]*(TAB_CS[Company]='Consortium calculs'!$C60)*(TAB_CS[Lot]="Lot 2"))</f>
        <v>490.5</v>
      </c>
      <c r="X60" s="589" cm="1">
        <f t="array" ref="X60">SUMPRODUCT(TAB_CS[[Apr-2024]:[Jun-2024]]*(TAB_CS[Profile in €])*(TAB_CS[Company]='Consortium calculs'!$C60)*(TAB_CS[Lot]="Lot 2"))</f>
        <v>352455.78</v>
      </c>
      <c r="Y60" s="588" cm="1">
        <f t="array" ref="Y60">SUMPRODUCT(TAB_CS[[Jul-2024]:[Sep-2024]]*(TAB_CS[Company]='Consortium calculs'!$C60)*(TAB_CS[Lot]="Lot 2"))</f>
        <v>480.5</v>
      </c>
      <c r="Z60" s="589" cm="1">
        <f t="array" ref="Z60">SUMPRODUCT(TAB_CS[[Jul-2024]:[Sep-2024]]*(TAB_CS[Profile in €])*(TAB_CS[Company]='Consortium calculs'!$C60)*(TAB_CS[Lot]="Lot 2"))</f>
        <v>348517.70000000007</v>
      </c>
      <c r="AA60" s="588" cm="1">
        <f t="array" ref="AA60">SUMPRODUCT(TAB_CS[[Oct-2024]:[Dec-2024]]*(TAB_CS[Company]='Consortium calculs'!$C60)*(TAB_CS[Lot]="Lot 2"))</f>
        <v>452.5</v>
      </c>
      <c r="AB60" s="589" cm="1">
        <f t="array" ref="AB60">SUMPRODUCT(TAB_CS[[Oct-2024]:[Dec-2024]]*(TAB_CS[Profile in €])*(TAB_CS[Company]='Consortium calculs'!$C60)*(TAB_CS[Lot]="Lot 2"))</f>
        <v>340665.04500000004</v>
      </c>
      <c r="AC60" s="588" cm="1">
        <f t="array" ref="AC60">SUMPRODUCT(TAB_CS[[Jan-2025]:[Mar-2025]]*(TAB_CS[Company]='Consortium calculs'!$C60)*(TAB_CS[Lot]="Lot 2"))</f>
        <v>346</v>
      </c>
      <c r="AD60" s="589" cm="1">
        <f t="array" ref="AD60">SUMPRODUCT(TAB_CS[[Jan-2025]:[Mar-2025]]*(TAB_CS[Profile in €])*(TAB_CS[Company]='Consortium calculs'!$C60)*(TAB_CS[Lot]="Lot 2"))</f>
        <v>259389.97999999995</v>
      </c>
      <c r="AE60" s="588" cm="1">
        <f t="array" ref="AE60">SUMPRODUCT(TAB_CS[[Apr-2025]:[Jun-2025]]*(TAB_CS[Company]='Consortium calculs'!$C60)*(TAB_CS[Lot]="Lot 2"))</f>
        <v>140</v>
      </c>
      <c r="AF60" s="589" cm="1">
        <f t="array" ref="AF60">SUMPRODUCT(TAB_CS[[Apr-2025]:[Jun-2025]]*(TAB_CS[Profile in €])*(TAB_CS[Company]='Consortium calculs'!$C60)*(TAB_CS[Lot]="Lot 2"))</f>
        <v>108363.65</v>
      </c>
      <c r="AG60" s="588" cm="1">
        <f t="array" ref="AG60">SUMPRODUCT(TAB_CS[[Jul-2025]:[Sep-2025]]*(TAB_CS[Company]='Consortium calculs'!$C60)*(TAB_CS[Lot]="Lot 2"))</f>
        <v>54</v>
      </c>
      <c r="AH60" s="589" cm="1">
        <f t="array" ref="AH60">SUMPRODUCT(TAB_CS[[Jul-2025]:[Sep-2025]]*(TAB_CS[Profile in €])*(TAB_CS[Company]='Consortium calculs'!$C60)*(TAB_CS[Lot]="Lot 2"))</f>
        <v>43552.619999999995</v>
      </c>
      <c r="AI60" s="588" cm="1">
        <f t="array" ref="AI60">SUMPRODUCT(TAB_CS[[Oct-2025]:[Dec-2025]]*(TAB_CS[Company]='Consortium calculs'!$C60)*(TAB_CS[Lot]="Lot 2"))</f>
        <v>29.5</v>
      </c>
      <c r="AJ60" s="589" cm="1">
        <f t="array" ref="AJ60">SUMPRODUCT(TAB_CS[[Oct-2025]:[Dec-2025]]*(TAB_CS[Profile in €])*(TAB_CS[Company]='Consortium calculs'!$C60)*(TAB_CS[Lot]="Lot 2"))</f>
        <v>23792.634999999998</v>
      </c>
    </row>
    <row r="61" spans="2:36" x14ac:dyDescent="0.25">
      <c r="B61" s="668"/>
      <c r="C61" s="40" t="s">
        <v>86</v>
      </c>
      <c r="D61" s="44">
        <f t="shared" si="42"/>
        <v>1685</v>
      </c>
      <c r="E61" s="39">
        <f t="shared" si="43"/>
        <v>953264.48</v>
      </c>
      <c r="G61" s="588" cm="1">
        <f t="array" ref="G61">SUMPRODUCT(TAB_CS[[Apr-2022]:[Jun-2022]]*(TAB_CS[Company]='Consortium calculs'!$C61)*(TAB_CS[Lot]="Lot 2"))</f>
        <v>0</v>
      </c>
      <c r="H61" s="589" cm="1">
        <f t="array" ref="H61">SUMPRODUCT(TAB_CS[[Apr-2022]:[Jun-2022]]*(TAB_CS[Profile in €])*(TAB_CS[Company]='Consortium calculs'!$C61)*(TAB_CS[Lot]="Lot 2"))</f>
        <v>0</v>
      </c>
      <c r="I61" s="588" cm="1">
        <f t="array" ref="I61">SUMPRODUCT(TAB_CS[[Jul-2022]:[Sep-2022]]*(TAB_CS[Company]='Consortium calculs'!$C61)*(TAB_CS[Lot]="Lot 2"))</f>
        <v>0</v>
      </c>
      <c r="J61" s="589" cm="1">
        <f t="array" ref="J61">SUMPRODUCT(TAB_CS[[Jul-2022]:[Sep-2022]]*(TAB_CS[Profile in €])*(TAB_CS[Company]='Consortium calculs'!$C61)*(TAB_CS[Lot]="Lot 2"))</f>
        <v>0</v>
      </c>
      <c r="K61" s="588" cm="1">
        <f t="array" ref="K61">SUMPRODUCT(TAB_CS[[Oct-2022]:[Dec-2022]]*(TAB_CS[Company]='Consortium calculs'!$C61)*(TAB_CS[Lot]="Lot 2"))</f>
        <v>14.5</v>
      </c>
      <c r="L61" s="589" cm="1">
        <f t="array" ref="L61">SUMPRODUCT(TAB_CS[[Oct-2022]:[Dec-2022]]*(TAB_CS[Profile in €])*(TAB_CS[Company]='Consortium calculs'!$C61)*(TAB_CS[Lot]="Lot 2"))</f>
        <v>7785.92</v>
      </c>
      <c r="M61" s="588" cm="1">
        <f t="array" ref="M61">SUMPRODUCT(TAB_CS[[Jan-2023]:[Mar-2023]]*(TAB_CS[Company]='Consortium calculs'!$C61)*(TAB_CS[Lot]="Lot 2"))</f>
        <v>137</v>
      </c>
      <c r="N61" s="589" cm="1">
        <f t="array" ref="N61">SUMPRODUCT(TAB_CS[[Jan-2023]:[Mar-2023]]*(TAB_CS[Profile in €])*(TAB_CS[Company]='Consortium calculs'!$C61)*(TAB_CS[Lot]="Lot 2"))</f>
        <v>70192.63</v>
      </c>
      <c r="O61" s="588" cm="1">
        <f t="array" ref="O61">SUMPRODUCT(TAB_CS[[Apr-2023]:[Jun-2023]]*(TAB_CS[Company]='Consortium calculs'!$C61)*(TAB_CS[Lot]="Lot 2"))</f>
        <v>170</v>
      </c>
      <c r="P61" s="589" cm="1">
        <f t="array" ref="P61">SUMPRODUCT(TAB_CS[[Apr-2023]:[Jun-2023]]*(TAB_CS[Profile in €])*(TAB_CS[Company]='Consortium calculs'!$C61)*(TAB_CS[Lot]="Lot 2"))</f>
        <v>85487.180000000008</v>
      </c>
      <c r="Q61" s="588" cm="1">
        <f t="array" ref="Q61">SUMPRODUCT(TAB_CS[[Jul-2023]:[Sep-2023]]*(TAB_CS[Company]='Consortium calculs'!$C61)*(TAB_CS[Lot]="Lot 2"))</f>
        <v>217</v>
      </c>
      <c r="R61" s="589" cm="1">
        <f t="array" ref="R61">SUMPRODUCT(TAB_CS[[Jul-2023]:[Sep-2023]]*(TAB_CS[Profile in €])*(TAB_CS[Company]='Consortium calculs'!$C61)*(TAB_CS[Lot]="Lot 2"))</f>
        <v>119688.89000000001</v>
      </c>
      <c r="S61" s="588" cm="1">
        <f t="array" ref="S61">SUMPRODUCT(TAB_CS[[Oct-2023]:[Dec-2023]]*(TAB_CS[Company]='Consortium calculs'!$C61)*(TAB_CS[Lot]="Lot 2"))</f>
        <v>189</v>
      </c>
      <c r="T61" s="589" cm="1">
        <f t="array" ref="T61">SUMPRODUCT(TAB_CS[[Oct-2023]:[Dec-2023]]*(TAB_CS[Profile in €])*(TAB_CS[Company]='Consortium calculs'!$C61)*(TAB_CS[Lot]="Lot 2"))</f>
        <v>103124.84</v>
      </c>
      <c r="U61" s="588" cm="1">
        <f t="array" ref="U61">SUMPRODUCT(TAB_CS[[Jan-2024]:[Mar-2024]]*(TAB_CS[Company]='Consortium calculs'!$C61)*(TAB_CS[Lot]="Lot 2"))</f>
        <v>152.5</v>
      </c>
      <c r="V61" s="589" cm="1">
        <f t="array" ref="V61">SUMPRODUCT(TAB_CS[[Jan-2024]:[Mar-2024]]*(TAB_CS[Profile in €])*(TAB_CS[Company]='Consortium calculs'!$C61)*(TAB_CS[Lot]="Lot 2"))</f>
        <v>86304.69</v>
      </c>
      <c r="W61" s="588" cm="1">
        <f t="array" ref="W61">SUMPRODUCT(TAB_CS[[Apr-2024]:[Jun-2024]]*(TAB_CS[Company]='Consortium calculs'!$C61)*(TAB_CS[Lot]="Lot 2"))</f>
        <v>186</v>
      </c>
      <c r="X61" s="589" cm="1">
        <f t="array" ref="X61">SUMPRODUCT(TAB_CS[[Apr-2024]:[Jun-2024]]*(TAB_CS[Profile in €])*(TAB_CS[Company]='Consortium calculs'!$C61)*(TAB_CS[Lot]="Lot 2"))</f>
        <v>106841.95000000001</v>
      </c>
      <c r="Y61" s="588" cm="1">
        <f t="array" ref="Y61">SUMPRODUCT(TAB_CS[[Jul-2024]:[Sep-2024]]*(TAB_CS[Company]='Consortium calculs'!$C61)*(TAB_CS[Lot]="Lot 2"))</f>
        <v>215</v>
      </c>
      <c r="Z61" s="589" cm="1">
        <f t="array" ref="Z61">SUMPRODUCT(TAB_CS[[Jul-2024]:[Sep-2024]]*(TAB_CS[Profile in €])*(TAB_CS[Company]='Consortium calculs'!$C61)*(TAB_CS[Lot]="Lot 2"))</f>
        <v>127437.70999999999</v>
      </c>
      <c r="AA61" s="588" cm="1">
        <f t="array" ref="AA61">SUMPRODUCT(TAB_CS[[Oct-2024]:[Dec-2024]]*(TAB_CS[Company]='Consortium calculs'!$C61)*(TAB_CS[Lot]="Lot 2"))</f>
        <v>219</v>
      </c>
      <c r="AB61" s="589" cm="1">
        <f t="array" ref="AB61">SUMPRODUCT(TAB_CS[[Oct-2024]:[Dec-2024]]*(TAB_CS[Profile in €])*(TAB_CS[Company]='Consortium calculs'!$C61)*(TAB_CS[Lot]="Lot 2"))</f>
        <v>131535.96000000002</v>
      </c>
      <c r="AC61" s="588" cm="1">
        <f t="array" ref="AC61">SUMPRODUCT(TAB_CS[[Jan-2025]:[Mar-2025]]*(TAB_CS[Company]='Consortium calculs'!$C61)*(TAB_CS[Lot]="Lot 2"))</f>
        <v>185</v>
      </c>
      <c r="AD61" s="589" cm="1">
        <f t="array" ref="AD61">SUMPRODUCT(TAB_CS[[Jan-2025]:[Mar-2025]]*(TAB_CS[Profile in €])*(TAB_CS[Company]='Consortium calculs'!$C61)*(TAB_CS[Lot]="Lot 2"))</f>
        <v>114864.70999999998</v>
      </c>
      <c r="AE61" s="588" cm="1">
        <f t="array" ref="AE61">SUMPRODUCT(TAB_CS[[Apr-2025]:[Jun-2025]]*(TAB_CS[Company]='Consortium calculs'!$C61)*(TAB_CS[Lot]="Lot 2"))</f>
        <v>48</v>
      </c>
      <c r="AF61" s="589" cm="1">
        <f t="array" ref="AF61">SUMPRODUCT(TAB_CS[[Apr-2025]:[Jun-2025]]*(TAB_CS[Profile in €])*(TAB_CS[Company]='Consortium calculs'!$C61)*(TAB_CS[Lot]="Lot 2"))</f>
        <v>30324.06</v>
      </c>
      <c r="AG61" s="588" cm="1">
        <f t="array" ref="AG61">SUMPRODUCT(TAB_CS[[Jul-2025]:[Sep-2025]]*(TAB_CS[Company]='Consortium calculs'!$C61)*(TAB_CS[Lot]="Lot 2"))</f>
        <v>0</v>
      </c>
      <c r="AH61" s="589" cm="1">
        <f t="array" ref="AH61">SUMPRODUCT(TAB_CS[[Jul-2025]:[Sep-2025]]*(TAB_CS[Profile in €])*(TAB_CS[Company]='Consortium calculs'!$C61)*(TAB_CS[Lot]="Lot 2"))</f>
        <v>0</v>
      </c>
      <c r="AI61" s="588" cm="1">
        <f t="array" ref="AI61">SUMPRODUCT(TAB_CS[[Oct-2025]:[Dec-2025]]*(TAB_CS[Company]='Consortium calculs'!$C61)*(TAB_CS[Lot]="Lot 2"))</f>
        <v>0</v>
      </c>
      <c r="AJ61" s="589" cm="1">
        <f t="array" ref="AJ61">SUMPRODUCT(TAB_CS[[Oct-2025]:[Dec-2025]]*(TAB_CS[Profile in €])*(TAB_CS[Company]='Consortium calculs'!$C61)*(TAB_CS[Lot]="Lot 2"))</f>
        <v>0</v>
      </c>
    </row>
    <row r="62" spans="2:36" x14ac:dyDescent="0.25">
      <c r="B62" s="668"/>
      <c r="C62" s="40" t="s">
        <v>87</v>
      </c>
      <c r="D62" s="44">
        <f t="shared" si="42"/>
        <v>1244.5</v>
      </c>
      <c r="E62" s="39">
        <f t="shared" si="43"/>
        <v>951145.83000000007</v>
      </c>
      <c r="G62" s="588" cm="1">
        <f t="array" ref="G62">SUMPRODUCT(TAB_CS[[Apr-2022]:[Jun-2022]]*(TAB_CS[Company]='Consortium calculs'!$C62)*(TAB_CS[Lot]="Lot 2"))</f>
        <v>0</v>
      </c>
      <c r="H62" s="589" cm="1">
        <f t="array" ref="H62">SUMPRODUCT(TAB_CS[[Apr-2022]:[Jun-2022]]*(TAB_CS[Profile in €])*(TAB_CS[Company]='Consortium calculs'!$C62)*(TAB_CS[Lot]="Lot 2"))</f>
        <v>0</v>
      </c>
      <c r="I62" s="588" cm="1">
        <f t="array" ref="I62">SUMPRODUCT(TAB_CS[[Jul-2022]:[Sep-2022]]*(TAB_CS[Company]='Consortium calculs'!$C62)*(TAB_CS[Lot]="Lot 2"))</f>
        <v>0</v>
      </c>
      <c r="J62" s="589" cm="1">
        <f t="array" ref="J62">SUMPRODUCT(TAB_CS[[Jul-2022]:[Sep-2022]]*(TAB_CS[Profile in €])*(TAB_CS[Company]='Consortium calculs'!$C62)*(TAB_CS[Lot]="Lot 2"))</f>
        <v>0</v>
      </c>
      <c r="K62" s="588" cm="1">
        <f t="array" ref="K62">SUMPRODUCT(TAB_CS[[Oct-2022]:[Dec-2022]]*(TAB_CS[Company]='Consortium calculs'!$C62)*(TAB_CS[Lot]="Lot 2"))</f>
        <v>0</v>
      </c>
      <c r="L62" s="589" cm="1">
        <f t="array" ref="L62">SUMPRODUCT(TAB_CS[[Oct-2022]:[Dec-2022]]*(TAB_CS[Profile in €])*(TAB_CS[Company]='Consortium calculs'!$C62)*(TAB_CS[Lot]="Lot 2"))</f>
        <v>0</v>
      </c>
      <c r="M62" s="588" cm="1">
        <f t="array" ref="M62">SUMPRODUCT(TAB_CS[[Jan-2023]:[Mar-2023]]*(TAB_CS[Company]='Consortium calculs'!$C62)*(TAB_CS[Lot]="Lot 2"))</f>
        <v>108</v>
      </c>
      <c r="N62" s="589" cm="1">
        <f t="array" ref="N62">SUMPRODUCT(TAB_CS[[Jan-2023]:[Mar-2023]]*(TAB_CS[Profile in €])*(TAB_CS[Company]='Consortium calculs'!$C62)*(TAB_CS[Lot]="Lot 2"))</f>
        <v>78793.73000000001</v>
      </c>
      <c r="O62" s="588" cm="1">
        <f t="array" ref="O62">SUMPRODUCT(TAB_CS[[Apr-2023]:[Jun-2023]]*(TAB_CS[Company]='Consortium calculs'!$C62)*(TAB_CS[Lot]="Lot 2"))</f>
        <v>108.5</v>
      </c>
      <c r="P62" s="589" cm="1">
        <f t="array" ref="P62">SUMPRODUCT(TAB_CS[[Apr-2023]:[Jun-2023]]*(TAB_CS[Profile in €])*(TAB_CS[Company]='Consortium calculs'!$C62)*(TAB_CS[Lot]="Lot 2"))</f>
        <v>79071.994999999995</v>
      </c>
      <c r="Q62" s="588" cm="1">
        <f t="array" ref="Q62">SUMPRODUCT(TAB_CS[[Jul-2023]:[Sep-2023]]*(TAB_CS[Company]='Consortium calculs'!$C62)*(TAB_CS[Lot]="Lot 2"))</f>
        <v>149</v>
      </c>
      <c r="R62" s="589" cm="1">
        <f t="array" ref="R62">SUMPRODUCT(TAB_CS[[Jul-2023]:[Sep-2023]]*(TAB_CS[Profile in €])*(TAB_CS[Company]='Consortium calculs'!$C62)*(TAB_CS[Lot]="Lot 2"))</f>
        <v>109994.15999999999</v>
      </c>
      <c r="S62" s="588" cm="1">
        <f t="array" ref="S62">SUMPRODUCT(TAB_CS[[Oct-2023]:[Dec-2023]]*(TAB_CS[Company]='Consortium calculs'!$C62)*(TAB_CS[Lot]="Lot 2"))</f>
        <v>154.5</v>
      </c>
      <c r="T62" s="589" cm="1">
        <f t="array" ref="T62">SUMPRODUCT(TAB_CS[[Oct-2023]:[Dec-2023]]*(TAB_CS[Profile in €])*(TAB_CS[Company]='Consortium calculs'!$C62)*(TAB_CS[Lot]="Lot 2"))</f>
        <v>113498.86500000001</v>
      </c>
      <c r="U62" s="588" cm="1">
        <f t="array" ref="U62">SUMPRODUCT(TAB_CS[[Jan-2024]:[Mar-2024]]*(TAB_CS[Company]='Consortium calculs'!$C62)*(TAB_CS[Lot]="Lot 2"))</f>
        <v>162</v>
      </c>
      <c r="V62" s="589" cm="1">
        <f t="array" ref="V62">SUMPRODUCT(TAB_CS[[Jan-2024]:[Mar-2024]]*(TAB_CS[Profile in €])*(TAB_CS[Company]='Consortium calculs'!$C62)*(TAB_CS[Lot]="Lot 2"))</f>
        <v>123772.235</v>
      </c>
      <c r="W62" s="588" cm="1">
        <f t="array" ref="W62">SUMPRODUCT(TAB_CS[[Apr-2024]:[Jun-2024]]*(TAB_CS[Company]='Consortium calculs'!$C62)*(TAB_CS[Lot]="Lot 2"))</f>
        <v>154.5</v>
      </c>
      <c r="X62" s="589" cm="1">
        <f t="array" ref="X62">SUMPRODUCT(TAB_CS[[Apr-2024]:[Jun-2024]]*(TAB_CS[Profile in €])*(TAB_CS[Company]='Consortium calculs'!$C62)*(TAB_CS[Lot]="Lot 2"))</f>
        <v>120706.02000000002</v>
      </c>
      <c r="Y62" s="588" cm="1">
        <f t="array" ref="Y62">SUMPRODUCT(TAB_CS[[Jul-2024]:[Sep-2024]]*(TAB_CS[Company]='Consortium calculs'!$C62)*(TAB_CS[Lot]="Lot 2"))</f>
        <v>146</v>
      </c>
      <c r="Z62" s="589" cm="1">
        <f t="array" ref="Z62">SUMPRODUCT(TAB_CS[[Jul-2024]:[Sep-2024]]*(TAB_CS[Profile in €])*(TAB_CS[Company]='Consortium calculs'!$C62)*(TAB_CS[Lot]="Lot 2"))</f>
        <v>114818.03500000002</v>
      </c>
      <c r="AA62" s="588" cm="1">
        <f t="array" ref="AA62">SUMPRODUCT(TAB_CS[[Oct-2024]:[Dec-2024]]*(TAB_CS[Company]='Consortium calculs'!$C62)*(TAB_CS[Lot]="Lot 2"))</f>
        <v>165</v>
      </c>
      <c r="AB62" s="589" cm="1">
        <f t="array" ref="AB62">SUMPRODUCT(TAB_CS[[Oct-2024]:[Dec-2024]]*(TAB_CS[Profile in €])*(TAB_CS[Company]='Consortium calculs'!$C62)*(TAB_CS[Lot]="Lot 2"))</f>
        <v>131149.02000000002</v>
      </c>
      <c r="AC62" s="588" cm="1">
        <f t="array" ref="AC62">SUMPRODUCT(TAB_CS[[Jan-2025]:[Mar-2025]]*(TAB_CS[Company]='Consortium calculs'!$C62)*(TAB_CS[Lot]="Lot 2"))</f>
        <v>97</v>
      </c>
      <c r="AD62" s="589" cm="1">
        <f t="array" ref="AD62">SUMPRODUCT(TAB_CS[[Jan-2025]:[Mar-2025]]*(TAB_CS[Profile in €])*(TAB_CS[Company]='Consortium calculs'!$C62)*(TAB_CS[Lot]="Lot 2"))</f>
        <v>79341.77</v>
      </c>
      <c r="AE62" s="588" cm="1">
        <f t="array" ref="AE62">SUMPRODUCT(TAB_CS[[Apr-2025]:[Jun-2025]]*(TAB_CS[Company]='Consortium calculs'!$C62)*(TAB_CS[Lot]="Lot 2"))</f>
        <v>54</v>
      </c>
      <c r="AF62" s="589" cm="1">
        <f t="array" ref="AF62">SUMPRODUCT(TAB_CS[[Apr-2025]:[Jun-2025]]*(TAB_CS[Profile in €])*(TAB_CS[Company]='Consortium calculs'!$C62)*(TAB_CS[Lot]="Lot 2"))</f>
        <v>42840.36</v>
      </c>
      <c r="AG62" s="588" cm="1">
        <f t="array" ref="AG62">SUMPRODUCT(TAB_CS[[Jul-2025]:[Sep-2025]]*(TAB_CS[Company]='Consortium calculs'!$C62)*(TAB_CS[Lot]="Lot 2"))</f>
        <v>21.5</v>
      </c>
      <c r="AH62" s="589" cm="1">
        <f t="array" ref="AH62">SUMPRODUCT(TAB_CS[[Jul-2025]:[Sep-2025]]*(TAB_CS[Profile in €])*(TAB_CS[Company]='Consortium calculs'!$C62)*(TAB_CS[Lot]="Lot 2"))</f>
        <v>17056.810000000001</v>
      </c>
      <c r="AI62" s="588" cm="1">
        <f t="array" ref="AI62">SUMPRODUCT(TAB_CS[[Oct-2025]:[Dec-2025]]*(TAB_CS[Company]='Consortium calculs'!$C62)*(TAB_CS[Lot]="Lot 2"))</f>
        <v>0</v>
      </c>
      <c r="AJ62" s="589" cm="1">
        <f t="array" ref="AJ62">SUMPRODUCT(TAB_CS[[Oct-2025]:[Dec-2025]]*(TAB_CS[Profile in €])*(TAB_CS[Company]='Consortium calculs'!$C62)*(TAB_CS[Lot]="Lot 2"))</f>
        <v>0</v>
      </c>
    </row>
    <row r="63" spans="2:36" ht="13.8" thickBot="1" x14ac:dyDescent="0.3">
      <c r="B63" s="669"/>
      <c r="C63" s="40" t="s">
        <v>88</v>
      </c>
      <c r="D63" s="586">
        <f t="shared" si="42"/>
        <v>0</v>
      </c>
      <c r="E63" s="69">
        <f t="shared" si="43"/>
        <v>0</v>
      </c>
      <c r="G63" s="588" cm="1">
        <f t="array" ref="G63">SUMPRODUCT(TAB_CS[[Apr-2022]:[Jun-2022]]*(TAB_CS[Company]='Consortium calculs'!$C63)*(TAB_CS[Lot]="Lot 2"))</f>
        <v>0</v>
      </c>
      <c r="H63" s="589" cm="1">
        <f t="array" ref="H63">SUMPRODUCT(TAB_CS[[Apr-2022]:[Jun-2022]]*(TAB_CS[Profile in €])*(TAB_CS[Company]='Consortium calculs'!$C63)*(TAB_CS[Lot]="Lot 2"))</f>
        <v>0</v>
      </c>
      <c r="I63" s="588" cm="1">
        <f t="array" ref="I63">SUMPRODUCT(TAB_CS[[Jul-2022]:[Sep-2022]]*(TAB_CS[Company]='Consortium calculs'!$C63)*(TAB_CS[Lot]="Lot 2"))</f>
        <v>0</v>
      </c>
      <c r="J63" s="589" cm="1">
        <f t="array" ref="J63">SUMPRODUCT(TAB_CS[[Jul-2022]:[Sep-2022]]*(TAB_CS[Profile in €])*(TAB_CS[Company]='Consortium calculs'!$C63)*(TAB_CS[Lot]="Lot 2"))</f>
        <v>0</v>
      </c>
      <c r="K63" s="588" cm="1">
        <f t="array" ref="K63">SUMPRODUCT(TAB_CS[[Oct-2022]:[Dec-2022]]*(TAB_CS[Company]='Consortium calculs'!$C63)*(TAB_CS[Lot]="Lot 2"))</f>
        <v>0</v>
      </c>
      <c r="L63" s="589" cm="1">
        <f t="array" ref="L63">SUMPRODUCT(TAB_CS[[Oct-2022]:[Dec-2022]]*(TAB_CS[Profile in €])*(TAB_CS[Company]='Consortium calculs'!$C63)*(TAB_CS[Lot]="Lot 2"))</f>
        <v>0</v>
      </c>
      <c r="M63" s="588" cm="1">
        <f t="array" ref="M63">SUMPRODUCT(TAB_CS[[Jan-2023]:[Mar-2023]]*(TAB_CS[Company]='Consortium calculs'!$C63)*(TAB_CS[Lot]="Lot 2"))</f>
        <v>0</v>
      </c>
      <c r="N63" s="589" cm="1">
        <f t="array" ref="N63">SUMPRODUCT(TAB_CS[[Jan-2023]:[Mar-2023]]*(TAB_CS[Profile in €])*(TAB_CS[Company]='Consortium calculs'!$C63)*(TAB_CS[Lot]="Lot 2"))</f>
        <v>0</v>
      </c>
      <c r="O63" s="588" cm="1">
        <f t="array" ref="O63">SUMPRODUCT(TAB_CS[[Apr-2023]:[Jun-2023]]*(TAB_CS[Company]='Consortium calculs'!$C63)*(TAB_CS[Lot]="Lot 2"))</f>
        <v>0</v>
      </c>
      <c r="P63" s="589" cm="1">
        <f t="array" ref="P63">SUMPRODUCT(TAB_CS[[Apr-2023]:[Jun-2023]]*(TAB_CS[Profile in €])*(TAB_CS[Company]='Consortium calculs'!$C63)*(TAB_CS[Lot]="Lot 2"))</f>
        <v>0</v>
      </c>
      <c r="Q63" s="588" cm="1">
        <f t="array" ref="Q63">SUMPRODUCT(TAB_CS[[Jul-2023]:[Sep-2023]]*(TAB_CS[Company]='Consortium calculs'!$C63)*(TAB_CS[Lot]="Lot 2"))</f>
        <v>0</v>
      </c>
      <c r="R63" s="589" cm="1">
        <f t="array" ref="R63">SUMPRODUCT(TAB_CS[[Jul-2023]:[Sep-2023]]*(TAB_CS[Profile in €])*(TAB_CS[Company]='Consortium calculs'!$C63)*(TAB_CS[Lot]="Lot 2"))</f>
        <v>0</v>
      </c>
      <c r="S63" s="588" cm="1">
        <f t="array" ref="S63">SUMPRODUCT(TAB_CS[[Oct-2023]:[Dec-2023]]*(TAB_CS[Company]='Consortium calculs'!$C63)*(TAB_CS[Lot]="Lot 2"))</f>
        <v>0</v>
      </c>
      <c r="T63" s="589" cm="1">
        <f t="array" ref="T63">SUMPRODUCT(TAB_CS[[Oct-2023]:[Dec-2023]]*(TAB_CS[Profile in €])*(TAB_CS[Company]='Consortium calculs'!$C63)*(TAB_CS[Lot]="Lot 2"))</f>
        <v>0</v>
      </c>
      <c r="U63" s="588" cm="1">
        <f t="array" ref="U63">SUMPRODUCT(TAB_CS[[Jan-2024]:[Mar-2024]]*(TAB_CS[Company]='Consortium calculs'!$C63)*(TAB_CS[Lot]="Lot 2"))</f>
        <v>0</v>
      </c>
      <c r="V63" s="589" cm="1">
        <f t="array" ref="V63">SUMPRODUCT(TAB_CS[[Jan-2024]:[Mar-2024]]*(TAB_CS[Profile in €])*(TAB_CS[Company]='Consortium calculs'!$C63)*(TAB_CS[Lot]="Lot 2"))</f>
        <v>0</v>
      </c>
      <c r="W63" s="588" cm="1">
        <f t="array" ref="W63">SUMPRODUCT(TAB_CS[[Apr-2024]:[Jun-2024]]*(TAB_CS[Company]='Consortium calculs'!$C63)*(TAB_CS[Lot]="Lot 2"))</f>
        <v>0</v>
      </c>
      <c r="X63" s="589" cm="1">
        <f t="array" ref="X63">SUMPRODUCT(TAB_CS[[Apr-2024]:[Jun-2024]]*(TAB_CS[Profile in €])*(TAB_CS[Company]='Consortium calculs'!$C63)*(TAB_CS[Lot]="Lot 2"))</f>
        <v>0</v>
      </c>
      <c r="Y63" s="588" cm="1">
        <f t="array" ref="Y63">SUMPRODUCT(TAB_CS[[Jul-2024]:[Sep-2024]]*(TAB_CS[Company]='Consortium calculs'!$C63)*(TAB_CS[Lot]="Lot 2"))</f>
        <v>0</v>
      </c>
      <c r="Z63" s="589" cm="1">
        <f t="array" ref="Z63">SUMPRODUCT(TAB_CS[[Jul-2024]:[Sep-2024]]*(TAB_CS[Profile in €])*(TAB_CS[Company]='Consortium calculs'!$C63)*(TAB_CS[Lot]="Lot 2"))</f>
        <v>0</v>
      </c>
      <c r="AA63" s="588" cm="1">
        <f t="array" ref="AA63">SUMPRODUCT(TAB_CS[[Oct-2024]:[Dec-2024]]*(TAB_CS[Company]='Consortium calculs'!$C63)*(TAB_CS[Lot]="Lot 2"))</f>
        <v>0</v>
      </c>
      <c r="AB63" s="589" cm="1">
        <f t="array" ref="AB63">SUMPRODUCT(TAB_CS[[Oct-2024]:[Dec-2024]]*(TAB_CS[Profile in €])*(TAB_CS[Company]='Consortium calculs'!$C63)*(TAB_CS[Lot]="Lot 2"))</f>
        <v>0</v>
      </c>
      <c r="AC63" s="588" cm="1">
        <f t="array" ref="AC63">SUMPRODUCT(TAB_CS[[Jan-2025]:[Mar-2025]]*(TAB_CS[Company]='Consortium calculs'!$C63)*(TAB_CS[Lot]="Lot 2"))</f>
        <v>0</v>
      </c>
      <c r="AD63" s="589" cm="1">
        <f t="array" ref="AD63">SUMPRODUCT(TAB_CS[[Jan-2025]:[Mar-2025]]*(TAB_CS[Profile in €])*(TAB_CS[Company]='Consortium calculs'!$C63)*(TAB_CS[Lot]="Lot 2"))</f>
        <v>0</v>
      </c>
      <c r="AE63" s="588" cm="1">
        <f t="array" ref="AE63">SUMPRODUCT(TAB_CS[[Apr-2025]:[Jun-2025]]*(TAB_CS[Company]='Consortium calculs'!$C63)*(TAB_CS[Lot]="Lot 2"))</f>
        <v>0</v>
      </c>
      <c r="AF63" s="589" cm="1">
        <f t="array" ref="AF63">SUMPRODUCT(TAB_CS[[Apr-2025]:[Jun-2025]]*(TAB_CS[Profile in €])*(TAB_CS[Company]='Consortium calculs'!$C63)*(TAB_CS[Lot]="Lot 2"))</f>
        <v>0</v>
      </c>
      <c r="AG63" s="588" cm="1">
        <f t="array" ref="AG63">SUMPRODUCT(TAB_CS[[Jul-2025]:[Sep-2025]]*(TAB_CS[Company]='Consortium calculs'!$C63)*(TAB_CS[Lot]="Lot 2"))</f>
        <v>0</v>
      </c>
      <c r="AH63" s="589" cm="1">
        <f t="array" ref="AH63">SUMPRODUCT(TAB_CS[[Jul-2025]:[Sep-2025]]*(TAB_CS[Profile in €])*(TAB_CS[Company]='Consortium calculs'!$C63)*(TAB_CS[Lot]="Lot 2"))</f>
        <v>0</v>
      </c>
      <c r="AI63" s="588" cm="1">
        <f t="array" ref="AI63">SUMPRODUCT(TAB_CS[[Oct-2025]:[Dec-2025]]*(TAB_CS[Company]='Consortium calculs'!$C63)*(TAB_CS[Lot]="Lot 2"))</f>
        <v>0</v>
      </c>
      <c r="AJ63" s="589" cm="1">
        <f t="array" ref="AJ63">SUMPRODUCT(TAB_CS[[Oct-2025]:[Dec-2025]]*(TAB_CS[Profile in €])*(TAB_CS[Company]='Consortium calculs'!$C63)*(TAB_CS[Lot]="Lot 2"))</f>
        <v>0</v>
      </c>
    </row>
    <row r="65" spans="2:36" x14ac:dyDescent="0.25">
      <c r="B65" s="667" t="s">
        <v>6023</v>
      </c>
      <c r="C65" s="40" t="s">
        <v>85</v>
      </c>
      <c r="D65" s="586">
        <f t="shared" ref="D65:D70" si="44">SUMIF(F$2:AD$2,D$2,F65:AD65)</f>
        <v>612</v>
      </c>
      <c r="E65" s="69">
        <f>SUMIF(F$2:AD$2,E$2,F65:AD65)</f>
        <v>461033.18000000005</v>
      </c>
      <c r="F65" s="587"/>
      <c r="G65" s="588" cm="1">
        <f t="array" ref="G65">SUMPRODUCT(TAB_CS[[Apr-2022]:[Jun-2022]]*(TAB_CS[Company]='Consortium calculs'!$C65)*(TAB_CS[Lot]="Lot 3"))</f>
        <v>0</v>
      </c>
      <c r="H65" s="589" cm="1">
        <f t="array" ref="H65">SUMPRODUCT(TAB_CS[[Apr-2022]:[Jun-2022]]*(TAB_CS[Profile in €])*(TAB_CS[Company]='Consortium calculs'!$C65)*(TAB_CS[Lot]="Lot 3"))</f>
        <v>0</v>
      </c>
      <c r="I65" s="588" cm="1">
        <f t="array" ref="I65">SUMPRODUCT(TAB_CS[[Jul-2022]:[Sep-2022]]*(TAB_CS[Company]='Consortium calculs'!$C65)*(TAB_CS[Lot]="Lot 3"))</f>
        <v>0</v>
      </c>
      <c r="J65" s="589" cm="1">
        <f t="array" ref="J65">SUMPRODUCT(TAB_CS[[Jul-2022]:[Sep-2022]]*(TAB_CS[Profile in €])*(TAB_CS[Company]='Consortium calculs'!$C65)*(TAB_CS[Lot]="Lot 3"))</f>
        <v>0</v>
      </c>
      <c r="K65" s="588" cm="1">
        <f t="array" ref="K65">SUMPRODUCT(TAB_CS[[Oct-2022]:[Dec-2022]]*(TAB_CS[Company]='Consortium calculs'!$C65)*(TAB_CS[Lot]="Lot 3"))</f>
        <v>0</v>
      </c>
      <c r="L65" s="589" cm="1">
        <f t="array" ref="L65">SUMPRODUCT(TAB_CS[[Oct-2022]:[Dec-2022]]*(TAB_CS[Profile in €])*(TAB_CS[Company]='Consortium calculs'!$C65)*(TAB_CS[Lot]="Lot 3"))</f>
        <v>0</v>
      </c>
      <c r="M65" s="588" cm="1">
        <f t="array" ref="M65">SUMPRODUCT(TAB_CS[[Jan-2023]:[Mar-2023]]*(TAB_CS[Company]='Consortium calculs'!$C65)*(TAB_CS[Lot]="Lot 3"))</f>
        <v>0</v>
      </c>
      <c r="N65" s="589" cm="1">
        <f t="array" ref="N65">SUMPRODUCT(TAB_CS[[Jan-2023]:[Mar-2023]]*(TAB_CS[Profile in €])*(TAB_CS[Company]='Consortium calculs'!$C65)*(TAB_CS[Lot]="Lot 3"))</f>
        <v>0</v>
      </c>
      <c r="O65" s="588" cm="1">
        <f t="array" ref="O65">SUMPRODUCT(TAB_CS[[Apr-2023]:[Jun-2023]]*(TAB_CS[Company]='Consortium calculs'!$C65)*(TAB_CS[Lot]="Lot 3"))</f>
        <v>0</v>
      </c>
      <c r="P65" s="589" cm="1">
        <f t="array" ref="P65">SUMPRODUCT(TAB_CS[[Apr-2023]:[Jun-2023]]*(TAB_CS[Profile in €])*(TAB_CS[Company]='Consortium calculs'!$C65)*(TAB_CS[Lot]="Lot 3"))</f>
        <v>0</v>
      </c>
      <c r="Q65" s="588" cm="1">
        <f t="array" ref="Q65">SUMPRODUCT(TAB_CS[[Jul-2023]:[Sep-2023]]*(TAB_CS[Company]='Consortium calculs'!$C65)*(TAB_CS[Lot]="Lot 3"))</f>
        <v>21</v>
      </c>
      <c r="R65" s="589" cm="1">
        <f t="array" ref="R65">SUMPRODUCT(TAB_CS[[Jul-2023]:[Sep-2023]]*(TAB_CS[Profile in €])*(TAB_CS[Company]='Consortium calculs'!$C65)*(TAB_CS[Lot]="Lot 3"))</f>
        <v>14837.34</v>
      </c>
      <c r="S65" s="588" cm="1">
        <f t="array" ref="S65">SUMPRODUCT(TAB_CS[[Oct-2023]:[Dec-2023]]*(TAB_CS[Company]='Consortium calculs'!$C65)*(TAB_CS[Lot]="Lot 3"))</f>
        <v>60</v>
      </c>
      <c r="T65" s="589" cm="1">
        <f t="array" ref="T65">SUMPRODUCT(TAB_CS[[Oct-2023]:[Dec-2023]]*(TAB_CS[Profile in €])*(TAB_CS[Company]='Consortium calculs'!$C65)*(TAB_CS[Lot]="Lot 3"))</f>
        <v>42392.4</v>
      </c>
      <c r="U65" s="588" cm="1">
        <f t="array" ref="U65">SUMPRODUCT(TAB_CS[[Jan-2024]:[Mar-2024]]*(TAB_CS[Company]='Consortium calculs'!$C65)*(TAB_CS[Lot]="Lot 3"))</f>
        <v>62</v>
      </c>
      <c r="V65" s="589" cm="1">
        <f t="array" ref="V65">SUMPRODUCT(TAB_CS[[Jan-2024]:[Mar-2024]]*(TAB_CS[Profile in €])*(TAB_CS[Company]='Consortium calculs'!$C65)*(TAB_CS[Lot]="Lot 3"))</f>
        <v>45400.78</v>
      </c>
      <c r="W65" s="588" cm="1">
        <f t="array" ref="W65">SUMPRODUCT(TAB_CS[[Apr-2024]:[Jun-2024]]*(TAB_CS[Company]='Consortium calculs'!$C65)*(TAB_CS[Lot]="Lot 3"))</f>
        <v>64</v>
      </c>
      <c r="X65" s="589" cm="1">
        <f t="array" ref="X65">SUMPRODUCT(TAB_CS[[Apr-2024]:[Jun-2024]]*(TAB_CS[Profile in €])*(TAB_CS[Company]='Consortium calculs'!$C65)*(TAB_CS[Lot]="Lot 3"))</f>
        <v>48131.709999999992</v>
      </c>
      <c r="Y65" s="588" cm="1">
        <f t="array" ref="Y65">SUMPRODUCT(TAB_CS[[Jul-2024]:[Sep-2024]]*(TAB_CS[Company]='Consortium calculs'!$C65)*(TAB_CS[Lot]="Lot 3"))</f>
        <v>109</v>
      </c>
      <c r="Z65" s="589" cm="1">
        <f t="array" ref="Z65">SUMPRODUCT(TAB_CS[[Jul-2024]:[Sep-2024]]*(TAB_CS[Profile in €])*(TAB_CS[Company]='Consortium calculs'!$C65)*(TAB_CS[Lot]="Lot 3"))</f>
        <v>86336.510000000009</v>
      </c>
      <c r="AA65" s="588" cm="1">
        <f t="array" ref="AA65">SUMPRODUCT(TAB_CS[[Oct-2024]:[Dec-2024]]*(TAB_CS[Company]='Consortium calculs'!$C65)*(TAB_CS[Lot]="Lot 3"))</f>
        <v>169</v>
      </c>
      <c r="AB65" s="589" cm="1">
        <f t="array" ref="AB65">SUMPRODUCT(TAB_CS[[Oct-2024]:[Dec-2024]]*(TAB_CS[Profile in €])*(TAB_CS[Company]='Consortium calculs'!$C65)*(TAB_CS[Lot]="Lot 3"))</f>
        <v>127737.16000000002</v>
      </c>
      <c r="AC65" s="588" cm="1">
        <f t="array" ref="AC65">SUMPRODUCT(TAB_CS[[Jan-2025]:[Mar-2025]]*(TAB_CS[Company]='Consortium calculs'!$C65)*(TAB_CS[Lot]="Lot 3"))</f>
        <v>127</v>
      </c>
      <c r="AD65" s="589" cm="1">
        <f t="array" ref="AD65">SUMPRODUCT(TAB_CS[[Jan-2025]:[Mar-2025]]*(TAB_CS[Profile in €])*(TAB_CS[Company]='Consortium calculs'!$C65)*(TAB_CS[Lot]="Lot 3"))</f>
        <v>96197.280000000013</v>
      </c>
      <c r="AE65" s="588" cm="1">
        <f t="array" ref="AE65">SUMPRODUCT(TAB_CS[[Apr-2025]:[Jun-2025]]*(TAB_CS[Company]='Consortium calculs'!$C65)*(TAB_CS[Lot]="Lot 3"))</f>
        <v>69.5</v>
      </c>
      <c r="AF65" s="589" cm="1">
        <f t="array" ref="AF65">SUMPRODUCT(TAB_CS[[Apr-2025]:[Jun-2025]]*(TAB_CS[Profile in €])*(TAB_CS[Company]='Consortium calculs'!$C65)*(TAB_CS[Lot]="Lot 3"))</f>
        <v>49289.60500000001</v>
      </c>
      <c r="AG65" s="588" cm="1">
        <f t="array" ref="AG65">SUMPRODUCT(TAB_CS[[Jul-2025]:[Sep-2025]]*(TAB_CS[Company]='Consortium calculs'!$C65)*(TAB_CS[Lot]="Lot 3"))</f>
        <v>18.5</v>
      </c>
      <c r="AH65" s="589" cm="1">
        <f t="array" ref="AH65">SUMPRODUCT(TAB_CS[[Jul-2025]:[Sep-2025]]*(TAB_CS[Profile in €])*(TAB_CS[Company]='Consortium calculs'!$C65)*(TAB_CS[Lot]="Lot 3"))</f>
        <v>12365.215</v>
      </c>
      <c r="AI65" s="588" cm="1">
        <f t="array" ref="AI65">SUMPRODUCT(TAB_CS[[Oct-2025]:[Dec-2025]]*(TAB_CS[Company]='Consortium calculs'!$C65)*(TAB_CS[Lot]="Lot 3"))</f>
        <v>0</v>
      </c>
      <c r="AJ65" s="589" cm="1">
        <f t="array" ref="AJ65">SUMPRODUCT(TAB_CS[[Oct-2025]:[Dec-2025]]*(TAB_CS[Profile in €])*(TAB_CS[Company]='Consortium calculs'!$C65)*(TAB_CS[Lot]="Lot 3"))</f>
        <v>0</v>
      </c>
    </row>
    <row r="66" spans="2:36" x14ac:dyDescent="0.25">
      <c r="B66" s="668"/>
      <c r="C66" s="40" t="s">
        <v>202</v>
      </c>
      <c r="D66" s="44">
        <f t="shared" si="44"/>
        <v>0</v>
      </c>
      <c r="E66" s="39">
        <f t="shared" ref="E66:E70" si="45">SUMIF(F$2:AD$2,E$2,F66:AD66)</f>
        <v>0</v>
      </c>
      <c r="G66" s="588" cm="1">
        <f t="array" ref="G66">SUMPRODUCT(TAB_CS[[Apr-2022]:[Jun-2022]]*(TAB_CS[Company]='Consortium calculs'!$C66)*(TAB_CS[Lot]="Lot 3"))</f>
        <v>0</v>
      </c>
      <c r="H66" s="589" cm="1">
        <f t="array" ref="H66">SUMPRODUCT(TAB_CS[[Apr-2022]:[Jun-2022]]*(TAB_CS[Profile in €])*(TAB_CS[Company]='Consortium calculs'!$C66)*(TAB_CS[Lot]="Lot 3"))</f>
        <v>0</v>
      </c>
      <c r="I66" s="588" cm="1">
        <f t="array" ref="I66">SUMPRODUCT(TAB_CS[[Jul-2022]:[Sep-2022]]*(TAB_CS[Company]='Consortium calculs'!$C66)*(TAB_CS[Lot]="Lot 3"))</f>
        <v>0</v>
      </c>
      <c r="J66" s="589" cm="1">
        <f t="array" ref="J66">SUMPRODUCT(TAB_CS[[Jul-2022]:[Sep-2022]]*(TAB_CS[Profile in €])*(TAB_CS[Company]='Consortium calculs'!$C66)*(TAB_CS[Lot]="Lot 3"))</f>
        <v>0</v>
      </c>
      <c r="K66" s="588" cm="1">
        <f t="array" ref="K66">SUMPRODUCT(TAB_CS[[Oct-2022]:[Dec-2022]]*(TAB_CS[Company]='Consortium calculs'!$C66)*(TAB_CS[Lot]="Lot 3"))</f>
        <v>0</v>
      </c>
      <c r="L66" s="589" cm="1">
        <f t="array" ref="L66">SUMPRODUCT(TAB_CS[[Oct-2022]:[Dec-2022]]*(TAB_CS[Profile in €])*(TAB_CS[Company]='Consortium calculs'!$C66)*(TAB_CS[Lot]="Lot 3"))</f>
        <v>0</v>
      </c>
      <c r="M66" s="588" cm="1">
        <f t="array" ref="M66">SUMPRODUCT(TAB_CS[[Jan-2023]:[Mar-2023]]*(TAB_CS[Company]='Consortium calculs'!$C66)*(TAB_CS[Lot]="Lot 3"))</f>
        <v>0</v>
      </c>
      <c r="N66" s="589" cm="1">
        <f t="array" ref="N66">SUMPRODUCT(TAB_CS[[Jan-2023]:[Mar-2023]]*(TAB_CS[Profile in €])*(TAB_CS[Company]='Consortium calculs'!$C66)*(TAB_CS[Lot]="Lot 3"))</f>
        <v>0</v>
      </c>
      <c r="O66" s="588" cm="1">
        <f t="array" ref="O66">SUMPRODUCT(TAB_CS[[Apr-2023]:[Jun-2023]]*(TAB_CS[Company]='Consortium calculs'!$C66)*(TAB_CS[Lot]="Lot 3"))</f>
        <v>0</v>
      </c>
      <c r="P66" s="589" cm="1">
        <f t="array" ref="P66">SUMPRODUCT(TAB_CS[[Apr-2023]:[Jun-2023]]*(TAB_CS[Profile in €])*(TAB_CS[Company]='Consortium calculs'!$C66)*(TAB_CS[Lot]="Lot 3"))</f>
        <v>0</v>
      </c>
      <c r="Q66" s="588" cm="1">
        <f t="array" ref="Q66">SUMPRODUCT(TAB_CS[[Jul-2023]:[Sep-2023]]*(TAB_CS[Company]='Consortium calculs'!$C66)*(TAB_CS[Lot]="Lot 3"))</f>
        <v>0</v>
      </c>
      <c r="R66" s="589" cm="1">
        <f t="array" ref="R66">SUMPRODUCT(TAB_CS[[Jul-2023]:[Sep-2023]]*(TAB_CS[Profile in €])*(TAB_CS[Company]='Consortium calculs'!$C66)*(TAB_CS[Lot]="Lot 3"))</f>
        <v>0</v>
      </c>
      <c r="S66" s="588" cm="1">
        <f t="array" ref="S66">SUMPRODUCT(TAB_CS[[Oct-2023]:[Dec-2023]]*(TAB_CS[Company]='Consortium calculs'!$C66)*(TAB_CS[Lot]="Lot 3"))</f>
        <v>0</v>
      </c>
      <c r="T66" s="589" cm="1">
        <f t="array" ref="T66">SUMPRODUCT(TAB_CS[[Oct-2023]:[Dec-2023]]*(TAB_CS[Profile in €])*(TAB_CS[Company]='Consortium calculs'!$C66)*(TAB_CS[Lot]="Lot 3"))</f>
        <v>0</v>
      </c>
      <c r="U66" s="588" cm="1">
        <f t="array" ref="U66">SUMPRODUCT(TAB_CS[[Jan-2024]:[Mar-2024]]*(TAB_CS[Company]='Consortium calculs'!$C66)*(TAB_CS[Lot]="Lot 3"))</f>
        <v>0</v>
      </c>
      <c r="V66" s="589" cm="1">
        <f t="array" ref="V66">SUMPRODUCT(TAB_CS[[Jan-2024]:[Mar-2024]]*(TAB_CS[Profile in €])*(TAB_CS[Company]='Consortium calculs'!$C66)*(TAB_CS[Lot]="Lot 3"))</f>
        <v>0</v>
      </c>
      <c r="W66" s="588" cm="1">
        <f t="array" ref="W66">SUMPRODUCT(TAB_CS[[Apr-2024]:[Jun-2024]]*(TAB_CS[Company]='Consortium calculs'!$C66)*(TAB_CS[Lot]="Lot 3"))</f>
        <v>0</v>
      </c>
      <c r="X66" s="589" cm="1">
        <f t="array" ref="X66">SUMPRODUCT(TAB_CS[[Apr-2024]:[Jun-2024]]*(TAB_CS[Profile in €])*(TAB_CS[Company]='Consortium calculs'!$C66)*(TAB_CS[Lot]="Lot 3"))</f>
        <v>0</v>
      </c>
      <c r="Y66" s="588" cm="1">
        <f t="array" ref="Y66">SUMPRODUCT(TAB_CS[[Jul-2024]:[Sep-2024]]*(TAB_CS[Company]='Consortium calculs'!$C66)*(TAB_CS[Lot]="Lot 3"))</f>
        <v>0</v>
      </c>
      <c r="Z66" s="589" cm="1">
        <f t="array" ref="Z66">SUMPRODUCT(TAB_CS[[Jul-2024]:[Sep-2024]]*(TAB_CS[Profile in €])*(TAB_CS[Company]='Consortium calculs'!$C66)*(TAB_CS[Lot]="Lot 3"))</f>
        <v>0</v>
      </c>
      <c r="AA66" s="588" cm="1">
        <f t="array" ref="AA66">SUMPRODUCT(TAB_CS[[Oct-2024]:[Dec-2024]]*(TAB_CS[Company]='Consortium calculs'!$C66)*(TAB_CS[Lot]="Lot 3"))</f>
        <v>0</v>
      </c>
      <c r="AB66" s="589" cm="1">
        <f t="array" ref="AB66">SUMPRODUCT(TAB_CS[[Oct-2024]:[Dec-2024]]*(TAB_CS[Profile in €])*(TAB_CS[Company]='Consortium calculs'!$C66)*(TAB_CS[Lot]="Lot 3"))</f>
        <v>0</v>
      </c>
      <c r="AC66" s="588" cm="1">
        <f t="array" ref="AC66">SUMPRODUCT(TAB_CS[[Jan-2025]:[Mar-2025]]*(TAB_CS[Company]='Consortium calculs'!$C66)*(TAB_CS[Lot]="Lot 3"))</f>
        <v>0</v>
      </c>
      <c r="AD66" s="589" cm="1">
        <f t="array" ref="AD66">SUMPRODUCT(TAB_CS[[Jan-2025]:[Mar-2025]]*(TAB_CS[Profile in €])*(TAB_CS[Company]='Consortium calculs'!$C66)*(TAB_CS[Lot]="Lot 3"))</f>
        <v>0</v>
      </c>
      <c r="AE66" s="588" cm="1">
        <f t="array" ref="AE66">SUMPRODUCT(TAB_CS[[Apr-2025]:[Jun-2025]]*(TAB_CS[Company]='Consortium calculs'!$C66)*(TAB_CS[Lot]="Lot 3"))</f>
        <v>0</v>
      </c>
      <c r="AF66" s="589" cm="1">
        <f t="array" ref="AF66">SUMPRODUCT(TAB_CS[[Apr-2025]:[Jun-2025]]*(TAB_CS[Profile in €])*(TAB_CS[Company]='Consortium calculs'!$C66)*(TAB_CS[Lot]="Lot 3"))</f>
        <v>0</v>
      </c>
      <c r="AG66" s="588" cm="1">
        <f t="array" ref="AG66">SUMPRODUCT(TAB_CS[[Jul-2025]:[Sep-2025]]*(TAB_CS[Company]='Consortium calculs'!$C66)*(TAB_CS[Lot]="Lot 3"))</f>
        <v>0</v>
      </c>
      <c r="AH66" s="589" cm="1">
        <f t="array" ref="AH66">SUMPRODUCT(TAB_CS[[Jul-2025]:[Sep-2025]]*(TAB_CS[Profile in €])*(TAB_CS[Company]='Consortium calculs'!$C66)*(TAB_CS[Lot]="Lot 3"))</f>
        <v>0</v>
      </c>
      <c r="AI66" s="588" cm="1">
        <f t="array" ref="AI66">SUMPRODUCT(TAB_CS[[Oct-2025]:[Dec-2025]]*(TAB_CS[Company]='Consortium calculs'!$C66)*(TAB_CS[Lot]="Lot 3"))</f>
        <v>0</v>
      </c>
      <c r="AJ66" s="589" cm="1">
        <f t="array" ref="AJ66">SUMPRODUCT(TAB_CS[[Oct-2025]:[Dec-2025]]*(TAB_CS[Profile in €])*(TAB_CS[Company]='Consortium calculs'!$C66)*(TAB_CS[Lot]="Lot 3"))</f>
        <v>0</v>
      </c>
    </row>
    <row r="67" spans="2:36" x14ac:dyDescent="0.25">
      <c r="B67" s="668"/>
      <c r="C67" s="40" t="s">
        <v>203</v>
      </c>
      <c r="D67" s="44">
        <f t="shared" si="44"/>
        <v>1322.5</v>
      </c>
      <c r="E67" s="39">
        <f t="shared" si="45"/>
        <v>1144595.325</v>
      </c>
      <c r="G67" s="588" cm="1">
        <f t="array" ref="G67">SUMPRODUCT(TAB_CS[[Apr-2022]:[Jun-2022]]*(TAB_CS[Company]='Consortium calculs'!$C67)*(TAB_CS[Lot]="Lot 3"))</f>
        <v>0</v>
      </c>
      <c r="H67" s="589" cm="1">
        <f t="array" ref="H67">SUMPRODUCT(TAB_CS[[Apr-2022]:[Jun-2022]]*(TAB_CS[Profile in €])*(TAB_CS[Company]='Consortium calculs'!$C67)*(TAB_CS[Lot]="Lot 3"))</f>
        <v>0</v>
      </c>
      <c r="I67" s="588" cm="1">
        <f t="array" ref="I67">SUMPRODUCT(TAB_CS[[Jul-2022]:[Sep-2022]]*(TAB_CS[Company]='Consortium calculs'!$C67)*(TAB_CS[Lot]="Lot 3"))</f>
        <v>0</v>
      </c>
      <c r="J67" s="589" cm="1">
        <f t="array" ref="J67">SUMPRODUCT(TAB_CS[[Jul-2022]:[Sep-2022]]*(TAB_CS[Profile in €])*(TAB_CS[Company]='Consortium calculs'!$C67)*(TAB_CS[Lot]="Lot 3"))</f>
        <v>0</v>
      </c>
      <c r="K67" s="588" cm="1">
        <f t="array" ref="K67">SUMPRODUCT(TAB_CS[[Oct-2022]:[Dec-2022]]*(TAB_CS[Company]='Consortium calculs'!$C67)*(TAB_CS[Lot]="Lot 3"))</f>
        <v>13</v>
      </c>
      <c r="L67" s="589" cm="1">
        <f t="array" ref="L67">SUMPRODUCT(TAB_CS[[Oct-2022]:[Dec-2022]]*(TAB_CS[Profile in €])*(TAB_CS[Company]='Consortium calculs'!$C67)*(TAB_CS[Lot]="Lot 3"))</f>
        <v>10714.13</v>
      </c>
      <c r="M67" s="588" cm="1">
        <f t="array" ref="M67">SUMPRODUCT(TAB_CS[[Jan-2023]:[Mar-2023]]*(TAB_CS[Company]='Consortium calculs'!$C67)*(TAB_CS[Lot]="Lot 3"))</f>
        <v>149</v>
      </c>
      <c r="N67" s="589" cm="1">
        <f t="array" ref="N67">SUMPRODUCT(TAB_CS[[Jan-2023]:[Mar-2023]]*(TAB_CS[Profile in €])*(TAB_CS[Company]='Consortium calculs'!$C67)*(TAB_CS[Lot]="Lot 3"))</f>
        <v>125879.66999999998</v>
      </c>
      <c r="O67" s="588" cm="1">
        <f t="array" ref="O67">SUMPRODUCT(TAB_CS[[Apr-2023]:[Jun-2023]]*(TAB_CS[Company]='Consortium calculs'!$C67)*(TAB_CS[Lot]="Lot 3"))</f>
        <v>156</v>
      </c>
      <c r="P67" s="589" cm="1">
        <f t="array" ref="P67">SUMPRODUCT(TAB_CS[[Apr-2023]:[Jun-2023]]*(TAB_CS[Profile in €])*(TAB_CS[Company]='Consortium calculs'!$C67)*(TAB_CS[Lot]="Lot 3"))</f>
        <v>132249.86000000002</v>
      </c>
      <c r="Q67" s="588" cm="1">
        <f t="array" ref="Q67">SUMPRODUCT(TAB_CS[[Jul-2023]:[Sep-2023]]*(TAB_CS[Company]='Consortium calculs'!$C67)*(TAB_CS[Lot]="Lot 3"))</f>
        <v>142</v>
      </c>
      <c r="R67" s="589" cm="1">
        <f t="array" ref="R67">SUMPRODUCT(TAB_CS[[Jul-2023]:[Sep-2023]]*(TAB_CS[Profile in €])*(TAB_CS[Company]='Consortium calculs'!$C67)*(TAB_CS[Lot]="Lot 3"))</f>
        <v>120217.23</v>
      </c>
      <c r="S67" s="588" cm="1">
        <f t="array" ref="S67">SUMPRODUCT(TAB_CS[[Oct-2023]:[Dec-2023]]*(TAB_CS[Company]='Consortium calculs'!$C67)*(TAB_CS[Lot]="Lot 3"))</f>
        <v>158</v>
      </c>
      <c r="T67" s="589" cm="1">
        <f t="array" ref="T67">SUMPRODUCT(TAB_CS[[Oct-2023]:[Dec-2023]]*(TAB_CS[Profile in €])*(TAB_CS[Company]='Consortium calculs'!$C67)*(TAB_CS[Lot]="Lot 3"))</f>
        <v>134065.87</v>
      </c>
      <c r="U67" s="588" cm="1">
        <f t="array" ref="U67">SUMPRODUCT(TAB_CS[[Jan-2024]:[Mar-2024]]*(TAB_CS[Company]='Consortium calculs'!$C67)*(TAB_CS[Lot]="Lot 3"))</f>
        <v>158</v>
      </c>
      <c r="V67" s="589" cm="1">
        <f t="array" ref="V67">SUMPRODUCT(TAB_CS[[Jan-2024]:[Mar-2024]]*(TAB_CS[Profile in €])*(TAB_CS[Company]='Consortium calculs'!$C67)*(TAB_CS[Lot]="Lot 3"))</f>
        <v>133980.94</v>
      </c>
      <c r="W67" s="588" cm="1">
        <f t="array" ref="W67">SUMPRODUCT(TAB_CS[[Apr-2024]:[Jun-2024]]*(TAB_CS[Company]='Consortium calculs'!$C67)*(TAB_CS[Lot]="Lot 3"))</f>
        <v>157</v>
      </c>
      <c r="X67" s="589" cm="1">
        <f t="array" ref="X67">SUMPRODUCT(TAB_CS[[Apr-2024]:[Jun-2024]]*(TAB_CS[Profile in €])*(TAB_CS[Company]='Consortium calculs'!$C67)*(TAB_CS[Lot]="Lot 3"))</f>
        <v>137931.62</v>
      </c>
      <c r="Y67" s="588" cm="1">
        <f t="array" ref="Y67">SUMPRODUCT(TAB_CS[[Jul-2024]:[Sep-2024]]*(TAB_CS[Company]='Consortium calculs'!$C67)*(TAB_CS[Lot]="Lot 3"))</f>
        <v>124.5</v>
      </c>
      <c r="Z67" s="589" cm="1">
        <f t="array" ref="Z67">SUMPRODUCT(TAB_CS[[Jul-2024]:[Sep-2024]]*(TAB_CS[Profile in €])*(TAB_CS[Company]='Consortium calculs'!$C67)*(TAB_CS[Lot]="Lot 3"))</f>
        <v>110944.855</v>
      </c>
      <c r="AA67" s="588" cm="1">
        <f t="array" ref="AA67">SUMPRODUCT(TAB_CS[[Oct-2024]:[Dec-2024]]*(TAB_CS[Company]='Consortium calculs'!$C67)*(TAB_CS[Lot]="Lot 3"))</f>
        <v>157</v>
      </c>
      <c r="AB67" s="589" cm="1">
        <f t="array" ref="AB67">SUMPRODUCT(TAB_CS[[Oct-2024]:[Dec-2024]]*(TAB_CS[Profile in €])*(TAB_CS[Company]='Consortium calculs'!$C67)*(TAB_CS[Lot]="Lot 3"))</f>
        <v>140224.23000000001</v>
      </c>
      <c r="AC67" s="588" cm="1">
        <f t="array" ref="AC67">SUMPRODUCT(TAB_CS[[Jan-2025]:[Mar-2025]]*(TAB_CS[Company]='Consortium calculs'!$C67)*(TAB_CS[Lot]="Lot 3"))</f>
        <v>108</v>
      </c>
      <c r="AD67" s="589" cm="1">
        <f t="array" ref="AD67">SUMPRODUCT(TAB_CS[[Jan-2025]:[Mar-2025]]*(TAB_CS[Profile in €])*(TAB_CS[Company]='Consortium calculs'!$C67)*(TAB_CS[Lot]="Lot 3"))</f>
        <v>98386.920000000013</v>
      </c>
      <c r="AE67" s="588" cm="1">
        <f t="array" ref="AE67">SUMPRODUCT(TAB_CS[[Apr-2025]:[Jun-2025]]*(TAB_CS[Company]='Consortium calculs'!$C67)*(TAB_CS[Lot]="Lot 3"))</f>
        <v>108</v>
      </c>
      <c r="AF67" s="589" cm="1">
        <f t="array" ref="AF67">SUMPRODUCT(TAB_CS[[Apr-2025]:[Jun-2025]]*(TAB_CS[Profile in €])*(TAB_CS[Company]='Consortium calculs'!$C67)*(TAB_CS[Lot]="Lot 3"))</f>
        <v>100152.11000000002</v>
      </c>
      <c r="AG67" s="588" cm="1">
        <f t="array" ref="AG67">SUMPRODUCT(TAB_CS[[Jul-2025]:[Sep-2025]]*(TAB_CS[Company]='Consortium calculs'!$C67)*(TAB_CS[Lot]="Lot 3"))</f>
        <v>108</v>
      </c>
      <c r="AH67" s="589" cm="1">
        <f t="array" ref="AH67">SUMPRODUCT(TAB_CS[[Jul-2025]:[Sep-2025]]*(TAB_CS[Profile in €])*(TAB_CS[Company]='Consortium calculs'!$C67)*(TAB_CS[Lot]="Lot 3"))</f>
        <v>100911.96</v>
      </c>
      <c r="AI67" s="588" cm="1">
        <f t="array" ref="AI67">SUMPRODUCT(TAB_CS[[Oct-2025]:[Dec-2025]]*(TAB_CS[Company]='Consortium calculs'!$C67)*(TAB_CS[Lot]="Lot 3"))</f>
        <v>101.5</v>
      </c>
      <c r="AJ67" s="589" cm="1">
        <f t="array" ref="AJ67">SUMPRODUCT(TAB_CS[[Oct-2025]:[Dec-2025]]*(TAB_CS[Profile in €])*(TAB_CS[Company]='Consortium calculs'!$C67)*(TAB_CS[Lot]="Lot 3"))</f>
        <v>94838.555000000008</v>
      </c>
    </row>
    <row r="68" spans="2:36" x14ac:dyDescent="0.25">
      <c r="B68" s="668"/>
      <c r="C68" s="40" t="s">
        <v>86</v>
      </c>
      <c r="D68" s="44">
        <f t="shared" si="44"/>
        <v>1783</v>
      </c>
      <c r="E68" s="39">
        <f t="shared" si="45"/>
        <v>979449.80500000005</v>
      </c>
      <c r="G68" s="588" cm="1">
        <f t="array" ref="G68">SUMPRODUCT(TAB_CS[[Apr-2022]:[Jun-2022]]*(TAB_CS[Company]='Consortium calculs'!$C68)*(TAB_CS[Lot]="Lot 3"))</f>
        <v>0</v>
      </c>
      <c r="H68" s="589" cm="1">
        <f t="array" ref="H68">SUMPRODUCT(TAB_CS[[Apr-2022]:[Jun-2022]]*(TAB_CS[Profile in €])*(TAB_CS[Company]='Consortium calculs'!$C68)*(TAB_CS[Lot]="Lot 3"))</f>
        <v>0</v>
      </c>
      <c r="I68" s="588" cm="1">
        <f t="array" ref="I68">SUMPRODUCT(TAB_CS[[Jul-2022]:[Sep-2022]]*(TAB_CS[Company]='Consortium calculs'!$C68)*(TAB_CS[Lot]="Lot 3"))</f>
        <v>8</v>
      </c>
      <c r="J68" s="589" cm="1">
        <f t="array" ref="J68">SUMPRODUCT(TAB_CS[[Jul-2022]:[Sep-2022]]*(TAB_CS[Profile in €])*(TAB_CS[Company]='Consortium calculs'!$C68)*(TAB_CS[Lot]="Lot 3"))</f>
        <v>4123.68</v>
      </c>
      <c r="K68" s="588" cm="1">
        <f t="array" ref="K68">SUMPRODUCT(TAB_CS[[Oct-2022]:[Dec-2022]]*(TAB_CS[Company]='Consortium calculs'!$C68)*(TAB_CS[Lot]="Lot 3"))</f>
        <v>99</v>
      </c>
      <c r="L68" s="589" cm="1">
        <f t="array" ref="L68">SUMPRODUCT(TAB_CS[[Oct-2022]:[Dec-2022]]*(TAB_CS[Profile in €])*(TAB_CS[Company]='Consortium calculs'!$C68)*(TAB_CS[Lot]="Lot 3"))</f>
        <v>54774.145000000011</v>
      </c>
      <c r="M68" s="588" cm="1">
        <f t="array" ref="M68">SUMPRODUCT(TAB_CS[[Jan-2023]:[Mar-2023]]*(TAB_CS[Company]='Consortium calculs'!$C68)*(TAB_CS[Lot]="Lot 3"))</f>
        <v>242</v>
      </c>
      <c r="N68" s="589" cm="1">
        <f t="array" ref="N68">SUMPRODUCT(TAB_CS[[Jan-2023]:[Mar-2023]]*(TAB_CS[Profile in €])*(TAB_CS[Company]='Consortium calculs'!$C68)*(TAB_CS[Lot]="Lot 3"))</f>
        <v>136500.83000000002</v>
      </c>
      <c r="O68" s="588" cm="1">
        <f t="array" ref="O68">SUMPRODUCT(TAB_CS[[Apr-2023]:[Jun-2023]]*(TAB_CS[Company]='Consortium calculs'!$C68)*(TAB_CS[Lot]="Lot 3"))</f>
        <v>185.5</v>
      </c>
      <c r="P68" s="589" cm="1">
        <f t="array" ref="P68">SUMPRODUCT(TAB_CS[[Apr-2023]:[Jun-2023]]*(TAB_CS[Profile in €])*(TAB_CS[Company]='Consortium calculs'!$C68)*(TAB_CS[Lot]="Lot 3"))</f>
        <v>97974.735000000001</v>
      </c>
      <c r="Q68" s="588" cm="1">
        <f t="array" ref="Q68">SUMPRODUCT(TAB_CS[[Jul-2023]:[Sep-2023]]*(TAB_CS[Company]='Consortium calculs'!$C68)*(TAB_CS[Lot]="Lot 3"))</f>
        <v>165.5</v>
      </c>
      <c r="R68" s="589" cm="1">
        <f t="array" ref="R68">SUMPRODUCT(TAB_CS[[Jul-2023]:[Sep-2023]]*(TAB_CS[Profile in €])*(TAB_CS[Company]='Consortium calculs'!$C68)*(TAB_CS[Lot]="Lot 3"))</f>
        <v>83562.690000000017</v>
      </c>
      <c r="S68" s="588" cm="1">
        <f t="array" ref="S68">SUMPRODUCT(TAB_CS[[Oct-2023]:[Dec-2023]]*(TAB_CS[Company]='Consortium calculs'!$C68)*(TAB_CS[Lot]="Lot 3"))</f>
        <v>160</v>
      </c>
      <c r="T68" s="589" cm="1">
        <f t="array" ref="T68">SUMPRODUCT(TAB_CS[[Oct-2023]:[Dec-2023]]*(TAB_CS[Profile in €])*(TAB_CS[Company]='Consortium calculs'!$C68)*(TAB_CS[Lot]="Lot 3"))</f>
        <v>82228.38</v>
      </c>
      <c r="U68" s="588" cm="1">
        <f t="array" ref="U68">SUMPRODUCT(TAB_CS[[Jan-2024]:[Mar-2024]]*(TAB_CS[Company]='Consortium calculs'!$C68)*(TAB_CS[Lot]="Lot 3"))</f>
        <v>239</v>
      </c>
      <c r="V68" s="589" cm="1">
        <f t="array" ref="V68">SUMPRODUCT(TAB_CS[[Jan-2024]:[Mar-2024]]*(TAB_CS[Profile in €])*(TAB_CS[Company]='Consortium calculs'!$C68)*(TAB_CS[Lot]="Lot 3"))</f>
        <v>137115.89499999999</v>
      </c>
      <c r="W68" s="588" cm="1">
        <f t="array" ref="W68">SUMPRODUCT(TAB_CS[[Apr-2024]:[Jun-2024]]*(TAB_CS[Company]='Consortium calculs'!$C68)*(TAB_CS[Lot]="Lot 3"))</f>
        <v>207.5</v>
      </c>
      <c r="X68" s="589" cm="1">
        <f t="array" ref="X68">SUMPRODUCT(TAB_CS[[Apr-2024]:[Jun-2024]]*(TAB_CS[Profile in €])*(TAB_CS[Company]='Consortium calculs'!$C68)*(TAB_CS[Lot]="Lot 3"))</f>
        <v>119993.25</v>
      </c>
      <c r="Y68" s="588" cm="1">
        <f t="array" ref="Y68">SUMPRODUCT(TAB_CS[[Jul-2024]:[Sep-2024]]*(TAB_CS[Company]='Consortium calculs'!$C68)*(TAB_CS[Lot]="Lot 3"))</f>
        <v>157</v>
      </c>
      <c r="Z68" s="589" cm="1">
        <f t="array" ref="Z68">SUMPRODUCT(TAB_CS[[Jul-2024]:[Sep-2024]]*(TAB_CS[Profile in €])*(TAB_CS[Company]='Consortium calculs'!$C68)*(TAB_CS[Lot]="Lot 3"))</f>
        <v>86607.164999999994</v>
      </c>
      <c r="AA68" s="588" cm="1">
        <f t="array" ref="AA68">SUMPRODUCT(TAB_CS[[Oct-2024]:[Dec-2024]]*(TAB_CS[Company]='Consortium calculs'!$C68)*(TAB_CS[Lot]="Lot 3"))</f>
        <v>157.5</v>
      </c>
      <c r="AB68" s="589" cm="1">
        <f t="array" ref="AB68">SUMPRODUCT(TAB_CS[[Oct-2024]:[Dec-2024]]*(TAB_CS[Profile in €])*(TAB_CS[Company]='Consortium calculs'!$C68)*(TAB_CS[Lot]="Lot 3"))</f>
        <v>86862.61500000002</v>
      </c>
      <c r="AC68" s="588" cm="1">
        <f t="array" ref="AC68">SUMPRODUCT(TAB_CS[[Jan-2025]:[Mar-2025]]*(TAB_CS[Company]='Consortium calculs'!$C68)*(TAB_CS[Lot]="Lot 3"))</f>
        <v>162</v>
      </c>
      <c r="AD68" s="589" cm="1">
        <f t="array" ref="AD68">SUMPRODUCT(TAB_CS[[Jan-2025]:[Mar-2025]]*(TAB_CS[Profile in €])*(TAB_CS[Company]='Consortium calculs'!$C68)*(TAB_CS[Lot]="Lot 3"))</f>
        <v>89706.420000000013</v>
      </c>
      <c r="AE68" s="588" cm="1">
        <f t="array" ref="AE68">SUMPRODUCT(TAB_CS[[Apr-2025]:[Jun-2025]]*(TAB_CS[Company]='Consortium calculs'!$C68)*(TAB_CS[Lot]="Lot 3"))</f>
        <v>97</v>
      </c>
      <c r="AF68" s="589" cm="1">
        <f t="array" ref="AF68">SUMPRODUCT(TAB_CS[[Apr-2025]:[Jun-2025]]*(TAB_CS[Profile in €])*(TAB_CS[Company]='Consortium calculs'!$C68)*(TAB_CS[Lot]="Lot 3"))</f>
        <v>54187.995000000003</v>
      </c>
      <c r="AG68" s="588" cm="1">
        <f t="array" ref="AG68">SUMPRODUCT(TAB_CS[[Jul-2025]:[Sep-2025]]*(TAB_CS[Company]='Consortium calculs'!$C68)*(TAB_CS[Lot]="Lot 3"))</f>
        <v>0</v>
      </c>
      <c r="AH68" s="589" cm="1">
        <f t="array" ref="AH68">SUMPRODUCT(TAB_CS[[Jul-2025]:[Sep-2025]]*(TAB_CS[Profile in €])*(TAB_CS[Company]='Consortium calculs'!$C68)*(TAB_CS[Lot]="Lot 3"))</f>
        <v>0</v>
      </c>
      <c r="AI68" s="588" cm="1">
        <f t="array" ref="AI68">SUMPRODUCT(TAB_CS[[Oct-2025]:[Dec-2025]]*(TAB_CS[Company]='Consortium calculs'!$C68)*(TAB_CS[Lot]="Lot 3"))</f>
        <v>0</v>
      </c>
      <c r="AJ68" s="589" cm="1">
        <f t="array" ref="AJ68">SUMPRODUCT(TAB_CS[[Oct-2025]:[Dec-2025]]*(TAB_CS[Profile in €])*(TAB_CS[Company]='Consortium calculs'!$C68)*(TAB_CS[Lot]="Lot 3"))</f>
        <v>0</v>
      </c>
    </row>
    <row r="69" spans="2:36" x14ac:dyDescent="0.25">
      <c r="B69" s="668"/>
      <c r="C69" s="40" t="s">
        <v>87</v>
      </c>
      <c r="D69" s="44">
        <f t="shared" si="44"/>
        <v>174.5</v>
      </c>
      <c r="E69" s="39">
        <f t="shared" si="45"/>
        <v>92177.88</v>
      </c>
      <c r="G69" s="588" cm="1">
        <f t="array" ref="G69">SUMPRODUCT(TAB_CS[[Apr-2022]:[Jun-2022]]*(TAB_CS[Company]='Consortium calculs'!$C69)*(TAB_CS[Lot]="Lot 3"))</f>
        <v>0</v>
      </c>
      <c r="H69" s="589" cm="1">
        <f t="array" ref="H69">SUMPRODUCT(TAB_CS[[Apr-2022]:[Jun-2022]]*(TAB_CS[Profile in €])*(TAB_CS[Company]='Consortium calculs'!$C69)*(TAB_CS[Lot]="Lot 3"))</f>
        <v>0</v>
      </c>
      <c r="I69" s="588" cm="1">
        <f t="array" ref="I69">SUMPRODUCT(TAB_CS[[Jul-2022]:[Sep-2022]]*(TAB_CS[Company]='Consortium calculs'!$C69)*(TAB_CS[Lot]="Lot 3"))</f>
        <v>0</v>
      </c>
      <c r="J69" s="589" cm="1">
        <f t="array" ref="J69">SUMPRODUCT(TAB_CS[[Jul-2022]:[Sep-2022]]*(TAB_CS[Profile in €])*(TAB_CS[Company]='Consortium calculs'!$C69)*(TAB_CS[Lot]="Lot 3"))</f>
        <v>0</v>
      </c>
      <c r="K69" s="588" cm="1">
        <f t="array" ref="K69">SUMPRODUCT(TAB_CS[[Oct-2022]:[Dec-2022]]*(TAB_CS[Company]='Consortium calculs'!$C69)*(TAB_CS[Lot]="Lot 3"))</f>
        <v>0</v>
      </c>
      <c r="L69" s="589" cm="1">
        <f t="array" ref="L69">SUMPRODUCT(TAB_CS[[Oct-2022]:[Dec-2022]]*(TAB_CS[Profile in €])*(TAB_CS[Company]='Consortium calculs'!$C69)*(TAB_CS[Lot]="Lot 3"))</f>
        <v>0</v>
      </c>
      <c r="M69" s="588" cm="1">
        <f t="array" ref="M69">SUMPRODUCT(TAB_CS[[Jan-2023]:[Mar-2023]]*(TAB_CS[Company]='Consortium calculs'!$C69)*(TAB_CS[Lot]="Lot 3"))</f>
        <v>0</v>
      </c>
      <c r="N69" s="589" cm="1">
        <f t="array" ref="N69">SUMPRODUCT(TAB_CS[[Jan-2023]:[Mar-2023]]*(TAB_CS[Profile in €])*(TAB_CS[Company]='Consortium calculs'!$C69)*(TAB_CS[Lot]="Lot 3"))</f>
        <v>0</v>
      </c>
      <c r="O69" s="588" cm="1">
        <f t="array" ref="O69">SUMPRODUCT(TAB_CS[[Apr-2023]:[Jun-2023]]*(TAB_CS[Company]='Consortium calculs'!$C69)*(TAB_CS[Lot]="Lot 3"))</f>
        <v>0</v>
      </c>
      <c r="P69" s="589" cm="1">
        <f t="array" ref="P69">SUMPRODUCT(TAB_CS[[Apr-2023]:[Jun-2023]]*(TAB_CS[Profile in €])*(TAB_CS[Company]='Consortium calculs'!$C69)*(TAB_CS[Lot]="Lot 3"))</f>
        <v>0</v>
      </c>
      <c r="Q69" s="588" cm="1">
        <f t="array" ref="Q69">SUMPRODUCT(TAB_CS[[Jul-2023]:[Sep-2023]]*(TAB_CS[Company]='Consortium calculs'!$C69)*(TAB_CS[Lot]="Lot 3"))</f>
        <v>0</v>
      </c>
      <c r="R69" s="589" cm="1">
        <f t="array" ref="R69">SUMPRODUCT(TAB_CS[[Jul-2023]:[Sep-2023]]*(TAB_CS[Profile in €])*(TAB_CS[Company]='Consortium calculs'!$C69)*(TAB_CS[Lot]="Lot 3"))</f>
        <v>0</v>
      </c>
      <c r="S69" s="588" cm="1">
        <f t="array" ref="S69">SUMPRODUCT(TAB_CS[[Oct-2023]:[Dec-2023]]*(TAB_CS[Company]='Consortium calculs'!$C69)*(TAB_CS[Lot]="Lot 3"))</f>
        <v>0</v>
      </c>
      <c r="T69" s="589" cm="1">
        <f t="array" ref="T69">SUMPRODUCT(TAB_CS[[Oct-2023]:[Dec-2023]]*(TAB_CS[Profile in €])*(TAB_CS[Company]='Consortium calculs'!$C69)*(TAB_CS[Lot]="Lot 3"))</f>
        <v>0</v>
      </c>
      <c r="U69" s="588" cm="1">
        <f t="array" ref="U69">SUMPRODUCT(TAB_CS[[Jan-2024]:[Mar-2024]]*(TAB_CS[Company]='Consortium calculs'!$C69)*(TAB_CS[Lot]="Lot 3"))</f>
        <v>0</v>
      </c>
      <c r="V69" s="589" cm="1">
        <f t="array" ref="V69">SUMPRODUCT(TAB_CS[[Jan-2024]:[Mar-2024]]*(TAB_CS[Profile in €])*(TAB_CS[Company]='Consortium calculs'!$C69)*(TAB_CS[Lot]="Lot 3"))</f>
        <v>0</v>
      </c>
      <c r="W69" s="588" cm="1">
        <f t="array" ref="W69">SUMPRODUCT(TAB_CS[[Apr-2024]:[Jun-2024]]*(TAB_CS[Company]='Consortium calculs'!$C69)*(TAB_CS[Lot]="Lot 3"))</f>
        <v>14.5</v>
      </c>
      <c r="X69" s="589" cm="1">
        <f t="array" ref="X69">SUMPRODUCT(TAB_CS[[Apr-2024]:[Jun-2024]]*(TAB_CS[Profile in €])*(TAB_CS[Company]='Consortium calculs'!$C69)*(TAB_CS[Lot]="Lot 3"))</f>
        <v>7659.4800000000005</v>
      </c>
      <c r="Y69" s="588" cm="1">
        <f t="array" ref="Y69">SUMPRODUCT(TAB_CS[[Jul-2024]:[Sep-2024]]*(TAB_CS[Company]='Consortium calculs'!$C69)*(TAB_CS[Lot]="Lot 3"))</f>
        <v>52</v>
      </c>
      <c r="Z69" s="589" cm="1">
        <f t="array" ref="Z69">SUMPRODUCT(TAB_CS[[Jul-2024]:[Sep-2024]]*(TAB_CS[Profile in €])*(TAB_CS[Company]='Consortium calculs'!$C69)*(TAB_CS[Lot]="Lot 3"))</f>
        <v>27468.48</v>
      </c>
      <c r="AA69" s="588" cm="1">
        <f t="array" ref="AA69">SUMPRODUCT(TAB_CS[[Oct-2024]:[Dec-2024]]*(TAB_CS[Company]='Consortium calculs'!$C69)*(TAB_CS[Lot]="Lot 3"))</f>
        <v>54</v>
      </c>
      <c r="AB69" s="589" cm="1">
        <f t="array" ref="AB69">SUMPRODUCT(TAB_CS[[Oct-2024]:[Dec-2024]]*(TAB_CS[Profile in €])*(TAB_CS[Company]='Consortium calculs'!$C69)*(TAB_CS[Lot]="Lot 3"))</f>
        <v>28524.959999999999</v>
      </c>
      <c r="AC69" s="588" cm="1">
        <f t="array" ref="AC69">SUMPRODUCT(TAB_CS[[Jan-2025]:[Mar-2025]]*(TAB_CS[Company]='Consortium calculs'!$C69)*(TAB_CS[Lot]="Lot 3"))</f>
        <v>54</v>
      </c>
      <c r="AD69" s="589" cm="1">
        <f t="array" ref="AD69">SUMPRODUCT(TAB_CS[[Jan-2025]:[Mar-2025]]*(TAB_CS[Profile in €])*(TAB_CS[Company]='Consortium calculs'!$C69)*(TAB_CS[Lot]="Lot 3"))</f>
        <v>28524.959999999999</v>
      </c>
      <c r="AE69" s="588" cm="1">
        <f t="array" ref="AE69">SUMPRODUCT(TAB_CS[[Apr-2025]:[Jun-2025]]*(TAB_CS[Company]='Consortium calculs'!$C69)*(TAB_CS[Lot]="Lot 3"))</f>
        <v>30.5</v>
      </c>
      <c r="AF69" s="589" cm="1">
        <f t="array" ref="AF69">SUMPRODUCT(TAB_CS[[Apr-2025]:[Jun-2025]]*(TAB_CS[Profile in €])*(TAB_CS[Company]='Consortium calculs'!$C69)*(TAB_CS[Lot]="Lot 3"))</f>
        <v>16111.32</v>
      </c>
      <c r="AG69" s="588" cm="1">
        <f t="array" ref="AG69">SUMPRODUCT(TAB_CS[[Jul-2025]:[Sep-2025]]*(TAB_CS[Company]='Consortium calculs'!$C69)*(TAB_CS[Lot]="Lot 3"))</f>
        <v>0</v>
      </c>
      <c r="AH69" s="589" cm="1">
        <f t="array" ref="AH69">SUMPRODUCT(TAB_CS[[Jul-2025]:[Sep-2025]]*(TAB_CS[Profile in €])*(TAB_CS[Company]='Consortium calculs'!$C69)*(TAB_CS[Lot]="Lot 3"))</f>
        <v>0</v>
      </c>
      <c r="AI69" s="588" cm="1">
        <f t="array" ref="AI69">SUMPRODUCT(TAB_CS[[Oct-2025]:[Dec-2025]]*(TAB_CS[Company]='Consortium calculs'!$C69)*(TAB_CS[Lot]="Lot 3"))</f>
        <v>0</v>
      </c>
      <c r="AJ69" s="589" cm="1">
        <f t="array" ref="AJ69">SUMPRODUCT(TAB_CS[[Oct-2025]:[Dec-2025]]*(TAB_CS[Profile in €])*(TAB_CS[Company]='Consortium calculs'!$C69)*(TAB_CS[Lot]="Lot 3"))</f>
        <v>0</v>
      </c>
    </row>
    <row r="70" spans="2:36" ht="13.8" thickBot="1" x14ac:dyDescent="0.3">
      <c r="B70" s="669"/>
      <c r="C70" s="40" t="s">
        <v>88</v>
      </c>
      <c r="D70" s="586">
        <f t="shared" si="44"/>
        <v>558.5</v>
      </c>
      <c r="E70" s="69">
        <f t="shared" si="45"/>
        <v>318599.13</v>
      </c>
      <c r="G70" s="588" cm="1">
        <f t="array" ref="G70">SUMPRODUCT(TAB_CS[[Apr-2022]:[Jun-2022]]*(TAB_CS[Company]='Consortium calculs'!$C70)*(TAB_CS[Lot]="Lot 3"))</f>
        <v>0</v>
      </c>
      <c r="H70" s="589" cm="1">
        <f t="array" ref="H70">SUMPRODUCT(TAB_CS[[Apr-2022]:[Jun-2022]]*(TAB_CS[Profile in €])*(TAB_CS[Company]='Consortium calculs'!$C70)*(TAB_CS[Lot]="Lot 3"))</f>
        <v>0</v>
      </c>
      <c r="I70" s="588" cm="1">
        <f t="array" ref="I70">SUMPRODUCT(TAB_CS[[Jul-2022]:[Sep-2022]]*(TAB_CS[Company]='Consortium calculs'!$C70)*(TAB_CS[Lot]="Lot 3"))</f>
        <v>4</v>
      </c>
      <c r="J70" s="589" cm="1">
        <f t="array" ref="J70">SUMPRODUCT(TAB_CS[[Jul-2022]:[Sep-2022]]*(TAB_CS[Profile in €])*(TAB_CS[Company]='Consortium calculs'!$C70)*(TAB_CS[Lot]="Lot 3"))</f>
        <v>2156.08</v>
      </c>
      <c r="K70" s="588" cm="1">
        <f t="array" ref="K70">SUMPRODUCT(TAB_CS[[Oct-2022]:[Dec-2022]]*(TAB_CS[Company]='Consortium calculs'!$C70)*(TAB_CS[Lot]="Lot 3"))</f>
        <v>51.5</v>
      </c>
      <c r="L70" s="589" cm="1">
        <f t="array" ref="L70">SUMPRODUCT(TAB_CS[[Oct-2022]:[Dec-2022]]*(TAB_CS[Profile in €])*(TAB_CS[Company]='Consortium calculs'!$C70)*(TAB_CS[Lot]="Lot 3"))</f>
        <v>27759.53</v>
      </c>
      <c r="M70" s="588" cm="1">
        <f t="array" ref="M70">SUMPRODUCT(TAB_CS[[Jan-2023]:[Mar-2023]]*(TAB_CS[Company]='Consortium calculs'!$C70)*(TAB_CS[Lot]="Lot 3"))</f>
        <v>64</v>
      </c>
      <c r="N70" s="589" cm="1">
        <f t="array" ref="N70">SUMPRODUCT(TAB_CS[[Jan-2023]:[Mar-2023]]*(TAB_CS[Profile in €])*(TAB_CS[Company]='Consortium calculs'!$C70)*(TAB_CS[Lot]="Lot 3"))</f>
        <v>34497.279999999999</v>
      </c>
      <c r="O70" s="588" cm="1">
        <f t="array" ref="O70">SUMPRODUCT(TAB_CS[[Apr-2023]:[Jun-2023]]*(TAB_CS[Company]='Consortium calculs'!$C70)*(TAB_CS[Lot]="Lot 3"))</f>
        <v>66</v>
      </c>
      <c r="P70" s="589" cm="1">
        <f t="array" ref="P70">SUMPRODUCT(TAB_CS[[Apr-2023]:[Jun-2023]]*(TAB_CS[Profile in €])*(TAB_CS[Company]='Consortium calculs'!$C70)*(TAB_CS[Lot]="Lot 3"))</f>
        <v>42029.039999999994</v>
      </c>
      <c r="Q70" s="588" cm="1">
        <f t="array" ref="Q70">SUMPRODUCT(TAB_CS[[Jul-2023]:[Sep-2023]]*(TAB_CS[Company]='Consortium calculs'!$C70)*(TAB_CS[Lot]="Lot 3"))</f>
        <v>55.5</v>
      </c>
      <c r="R70" s="589" cm="1">
        <f t="array" ref="R70">SUMPRODUCT(TAB_CS[[Jul-2023]:[Sep-2023]]*(TAB_CS[Profile in €])*(TAB_CS[Company]='Consortium calculs'!$C70)*(TAB_CS[Lot]="Lot 3"))</f>
        <v>33833.94</v>
      </c>
      <c r="S70" s="588" cm="1">
        <f t="array" ref="S70">SUMPRODUCT(TAB_CS[[Oct-2023]:[Dec-2023]]*(TAB_CS[Company]='Consortium calculs'!$C70)*(TAB_CS[Lot]="Lot 3"))</f>
        <v>52</v>
      </c>
      <c r="T70" s="589" cm="1">
        <f t="array" ref="T70">SUMPRODUCT(TAB_CS[[Oct-2023]:[Dec-2023]]*(TAB_CS[Profile in €])*(TAB_CS[Company]='Consortium calculs'!$C70)*(TAB_CS[Lot]="Lot 3"))</f>
        <v>29896.674999999999</v>
      </c>
      <c r="U70" s="588" cm="1">
        <f t="array" ref="U70">SUMPRODUCT(TAB_CS[[Jan-2024]:[Mar-2024]]*(TAB_CS[Company]='Consortium calculs'!$C70)*(TAB_CS[Lot]="Lot 3"))</f>
        <v>59</v>
      </c>
      <c r="V70" s="589" cm="1">
        <f t="array" ref="V70">SUMPRODUCT(TAB_CS[[Jan-2024]:[Mar-2024]]*(TAB_CS[Profile in €])*(TAB_CS[Company]='Consortium calculs'!$C70)*(TAB_CS[Lot]="Lot 3"))</f>
        <v>34028.25</v>
      </c>
      <c r="W70" s="588" cm="1">
        <f t="array" ref="W70">SUMPRODUCT(TAB_CS[[Apr-2024]:[Jun-2024]]*(TAB_CS[Company]='Consortium calculs'!$C70)*(TAB_CS[Lot]="Lot 3"))</f>
        <v>51.5</v>
      </c>
      <c r="X70" s="589" cm="1">
        <f t="array" ref="X70">SUMPRODUCT(TAB_CS[[Apr-2024]:[Jun-2024]]*(TAB_CS[Profile in €])*(TAB_CS[Company]='Consortium calculs'!$C70)*(TAB_CS[Lot]="Lot 3"))</f>
        <v>29702.625</v>
      </c>
      <c r="Y70" s="588" cm="1">
        <f t="array" ref="Y70">SUMPRODUCT(TAB_CS[[Jul-2024]:[Sep-2024]]*(TAB_CS[Company]='Consortium calculs'!$C70)*(TAB_CS[Lot]="Lot 3"))</f>
        <v>54</v>
      </c>
      <c r="Z70" s="589" cm="1">
        <f t="array" ref="Z70">SUMPRODUCT(TAB_CS[[Jul-2024]:[Sep-2024]]*(TAB_CS[Profile in €])*(TAB_CS[Company]='Consortium calculs'!$C70)*(TAB_CS[Lot]="Lot 3"))</f>
        <v>31144.5</v>
      </c>
      <c r="AA70" s="588" cm="1">
        <f t="array" ref="AA70">SUMPRODUCT(TAB_CS[[Oct-2024]:[Dec-2024]]*(TAB_CS[Company]='Consortium calculs'!$C70)*(TAB_CS[Lot]="Lot 3"))</f>
        <v>47</v>
      </c>
      <c r="AB70" s="589" cm="1">
        <f t="array" ref="AB70">SUMPRODUCT(TAB_CS[[Oct-2024]:[Dec-2024]]*(TAB_CS[Profile in €])*(TAB_CS[Company]='Consortium calculs'!$C70)*(TAB_CS[Lot]="Lot 3"))</f>
        <v>24919.870000000003</v>
      </c>
      <c r="AC70" s="588" cm="1">
        <f t="array" ref="AC70">SUMPRODUCT(TAB_CS[[Jan-2025]:[Mar-2025]]*(TAB_CS[Company]='Consortium calculs'!$C70)*(TAB_CS[Lot]="Lot 3"))</f>
        <v>54</v>
      </c>
      <c r="AD70" s="589" cm="1">
        <f t="array" ref="AD70">SUMPRODUCT(TAB_CS[[Jan-2025]:[Mar-2025]]*(TAB_CS[Profile in €])*(TAB_CS[Company]='Consortium calculs'!$C70)*(TAB_CS[Lot]="Lot 3"))</f>
        <v>28631.340000000004</v>
      </c>
      <c r="AE70" s="588" cm="1">
        <f t="array" ref="AE70">SUMPRODUCT(TAB_CS[[Apr-2025]:[Jun-2025]]*(TAB_CS[Company]='Consortium calculs'!$C70)*(TAB_CS[Lot]="Lot 3"))</f>
        <v>29</v>
      </c>
      <c r="AF70" s="589" cm="1">
        <f t="array" ref="AF70">SUMPRODUCT(TAB_CS[[Apr-2025]:[Jun-2025]]*(TAB_CS[Profile in €])*(TAB_CS[Company]='Consortium calculs'!$C70)*(TAB_CS[Lot]="Lot 3"))</f>
        <v>15376.09</v>
      </c>
      <c r="AG70" s="588" cm="1">
        <f t="array" ref="AG70">SUMPRODUCT(TAB_CS[[Jul-2025]:[Sep-2025]]*(TAB_CS[Company]='Consortium calculs'!$C70)*(TAB_CS[Lot]="Lot 3"))</f>
        <v>0</v>
      </c>
      <c r="AH70" s="589" cm="1">
        <f t="array" ref="AH70">SUMPRODUCT(TAB_CS[[Jul-2025]:[Sep-2025]]*(TAB_CS[Profile in €])*(TAB_CS[Company]='Consortium calculs'!$C70)*(TAB_CS[Lot]="Lot 3"))</f>
        <v>0</v>
      </c>
      <c r="AI70" s="588" cm="1">
        <f t="array" ref="AI70">SUMPRODUCT(TAB_CS[[Oct-2025]:[Dec-2025]]*(TAB_CS[Company]='Consortium calculs'!$C70)*(TAB_CS[Lot]="Lot 3"))</f>
        <v>0</v>
      </c>
      <c r="AJ70" s="589" cm="1">
        <f t="array" ref="AJ70">SUMPRODUCT(TAB_CS[[Oct-2025]:[Dec-2025]]*(TAB_CS[Profile in €])*(TAB_CS[Company]='Consortium calculs'!$C70)*(TAB_CS[Lot]="Lot 3"))</f>
        <v>0</v>
      </c>
    </row>
  </sheetData>
  <mergeCells count="34">
    <mergeCell ref="B42:B47"/>
    <mergeCell ref="A1:A2"/>
    <mergeCell ref="B1:B2"/>
    <mergeCell ref="A22:A34"/>
    <mergeCell ref="B9:B14"/>
    <mergeCell ref="B3:B8"/>
    <mergeCell ref="B27:B30"/>
    <mergeCell ref="B22:B26"/>
    <mergeCell ref="A21:B21"/>
    <mergeCell ref="A3:A20"/>
    <mergeCell ref="B15:B20"/>
    <mergeCell ref="B31:B34"/>
    <mergeCell ref="AG1:AH1"/>
    <mergeCell ref="AI1:AJ1"/>
    <mergeCell ref="U1:V1"/>
    <mergeCell ref="W1:X1"/>
    <mergeCell ref="Y1:Z1"/>
    <mergeCell ref="AA1:AB1"/>
    <mergeCell ref="B51:B56"/>
    <mergeCell ref="B58:B63"/>
    <mergeCell ref="B65:B70"/>
    <mergeCell ref="AC1:AD1"/>
    <mergeCell ref="AE1:AF1"/>
    <mergeCell ref="S1:T1"/>
    <mergeCell ref="Q1:R1"/>
    <mergeCell ref="C1:C2"/>
    <mergeCell ref="D1:E1"/>
    <mergeCell ref="O1:P1"/>
    <mergeCell ref="M1:N1"/>
    <mergeCell ref="I1:J1"/>
    <mergeCell ref="K1:L1"/>
    <mergeCell ref="G1:H1"/>
    <mergeCell ref="A35:B35"/>
    <mergeCell ref="B36:B41"/>
  </mergeCells>
  <phoneticPr fontId="66" type="noConversion"/>
  <pageMargins left="0.7" right="0.7" top="0.75" bottom="0.75" header="0.3" footer="0.3"/>
  <pageSetup paperSize="9" orientation="portrait" horizontalDpi="200" verticalDpi="1200" r:id="rId1"/>
  <headerFooter>
    <oddFooter>&amp;C_x000D_&amp;1#&amp;"Arial"&amp;9&amp;K000000 Confidential</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545319-0D13-4B61-96B5-E0A795ADBF08}">
  <sheetPr>
    <tabColor theme="6" tint="0.39997558519241921"/>
  </sheetPr>
  <dimension ref="A1:AW102"/>
  <sheetViews>
    <sheetView workbookViewId="0">
      <pane xSplit="10" ySplit="7" topLeftCell="AM24" activePane="bottomRight" state="frozen"/>
      <selection pane="topRight" activeCell="K1" sqref="K1"/>
      <selection pane="bottomLeft" activeCell="A8" sqref="A8"/>
      <selection pane="bottomRight"/>
    </sheetView>
  </sheetViews>
  <sheetFormatPr baseColWidth="10" defaultColWidth="11.44140625" defaultRowHeight="14.4" outlineLevelCol="1" x14ac:dyDescent="0.3"/>
  <cols>
    <col min="1" max="1" width="4.88671875" style="382" customWidth="1"/>
    <col min="2" max="2" width="9.6640625" style="382" customWidth="1"/>
    <col min="3" max="3" width="34.6640625" style="382" customWidth="1"/>
    <col min="4" max="5" width="11.44140625" style="382"/>
    <col min="6" max="7" width="13.5546875" style="382" customWidth="1"/>
    <col min="8" max="8" width="41.109375" style="382" hidden="1" customWidth="1"/>
    <col min="9" max="9" width="18" style="382" customWidth="1"/>
    <col min="10" max="10" width="15" style="382" customWidth="1" outlineLevel="1"/>
    <col min="11" max="11" width="15" style="420" customWidth="1" outlineLevel="1"/>
    <col min="12" max="12" width="17.44140625" style="382" customWidth="1" outlineLevel="1"/>
    <col min="13" max="13" width="14.44140625" style="382" customWidth="1" outlineLevel="1"/>
    <col min="14" max="15" width="14.5546875" style="382" customWidth="1" outlineLevel="1"/>
    <col min="16" max="16" width="14.44140625" style="382" customWidth="1" outlineLevel="1"/>
    <col min="17" max="17" width="15.44140625" style="382" customWidth="1" outlineLevel="1"/>
    <col min="18" max="18" width="13.5546875" style="382" customWidth="1" outlineLevel="1"/>
    <col min="19" max="20" width="14.44140625" style="382" customWidth="1" outlineLevel="1"/>
    <col min="21" max="21" width="13.44140625" style="382" customWidth="1" outlineLevel="1"/>
    <col min="22" max="22" width="15.44140625" style="382" customWidth="1" outlineLevel="1"/>
    <col min="23" max="23" width="15" style="382" customWidth="1" outlineLevel="1"/>
    <col min="24" max="24" width="13.44140625" style="382" customWidth="1" outlineLevel="1"/>
    <col min="25" max="25" width="15.44140625" style="382" customWidth="1" outlineLevel="1"/>
    <col min="26" max="48" width="15" style="382" customWidth="1" outlineLevel="1"/>
    <col min="49" max="49" width="12.88671875" style="382" customWidth="1"/>
    <col min="50" max="16384" width="11.44140625" style="382"/>
  </cols>
  <sheetData>
    <row r="1" spans="1:49" s="381" customFormat="1" x14ac:dyDescent="0.3">
      <c r="B1" s="382"/>
      <c r="C1" s="383"/>
      <c r="D1" s="383"/>
      <c r="K1" s="418"/>
      <c r="L1" s="418"/>
      <c r="M1" s="418"/>
      <c r="N1" s="418"/>
      <c r="O1" s="418"/>
      <c r="P1" s="418"/>
      <c r="Q1" s="418"/>
      <c r="R1" s="418"/>
      <c r="S1" s="418"/>
      <c r="T1" s="418"/>
      <c r="U1" s="418"/>
      <c r="V1" s="418"/>
      <c r="W1" s="418"/>
      <c r="X1" s="418"/>
      <c r="Y1" s="418"/>
      <c r="Z1" s="418"/>
      <c r="AA1" s="418"/>
      <c r="AB1" s="418"/>
      <c r="AC1" s="418"/>
      <c r="AD1" s="418"/>
      <c r="AE1" s="418"/>
      <c r="AF1" s="418"/>
      <c r="AG1" s="418"/>
      <c r="AH1" s="418"/>
      <c r="AI1" s="418"/>
      <c r="AJ1" s="418"/>
      <c r="AK1" s="418"/>
      <c r="AL1" s="418"/>
      <c r="AM1" s="418"/>
      <c r="AN1" s="418"/>
      <c r="AO1" s="418"/>
      <c r="AP1" s="418"/>
      <c r="AQ1" s="418"/>
      <c r="AR1" s="418"/>
      <c r="AS1" s="418"/>
      <c r="AT1" s="418"/>
      <c r="AU1" s="418"/>
      <c r="AV1" s="418"/>
      <c r="AW1" s="418"/>
    </row>
    <row r="2" spans="1:49" ht="18" x14ac:dyDescent="0.3">
      <c r="C2" s="384"/>
      <c r="D2" s="383"/>
      <c r="E2" s="383"/>
      <c r="F2" s="385"/>
      <c r="G2" s="385"/>
      <c r="H2" s="385"/>
      <c r="I2" s="381"/>
      <c r="J2" s="386" t="s">
        <v>5838</v>
      </c>
      <c r="K2" s="387">
        <f t="shared" ref="K2:AW2" si="0">SUMPRODUCT(K9:K54,$D9:$D54)</f>
        <v>0</v>
      </c>
      <c r="L2" s="387">
        <f t="shared" si="0"/>
        <v>10509.5</v>
      </c>
      <c r="M2" s="387">
        <f t="shared" si="0"/>
        <v>68722</v>
      </c>
      <c r="N2" s="387">
        <f t="shared" si="0"/>
        <v>118282</v>
      </c>
      <c r="O2" s="387">
        <f t="shared" si="0"/>
        <v>124030</v>
      </c>
      <c r="P2" s="387">
        <f t="shared" si="0"/>
        <v>137305.5</v>
      </c>
      <c r="Q2" s="387">
        <f t="shared" si="0"/>
        <v>100503</v>
      </c>
      <c r="R2" s="387">
        <f t="shared" si="0"/>
        <v>102217.5</v>
      </c>
      <c r="S2" s="387">
        <f t="shared" si="0"/>
        <v>129853</v>
      </c>
      <c r="T2" s="387">
        <f t="shared" si="0"/>
        <v>93893</v>
      </c>
      <c r="U2" s="387">
        <f t="shared" si="0"/>
        <v>104723.5</v>
      </c>
      <c r="V2" s="387">
        <f t="shared" si="0"/>
        <v>126471.44</v>
      </c>
      <c r="W2" s="387">
        <f t="shared" si="0"/>
        <v>126782.78</v>
      </c>
      <c r="X2" s="387">
        <f t="shared" si="0"/>
        <v>123816.44</v>
      </c>
      <c r="Y2" s="387">
        <f t="shared" si="0"/>
        <v>102214.95</v>
      </c>
      <c r="Z2" s="387">
        <f t="shared" si="0"/>
        <v>124240.61</v>
      </c>
      <c r="AA2" s="387">
        <f t="shared" si="0"/>
        <v>121686.95</v>
      </c>
      <c r="AB2" s="387">
        <f t="shared" si="0"/>
        <v>118492.95</v>
      </c>
      <c r="AC2" s="387">
        <f t="shared" si="0"/>
        <v>128894.98499999999</v>
      </c>
      <c r="AD2" s="387">
        <f t="shared" si="0"/>
        <v>105828.95</v>
      </c>
      <c r="AE2" s="387">
        <f t="shared" si="0"/>
        <v>128462.70499999999</v>
      </c>
      <c r="AF2" s="387">
        <f t="shared" si="0"/>
        <v>128856.935</v>
      </c>
      <c r="AG2" s="387">
        <f t="shared" si="0"/>
        <v>96584.634999999995</v>
      </c>
      <c r="AH2" s="387">
        <f t="shared" si="0"/>
        <v>117537.37</v>
      </c>
      <c r="AI2" s="387">
        <f t="shared" si="0"/>
        <v>126313.795</v>
      </c>
      <c r="AJ2" s="387">
        <f t="shared" si="0"/>
        <v>114279.33499999999</v>
      </c>
      <c r="AK2" s="387">
        <f t="shared" si="0"/>
        <v>116334.36</v>
      </c>
      <c r="AL2" s="387">
        <f t="shared" si="0"/>
        <v>116334.36</v>
      </c>
      <c r="AM2" s="387">
        <f t="shared" si="0"/>
        <v>116334.36</v>
      </c>
      <c r="AN2" s="387">
        <f t="shared" si="0"/>
        <v>116334.36</v>
      </c>
      <c r="AO2" s="387">
        <f t="shared" si="0"/>
        <v>116334.36</v>
      </c>
      <c r="AP2" s="387">
        <f t="shared" si="0"/>
        <v>116424.36</v>
      </c>
      <c r="AQ2" s="387">
        <f t="shared" si="0"/>
        <v>116514.36</v>
      </c>
      <c r="AR2" s="387">
        <f t="shared" si="0"/>
        <v>116514.36</v>
      </c>
      <c r="AS2" s="387">
        <f t="shared" si="0"/>
        <v>116514.36</v>
      </c>
      <c r="AT2" s="387">
        <f t="shared" si="0"/>
        <v>116514.36</v>
      </c>
      <c r="AU2" s="387">
        <f t="shared" si="0"/>
        <v>116514.36</v>
      </c>
      <c r="AV2" s="387">
        <f t="shared" si="0"/>
        <v>116514.36</v>
      </c>
      <c r="AW2" s="387">
        <f t="shared" si="0"/>
        <v>116514.36</v>
      </c>
    </row>
    <row r="3" spans="1:49" s="381" customFormat="1" x14ac:dyDescent="0.25">
      <c r="B3" s="383"/>
      <c r="C3" s="383"/>
      <c r="D3" s="383"/>
      <c r="F3" s="388"/>
      <c r="G3" s="388"/>
      <c r="H3" s="388"/>
      <c r="J3" s="386" t="s">
        <v>5839</v>
      </c>
      <c r="K3" s="387">
        <f>SUMPRODUCT(K9:K41,$E9:$E41)</f>
        <v>0</v>
      </c>
      <c r="L3" s="387">
        <f t="shared" ref="L3:AW3" si="1">SUMPRODUCT(L9:L41,$E9:$E41)</f>
        <v>12380.764999999999</v>
      </c>
      <c r="M3" s="387">
        <f t="shared" si="1"/>
        <v>77209.964999999997</v>
      </c>
      <c r="N3" s="387">
        <f t="shared" si="1"/>
        <v>126215.41</v>
      </c>
      <c r="O3" s="387">
        <f t="shared" si="1"/>
        <v>133506.72499999998</v>
      </c>
      <c r="P3" s="387">
        <f t="shared" si="1"/>
        <v>148536.74000000002</v>
      </c>
      <c r="Q3" s="387">
        <f t="shared" si="1"/>
        <v>109890.25000000001</v>
      </c>
      <c r="R3" s="387">
        <f t="shared" si="1"/>
        <v>109879.09000000003</v>
      </c>
      <c r="S3" s="387">
        <f t="shared" si="1"/>
        <v>141910.13500000001</v>
      </c>
      <c r="T3" s="387">
        <f t="shared" si="1"/>
        <v>99636.285000000003</v>
      </c>
      <c r="U3" s="387">
        <f t="shared" si="1"/>
        <v>110845.515</v>
      </c>
      <c r="V3" s="387">
        <f t="shared" si="1"/>
        <v>134655.69500000001</v>
      </c>
      <c r="W3" s="387">
        <f t="shared" si="1"/>
        <v>130020.47499999999</v>
      </c>
      <c r="X3" s="387">
        <f t="shared" si="1"/>
        <v>127422.53499999999</v>
      </c>
      <c r="Y3" s="387">
        <f t="shared" si="1"/>
        <v>105414.78</v>
      </c>
      <c r="Z3" s="387">
        <f t="shared" si="1"/>
        <v>127424.83</v>
      </c>
      <c r="AA3" s="387">
        <f t="shared" si="1"/>
        <v>125014.11</v>
      </c>
      <c r="AB3" s="387">
        <f t="shared" si="1"/>
        <v>123106.49</v>
      </c>
      <c r="AC3" s="387">
        <f t="shared" si="1"/>
        <v>133407.68000000002</v>
      </c>
      <c r="AD3" s="387">
        <f t="shared" si="1"/>
        <v>110143.01500000001</v>
      </c>
      <c r="AE3" s="387">
        <f t="shared" si="1"/>
        <v>133436.97500000001</v>
      </c>
      <c r="AF3" s="387">
        <f t="shared" si="1"/>
        <v>132025.41500000001</v>
      </c>
      <c r="AG3" s="387">
        <f t="shared" si="1"/>
        <v>96066.22</v>
      </c>
      <c r="AH3" s="387">
        <f t="shared" si="1"/>
        <v>123441.12500000001</v>
      </c>
      <c r="AI3" s="387">
        <f t="shared" si="1"/>
        <v>132273.9</v>
      </c>
      <c r="AJ3" s="387">
        <f t="shared" si="1"/>
        <v>117206.58000000002</v>
      </c>
      <c r="AK3" s="387">
        <f t="shared" si="1"/>
        <v>119586.6</v>
      </c>
      <c r="AL3" s="387">
        <f t="shared" si="1"/>
        <v>119586.6</v>
      </c>
      <c r="AM3" s="387">
        <f t="shared" si="1"/>
        <v>119586.6</v>
      </c>
      <c r="AN3" s="387">
        <f t="shared" si="1"/>
        <v>119586.6</v>
      </c>
      <c r="AO3" s="387">
        <f t="shared" si="1"/>
        <v>119878.85</v>
      </c>
      <c r="AP3" s="387">
        <f t="shared" si="1"/>
        <v>120217.86</v>
      </c>
      <c r="AQ3" s="387">
        <f t="shared" si="1"/>
        <v>120428.28</v>
      </c>
      <c r="AR3" s="387">
        <f t="shared" si="1"/>
        <v>120428.28</v>
      </c>
      <c r="AS3" s="387">
        <f t="shared" si="1"/>
        <v>120428.28</v>
      </c>
      <c r="AT3" s="387">
        <f t="shared" si="1"/>
        <v>120428.28</v>
      </c>
      <c r="AU3" s="387">
        <f t="shared" si="1"/>
        <v>120428.28</v>
      </c>
      <c r="AV3" s="387">
        <f t="shared" si="1"/>
        <v>120428.28</v>
      </c>
      <c r="AW3" s="387">
        <f t="shared" si="1"/>
        <v>120428.28</v>
      </c>
    </row>
    <row r="4" spans="1:49" s="381" customFormat="1" x14ac:dyDescent="0.25">
      <c r="B4" s="383"/>
      <c r="C4" s="383"/>
      <c r="D4" s="383"/>
      <c r="F4" s="388"/>
      <c r="G4" s="388"/>
      <c r="H4" s="388"/>
      <c r="J4" s="386" t="s">
        <v>5840</v>
      </c>
      <c r="K4" s="387">
        <f>SUMPRODUCT(K42:K47,$E42:$E47)</f>
        <v>0</v>
      </c>
      <c r="L4" s="387">
        <f t="shared" ref="L4:AW4" si="2">SUMPRODUCT(L42:L47,$E42:$E47)</f>
        <v>0</v>
      </c>
      <c r="M4" s="387">
        <f t="shared" si="2"/>
        <v>2124.48</v>
      </c>
      <c r="N4" s="387">
        <f t="shared" si="2"/>
        <v>11153.52</v>
      </c>
      <c r="O4" s="387">
        <f t="shared" si="2"/>
        <v>10091.280000000001</v>
      </c>
      <c r="P4" s="387">
        <f t="shared" si="2"/>
        <v>11684.64</v>
      </c>
      <c r="Q4" s="387">
        <f t="shared" si="2"/>
        <v>7435.68</v>
      </c>
      <c r="R4" s="387">
        <f t="shared" si="2"/>
        <v>9560.16</v>
      </c>
      <c r="S4" s="387">
        <f t="shared" si="2"/>
        <v>9560.16</v>
      </c>
      <c r="T4" s="387">
        <f t="shared" si="2"/>
        <v>10091.280000000001</v>
      </c>
      <c r="U4" s="387">
        <f t="shared" si="2"/>
        <v>11419.08</v>
      </c>
      <c r="V4" s="387">
        <f t="shared" si="2"/>
        <v>13291.08</v>
      </c>
      <c r="W4" s="387">
        <f t="shared" si="2"/>
        <v>18305.759999999998</v>
      </c>
      <c r="X4" s="387">
        <f t="shared" si="2"/>
        <v>17540.04</v>
      </c>
      <c r="Y4" s="387">
        <f t="shared" si="2"/>
        <v>14174.1</v>
      </c>
      <c r="Z4" s="387">
        <f t="shared" si="2"/>
        <v>17922.900000000001</v>
      </c>
      <c r="AA4" s="387">
        <f t="shared" si="2"/>
        <v>17360.82</v>
      </c>
      <c r="AB4" s="387">
        <f t="shared" si="2"/>
        <v>15501.900000000001</v>
      </c>
      <c r="AC4" s="387">
        <f t="shared" si="2"/>
        <v>17360.82</v>
      </c>
      <c r="AD4" s="387">
        <f t="shared" si="2"/>
        <v>13791.24</v>
      </c>
      <c r="AE4" s="387">
        <f t="shared" si="2"/>
        <v>16829.7</v>
      </c>
      <c r="AF4" s="387">
        <f t="shared" si="2"/>
        <v>18836.88</v>
      </c>
      <c r="AG4" s="387">
        <f t="shared" si="2"/>
        <v>17243.52</v>
      </c>
      <c r="AH4" s="387">
        <f t="shared" si="2"/>
        <v>14705.220000000001</v>
      </c>
      <c r="AI4" s="387">
        <f t="shared" si="2"/>
        <v>17789.04</v>
      </c>
      <c r="AJ4" s="387">
        <f t="shared" si="2"/>
        <v>18450.54</v>
      </c>
      <c r="AK4" s="387">
        <f t="shared" si="2"/>
        <v>18450.54</v>
      </c>
      <c r="AL4" s="387">
        <f t="shared" si="2"/>
        <v>18450.54</v>
      </c>
      <c r="AM4" s="387">
        <f t="shared" si="2"/>
        <v>18450.54</v>
      </c>
      <c r="AN4" s="387">
        <f t="shared" si="2"/>
        <v>18450.54</v>
      </c>
      <c r="AO4" s="387">
        <f t="shared" si="2"/>
        <v>18450.54</v>
      </c>
      <c r="AP4" s="387">
        <f t="shared" si="2"/>
        <v>18450.54</v>
      </c>
      <c r="AQ4" s="387">
        <f t="shared" si="2"/>
        <v>18450.54</v>
      </c>
      <c r="AR4" s="387">
        <f t="shared" si="2"/>
        <v>18450.54</v>
      </c>
      <c r="AS4" s="387">
        <f t="shared" si="2"/>
        <v>18450.54</v>
      </c>
      <c r="AT4" s="387">
        <f t="shared" si="2"/>
        <v>18450.54</v>
      </c>
      <c r="AU4" s="387">
        <f t="shared" si="2"/>
        <v>18450.54</v>
      </c>
      <c r="AV4" s="387">
        <f t="shared" si="2"/>
        <v>18450.54</v>
      </c>
      <c r="AW4" s="387">
        <f t="shared" si="2"/>
        <v>18450.54</v>
      </c>
    </row>
    <row r="5" spans="1:49" s="381" customFormat="1" ht="33" customHeight="1" x14ac:dyDescent="0.25">
      <c r="B5" s="383"/>
      <c r="C5" s="383"/>
      <c r="D5" s="383"/>
      <c r="F5" s="388"/>
      <c r="G5" s="388"/>
      <c r="H5" s="388"/>
      <c r="J5" s="386" t="s">
        <v>5841</v>
      </c>
      <c r="K5" s="389" t="e">
        <f>((K3+K4)-K2)/(K3+K4)</f>
        <v>#DIV/0!</v>
      </c>
      <c r="L5" s="389">
        <f t="shared" ref="L5:AW5" si="3">((L3+L4)-L2)/(L3+L4)</f>
        <v>0.15114292210537875</v>
      </c>
      <c r="M5" s="389">
        <f t="shared" si="3"/>
        <v>0.13376844068172397</v>
      </c>
      <c r="N5" s="389">
        <f t="shared" si="3"/>
        <v>0.13894648520593408</v>
      </c>
      <c r="O5" s="389">
        <f t="shared" si="3"/>
        <v>0.1362693374465751</v>
      </c>
      <c r="P5" s="389">
        <f t="shared" si="3"/>
        <v>0.14302635515934267</v>
      </c>
      <c r="Q5" s="389">
        <f t="shared" si="3"/>
        <v>0.143386291504359</v>
      </c>
      <c r="R5" s="389">
        <f t="shared" si="3"/>
        <v>0.14418836354046116</v>
      </c>
      <c r="S5" s="389">
        <f t="shared" si="3"/>
        <v>0.14271639861796012</v>
      </c>
      <c r="T5" s="389">
        <f t="shared" si="3"/>
        <v>0.14430799589875162</v>
      </c>
      <c r="U5" s="389">
        <f t="shared" si="3"/>
        <v>0.14346831149279152</v>
      </c>
      <c r="V5" s="389">
        <f t="shared" si="3"/>
        <v>0.14515581701595046</v>
      </c>
      <c r="W5" s="389">
        <f t="shared" si="3"/>
        <v>0.14524372576435982</v>
      </c>
      <c r="X5" s="389">
        <f t="shared" si="3"/>
        <v>0.14587306413396686</v>
      </c>
      <c r="Y5" s="389">
        <f t="shared" si="3"/>
        <v>0.14528048092765822</v>
      </c>
      <c r="Z5" s="389">
        <f t="shared" si="3"/>
        <v>0.14521809181333625</v>
      </c>
      <c r="AA5" s="389">
        <f t="shared" si="3"/>
        <v>0.14530634009793716</v>
      </c>
      <c r="AB5" s="389">
        <f t="shared" si="3"/>
        <v>0.14512425979408616</v>
      </c>
      <c r="AC5" s="389">
        <f t="shared" si="3"/>
        <v>0.14508013941904335</v>
      </c>
      <c r="AD5" s="389">
        <f t="shared" si="3"/>
        <v>0.14608798027631681</v>
      </c>
      <c r="AE5" s="389">
        <f t="shared" si="3"/>
        <v>0.14510183312434397</v>
      </c>
      <c r="AF5" s="389">
        <f t="shared" si="3"/>
        <v>0.145863882025658</v>
      </c>
      <c r="AG5" s="389">
        <f t="shared" si="3"/>
        <v>0.14760518380855883</v>
      </c>
      <c r="AH5" s="389">
        <f t="shared" si="3"/>
        <v>0.14918219515688258</v>
      </c>
      <c r="AI5" s="389">
        <f t="shared" si="3"/>
        <v>0.15826122692251668</v>
      </c>
      <c r="AJ5" s="389">
        <f t="shared" si="3"/>
        <v>0.15758689997251915</v>
      </c>
      <c r="AK5" s="389">
        <f t="shared" si="3"/>
        <v>0.15722420791969474</v>
      </c>
      <c r="AL5" s="389">
        <f t="shared" si="3"/>
        <v>0.15722420791969474</v>
      </c>
      <c r="AM5" s="389">
        <f t="shared" si="3"/>
        <v>0.15722420791969474</v>
      </c>
      <c r="AN5" s="389">
        <f t="shared" si="3"/>
        <v>0.15722420791969474</v>
      </c>
      <c r="AO5" s="389">
        <f t="shared" si="3"/>
        <v>0.15900474946068952</v>
      </c>
      <c r="AP5" s="389">
        <f t="shared" si="3"/>
        <v>0.16041174485318929</v>
      </c>
      <c r="AQ5" s="389">
        <f t="shared" si="3"/>
        <v>0.16103578645037456</v>
      </c>
      <c r="AR5" s="389">
        <f t="shared" si="3"/>
        <v>0.16103578645037456</v>
      </c>
      <c r="AS5" s="389">
        <f t="shared" si="3"/>
        <v>0.16103578645037456</v>
      </c>
      <c r="AT5" s="389">
        <f t="shared" si="3"/>
        <v>0.16103578645037456</v>
      </c>
      <c r="AU5" s="389">
        <f t="shared" si="3"/>
        <v>0.16103578645037456</v>
      </c>
      <c r="AV5" s="389">
        <f t="shared" si="3"/>
        <v>0.16103578645037456</v>
      </c>
      <c r="AW5" s="389">
        <f t="shared" si="3"/>
        <v>0.16103578645037456</v>
      </c>
    </row>
    <row r="6" spans="1:49" s="381" customFormat="1" ht="33" customHeight="1" x14ac:dyDescent="0.25">
      <c r="B6" s="383"/>
      <c r="C6" s="383"/>
      <c r="D6" s="383"/>
      <c r="F6" s="388"/>
      <c r="G6" s="388"/>
      <c r="H6" s="388"/>
      <c r="J6" s="390" t="s">
        <v>5842</v>
      </c>
      <c r="K6" s="391" t="e">
        <f t="shared" ref="K6:AW6" si="4">((K3+K4)-K2-K60)/(K3+K4)</f>
        <v>#DIV/0!</v>
      </c>
      <c r="L6" s="391">
        <f t="shared" si="4"/>
        <v>0.10114292210537874</v>
      </c>
      <c r="M6" s="391">
        <f t="shared" si="4"/>
        <v>8.4036228525957324E-2</v>
      </c>
      <c r="N6" s="391">
        <f t="shared" si="4"/>
        <v>8.9758424266680931E-2</v>
      </c>
      <c r="O6" s="391">
        <f t="shared" si="4"/>
        <v>8.6972082585687574E-2</v>
      </c>
      <c r="P6" s="391">
        <f t="shared" si="4"/>
        <v>9.3755636107990106E-2</v>
      </c>
      <c r="Q6" s="391">
        <f t="shared" si="4"/>
        <v>9.4020054219898522E-2</v>
      </c>
      <c r="R6" s="391">
        <f t="shared" si="4"/>
        <v>9.4988783837808968E-2</v>
      </c>
      <c r="S6" s="391">
        <f t="shared" si="4"/>
        <v>9.3347556034006615E-2</v>
      </c>
      <c r="T6" s="391">
        <f t="shared" si="4"/>
        <v>9.5227662711735217E-2</v>
      </c>
      <c r="U6" s="391">
        <f t="shared" si="4"/>
        <v>9.4402276063647039E-2</v>
      </c>
      <c r="V6" s="391">
        <f t="shared" si="4"/>
        <v>9.6054186040892012E-2</v>
      </c>
      <c r="W6" s="391">
        <f t="shared" si="4"/>
        <v>9.6477881003316696E-2</v>
      </c>
      <c r="X6" s="391">
        <f t="shared" si="4"/>
        <v>9.7083034362489648E-2</v>
      </c>
      <c r="Y6" s="391">
        <f t="shared" si="4"/>
        <v>9.6465716544882812E-2</v>
      </c>
      <c r="Z6" s="391">
        <f t="shared" si="4"/>
        <v>9.645119672663624E-2</v>
      </c>
      <c r="AA6" s="391">
        <f t="shared" si="4"/>
        <v>9.6525713480596589E-2</v>
      </c>
      <c r="AB6" s="391">
        <f t="shared" si="4"/>
        <v>9.6242655296696081E-2</v>
      </c>
      <c r="AC6" s="391">
        <f t="shared" si="4"/>
        <v>9.6231627959421487E-2</v>
      </c>
      <c r="AD6" s="391">
        <f t="shared" si="4"/>
        <v>9.720076705185357E-2</v>
      </c>
      <c r="AE6" s="391">
        <f t="shared" si="4"/>
        <v>9.6221821970839685E-2</v>
      </c>
      <c r="AF6" s="391">
        <f t="shared" si="4"/>
        <v>9.7112496200591494E-2</v>
      </c>
      <c r="AG6" s="391">
        <f t="shared" si="4"/>
        <v>9.912698767113938E-2</v>
      </c>
      <c r="AH6" s="391">
        <f t="shared" si="4"/>
        <v>0.10024666197285227</v>
      </c>
      <c r="AI6" s="391">
        <f t="shared" si="4"/>
        <v>0.10944666551248432</v>
      </c>
      <c r="AJ6" s="391">
        <f t="shared" si="4"/>
        <v>0.1089469863432161</v>
      </c>
      <c r="AK6" s="391">
        <f t="shared" si="4"/>
        <v>0.1085608438424616</v>
      </c>
      <c r="AL6" s="391">
        <f t="shared" si="4"/>
        <v>0.1085608438424616</v>
      </c>
      <c r="AM6" s="391">
        <f t="shared" si="4"/>
        <v>0.1085608438424616</v>
      </c>
      <c r="AN6" s="391">
        <f t="shared" si="4"/>
        <v>0.1085608438424616</v>
      </c>
      <c r="AO6" s="391">
        <f t="shared" si="4"/>
        <v>0.11033856145827008</v>
      </c>
      <c r="AP6" s="391">
        <f t="shared" si="4"/>
        <v>0.11174229600976138</v>
      </c>
      <c r="AQ6" s="391">
        <f t="shared" si="4"/>
        <v>0.11236432164386193</v>
      </c>
      <c r="AR6" s="391">
        <f t="shared" si="4"/>
        <v>0.11236432164386193</v>
      </c>
      <c r="AS6" s="391">
        <f t="shared" si="4"/>
        <v>0.11236432164386193</v>
      </c>
      <c r="AT6" s="391">
        <f t="shared" si="4"/>
        <v>0.11236432164386193</v>
      </c>
      <c r="AU6" s="391">
        <f t="shared" si="4"/>
        <v>0.11236432164386193</v>
      </c>
      <c r="AV6" s="391">
        <f t="shared" si="4"/>
        <v>0.11236432164386193</v>
      </c>
      <c r="AW6" s="391">
        <f t="shared" si="4"/>
        <v>0.11236432164386193</v>
      </c>
    </row>
    <row r="7" spans="1:49" s="392" customFormat="1" ht="19.95" customHeight="1" x14ac:dyDescent="0.25">
      <c r="B7" s="393" t="s">
        <v>5843</v>
      </c>
      <c r="C7" s="393" t="s">
        <v>5844</v>
      </c>
      <c r="D7" s="393" t="s">
        <v>5845</v>
      </c>
      <c r="E7" s="393" t="s">
        <v>5846</v>
      </c>
      <c r="F7" s="394" t="s">
        <v>5847</v>
      </c>
      <c r="G7" s="394" t="s">
        <v>5848</v>
      </c>
      <c r="H7" s="394"/>
      <c r="I7" s="394" t="s">
        <v>0</v>
      </c>
      <c r="J7" s="395" t="s">
        <v>49</v>
      </c>
      <c r="K7" s="396">
        <v>44835</v>
      </c>
      <c r="L7" s="396">
        <v>44866</v>
      </c>
      <c r="M7" s="396">
        <v>44896</v>
      </c>
      <c r="N7" s="396">
        <v>44927</v>
      </c>
      <c r="O7" s="396">
        <v>44958</v>
      </c>
      <c r="P7" s="396">
        <v>44986</v>
      </c>
      <c r="Q7" s="396">
        <v>45017</v>
      </c>
      <c r="R7" s="396">
        <v>45047</v>
      </c>
      <c r="S7" s="396">
        <v>45078</v>
      </c>
      <c r="T7" s="396">
        <v>45108</v>
      </c>
      <c r="U7" s="396">
        <v>45139</v>
      </c>
      <c r="V7" s="396">
        <v>45170</v>
      </c>
      <c r="W7" s="396">
        <v>45200</v>
      </c>
      <c r="X7" s="396">
        <v>45231</v>
      </c>
      <c r="Y7" s="396">
        <v>45261</v>
      </c>
      <c r="Z7" s="396">
        <v>45292</v>
      </c>
      <c r="AA7" s="396">
        <v>45323</v>
      </c>
      <c r="AB7" s="396">
        <v>45352</v>
      </c>
      <c r="AC7" s="396">
        <v>45383</v>
      </c>
      <c r="AD7" s="396">
        <v>45413</v>
      </c>
      <c r="AE7" s="396">
        <v>45444</v>
      </c>
      <c r="AF7" s="396">
        <v>45474</v>
      </c>
      <c r="AG7" s="396">
        <v>45505</v>
      </c>
      <c r="AH7" s="396">
        <v>45536</v>
      </c>
      <c r="AI7" s="396">
        <v>45566</v>
      </c>
      <c r="AJ7" s="396">
        <v>45597</v>
      </c>
      <c r="AK7" s="396">
        <v>45627</v>
      </c>
      <c r="AL7" s="396">
        <v>45658</v>
      </c>
      <c r="AM7" s="396">
        <v>45689</v>
      </c>
      <c r="AN7" s="396">
        <v>45717</v>
      </c>
      <c r="AO7" s="396">
        <v>45748</v>
      </c>
      <c r="AP7" s="396">
        <v>45778</v>
      </c>
      <c r="AQ7" s="396">
        <v>45809</v>
      </c>
      <c r="AR7" s="396">
        <v>45839</v>
      </c>
      <c r="AS7" s="396">
        <v>45870</v>
      </c>
      <c r="AT7" s="396">
        <v>45901</v>
      </c>
      <c r="AU7" s="396">
        <v>45931</v>
      </c>
      <c r="AV7" s="396">
        <v>45962</v>
      </c>
      <c r="AW7" s="396">
        <v>45992</v>
      </c>
    </row>
    <row r="8" spans="1:49" s="392" customFormat="1" x14ac:dyDescent="0.25">
      <c r="B8" s="397"/>
      <c r="C8" s="397"/>
      <c r="D8" s="397"/>
      <c r="E8" s="397"/>
      <c r="F8" s="397"/>
      <c r="G8" s="398">
        <v>0.05</v>
      </c>
      <c r="H8" s="398"/>
      <c r="I8" s="397"/>
      <c r="J8" s="397"/>
      <c r="K8" s="397"/>
      <c r="L8" s="397"/>
      <c r="M8" s="397"/>
      <c r="N8" s="397"/>
      <c r="O8" s="397"/>
      <c r="P8" s="397"/>
      <c r="Q8" s="397"/>
      <c r="R8" s="397"/>
      <c r="S8" s="397"/>
      <c r="T8" s="397"/>
      <c r="U8" s="397"/>
      <c r="V8" s="397"/>
      <c r="W8" s="397"/>
      <c r="X8" s="397"/>
      <c r="Y8" s="397"/>
      <c r="Z8" s="397"/>
      <c r="AA8" s="397"/>
      <c r="AB8" s="397"/>
      <c r="AC8" s="397"/>
      <c r="AD8" s="397"/>
      <c r="AE8" s="397"/>
      <c r="AF8" s="397"/>
      <c r="AG8" s="397"/>
      <c r="AH8" s="397"/>
      <c r="AI8" s="397"/>
      <c r="AJ8" s="397"/>
      <c r="AK8" s="397"/>
      <c r="AL8" s="397"/>
      <c r="AM8" s="397"/>
      <c r="AN8" s="397"/>
      <c r="AO8" s="397"/>
      <c r="AP8" s="397"/>
      <c r="AQ8" s="397"/>
      <c r="AR8" s="397"/>
      <c r="AS8" s="397"/>
      <c r="AT8" s="397"/>
      <c r="AU8" s="397"/>
      <c r="AV8" s="397"/>
      <c r="AW8" s="397"/>
    </row>
    <row r="9" spans="1:49" x14ac:dyDescent="0.3">
      <c r="A9" s="399"/>
      <c r="B9" s="400"/>
      <c r="C9" s="407" t="s">
        <v>322</v>
      </c>
      <c r="D9" s="402">
        <v>660</v>
      </c>
      <c r="E9" s="402">
        <v>704.46</v>
      </c>
      <c r="F9" s="403">
        <f>(E9-D9)/E9</f>
        <v>6.3112171024614652E-2</v>
      </c>
      <c r="G9" s="404">
        <f>((E9-D9)-(E9*$G$41))/E9</f>
        <v>2.3112171024614644E-2</v>
      </c>
      <c r="H9" s="404" t="str">
        <f t="shared" ref="H9:H40" si="5">_xlfn.CONCAT(C9,E9)</f>
        <v>ADESANYA, Kehinde704,46</v>
      </c>
      <c r="I9" s="405" t="s">
        <v>54</v>
      </c>
      <c r="J9" s="405">
        <v>8</v>
      </c>
      <c r="K9" s="422">
        <f>SUMIF(TAB_CS[[#Headers],[#Data],[Tri-1]],'Cessions EDDA'!$H9,TAB_CS[[#Headers],[#Data],[Oct-2022]])</f>
        <v>0</v>
      </c>
      <c r="L9" s="422">
        <f>SUMIF(TAB_CS[[#Headers],[#Data],[Tri-1]],'Cessions EDDA'!$H9,TAB_CS[[#Headers],[#Data],[Nov-2022]])</f>
        <v>0</v>
      </c>
      <c r="M9" s="423">
        <f>SUMIF(TAB_CS[[#Headers],[#Data],[Tri-1]],'Cessions EDDA'!$H9,TAB_CS[[#Headers],[#Data],[Dec-2022]])</f>
        <v>15</v>
      </c>
      <c r="N9" s="430">
        <f>SUMIF(TAB_CS[[#Headers],[#Data],[Tri-1]],'Cessions EDDA'!$H9,TAB_CS[[#Headers],[#Data],[Jan-2023]])</f>
        <v>21</v>
      </c>
      <c r="O9" s="430">
        <f>SUMIF(TAB_CS[[#Headers],[#Data],[Tri-1]],'Cessions EDDA'!$H9,TAB_CS[[#Headers],[#Data],[Feb-2023]])</f>
        <v>19</v>
      </c>
      <c r="P9" s="422">
        <f>SUMIF(TAB_CS[[#Headers],[#Data],[Tri-1]],'Cessions EDDA'!$H9,TAB_CS[[#Headers],[#Data],[Mar-2023]])</f>
        <v>0</v>
      </c>
      <c r="Q9" s="422">
        <f>SUMIF(TAB_CS[[#Headers],[#Data],[Tri-1]],'Cessions EDDA'!$H9,TAB_CS[[#Headers],[#Data],[Apr-2023]])</f>
        <v>0</v>
      </c>
      <c r="R9" s="422">
        <f>SUMIF(TAB_CS[[#Headers],[#Data],[Tri-1]],'Cessions EDDA'!$H9,TAB_CS[[#Headers],[#Data],[May-2023]])</f>
        <v>0</v>
      </c>
      <c r="S9" s="422">
        <f>SUMIF(TAB_CS[[#Headers],[#Data],[Tri-1]],'Cessions EDDA'!$H9,TAB_CS[[#Headers],[#Data],[Jun-2023]])</f>
        <v>0</v>
      </c>
      <c r="T9" s="422">
        <f>SUMIF(TAB_CS[[#Headers],[#Data],[Tri-1]],'Cessions EDDA'!$H9,TAB_CS[[#Headers],[#Data],[Jul-2023]])</f>
        <v>0</v>
      </c>
      <c r="U9" s="422">
        <f>SUMIF(TAB_CS[[#Headers],[#Data],[Tri-1]],'Cessions EDDA'!$H9,TAB_CS[[#Headers],[#Data],[Aug-2023]])</f>
        <v>0</v>
      </c>
      <c r="V9" s="422">
        <f>SUMIF(TAB_CS[[#Headers],[#Data],[Tri-1]],'Cessions EDDA'!$H9,TAB_CS[[#Headers],[#Data],[Sep-2023]])</f>
        <v>0</v>
      </c>
      <c r="W9" s="422">
        <f>SUMIF(TAB_CS[[#Headers],[#Data],[Tri-1]],'Cessions EDDA'!$H9,TAB_CS[[#Headers],[#Data],[Oct-2023]])</f>
        <v>0</v>
      </c>
      <c r="X9" s="422">
        <f>SUMIF(TAB_CS[[#Headers],[#Data],[Tri-1]],'Cessions EDDA'!$H9,TAB_CS[[#Headers],[#Data],[Nov-2023]])</f>
        <v>0</v>
      </c>
      <c r="Y9" s="422">
        <f>SUMIF(TAB_CS[[#Headers],[#Data],[Tri-1]],'Cessions EDDA'!$H9,TAB_CS[[#Headers],[#Data],[Dec-2023]])</f>
        <v>0</v>
      </c>
      <c r="Z9" s="422">
        <f>SUMIF(TAB_CS[[#Headers],[#Data],[Tri-1]],'Cessions EDDA'!$H9,TAB_CS[[#Headers],[#Data],[Jan-2024]])</f>
        <v>0</v>
      </c>
      <c r="AA9" s="422">
        <f>SUMIF(TAB_CS[[#Headers],[#Data],[Tri-1]],'Cessions EDDA'!$H9,TAB_CS[[#Headers],[#Data],[Feb-2024]])</f>
        <v>0</v>
      </c>
      <c r="AB9" s="422">
        <f>SUMIF(TAB_CS[[#Headers],[#Data],[Tri-1]],'Cessions EDDA'!$H9,TAB_CS[[#Headers],[#Data],[Mar-2024]])</f>
        <v>0</v>
      </c>
      <c r="AC9" s="422">
        <f>SUMIF(TAB_CS[[#Headers],[#Data],[Tri-1]],'Cessions EDDA'!$H9,TAB_CS[[#Headers],[#Data],[Apr-2024]])</f>
        <v>0</v>
      </c>
      <c r="AD9" s="422">
        <f>SUMIF(TAB_CS[[#Headers],[#Data],[Tri-1]],'Cessions EDDA'!$H9,TAB_CS[[#Headers],[#Data],[May-2024]])</f>
        <v>0</v>
      </c>
      <c r="AE9" s="422">
        <f>SUMIF(TAB_CS[[#Headers],[#Data],[Tri-1]],'Cessions EDDA'!$H9,TAB_CS[[#Headers],[#Data],[Jun-2024]])</f>
        <v>0</v>
      </c>
      <c r="AF9" s="422">
        <f>SUMIF(TAB_CS[[#Headers],[#Data],[Tri-1]],'Cessions EDDA'!$H9,TAB_CS[[#Headers],[#Data],[Jul-2024]])</f>
        <v>0</v>
      </c>
      <c r="AG9" s="422">
        <f>SUMIF(TAB_CS[[#Headers],[#Data],[Tri-1]],'Cessions EDDA'!$H9,TAB_CS[[#Headers],[#Data],[Aug-2024]])</f>
        <v>0</v>
      </c>
      <c r="AH9" s="422">
        <f>SUMIF(TAB_CS[[#Headers],[#Data],[Tri-1]],'Cessions EDDA'!$H9,TAB_CS[[#Headers],[#Data],[Sep-2024]])</f>
        <v>0</v>
      </c>
      <c r="AI9" s="422">
        <f>SUMIF(TAB_CS[[#Headers],[#Data],[Tri-1]],'Cessions EDDA'!$H9,TAB_CS[[#Headers],[#Data],[Oct-2024]])</f>
        <v>0</v>
      </c>
      <c r="AJ9" s="422">
        <f>SUMIF(TAB_CS[[#Headers],[#Data],[Tri-1]],'Cessions EDDA'!$H9,TAB_CS[[#Headers],[#Data],[Nov-2024]])</f>
        <v>0</v>
      </c>
      <c r="AK9" s="422">
        <f>SUMIF(TAB_CS[[#Headers],[#Data],[Tri-1]],'Cessions EDDA'!$H9,TAB_CS[[#Headers],[#Data],[Dec-2024]])</f>
        <v>0</v>
      </c>
      <c r="AL9" s="422">
        <f>SUMIF(TAB_CS[[#Headers],[#Data],[Tri-1]],'Cessions EDDA'!$H9,TAB_CS[[#Headers],[#Data],[Jan-2025]])</f>
        <v>0</v>
      </c>
      <c r="AM9" s="422">
        <f>SUMIF(TAB_CS[[#Headers],[#Data],[Tri-1]],'Cessions EDDA'!$H9,TAB_CS[[#Headers],[#Data],[Feb-2025]])</f>
        <v>0</v>
      </c>
      <c r="AN9" s="422">
        <f>SUMIF(TAB_CS[[#Headers],[#Data],[Tri-1]],'Cessions EDDA'!$H9,TAB_CS[[#Headers],[#Data],[Mar-2025]])</f>
        <v>0</v>
      </c>
      <c r="AO9" s="422">
        <f>SUMIF(TAB_CS[[#Headers],[#Data],[Tri-1]],'Cessions EDDA'!$H9,TAB_CS[[#Headers],[#Data],[Apr-2025]])</f>
        <v>0</v>
      </c>
      <c r="AP9" s="422">
        <f>SUMIF(TAB_CS[[#Headers],[#Data],[Tri-1]],'Cessions EDDA'!$H9,TAB_CS[[#Headers],[#Data],[May-2025]])</f>
        <v>0</v>
      </c>
      <c r="AQ9" s="422">
        <f>SUMIF(TAB_CS[[#Headers],[#Data],[Tri-1]],'Cessions EDDA'!$H9,TAB_CS[[#Headers],[#Data],[Jun-2025]])</f>
        <v>0</v>
      </c>
      <c r="AR9" s="422">
        <f>SUMIF(TAB_CS[[#Headers],[#Data],[Tri-1]],'Cessions EDDA'!$H9,TAB_CS[[#Headers],[#Data],[Jul-2025]])</f>
        <v>0</v>
      </c>
      <c r="AS9" s="422">
        <f>SUMIF(TAB_CS[[#Headers],[#Data],[Tri-1]],'Cessions EDDA'!$H9,TAB_CS[[#Headers],[#Data],[Aug-2025]])</f>
        <v>0</v>
      </c>
      <c r="AT9" s="422">
        <f>SUMIF(TAB_CS[[#Headers],[#Data],[Tri-1]],'Cessions EDDA'!$H9,TAB_CS[[#Headers],[#Data],[Sep-2025]])</f>
        <v>0</v>
      </c>
      <c r="AU9" s="422">
        <f>SUMIF(TAB_CS[[#Headers],[#Data],[Tri-1]],'Cessions EDDA'!$H9,TAB_CS[[#Headers],[#Data],[Oct-2025]])</f>
        <v>0</v>
      </c>
      <c r="AV9" s="422">
        <f>SUMIF(TAB_CS[[#Headers],[#Data],[Tri-1]],'Cessions EDDA'!$H9,TAB_CS[[#Headers],[#Data],[Nov-2025]])</f>
        <v>0</v>
      </c>
      <c r="AW9" s="422">
        <f>SUMIF(TAB_CS[[#Headers],[#Data],[Tri-1]],'Cessions EDDA'!$H9,TAB_CS[[#Headers],[#Data],[Dec-2025]])</f>
        <v>0</v>
      </c>
    </row>
    <row r="10" spans="1:49" x14ac:dyDescent="0.3">
      <c r="A10" s="399"/>
      <c r="B10" s="406"/>
      <c r="C10" s="407" t="s">
        <v>279</v>
      </c>
      <c r="D10" s="402">
        <v>735</v>
      </c>
      <c r="E10" s="402">
        <v>865.54</v>
      </c>
      <c r="F10" s="403">
        <f t="shared" ref="F10:F14" si="6">(E10-D10)/E10</f>
        <v>0.15081914180742653</v>
      </c>
      <c r="G10" s="404">
        <f t="shared" ref="G10:G36" si="7">((E10-D10)-(E10*$G$8))/E10</f>
        <v>0.10081914180742654</v>
      </c>
      <c r="H10" s="404" t="str">
        <f t="shared" si="5"/>
        <v>COOKE, Justin865,54</v>
      </c>
      <c r="I10" s="405" t="s">
        <v>79</v>
      </c>
      <c r="J10" s="405">
        <v>10</v>
      </c>
      <c r="K10" s="422">
        <f>SUMIF(TAB_CS[[#Headers],[#Data],[Tri-1]],'Cessions EDDA'!$H10,TAB_CS[[#Headers],[#Data],[Oct-2022]])</f>
        <v>0</v>
      </c>
      <c r="L10" s="422">
        <f>SUMIF(TAB_CS[[#Headers],[#Data],[Tri-1]],'Cessions EDDA'!$H10,TAB_CS[[#Headers],[#Data],[Nov-2022]])</f>
        <v>0</v>
      </c>
      <c r="M10" s="430">
        <f>SUMIF(TAB_CS[[#Headers],[#Data],[Tri-1]],'Cessions EDDA'!$H10,TAB_CS[[#Headers],[#Data],[Dec-2022]])</f>
        <v>3.5</v>
      </c>
      <c r="N10" s="430">
        <f>SUMIF(TAB_CS[[#Headers],[#Data],[Tri-1]],'Cessions EDDA'!$H10,TAB_CS[[#Headers],[#Data],[Jan-2023]])</f>
        <v>19</v>
      </c>
      <c r="O10" s="430">
        <f>SUMIF(TAB_CS[[#Headers],[#Data],[Tri-1]],'Cessions EDDA'!$H10,TAB_CS[[#Headers],[#Data],[Feb-2023]])</f>
        <v>15</v>
      </c>
      <c r="P10" s="423">
        <f>SUMIF(TAB_CS[[#Headers],[#Data],[Tri-1]],'Cessions EDDA'!$H10,TAB_CS[[#Headers],[#Data],[Mar-2023]])</f>
        <v>21.5</v>
      </c>
      <c r="Q10" s="423">
        <f>SUMIF(TAB_CS[[#Headers],[#Data],[Tri-1]],'Cessions EDDA'!$H10,TAB_CS[[#Headers],[#Data],[Apr-2023]])</f>
        <v>17</v>
      </c>
      <c r="R10" s="423">
        <f>SUMIF(TAB_CS[[#Headers],[#Data],[Tri-1]],'Cessions EDDA'!$H10,TAB_CS[[#Headers],[#Data],[May-2023]])</f>
        <v>15.5</v>
      </c>
      <c r="S10" s="423">
        <f>SUMIF(TAB_CS[[#Headers],[#Data],[Tri-1]],'Cessions EDDA'!$H10,TAB_CS[[#Headers],[#Data],[Jun-2023]])</f>
        <v>21.5</v>
      </c>
      <c r="T10" s="423">
        <f>SUMIF(TAB_CS[[#Headers],[#Data],[Tri-1]],'Cessions EDDA'!$H10,TAB_CS[[#Headers],[#Data],[Jul-2023]])</f>
        <v>15.5</v>
      </c>
      <c r="U10" s="423">
        <f>SUMIF(TAB_CS[[#Headers],[#Data],[Tri-1]],'Cessions EDDA'!$H10,TAB_CS[[#Headers],[#Data],[Aug-2023]])</f>
        <v>9</v>
      </c>
      <c r="V10" s="423">
        <f>SUMIF(TAB_CS[[#Headers],[#Data],[Tri-1]],'Cessions EDDA'!$H10,TAB_CS[[#Headers],[#Data],[Sep-2023]])</f>
        <v>20</v>
      </c>
      <c r="W10" s="423">
        <f>SUMIF(TAB_CS[[#Headers],[#Data],[Tri-1]],'Cessions EDDA'!$H10,TAB_CS[[#Headers],[#Data],[Oct-2023]])</f>
        <v>22</v>
      </c>
      <c r="X10" s="423">
        <f>SUMIF(TAB_CS[[#Headers],[#Data],[Tri-1]],'Cessions EDDA'!$H10,TAB_CS[[#Headers],[#Data],[Nov-2023]])</f>
        <v>20</v>
      </c>
      <c r="Y10" s="423">
        <f>SUMIF(TAB_CS[[#Headers],[#Data],[Tri-1]],'Cessions EDDA'!$H10,TAB_CS[[#Headers],[#Data],[Dec-2023]])</f>
        <v>16</v>
      </c>
      <c r="Z10" s="423">
        <f>SUMIF(TAB_CS[[#Headers],[#Data],[Tri-1]],'Cessions EDDA'!$H10,TAB_CS[[#Headers],[#Data],[Jan-2024]])</f>
        <v>18</v>
      </c>
      <c r="AA10" s="423">
        <f>SUMIF(TAB_CS[[#Headers],[#Data],[Tri-1]],'Cessions EDDA'!$H10,TAB_CS[[#Headers],[#Data],[Feb-2024]])</f>
        <v>17</v>
      </c>
      <c r="AB10" s="423">
        <f>SUMIF(TAB_CS[[#Headers],[#Data],[Tri-1]],'Cessions EDDA'!$H10,TAB_CS[[#Headers],[#Data],[Mar-2024]])</f>
        <v>18</v>
      </c>
      <c r="AC10" s="423">
        <f>SUMIF(TAB_CS[[#Headers],[#Data],[Tri-1]],'Cessions EDDA'!$H10,TAB_CS[[#Headers],[#Data],[Apr-2024]])</f>
        <v>11.5</v>
      </c>
      <c r="AD10" s="422">
        <f>SUMIF(TAB_CS[[#Headers],[#Data],[Tri-1]],'Cessions EDDA'!$H10,TAB_CS[[#Headers],[#Data],[May-2024]])</f>
        <v>0</v>
      </c>
      <c r="AE10" s="422">
        <f>SUMIF(TAB_CS[[#Headers],[#Data],[Tri-1]],'Cessions EDDA'!$H10,TAB_CS[[#Headers],[#Data],[Jun-2024]])</f>
        <v>0</v>
      </c>
      <c r="AF10" s="422">
        <f>SUMIF(TAB_CS[[#Headers],[#Data],[Tri-1]],'Cessions EDDA'!$H10,TAB_CS[[#Headers],[#Data],[Jul-2024]])</f>
        <v>0</v>
      </c>
      <c r="AG10" s="422">
        <f>SUMIF(TAB_CS[[#Headers],[#Data],[Tri-1]],'Cessions EDDA'!$H10,TAB_CS[[#Headers],[#Data],[Aug-2024]])</f>
        <v>0</v>
      </c>
      <c r="AH10" s="422">
        <f>SUMIF(TAB_CS[[#Headers],[#Data],[Tri-1]],'Cessions EDDA'!$H10,TAB_CS[[#Headers],[#Data],[Sep-2024]])</f>
        <v>0</v>
      </c>
      <c r="AI10" s="422">
        <f>SUMIF(TAB_CS[[#Headers],[#Data],[Tri-1]],'Cessions EDDA'!$H10,TAB_CS[[#Headers],[#Data],[Oct-2024]])</f>
        <v>0</v>
      </c>
      <c r="AJ10" s="422">
        <f>SUMIF(TAB_CS[[#Headers],[#Data],[Tri-1]],'Cessions EDDA'!$H10,TAB_CS[[#Headers],[#Data],[Nov-2024]])</f>
        <v>0</v>
      </c>
      <c r="AK10" s="422">
        <f>SUMIF(TAB_CS[[#Headers],[#Data],[Tri-1]],'Cessions EDDA'!$H10,TAB_CS[[#Headers],[#Data],[Dec-2024]])</f>
        <v>0</v>
      </c>
      <c r="AL10" s="422">
        <f>SUMIF(TAB_CS[[#Headers],[#Data],[Tri-1]],'Cessions EDDA'!$H10,TAB_CS[[#Headers],[#Data],[Jan-2025]])</f>
        <v>0</v>
      </c>
      <c r="AM10" s="422">
        <f>SUMIF(TAB_CS[[#Headers],[#Data],[Tri-1]],'Cessions EDDA'!$H10,TAB_CS[[#Headers],[#Data],[Feb-2025]])</f>
        <v>0</v>
      </c>
      <c r="AN10" s="422">
        <f>SUMIF(TAB_CS[[#Headers],[#Data],[Tri-1]],'Cessions EDDA'!$H10,TAB_CS[[#Headers],[#Data],[Mar-2025]])</f>
        <v>0</v>
      </c>
      <c r="AO10" s="422">
        <f>SUMIF(TAB_CS[[#Headers],[#Data],[Tri-1]],'Cessions EDDA'!$H10,TAB_CS[[#Headers],[#Data],[Apr-2025]])</f>
        <v>0</v>
      </c>
      <c r="AP10" s="422">
        <f>SUMIF(TAB_CS[[#Headers],[#Data],[Tri-1]],'Cessions EDDA'!$H10,TAB_CS[[#Headers],[#Data],[May-2025]])</f>
        <v>0</v>
      </c>
      <c r="AQ10" s="422">
        <f>SUMIF(TAB_CS[[#Headers],[#Data],[Tri-1]],'Cessions EDDA'!$H10,TAB_CS[[#Headers],[#Data],[Jun-2025]])</f>
        <v>0</v>
      </c>
      <c r="AR10" s="422">
        <f>SUMIF(TAB_CS[[#Headers],[#Data],[Tri-1]],'Cessions EDDA'!$H10,TAB_CS[[#Headers],[#Data],[Jul-2025]])</f>
        <v>0</v>
      </c>
      <c r="AS10" s="422">
        <f>SUMIF(TAB_CS[[#Headers],[#Data],[Tri-1]],'Cessions EDDA'!$H10,TAB_CS[[#Headers],[#Data],[Aug-2025]])</f>
        <v>0</v>
      </c>
      <c r="AT10" s="422">
        <f>SUMIF(TAB_CS[[#Headers],[#Data],[Tri-1]],'Cessions EDDA'!$H10,TAB_CS[[#Headers],[#Data],[Sep-2025]])</f>
        <v>0</v>
      </c>
      <c r="AU10" s="422">
        <f>SUMIF(TAB_CS[[#Headers],[#Data],[Tri-1]],'Cessions EDDA'!$H10,TAB_CS[[#Headers],[#Data],[Oct-2025]])</f>
        <v>0</v>
      </c>
      <c r="AV10" s="422">
        <f>SUMIF(TAB_CS[[#Headers],[#Data],[Tri-1]],'Cessions EDDA'!$H10,TAB_CS[[#Headers],[#Data],[Nov-2025]])</f>
        <v>0</v>
      </c>
      <c r="AW10" s="422">
        <f>SUMIF(TAB_CS[[#Headers],[#Data],[Tri-1]],'Cessions EDDA'!$H10,TAB_CS[[#Headers],[#Data],[Dec-2025]])</f>
        <v>0</v>
      </c>
    </row>
    <row r="11" spans="1:49" x14ac:dyDescent="0.3">
      <c r="A11" s="399"/>
      <c r="B11" s="406"/>
      <c r="C11" s="407" t="s">
        <v>279</v>
      </c>
      <c r="D11" s="402">
        <v>773.61</v>
      </c>
      <c r="E11" s="402">
        <v>910.99</v>
      </c>
      <c r="F11" s="403">
        <f t="shared" ref="F11" si="8">(E11-D11)/E11</f>
        <v>0.15080297259025893</v>
      </c>
      <c r="G11" s="404">
        <f t="shared" ref="G11" si="9">((E11-D11)-(E11*$G$8))/E11</f>
        <v>0.10080297259025894</v>
      </c>
      <c r="H11" s="404" t="str">
        <f t="shared" si="5"/>
        <v>COOKE, Justin910,99</v>
      </c>
      <c r="I11" s="405" t="s">
        <v>79</v>
      </c>
      <c r="J11" s="405">
        <v>10</v>
      </c>
      <c r="K11" s="422">
        <f>SUMIF(TAB_CS[[#Headers],[#Data],[Tri-1]],'Cessions EDDA'!$H11,TAB_CS[[#Headers],[#Data],[Oct-2022]])</f>
        <v>0</v>
      </c>
      <c r="L11" s="422">
        <f>SUMIF(TAB_CS[[#Headers],[#Data],[Tri-1]],'Cessions EDDA'!$H11,TAB_CS[[#Headers],[#Data],[Nov-2022]])</f>
        <v>0</v>
      </c>
      <c r="M11" s="429">
        <f>SUMIF(TAB_CS[[#Headers],[#Data],[Tri-1]],'Cessions EDDA'!$H11,TAB_CS[[#Headers],[#Data],[Dec-2022]])</f>
        <v>0</v>
      </c>
      <c r="N11" s="429">
        <f>SUMIF(TAB_CS[[#Headers],[#Data],[Tri-1]],'Cessions EDDA'!$H11,TAB_CS[[#Headers],[#Data],[Jan-2023]])</f>
        <v>0</v>
      </c>
      <c r="O11" s="429">
        <f>SUMIF(TAB_CS[[#Headers],[#Data],[Tri-1]],'Cessions EDDA'!$H11,TAB_CS[[#Headers],[#Data],[Feb-2023]])</f>
        <v>0</v>
      </c>
      <c r="P11" s="422">
        <f>SUMIF(TAB_CS[[#Headers],[#Data],[Tri-1]],'Cessions EDDA'!$H11,TAB_CS[[#Headers],[#Data],[Mar-2023]])</f>
        <v>0</v>
      </c>
      <c r="Q11" s="422">
        <f>SUMIF(TAB_CS[[#Headers],[#Data],[Tri-1]],'Cessions EDDA'!$H11,TAB_CS[[#Headers],[#Data],[Apr-2023]])</f>
        <v>0</v>
      </c>
      <c r="R11" s="422">
        <f>SUMIF(TAB_CS[[#Headers],[#Data],[Tri-1]],'Cessions EDDA'!$H11,TAB_CS[[#Headers],[#Data],[May-2023]])</f>
        <v>0</v>
      </c>
      <c r="S11" s="422">
        <f>SUMIF(TAB_CS[[#Headers],[#Data],[Tri-1]],'Cessions EDDA'!$H11,TAB_CS[[#Headers],[#Data],[Jun-2023]])</f>
        <v>0</v>
      </c>
      <c r="T11" s="422">
        <f>SUMIF(TAB_CS[[#Headers],[#Data],[Tri-1]],'Cessions EDDA'!$H11,TAB_CS[[#Headers],[#Data],[Jul-2023]])</f>
        <v>0</v>
      </c>
      <c r="U11" s="422">
        <f>SUMIF(TAB_CS[[#Headers],[#Data],[Tri-1]],'Cessions EDDA'!$H11,TAB_CS[[#Headers],[#Data],[Aug-2023]])</f>
        <v>0</v>
      </c>
      <c r="V11" s="422">
        <f>SUMIF(TAB_CS[[#Headers],[#Data],[Tri-1]],'Cessions EDDA'!$H11,TAB_CS[[#Headers],[#Data],[Sep-2023]])</f>
        <v>0</v>
      </c>
      <c r="W11" s="422">
        <f>SUMIF(TAB_CS[[#Headers],[#Data],[Tri-1]],'Cessions EDDA'!$H11,TAB_CS[[#Headers],[#Data],[Oct-2023]])</f>
        <v>0</v>
      </c>
      <c r="X11" s="422">
        <f>SUMIF(TAB_CS[[#Headers],[#Data],[Tri-1]],'Cessions EDDA'!$H11,TAB_CS[[#Headers],[#Data],[Nov-2023]])</f>
        <v>0</v>
      </c>
      <c r="Y11" s="422">
        <f>SUMIF(TAB_CS[[#Headers],[#Data],[Tri-1]],'Cessions EDDA'!$H11,TAB_CS[[#Headers],[#Data],[Dec-2023]])</f>
        <v>0</v>
      </c>
      <c r="Z11" s="422">
        <f>SUMIF(TAB_CS[[#Headers],[#Data],[Tri-1]],'Cessions EDDA'!$H11,TAB_CS[[#Headers],[#Data],[Jan-2024]])</f>
        <v>0</v>
      </c>
      <c r="AA11" s="422">
        <f>SUMIF(TAB_CS[[#Headers],[#Data],[Tri-1]],'Cessions EDDA'!$H11,TAB_CS[[#Headers],[#Data],[Feb-2024]])</f>
        <v>0</v>
      </c>
      <c r="AB11" s="422">
        <f>SUMIF(TAB_CS[[#Headers],[#Data],[Tri-1]],'Cessions EDDA'!$H11,TAB_CS[[#Headers],[#Data],[Mar-2024]])</f>
        <v>0</v>
      </c>
      <c r="AC11" s="423">
        <f>SUMIF(TAB_CS[[#Headers],[#Data],[Tri-1]],'Cessions EDDA'!$H11,TAB_CS[[#Headers],[#Data],[Apr-2024]])</f>
        <v>7.5</v>
      </c>
      <c r="AD11" s="423">
        <f>SUMIF(TAB_CS[[#Headers],[#Data],[Tri-1]],'Cessions EDDA'!$H11,TAB_CS[[#Headers],[#Data],[May-2024]])</f>
        <v>17.5</v>
      </c>
      <c r="AE11" s="423">
        <f>SUMIF(TAB_CS[[#Headers],[#Data],[Tri-1]],'Cessions EDDA'!$H11,TAB_CS[[#Headers],[#Data],[Jun-2024]])</f>
        <v>20</v>
      </c>
      <c r="AF11" s="423">
        <f>SUMIF(TAB_CS[[#Headers],[#Data],[Tri-1]],'Cessions EDDA'!$H11,TAB_CS[[#Headers],[#Data],[Jul-2024]])</f>
        <v>20</v>
      </c>
      <c r="AG11" s="423">
        <f>SUMIF(TAB_CS[[#Headers],[#Data],[Tri-1]],'Cessions EDDA'!$H11,TAB_CS[[#Headers],[#Data],[Aug-2024]])</f>
        <v>9</v>
      </c>
      <c r="AH11" s="423">
        <f>SUMIF(TAB_CS[[#Headers],[#Data],[Tri-1]],'Cessions EDDA'!$H11,TAB_CS[[#Headers],[#Data],[Sep-2024]])</f>
        <v>21</v>
      </c>
      <c r="AI11" s="422">
        <f>SUMIF(TAB_CS[[#Headers],[#Data],[Tri-1]],'Cessions EDDA'!$H11,TAB_CS[[#Headers],[#Data],[Oct-2024]])</f>
        <v>19.5</v>
      </c>
      <c r="AJ11" s="422">
        <f>SUMIF(TAB_CS[[#Headers],[#Data],[Tri-1]],'Cessions EDDA'!$H11,TAB_CS[[#Headers],[#Data],[Nov-2024]])</f>
        <v>18</v>
      </c>
      <c r="AK11" s="422">
        <f>SUMIF(TAB_CS[[#Headers],[#Data],[Tri-1]],'Cessions EDDA'!$H11,TAB_CS[[#Headers],[#Data],[Dec-2024]])</f>
        <v>18</v>
      </c>
      <c r="AL11" s="422">
        <f>SUMIF(TAB_CS[[#Headers],[#Data],[Tri-1]],'Cessions EDDA'!$H11,TAB_CS[[#Headers],[#Data],[Jan-2025]])</f>
        <v>18</v>
      </c>
      <c r="AM11" s="422">
        <f>SUMIF(TAB_CS[[#Headers],[#Data],[Tri-1]],'Cessions EDDA'!$H11,TAB_CS[[#Headers],[#Data],[Feb-2025]])</f>
        <v>18</v>
      </c>
      <c r="AN11" s="422">
        <f>SUMIF(TAB_CS[[#Headers],[#Data],[Tri-1]],'Cessions EDDA'!$H11,TAB_CS[[#Headers],[#Data],[Mar-2025]])</f>
        <v>18</v>
      </c>
      <c r="AO11" s="422">
        <f>SUMIF(TAB_CS[[#Headers],[#Data],[Tri-1]],'Cessions EDDA'!$H11,TAB_CS[[#Headers],[#Data],[Apr-2025]])</f>
        <v>5.5</v>
      </c>
      <c r="AP11" s="422">
        <f>SUMIF(TAB_CS[[#Headers],[#Data],[Tri-1]],'Cessions EDDA'!$H11,TAB_CS[[#Headers],[#Data],[May-2025]])</f>
        <v>0</v>
      </c>
      <c r="AQ11" s="422">
        <f>SUMIF(TAB_CS[[#Headers],[#Data],[Tri-1]],'Cessions EDDA'!$H11,TAB_CS[[#Headers],[#Data],[Jun-2025]])</f>
        <v>0</v>
      </c>
      <c r="AR11" s="422">
        <f>SUMIF(TAB_CS[[#Headers],[#Data],[Tri-1]],'Cessions EDDA'!$H11,TAB_CS[[#Headers],[#Data],[Jul-2025]])</f>
        <v>0</v>
      </c>
      <c r="AS11" s="422">
        <f>SUMIF(TAB_CS[[#Headers],[#Data],[Tri-1]],'Cessions EDDA'!$H11,TAB_CS[[#Headers],[#Data],[Aug-2025]])</f>
        <v>0</v>
      </c>
      <c r="AT11" s="422">
        <f>SUMIF(TAB_CS[[#Headers],[#Data],[Tri-1]],'Cessions EDDA'!$H11,TAB_CS[[#Headers],[#Data],[Sep-2025]])</f>
        <v>0</v>
      </c>
      <c r="AU11" s="422">
        <f>SUMIF(TAB_CS[[#Headers],[#Data],[Tri-1]],'Cessions EDDA'!$H11,TAB_CS[[#Headers],[#Data],[Oct-2025]])</f>
        <v>0</v>
      </c>
      <c r="AV11" s="422">
        <f>SUMIF(TAB_CS[[#Headers],[#Data],[Tri-1]],'Cessions EDDA'!$H11,TAB_CS[[#Headers],[#Data],[Nov-2025]])</f>
        <v>0</v>
      </c>
      <c r="AW11" s="422">
        <f>SUMIF(TAB_CS[[#Headers],[#Data],[Tri-1]],'Cessions EDDA'!$H11,TAB_CS[[#Headers],[#Data],[Dec-2025]])</f>
        <v>0</v>
      </c>
    </row>
    <row r="12" spans="1:49" x14ac:dyDescent="0.3">
      <c r="A12" s="399"/>
      <c r="B12" s="406"/>
      <c r="C12" s="407" t="s">
        <v>279</v>
      </c>
      <c r="D12" s="402">
        <v>773.61</v>
      </c>
      <c r="E12" s="402">
        <v>934.37</v>
      </c>
      <c r="F12" s="403">
        <f t="shared" ref="F12" si="10">(E12-D12)/E12</f>
        <v>0.17205175679869858</v>
      </c>
      <c r="G12" s="404">
        <f t="shared" ref="G12" si="11">((E12-D12)-(E12*$G$8))/E12</f>
        <v>0.12205175679869858</v>
      </c>
      <c r="H12" s="404" t="str">
        <f t="shared" ref="H12" si="12">_xlfn.CONCAT(C12,E12)</f>
        <v>COOKE, Justin934,37</v>
      </c>
      <c r="I12" s="405" t="s">
        <v>79</v>
      </c>
      <c r="J12" s="405">
        <v>10</v>
      </c>
      <c r="K12" s="422">
        <f>SUMIF(TAB_CS[[#Headers],[#Data],[Tri-1]],'Cessions EDDA'!$H12,TAB_CS[[#Headers],[#Data],[Oct-2022]])</f>
        <v>0</v>
      </c>
      <c r="L12" s="422">
        <f>SUMIF(TAB_CS[[#Headers],[#Data],[Tri-1]],'Cessions EDDA'!$H12,TAB_CS[[#Headers],[#Data],[Nov-2022]])</f>
        <v>0</v>
      </c>
      <c r="M12" s="429">
        <f>SUMIF(TAB_CS[[#Headers],[#Data],[Tri-1]],'Cessions EDDA'!$H12,TAB_CS[[#Headers],[#Data],[Dec-2022]])</f>
        <v>0</v>
      </c>
      <c r="N12" s="429">
        <f>SUMIF(TAB_CS[[#Headers],[#Data],[Tri-1]],'Cessions EDDA'!$H12,TAB_CS[[#Headers],[#Data],[Jan-2023]])</f>
        <v>0</v>
      </c>
      <c r="O12" s="429">
        <f>SUMIF(TAB_CS[[#Headers],[#Data],[Tri-1]],'Cessions EDDA'!$H12,TAB_CS[[#Headers],[#Data],[Feb-2023]])</f>
        <v>0</v>
      </c>
      <c r="P12" s="422">
        <f>SUMIF(TAB_CS[[#Headers],[#Data],[Tri-1]],'Cessions EDDA'!$H12,TAB_CS[[#Headers],[#Data],[Mar-2023]])</f>
        <v>0</v>
      </c>
      <c r="Q12" s="422">
        <f>SUMIF(TAB_CS[[#Headers],[#Data],[Tri-1]],'Cessions EDDA'!$H12,TAB_CS[[#Headers],[#Data],[Apr-2023]])</f>
        <v>0</v>
      </c>
      <c r="R12" s="422">
        <f>SUMIF(TAB_CS[[#Headers],[#Data],[Tri-1]],'Cessions EDDA'!$H12,TAB_CS[[#Headers],[#Data],[May-2023]])</f>
        <v>0</v>
      </c>
      <c r="S12" s="422">
        <f>SUMIF(TAB_CS[[#Headers],[#Data],[Tri-1]],'Cessions EDDA'!$H12,TAB_CS[[#Headers],[#Data],[Jun-2023]])</f>
        <v>0</v>
      </c>
      <c r="T12" s="422">
        <f>SUMIF(TAB_CS[[#Headers],[#Data],[Tri-1]],'Cessions EDDA'!$H12,TAB_CS[[#Headers],[#Data],[Jul-2023]])</f>
        <v>0</v>
      </c>
      <c r="U12" s="422">
        <f>SUMIF(TAB_CS[[#Headers],[#Data],[Tri-1]],'Cessions EDDA'!$H12,TAB_CS[[#Headers],[#Data],[Aug-2023]])</f>
        <v>0</v>
      </c>
      <c r="V12" s="422">
        <f>SUMIF(TAB_CS[[#Headers],[#Data],[Tri-1]],'Cessions EDDA'!$H12,TAB_CS[[#Headers],[#Data],[Sep-2023]])</f>
        <v>0</v>
      </c>
      <c r="W12" s="422">
        <f>SUMIF(TAB_CS[[#Headers],[#Data],[Tri-1]],'Cessions EDDA'!$H12,TAB_CS[[#Headers],[#Data],[Oct-2023]])</f>
        <v>0</v>
      </c>
      <c r="X12" s="422">
        <f>SUMIF(TAB_CS[[#Headers],[#Data],[Tri-1]],'Cessions EDDA'!$H12,TAB_CS[[#Headers],[#Data],[Nov-2023]])</f>
        <v>0</v>
      </c>
      <c r="Y12" s="422">
        <f>SUMIF(TAB_CS[[#Headers],[#Data],[Tri-1]],'Cessions EDDA'!$H12,TAB_CS[[#Headers],[#Data],[Dec-2023]])</f>
        <v>0</v>
      </c>
      <c r="Z12" s="422">
        <f>SUMIF(TAB_CS[[#Headers],[#Data],[Tri-1]],'Cessions EDDA'!$H12,TAB_CS[[#Headers],[#Data],[Jan-2024]])</f>
        <v>0</v>
      </c>
      <c r="AA12" s="422">
        <f>SUMIF(TAB_CS[[#Headers],[#Data],[Tri-1]],'Cessions EDDA'!$H12,TAB_CS[[#Headers],[#Data],[Feb-2024]])</f>
        <v>0</v>
      </c>
      <c r="AB12" s="422">
        <f>SUMIF(TAB_CS[[#Headers],[#Data],[Tri-1]],'Cessions EDDA'!$H12,TAB_CS[[#Headers],[#Data],[Mar-2024]])</f>
        <v>0</v>
      </c>
      <c r="AC12" s="422">
        <f>SUMIF(TAB_CS[[#Headers],[#Data],[Tri-1]],'Cessions EDDA'!$H12,TAB_CS[[#Headers],[#Data],[Apr-2024]])</f>
        <v>0</v>
      </c>
      <c r="AD12" s="422">
        <f>SUMIF(TAB_CS[[#Headers],[#Data],[Tri-1]],'Cessions EDDA'!$H12,TAB_CS[[#Headers],[#Data],[May-2024]])</f>
        <v>0</v>
      </c>
      <c r="AE12" s="422">
        <f>SUMIF(TAB_CS[[#Headers],[#Data],[Tri-1]],'Cessions EDDA'!$H12,TAB_CS[[#Headers],[#Data],[Jun-2024]])</f>
        <v>0</v>
      </c>
      <c r="AF12" s="422">
        <f>SUMIF(TAB_CS[[#Headers],[#Data],[Tri-1]],'Cessions EDDA'!$H12,TAB_CS[[#Headers],[#Data],[Jul-2024]])</f>
        <v>0</v>
      </c>
      <c r="AG12" s="422">
        <f>SUMIF(TAB_CS[[#Headers],[#Data],[Tri-1]],'Cessions EDDA'!$H12,TAB_CS[[#Headers],[#Data],[Aug-2024]])</f>
        <v>0</v>
      </c>
      <c r="AH12" s="422">
        <f>SUMIF(TAB_CS[[#Headers],[#Data],[Tri-1]],'Cessions EDDA'!$H12,TAB_CS[[#Headers],[#Data],[Sep-2024]])</f>
        <v>0</v>
      </c>
      <c r="AI12" s="422">
        <f>SUMIF(TAB_CS[[#Headers],[#Data],[Tri-1]],'Cessions EDDA'!$H12,TAB_CS[[#Headers],[#Data],[Oct-2024]])</f>
        <v>0</v>
      </c>
      <c r="AJ12" s="422">
        <f>SUMIF(TAB_CS[[#Headers],[#Data],[Tri-1]],'Cessions EDDA'!$H12,TAB_CS[[#Headers],[#Data],[Nov-2024]])</f>
        <v>0</v>
      </c>
      <c r="AK12" s="422">
        <f>SUMIF(TAB_CS[[#Headers],[#Data],[Tri-1]],'Cessions EDDA'!$H12,TAB_CS[[#Headers],[#Data],[Dec-2024]])</f>
        <v>0</v>
      </c>
      <c r="AL12" s="422">
        <f>SUMIF(TAB_CS[[#Headers],[#Data],[Tri-1]],'Cessions EDDA'!$H12,TAB_CS[[#Headers],[#Data],[Jan-2025]])</f>
        <v>0</v>
      </c>
      <c r="AM12" s="422">
        <f>SUMIF(TAB_CS[[#Headers],[#Data],[Tri-1]],'Cessions EDDA'!$H12,TAB_CS[[#Headers],[#Data],[Feb-2025]])</f>
        <v>0</v>
      </c>
      <c r="AN12" s="422">
        <f>SUMIF(TAB_CS[[#Headers],[#Data],[Tri-1]],'Cessions EDDA'!$H12,TAB_CS[[#Headers],[#Data],[Mar-2025]])</f>
        <v>0</v>
      </c>
      <c r="AO12" s="422">
        <f>SUMIF(TAB_CS[[#Headers],[#Data],[Tri-1]],'Cessions EDDA'!$H12,TAB_CS[[#Headers],[#Data],[Apr-2025]])</f>
        <v>12.5</v>
      </c>
      <c r="AP12" s="422">
        <f>SUMIF(TAB_CS[[#Headers],[#Data],[Tri-1]],'Cessions EDDA'!$H12,TAB_CS[[#Headers],[#Data],[May-2025]])</f>
        <v>18</v>
      </c>
      <c r="AQ12" s="422">
        <f>SUMIF(TAB_CS[[#Headers],[#Data],[Tri-1]],'Cessions EDDA'!$H12,TAB_CS[[#Headers],[#Data],[Jun-2025]])</f>
        <v>18</v>
      </c>
      <c r="AR12" s="422">
        <f>SUMIF(TAB_CS[[#Headers],[#Data],[Tri-1]],'Cessions EDDA'!$H12,TAB_CS[[#Headers],[#Data],[Jul-2025]])</f>
        <v>18</v>
      </c>
      <c r="AS12" s="422">
        <f>SUMIF(TAB_CS[[#Headers],[#Data],[Tri-1]],'Cessions EDDA'!$H12,TAB_CS[[#Headers],[#Data],[Aug-2025]])</f>
        <v>18</v>
      </c>
      <c r="AT12" s="422">
        <f>SUMIF(TAB_CS[[#Headers],[#Data],[Tri-1]],'Cessions EDDA'!$H12,TAB_CS[[#Headers],[#Data],[Sep-2025]])</f>
        <v>18</v>
      </c>
      <c r="AU12" s="422">
        <f>SUMIF(TAB_CS[[#Headers],[#Data],[Tri-1]],'Cessions EDDA'!$H12,TAB_CS[[#Headers],[#Data],[Oct-2025]])</f>
        <v>18</v>
      </c>
      <c r="AV12" s="422">
        <f>SUMIF(TAB_CS[[#Headers],[#Data],[Tri-1]],'Cessions EDDA'!$H12,TAB_CS[[#Headers],[#Data],[Nov-2025]])</f>
        <v>18</v>
      </c>
      <c r="AW12" s="422">
        <f>SUMIF(TAB_CS[[#Headers],[#Data],[Tri-1]],'Cessions EDDA'!$H12,TAB_CS[[#Headers],[#Data],[Dec-2025]])</f>
        <v>11.5</v>
      </c>
    </row>
    <row r="13" spans="1:49" s="442" customFormat="1" x14ac:dyDescent="0.3">
      <c r="A13" s="653"/>
      <c r="B13" s="434"/>
      <c r="C13" s="435" t="s">
        <v>5891</v>
      </c>
      <c r="D13" s="436">
        <v>773.61</v>
      </c>
      <c r="E13" s="436">
        <v>934.37</v>
      </c>
      <c r="F13" s="437">
        <f t="shared" ref="F13" si="13">(E13-D13)/E13</f>
        <v>0.17205175679869858</v>
      </c>
      <c r="G13" s="438">
        <f t="shared" ref="G13" si="14">((E13-D13)-(E13*$G$8))/E13</f>
        <v>0.12205175679869858</v>
      </c>
      <c r="H13" s="438" t="str">
        <f t="shared" si="5"/>
        <v>COOKE, Justin (Projection)934,37</v>
      </c>
      <c r="I13" s="439" t="s">
        <v>79</v>
      </c>
      <c r="J13" s="439">
        <v>10</v>
      </c>
      <c r="K13" s="440">
        <f>SUMIF(TAB_CS[[#Headers],[#Data],[Tri-1]],'Cessions EDDA'!$H13,TAB_CS[[#Headers],[#Data],[Oct-2022]])</f>
        <v>0</v>
      </c>
      <c r="L13" s="440">
        <f>SUMIF(TAB_CS[[#Headers],[#Data],[Tri-1]],'Cessions EDDA'!$H13,TAB_CS[[#Headers],[#Data],[Nov-2022]])</f>
        <v>0</v>
      </c>
      <c r="M13" s="441">
        <f>SUMIF(TAB_CS[[#Headers],[#Data],[Tri-1]],'Cessions EDDA'!$H13,TAB_CS[[#Headers],[#Data],[Dec-2022]])</f>
        <v>0</v>
      </c>
      <c r="N13" s="441">
        <f>SUMIF(TAB_CS[[#Headers],[#Data],[Tri-1]],'Cessions EDDA'!$H13,TAB_CS[[#Headers],[#Data],[Jan-2023]])</f>
        <v>0</v>
      </c>
      <c r="O13" s="441">
        <f>SUMIF(TAB_CS[[#Headers],[#Data],[Tri-1]],'Cessions EDDA'!$H13,TAB_CS[[#Headers],[#Data],[Feb-2023]])</f>
        <v>0</v>
      </c>
      <c r="P13" s="440">
        <f>SUMIF(TAB_CS[[#Headers],[#Data],[Tri-1]],'Cessions EDDA'!$H13,TAB_CS[[#Headers],[#Data],[Mar-2023]])</f>
        <v>0</v>
      </c>
      <c r="Q13" s="440">
        <f>SUMIF(TAB_CS[[#Headers],[#Data],[Tri-1]],'Cessions EDDA'!$H13,TAB_CS[[#Headers],[#Data],[Apr-2023]])</f>
        <v>0</v>
      </c>
      <c r="R13" s="440">
        <f>SUMIF(TAB_CS[[#Headers],[#Data],[Tri-1]],'Cessions EDDA'!$H13,TAB_CS[[#Headers],[#Data],[May-2023]])</f>
        <v>0</v>
      </c>
      <c r="S13" s="440">
        <f>SUMIF(TAB_CS[[#Headers],[#Data],[Tri-1]],'Cessions EDDA'!$H13,TAB_CS[[#Headers],[#Data],[Jun-2023]])</f>
        <v>0</v>
      </c>
      <c r="T13" s="440">
        <f>SUMIF(TAB_CS[[#Headers],[#Data],[Tri-1]],'Cessions EDDA'!$H13,TAB_CS[[#Headers],[#Data],[Jul-2023]])</f>
        <v>0</v>
      </c>
      <c r="U13" s="440">
        <f>SUMIF(TAB_CS[[#Headers],[#Data],[Tri-1]],'Cessions EDDA'!$H13,TAB_CS[[#Headers],[#Data],[Aug-2023]])</f>
        <v>0</v>
      </c>
      <c r="V13" s="440">
        <f>SUMIF(TAB_CS[[#Headers],[#Data],[Tri-1]],'Cessions EDDA'!$H13,TAB_CS[[#Headers],[#Data],[Sep-2023]])</f>
        <v>0</v>
      </c>
      <c r="W13" s="440">
        <f>SUMIF(TAB_CS[[#Headers],[#Data],[Tri-1]],'Cessions EDDA'!$H13,TAB_CS[[#Headers],[#Data],[Oct-2023]])</f>
        <v>0</v>
      </c>
      <c r="X13" s="440">
        <f>SUMIF(TAB_CS[[#Headers],[#Data],[Tri-1]],'Cessions EDDA'!$H13,TAB_CS[[#Headers],[#Data],[Nov-2023]])</f>
        <v>0</v>
      </c>
      <c r="Y13" s="440">
        <f>SUMIF(TAB_CS[[#Headers],[#Data],[Tri-1]],'Cessions EDDA'!$H13,TAB_CS[[#Headers],[#Data],[Dec-2023]])</f>
        <v>0</v>
      </c>
      <c r="Z13" s="440">
        <f>SUMIF(TAB_CS[[#Headers],[#Data],[Tri-1]],'Cessions EDDA'!$H13,TAB_CS[[#Headers],[#Data],[Jan-2024]])</f>
        <v>0</v>
      </c>
      <c r="AA13" s="440">
        <f>SUMIF(TAB_CS[[#Headers],[#Data],[Tri-1]],'Cessions EDDA'!$H13,TAB_CS[[#Headers],[#Data],[Feb-2024]])</f>
        <v>0</v>
      </c>
      <c r="AB13" s="440">
        <f>SUMIF(TAB_CS[[#Headers],[#Data],[Tri-1]],'Cessions EDDA'!$H13,TAB_CS[[#Headers],[#Data],[Mar-2024]])</f>
        <v>0</v>
      </c>
      <c r="AC13" s="440">
        <f>SUMIF(TAB_CS[[#Headers],[#Data],[Tri-1]],'Cessions EDDA'!$H13,TAB_CS[[#Headers],[#Data],[Apr-2024]])</f>
        <v>0</v>
      </c>
      <c r="AD13" s="440">
        <f>SUMIF(TAB_CS[[#Headers],[#Data],[Tri-1]],'Cessions EDDA'!$H13,TAB_CS[[#Headers],[#Data],[May-2024]])</f>
        <v>0</v>
      </c>
      <c r="AE13" s="440">
        <f>SUMIF(TAB_CS[[#Headers],[#Data],[Tri-1]],'Cessions EDDA'!$H13,TAB_CS[[#Headers],[#Data],[Jun-2024]])</f>
        <v>0</v>
      </c>
      <c r="AF13" s="440">
        <f>SUMIF(TAB_CS[[#Headers],[#Data],[Tri-1]],'Cessions EDDA'!$H13,TAB_CS[[#Headers],[#Data],[Jul-2024]])</f>
        <v>0</v>
      </c>
      <c r="AG13" s="440">
        <f>SUMIF(TAB_CS[[#Headers],[#Data],[Tri-1]],'Cessions EDDA'!$H13,TAB_CS[[#Headers],[#Data],[Aug-2024]])</f>
        <v>0</v>
      </c>
      <c r="AH13" s="440">
        <f>SUMIF(TAB_CS[[#Headers],[#Data],[Tri-1]],'Cessions EDDA'!$H13,TAB_CS[[#Headers],[#Data],[Sep-2024]])</f>
        <v>0</v>
      </c>
      <c r="AI13" s="440">
        <f>SUMIF(TAB_CS[[#Headers],[#Data],[Tri-1]],'Cessions EDDA'!$H13,TAB_CS[[#Headers],[#Data],[Oct-2024]])</f>
        <v>0</v>
      </c>
      <c r="AJ13" s="440">
        <f>SUMIF(TAB_CS[[#Headers],[#Data],[Tri-1]],'Cessions EDDA'!$H13,TAB_CS[[#Headers],[#Data],[Nov-2024]])</f>
        <v>0</v>
      </c>
      <c r="AK13" s="440">
        <v>0</v>
      </c>
      <c r="AL13" s="440">
        <v>0</v>
      </c>
      <c r="AM13" s="440">
        <v>0</v>
      </c>
      <c r="AN13" s="440">
        <v>0</v>
      </c>
      <c r="AO13" s="440">
        <v>0</v>
      </c>
      <c r="AP13" s="440">
        <v>0</v>
      </c>
      <c r="AQ13" s="440">
        <v>0</v>
      </c>
      <c r="AR13" s="440">
        <v>0</v>
      </c>
      <c r="AS13" s="440">
        <v>0</v>
      </c>
      <c r="AT13" s="440">
        <v>0</v>
      </c>
      <c r="AU13" s="440">
        <v>0</v>
      </c>
      <c r="AV13" s="440">
        <v>0</v>
      </c>
      <c r="AW13" s="440">
        <v>6.5</v>
      </c>
    </row>
    <row r="14" spans="1:49" x14ac:dyDescent="0.3">
      <c r="A14" s="399"/>
      <c r="B14" s="406"/>
      <c r="C14" s="407" t="s">
        <v>284</v>
      </c>
      <c r="D14" s="402">
        <v>648</v>
      </c>
      <c r="E14" s="402">
        <v>753.77</v>
      </c>
      <c r="F14" s="403">
        <f t="shared" si="6"/>
        <v>0.14032131817397878</v>
      </c>
      <c r="G14" s="404">
        <f t="shared" si="7"/>
        <v>9.0321318173978773E-2</v>
      </c>
      <c r="H14" s="404" t="str">
        <f t="shared" si="5"/>
        <v>DE ANDRES DEL CASTILLO, David753,77</v>
      </c>
      <c r="I14" s="405" t="s">
        <v>54</v>
      </c>
      <c r="J14" s="405">
        <v>9</v>
      </c>
      <c r="K14" s="422">
        <f>SUMIF(TAB_CS[[#Headers],[#Data],[Tri-1]],'Cessions EDDA'!$H14,TAB_CS[[#Headers],[#Data],[Oct-2022]])</f>
        <v>0</v>
      </c>
      <c r="L14" s="423">
        <f>SUMIF(TAB_CS[[#Headers],[#Data],[Tri-1]],'Cessions EDDA'!$H14,TAB_CS[[#Headers],[#Data],[Nov-2022]])</f>
        <v>4</v>
      </c>
      <c r="M14" s="430">
        <f>SUMIF(TAB_CS[[#Headers],[#Data],[Tri-1]],'Cessions EDDA'!$H14,TAB_CS[[#Headers],[#Data],[Dec-2022]])</f>
        <v>16</v>
      </c>
      <c r="N14" s="430">
        <f>SUMIF(TAB_CS[[#Headers],[#Data],[Tri-1]],'Cessions EDDA'!$H14,TAB_CS[[#Headers],[#Data],[Jan-2023]])</f>
        <v>20</v>
      </c>
      <c r="O14" s="430">
        <f>SUMIF(TAB_CS[[#Headers],[#Data],[Tri-1]],'Cessions EDDA'!$H14,TAB_CS[[#Headers],[#Data],[Feb-2023]])</f>
        <v>19</v>
      </c>
      <c r="P14" s="430">
        <f>SUMIF(TAB_CS[[#Headers],[#Data],[Tri-1]],'Cessions EDDA'!$H14,TAB_CS[[#Headers],[#Data],[Mar-2023]])</f>
        <v>21</v>
      </c>
      <c r="Q14" s="423">
        <f>SUMIF(TAB_CS[[#Headers],[#Data],[Tri-1]],'Cessions EDDA'!$H14,TAB_CS[[#Headers],[#Data],[Apr-2023]])</f>
        <v>14</v>
      </c>
      <c r="R14" s="423">
        <f>SUMIF(TAB_CS[[#Headers],[#Data],[Tri-1]],'Cessions EDDA'!$H14,TAB_CS[[#Headers],[#Data],[May-2023]])</f>
        <v>18</v>
      </c>
      <c r="S14" s="423">
        <f>SUMIF(TAB_CS[[#Headers],[#Data],[Tri-1]],'Cessions EDDA'!$H14,TAB_CS[[#Headers],[#Data],[Jun-2023]])</f>
        <v>22</v>
      </c>
      <c r="T14" s="423">
        <f>SUMIF(TAB_CS[[#Headers],[#Data],[Tri-1]],'Cessions EDDA'!$H14,TAB_CS[[#Headers],[#Data],[Jul-2023]])</f>
        <v>16</v>
      </c>
      <c r="U14" s="423">
        <f>SUMIF(TAB_CS[[#Headers],[#Data],[Tri-1]],'Cessions EDDA'!$H14,TAB_CS[[#Headers],[#Data],[Aug-2023]])</f>
        <v>18</v>
      </c>
      <c r="V14" s="423">
        <f>SUMIF(TAB_CS[[#Headers],[#Data],[Tri-1]],'Cessions EDDA'!$H14,TAB_CS[[#Headers],[#Data],[Sep-2023]])</f>
        <v>19</v>
      </c>
      <c r="W14" s="423">
        <f>SUMIF(TAB_CS[[#Headers],[#Data],[Tri-1]],'Cessions EDDA'!$H14,TAB_CS[[#Headers],[#Data],[Oct-2023]])</f>
        <v>19</v>
      </c>
      <c r="X14" s="423">
        <f>SUMIF(TAB_CS[[#Headers],[#Data],[Tri-1]],'Cessions EDDA'!$H14,TAB_CS[[#Headers],[#Data],[Nov-2023]])</f>
        <v>19</v>
      </c>
      <c r="Y14" s="423">
        <f>SUMIF(TAB_CS[[#Headers],[#Data],[Tri-1]],'Cessions EDDA'!$H14,TAB_CS[[#Headers],[#Data],[Dec-2023]])</f>
        <v>15</v>
      </c>
      <c r="Z14" s="423">
        <f>SUMIF(TAB_CS[[#Headers],[#Data],[Tri-1]],'Cessions EDDA'!$H14,TAB_CS[[#Headers],[#Data],[Jan-2024]])</f>
        <v>21</v>
      </c>
      <c r="AA14" s="423">
        <f>SUMIF(TAB_CS[[#Headers],[#Data],[Tri-1]],'Cessions EDDA'!$H14,TAB_CS[[#Headers],[#Data],[Feb-2024]])</f>
        <v>18</v>
      </c>
      <c r="AB14" s="423">
        <f>SUMIF(TAB_CS[[#Headers],[#Data],[Tri-1]],'Cessions EDDA'!$H14,TAB_CS[[#Headers],[#Data],[Mar-2024]])</f>
        <v>17</v>
      </c>
      <c r="AC14" s="423">
        <f>SUMIF(TAB_CS[[#Headers],[#Data],[Tri-1]],'Cessions EDDA'!$H14,TAB_CS[[#Headers],[#Data],[Apr-2024]])</f>
        <v>18.5</v>
      </c>
      <c r="AD14" s="423">
        <f>SUMIF(TAB_CS[[#Headers],[#Data],[Tri-1]],'Cessions EDDA'!$H14,TAB_CS[[#Headers],[#Data],[May-2024]])</f>
        <v>5.5</v>
      </c>
      <c r="AE14" s="422">
        <f>SUMIF(TAB_CS[[#Headers],[#Data],[Tri-1]],'Cessions EDDA'!$H14,TAB_CS[[#Headers],[#Data],[Jun-2024]])</f>
        <v>0</v>
      </c>
      <c r="AF14" s="422">
        <f>SUMIF(TAB_CS[[#Headers],[#Data],[Tri-1]],'Cessions EDDA'!$H14,TAB_CS[[#Headers],[#Data],[Jul-2024]])</f>
        <v>0</v>
      </c>
      <c r="AG14" s="422">
        <f>SUMIF(TAB_CS[[#Headers],[#Data],[Tri-1]],'Cessions EDDA'!$H14,TAB_CS[[#Headers],[#Data],[Aug-2024]])</f>
        <v>0</v>
      </c>
      <c r="AH14" s="422">
        <f>SUMIF(TAB_CS[[#Headers],[#Data],[Tri-1]],'Cessions EDDA'!$H14,TAB_CS[[#Headers],[#Data],[Sep-2024]])</f>
        <v>0</v>
      </c>
      <c r="AI14" s="422">
        <f>SUMIF(TAB_CS[[#Headers],[#Data],[Tri-1]],'Cessions EDDA'!$H14,TAB_CS[[#Headers],[#Data],[Oct-2024]])</f>
        <v>0</v>
      </c>
      <c r="AJ14" s="422">
        <f>SUMIF(TAB_CS[[#Headers],[#Data],[Tri-1]],'Cessions EDDA'!$H14,TAB_CS[[#Headers],[#Data],[Nov-2024]])</f>
        <v>0</v>
      </c>
      <c r="AK14" s="422">
        <f>SUMIF(TAB_CS[[#Headers],[#Data],[Tri-1]],'Cessions EDDA'!$H14,TAB_CS[[#Headers],[#Data],[Dec-2024]])</f>
        <v>0</v>
      </c>
      <c r="AL14" s="422">
        <f>SUMIF(TAB_CS[[#Headers],[#Data],[Tri-1]],'Cessions EDDA'!$H14,TAB_CS[[#Headers],[#Data],[Jan-2025]])</f>
        <v>0</v>
      </c>
      <c r="AM14" s="422">
        <f>SUMIF(TAB_CS[[#Headers],[#Data],[Tri-1]],'Cessions EDDA'!$H14,TAB_CS[[#Headers],[#Data],[Feb-2025]])</f>
        <v>0</v>
      </c>
      <c r="AN14" s="422">
        <f>SUMIF(TAB_CS[[#Headers],[#Data],[Tri-1]],'Cessions EDDA'!$H14,TAB_CS[[#Headers],[#Data],[Mar-2025]])</f>
        <v>0</v>
      </c>
      <c r="AO14" s="422">
        <f>SUMIF(TAB_CS[[#Headers],[#Data],[Tri-1]],'Cessions EDDA'!$H14,TAB_CS[[#Headers],[#Data],[Apr-2025]])</f>
        <v>0</v>
      </c>
      <c r="AP14" s="422">
        <f>SUMIF(TAB_CS[[#Headers],[#Data],[Tri-1]],'Cessions EDDA'!$H14,TAB_CS[[#Headers],[#Data],[May-2025]])</f>
        <v>0</v>
      </c>
      <c r="AQ14" s="422">
        <f>SUMIF(TAB_CS[[#Headers],[#Data],[Tri-1]],'Cessions EDDA'!$H14,TAB_CS[[#Headers],[#Data],[Jun-2025]])</f>
        <v>0</v>
      </c>
      <c r="AR14" s="422">
        <f>SUMIF(TAB_CS[[#Headers],[#Data],[Tri-1]],'Cessions EDDA'!$H14,TAB_CS[[#Headers],[#Data],[Jul-2025]])</f>
        <v>0</v>
      </c>
      <c r="AS14" s="422">
        <f>SUMIF(TAB_CS[[#Headers],[#Data],[Tri-1]],'Cessions EDDA'!$H14,TAB_CS[[#Headers],[#Data],[Aug-2025]])</f>
        <v>0</v>
      </c>
      <c r="AT14" s="422">
        <f>SUMIF(TAB_CS[[#Headers],[#Data],[Tri-1]],'Cessions EDDA'!$H14,TAB_CS[[#Headers],[#Data],[Sep-2025]])</f>
        <v>0</v>
      </c>
      <c r="AU14" s="422">
        <f>SUMIF(TAB_CS[[#Headers],[#Data],[Tri-1]],'Cessions EDDA'!$H14,TAB_CS[[#Headers],[#Data],[Oct-2025]])</f>
        <v>0</v>
      </c>
      <c r="AV14" s="422">
        <f>SUMIF(TAB_CS[[#Headers],[#Data],[Tri-1]],'Cessions EDDA'!$H14,TAB_CS[[#Headers],[#Data],[Nov-2025]])</f>
        <v>0</v>
      </c>
      <c r="AW14" s="422">
        <f>SUMIF(TAB_CS[[#Headers],[#Data],[Tri-1]],'Cessions EDDA'!$H14,TAB_CS[[#Headers],[#Data],[Dec-2025]])</f>
        <v>0</v>
      </c>
    </row>
    <row r="15" spans="1:49" x14ac:dyDescent="0.3">
      <c r="A15" s="399"/>
      <c r="B15" s="406"/>
      <c r="C15" s="407" t="s">
        <v>284</v>
      </c>
      <c r="D15" s="402">
        <v>682</v>
      </c>
      <c r="E15" s="402">
        <v>793.34</v>
      </c>
      <c r="F15" s="403">
        <f t="shared" ref="F15" si="15">(E15-D15)/E15</f>
        <v>0.14034335845917265</v>
      </c>
      <c r="G15" s="404">
        <f t="shared" ref="G15" si="16">((E15-D15)-(E15*$G$8))/E15</f>
        <v>9.0343358459172643E-2</v>
      </c>
      <c r="H15" s="404" t="str">
        <f t="shared" si="5"/>
        <v>DE ANDRES DEL CASTILLO, David793,34</v>
      </c>
      <c r="I15" s="405" t="s">
        <v>54</v>
      </c>
      <c r="J15" s="405">
        <v>9</v>
      </c>
      <c r="K15" s="422">
        <f>SUMIF(TAB_CS[[#Headers],[#Data],[Tri-1]],'Cessions EDDA'!$H15,TAB_CS[[#Headers],[#Data],[Oct-2022]])</f>
        <v>0</v>
      </c>
      <c r="L15" s="422">
        <f>SUMIF(TAB_CS[[#Headers],[#Data],[Tri-1]],'Cessions EDDA'!$H15,TAB_CS[[#Headers],[#Data],[Nov-2022]])</f>
        <v>0</v>
      </c>
      <c r="M15" s="429">
        <f>SUMIF(TAB_CS[[#Headers],[#Data],[Tri-1]],'Cessions EDDA'!$H15,TAB_CS[[#Headers],[#Data],[Dec-2022]])</f>
        <v>0</v>
      </c>
      <c r="N15" s="429">
        <f>SUMIF(TAB_CS[[#Headers],[#Data],[Tri-1]],'Cessions EDDA'!$H15,TAB_CS[[#Headers],[#Data],[Jan-2023]])</f>
        <v>0</v>
      </c>
      <c r="O15" s="429">
        <f>SUMIF(TAB_CS[[#Headers],[#Data],[Tri-1]],'Cessions EDDA'!$H15,TAB_CS[[#Headers],[#Data],[Feb-2023]])</f>
        <v>0</v>
      </c>
      <c r="P15" s="429">
        <f>SUMIF(TAB_CS[[#Headers],[#Data],[Tri-1]],'Cessions EDDA'!$H15,TAB_CS[[#Headers],[#Data],[Mar-2023]])</f>
        <v>0</v>
      </c>
      <c r="Q15" s="422">
        <f>SUMIF(TAB_CS[[#Headers],[#Data],[Tri-1]],'Cessions EDDA'!$H15,TAB_CS[[#Headers],[#Data],[Apr-2023]])</f>
        <v>0</v>
      </c>
      <c r="R15" s="422">
        <f>SUMIF(TAB_CS[[#Headers],[#Data],[Tri-1]],'Cessions EDDA'!$H15,TAB_CS[[#Headers],[#Data],[May-2023]])</f>
        <v>0</v>
      </c>
      <c r="S15" s="422">
        <f>SUMIF(TAB_CS[[#Headers],[#Data],[Tri-1]],'Cessions EDDA'!$H15,TAB_CS[[#Headers],[#Data],[Jun-2023]])</f>
        <v>0</v>
      </c>
      <c r="T15" s="422">
        <f>SUMIF(TAB_CS[[#Headers],[#Data],[Tri-1]],'Cessions EDDA'!$H15,TAB_CS[[#Headers],[#Data],[Jul-2023]])</f>
        <v>0</v>
      </c>
      <c r="U15" s="422">
        <f>SUMIF(TAB_CS[[#Headers],[#Data],[Tri-1]],'Cessions EDDA'!$H15,TAB_CS[[#Headers],[#Data],[Aug-2023]])</f>
        <v>0</v>
      </c>
      <c r="V15" s="422">
        <f>SUMIF(TAB_CS[[#Headers],[#Data],[Tri-1]],'Cessions EDDA'!$H15,TAB_CS[[#Headers],[#Data],[Sep-2023]])</f>
        <v>0</v>
      </c>
      <c r="W15" s="422">
        <f>SUMIF(TAB_CS[[#Headers],[#Data],[Tri-1]],'Cessions EDDA'!$H15,TAB_CS[[#Headers],[#Data],[Oct-2023]])</f>
        <v>0</v>
      </c>
      <c r="X15" s="422">
        <f>SUMIF(TAB_CS[[#Headers],[#Data],[Tri-1]],'Cessions EDDA'!$H15,TAB_CS[[#Headers],[#Data],[Nov-2023]])</f>
        <v>0</v>
      </c>
      <c r="Y15" s="422">
        <f>SUMIF(TAB_CS[[#Headers],[#Data],[Tri-1]],'Cessions EDDA'!$H15,TAB_CS[[#Headers],[#Data],[Dec-2023]])</f>
        <v>0</v>
      </c>
      <c r="Z15" s="422">
        <f>SUMIF(TAB_CS[[#Headers],[#Data],[Tri-1]],'Cessions EDDA'!$H15,TAB_CS[[#Headers],[#Data],[Jan-2024]])</f>
        <v>0</v>
      </c>
      <c r="AA15" s="422">
        <f>SUMIF(TAB_CS[[#Headers],[#Data],[Tri-1]],'Cessions EDDA'!$H15,TAB_CS[[#Headers],[#Data],[Feb-2024]])</f>
        <v>0</v>
      </c>
      <c r="AB15" s="422">
        <f>SUMIF(TAB_CS[[#Headers],[#Data],[Tri-1]],'Cessions EDDA'!$H15,TAB_CS[[#Headers],[#Data],[Mar-2024]])</f>
        <v>0</v>
      </c>
      <c r="AC15" s="422">
        <f>SUMIF(TAB_CS[[#Headers],[#Data],[Tri-1]],'Cessions EDDA'!$H15,TAB_CS[[#Headers],[#Data],[Apr-2024]])</f>
        <v>0</v>
      </c>
      <c r="AD15" s="423">
        <f>SUMIF(TAB_CS[[#Headers],[#Data],[Tri-1]],'Cessions EDDA'!$H15,TAB_CS[[#Headers],[#Data],[May-2024]])</f>
        <v>7</v>
      </c>
      <c r="AE15" s="423">
        <f>SUMIF(TAB_CS[[#Headers],[#Data],[Tri-1]],'Cessions EDDA'!$H15,TAB_CS[[#Headers],[#Data],[Jun-2024]])</f>
        <v>13</v>
      </c>
      <c r="AF15" s="423">
        <f>SUMIF(TAB_CS[[#Headers],[#Data],[Tri-1]],'Cessions EDDA'!$H15,TAB_CS[[#Headers],[#Data],[Jul-2024]])</f>
        <v>19</v>
      </c>
      <c r="AG15" s="423">
        <f>SUMIF(TAB_CS[[#Headers],[#Data],[Tri-1]],'Cessions EDDA'!$H15,TAB_CS[[#Headers],[#Data],[Aug-2024]])</f>
        <v>16</v>
      </c>
      <c r="AH15" s="423">
        <f>SUMIF(TAB_CS[[#Headers],[#Data],[Tri-1]],'Cessions EDDA'!$H15,TAB_CS[[#Headers],[#Data],[Sep-2024]])</f>
        <v>18.5</v>
      </c>
      <c r="AI15" s="422">
        <f>SUMIF(TAB_CS[[#Headers],[#Data],[Tri-1]],'Cessions EDDA'!$H15,TAB_CS[[#Headers],[#Data],[Oct-2024]])</f>
        <v>18</v>
      </c>
      <c r="AJ15" s="422">
        <f>SUMIF(TAB_CS[[#Headers],[#Data],[Tri-1]],'Cessions EDDA'!$H15,TAB_CS[[#Headers],[#Data],[Nov-2024]])</f>
        <v>18</v>
      </c>
      <c r="AK15" s="422">
        <f>SUMIF(TAB_CS[[#Headers],[#Data],[Tri-1]],'Cessions EDDA'!$H15,TAB_CS[[#Headers],[#Data],[Dec-2024]])</f>
        <v>18</v>
      </c>
      <c r="AL15" s="422">
        <f>SUMIF(TAB_CS[[#Headers],[#Data],[Tri-1]],'Cessions EDDA'!$H15,TAB_CS[[#Headers],[#Data],[Jan-2025]])</f>
        <v>18</v>
      </c>
      <c r="AM15" s="422">
        <f>SUMIF(TAB_CS[[#Headers],[#Data],[Tri-1]],'Cessions EDDA'!$H15,TAB_CS[[#Headers],[#Data],[Feb-2025]])</f>
        <v>18</v>
      </c>
      <c r="AN15" s="422">
        <f>SUMIF(TAB_CS[[#Headers],[#Data],[Tri-1]],'Cessions EDDA'!$H15,TAB_CS[[#Headers],[#Data],[Mar-2025]])</f>
        <v>18</v>
      </c>
      <c r="AO15" s="422">
        <f>SUMIF(TAB_CS[[#Headers],[#Data],[Tri-1]],'Cessions EDDA'!$H15,TAB_CS[[#Headers],[#Data],[Apr-2025]])</f>
        <v>18</v>
      </c>
      <c r="AP15" s="422">
        <f>SUMIF(TAB_CS[[#Headers],[#Data],[Tri-1]],'Cessions EDDA'!$H15,TAB_CS[[#Headers],[#Data],[May-2025]])</f>
        <v>10.5</v>
      </c>
      <c r="AQ15" s="422">
        <f>SUMIF(TAB_CS[[#Headers],[#Data],[Tri-1]],'Cessions EDDA'!$H15,TAB_CS[[#Headers],[#Data],[Jun-2025]])</f>
        <v>0</v>
      </c>
      <c r="AR15" s="422">
        <f>SUMIF(TAB_CS[[#Headers],[#Data],[Tri-1]],'Cessions EDDA'!$H15,TAB_CS[[#Headers],[#Data],[Jul-2025]])</f>
        <v>0</v>
      </c>
      <c r="AS15" s="422">
        <f>SUMIF(TAB_CS[[#Headers],[#Data],[Tri-1]],'Cessions EDDA'!$H15,TAB_CS[[#Headers],[#Data],[Aug-2025]])</f>
        <v>0</v>
      </c>
      <c r="AT15" s="422">
        <f>SUMIF(TAB_CS[[#Headers],[#Data],[Tri-1]],'Cessions EDDA'!$H15,TAB_CS[[#Headers],[#Data],[Sep-2025]])</f>
        <v>0</v>
      </c>
      <c r="AU15" s="422">
        <f>SUMIF(TAB_CS[[#Headers],[#Data],[Tri-1]],'Cessions EDDA'!$H15,TAB_CS[[#Headers],[#Data],[Oct-2025]])</f>
        <v>0</v>
      </c>
      <c r="AV15" s="422">
        <f>SUMIF(TAB_CS[[#Headers],[#Data],[Tri-1]],'Cessions EDDA'!$H15,TAB_CS[[#Headers],[#Data],[Nov-2025]])</f>
        <v>0</v>
      </c>
      <c r="AW15" s="422">
        <f>SUMIF(TAB_CS[[#Headers],[#Data],[Tri-1]],'Cessions EDDA'!$H15,TAB_CS[[#Headers],[#Data],[Dec-2025]])</f>
        <v>0</v>
      </c>
    </row>
    <row r="16" spans="1:49" s="442" customFormat="1" x14ac:dyDescent="0.3">
      <c r="A16" s="653"/>
      <c r="B16" s="434"/>
      <c r="C16" s="435" t="s">
        <v>5892</v>
      </c>
      <c r="D16" s="436">
        <v>682</v>
      </c>
      <c r="E16" s="436">
        <v>793.34</v>
      </c>
      <c r="F16" s="437">
        <f t="shared" ref="F16" si="17">(E16-D16)/E16</f>
        <v>0.14034335845917265</v>
      </c>
      <c r="G16" s="438">
        <f t="shared" ref="G16" si="18">((E16-D16)-(E16*$G$8))/E16</f>
        <v>9.0343358459172643E-2</v>
      </c>
      <c r="H16" s="438" t="str">
        <f t="shared" si="5"/>
        <v>DE ANDRES DEL CASTILLO, David (projection)793,34</v>
      </c>
      <c r="I16" s="439" t="s">
        <v>54</v>
      </c>
      <c r="J16" s="439">
        <v>9</v>
      </c>
      <c r="K16" s="440">
        <f>SUMIF(TAB_CS[[#Headers],[#Data],[Tri-1]],'Cessions EDDA'!$H16,TAB_CS[[#Headers],[#Data],[Oct-2022]])</f>
        <v>0</v>
      </c>
      <c r="L16" s="440">
        <f>SUMIF(TAB_CS[[#Headers],[#Data],[Tri-1]],'Cessions EDDA'!$H16,TAB_CS[[#Headers],[#Data],[Nov-2022]])</f>
        <v>0</v>
      </c>
      <c r="M16" s="441">
        <f>SUMIF(TAB_CS[[#Headers],[#Data],[Tri-1]],'Cessions EDDA'!$H16,TAB_CS[[#Headers],[#Data],[Dec-2022]])</f>
        <v>0</v>
      </c>
      <c r="N16" s="441">
        <f>SUMIF(TAB_CS[[#Headers],[#Data],[Tri-1]],'Cessions EDDA'!$H16,TAB_CS[[#Headers],[#Data],[Jan-2023]])</f>
        <v>0</v>
      </c>
      <c r="O16" s="441">
        <f>SUMIF(TAB_CS[[#Headers],[#Data],[Tri-1]],'Cessions EDDA'!$H16,TAB_CS[[#Headers],[#Data],[Feb-2023]])</f>
        <v>0</v>
      </c>
      <c r="P16" s="441">
        <f>SUMIF(TAB_CS[[#Headers],[#Data],[Tri-1]],'Cessions EDDA'!$H16,TAB_CS[[#Headers],[#Data],[Mar-2023]])</f>
        <v>0</v>
      </c>
      <c r="Q16" s="440">
        <f>SUMIF(TAB_CS[[#Headers],[#Data],[Tri-1]],'Cessions EDDA'!$H16,TAB_CS[[#Headers],[#Data],[Apr-2023]])</f>
        <v>0</v>
      </c>
      <c r="R16" s="440">
        <f>SUMIF(TAB_CS[[#Headers],[#Data],[Tri-1]],'Cessions EDDA'!$H16,TAB_CS[[#Headers],[#Data],[May-2023]])</f>
        <v>0</v>
      </c>
      <c r="S16" s="440">
        <f>SUMIF(TAB_CS[[#Headers],[#Data],[Tri-1]],'Cessions EDDA'!$H16,TAB_CS[[#Headers],[#Data],[Jun-2023]])</f>
        <v>0</v>
      </c>
      <c r="T16" s="440">
        <f>SUMIF(TAB_CS[[#Headers],[#Data],[Tri-1]],'Cessions EDDA'!$H16,TAB_CS[[#Headers],[#Data],[Jul-2023]])</f>
        <v>0</v>
      </c>
      <c r="U16" s="440">
        <f>SUMIF(TAB_CS[[#Headers],[#Data],[Tri-1]],'Cessions EDDA'!$H16,TAB_CS[[#Headers],[#Data],[Aug-2023]])</f>
        <v>0</v>
      </c>
      <c r="V16" s="440">
        <f>SUMIF(TAB_CS[[#Headers],[#Data],[Tri-1]],'Cessions EDDA'!$H16,TAB_CS[[#Headers],[#Data],[Sep-2023]])</f>
        <v>0</v>
      </c>
      <c r="W16" s="440">
        <f>SUMIF(TAB_CS[[#Headers],[#Data],[Tri-1]],'Cessions EDDA'!$H16,TAB_CS[[#Headers],[#Data],[Oct-2023]])</f>
        <v>0</v>
      </c>
      <c r="X16" s="440">
        <f>SUMIF(TAB_CS[[#Headers],[#Data],[Tri-1]],'Cessions EDDA'!$H16,TAB_CS[[#Headers],[#Data],[Nov-2023]])</f>
        <v>0</v>
      </c>
      <c r="Y16" s="440">
        <f>SUMIF(TAB_CS[[#Headers],[#Data],[Tri-1]],'Cessions EDDA'!$H16,TAB_CS[[#Headers],[#Data],[Dec-2023]])</f>
        <v>0</v>
      </c>
      <c r="Z16" s="440">
        <f>SUMIF(TAB_CS[[#Headers],[#Data],[Tri-1]],'Cessions EDDA'!$H16,TAB_CS[[#Headers],[#Data],[Jan-2024]])</f>
        <v>0</v>
      </c>
      <c r="AA16" s="440">
        <f>SUMIF(TAB_CS[[#Headers],[#Data],[Tri-1]],'Cessions EDDA'!$H16,TAB_CS[[#Headers],[#Data],[Feb-2024]])</f>
        <v>0</v>
      </c>
      <c r="AB16" s="440">
        <f>SUMIF(TAB_CS[[#Headers],[#Data],[Tri-1]],'Cessions EDDA'!$H16,TAB_CS[[#Headers],[#Data],[Mar-2024]])</f>
        <v>0</v>
      </c>
      <c r="AC16" s="440">
        <f>SUMIF(TAB_CS[[#Headers],[#Data],[Tri-1]],'Cessions EDDA'!$H16,TAB_CS[[#Headers],[#Data],[Apr-2024]])</f>
        <v>0</v>
      </c>
      <c r="AD16" s="440">
        <f>SUMIF(TAB_CS[[#Headers],[#Data],[Tri-1]],'Cessions EDDA'!$H16,TAB_CS[[#Headers],[#Data],[May-2024]])</f>
        <v>0</v>
      </c>
      <c r="AE16" s="440">
        <f>SUMIF(TAB_CS[[#Headers],[#Data],[Tri-1]],'Cessions EDDA'!$H16,TAB_CS[[#Headers],[#Data],[Jun-2024]])</f>
        <v>0</v>
      </c>
      <c r="AF16" s="440">
        <f>SUMIF(TAB_CS[[#Headers],[#Data],[Tri-1]],'Cessions EDDA'!$H16,TAB_CS[[#Headers],[#Data],[Jul-2024]])</f>
        <v>0</v>
      </c>
      <c r="AG16" s="440">
        <f>SUMIF(TAB_CS[[#Headers],[#Data],[Tri-1]],'Cessions EDDA'!$H16,TAB_CS[[#Headers],[#Data],[Aug-2024]])</f>
        <v>0</v>
      </c>
      <c r="AH16" s="440">
        <f>SUMIF(TAB_CS[[#Headers],[#Data],[Tri-1]],'Cessions EDDA'!$H16,TAB_CS[[#Headers],[#Data],[Sep-2024]])</f>
        <v>0</v>
      </c>
      <c r="AI16" s="440">
        <f>SUMIF(TAB_CS[[#Headers],[#Data],[Tri-1]],'Cessions EDDA'!$H16,TAB_CS[[#Headers],[#Data],[Oct-2024]])</f>
        <v>0</v>
      </c>
      <c r="AJ16" s="440">
        <v>0</v>
      </c>
      <c r="AK16" s="440">
        <v>0</v>
      </c>
      <c r="AL16" s="440">
        <v>0</v>
      </c>
      <c r="AM16" s="440">
        <v>0</v>
      </c>
      <c r="AN16" s="440">
        <v>0</v>
      </c>
      <c r="AO16" s="440">
        <v>0</v>
      </c>
      <c r="AP16" s="440">
        <v>7.5</v>
      </c>
      <c r="AQ16" s="440">
        <v>18</v>
      </c>
      <c r="AR16" s="440">
        <v>18</v>
      </c>
      <c r="AS16" s="440">
        <v>18</v>
      </c>
      <c r="AT16" s="440">
        <v>18</v>
      </c>
      <c r="AU16" s="440">
        <v>18</v>
      </c>
      <c r="AV16" s="440">
        <v>18</v>
      </c>
      <c r="AW16" s="440">
        <v>18</v>
      </c>
    </row>
    <row r="17" spans="1:49" x14ac:dyDescent="0.3">
      <c r="A17" s="399"/>
      <c r="B17" s="406" t="s">
        <v>5849</v>
      </c>
      <c r="C17" s="407" t="s">
        <v>313</v>
      </c>
      <c r="D17" s="402">
        <v>700</v>
      </c>
      <c r="E17" s="402">
        <v>808.92</v>
      </c>
      <c r="F17" s="403">
        <f>(E17-D17)/E17</f>
        <v>0.13464866735894768</v>
      </c>
      <c r="G17" s="404">
        <f t="shared" si="7"/>
        <v>8.4648667358947688E-2</v>
      </c>
      <c r="H17" s="404" t="str">
        <f t="shared" si="5"/>
        <v>DEVLEESCHOUWER, Sophie808,92</v>
      </c>
      <c r="I17" s="405" t="s">
        <v>5850</v>
      </c>
      <c r="J17" s="405">
        <v>9</v>
      </c>
      <c r="K17" s="422">
        <f>SUMIF(TAB_CS[[#Headers],[#Data],[Tri-1]],'Cessions EDDA'!$H17,TAB_CS[[#Headers],[#Data],[Oct-2022]])</f>
        <v>0</v>
      </c>
      <c r="L17" s="422">
        <f>SUMIF(TAB_CS[[#Headers],[#Data],[Tri-1]],'Cessions EDDA'!$H17,TAB_CS[[#Headers],[#Data],[Nov-2022]])</f>
        <v>0</v>
      </c>
      <c r="M17" s="430">
        <f>SUMIF(TAB_CS[[#Headers],[#Data],[Tri-1]],'Cessions EDDA'!$H17,TAB_CS[[#Headers],[#Data],[Dec-2022]])</f>
        <v>9.5</v>
      </c>
      <c r="N17" s="430">
        <f>SUMIF(TAB_CS[[#Headers],[#Data],[Tri-1]],'Cessions EDDA'!$H17,TAB_CS[[#Headers],[#Data],[Jan-2023]])</f>
        <v>15.5</v>
      </c>
      <c r="O17" s="430">
        <f>SUMIF(TAB_CS[[#Headers],[#Data],[Tri-1]],'Cessions EDDA'!$H17,TAB_CS[[#Headers],[#Data],[Feb-2023]])</f>
        <v>17</v>
      </c>
      <c r="P17" s="430">
        <f>SUMIF(TAB_CS[[#Headers],[#Data],[Tri-1]],'Cessions EDDA'!$H17,TAB_CS[[#Headers],[#Data],[Mar-2023]])</f>
        <v>22</v>
      </c>
      <c r="Q17" s="423">
        <f>SUMIF(TAB_CS[[#Headers],[#Data],[Tri-1]],'Cessions EDDA'!$H17,TAB_CS[[#Headers],[#Data],[Apr-2023]])</f>
        <v>16.5</v>
      </c>
      <c r="R17" s="423">
        <f>SUMIF(TAB_CS[[#Headers],[#Data],[Tri-1]],'Cessions EDDA'!$H17,TAB_CS[[#Headers],[#Data],[May-2023]])</f>
        <v>14</v>
      </c>
      <c r="S17" s="423">
        <f>SUMIF(TAB_CS[[#Headers],[#Data],[Tri-1]],'Cessions EDDA'!$H17,TAB_CS[[#Headers],[#Data],[Jun-2023]])</f>
        <v>18.5</v>
      </c>
      <c r="T17" s="423">
        <f>SUMIF(TAB_CS[[#Headers],[#Data],[Tri-1]],'Cessions EDDA'!$H17,TAB_CS[[#Headers],[#Data],[Jul-2023]])</f>
        <v>14</v>
      </c>
      <c r="U17" s="423">
        <f>SUMIF(TAB_CS[[#Headers],[#Data],[Tri-1]],'Cessions EDDA'!$H17,TAB_CS[[#Headers],[#Data],[Aug-2023]])</f>
        <v>14</v>
      </c>
      <c r="V17" s="423">
        <f>SUMIF(TAB_CS[[#Headers],[#Data],[Tri-1]],'Cessions EDDA'!$H17,TAB_CS[[#Headers],[#Data],[Sep-2023]])</f>
        <v>19.5</v>
      </c>
      <c r="W17" s="423">
        <f>SUMIF(TAB_CS[[#Headers],[#Data],[Tri-1]],'Cessions EDDA'!$H17,TAB_CS[[#Headers],[#Data],[Oct-2023]])</f>
        <v>14.5</v>
      </c>
      <c r="X17" s="433">
        <f>SUMIF(TAB_CS[[#Headers],[#Data],[Tri-1]],'Cessions EDDA'!$H17,TAB_CS[[#Headers],[#Data],[Nov-2023]])-0.5</f>
        <v>17.5</v>
      </c>
      <c r="Y17" s="423">
        <f>SUMIF(TAB_CS[[#Headers],[#Data],[Tri-1]],'Cessions EDDA'!$H17,TAB_CS[[#Headers],[#Data],[Dec-2023]])</f>
        <v>15</v>
      </c>
      <c r="Z17" s="423">
        <f>SUMIF(TAB_CS[[#Headers],[#Data],[Tri-1]],'Cessions EDDA'!$H17,TAB_CS[[#Headers],[#Data],[Jan-2024]])</f>
        <v>17</v>
      </c>
      <c r="AA17" s="423">
        <f>SUMIF(TAB_CS[[#Headers],[#Data],[Tri-1]],'Cessions EDDA'!$H17,TAB_CS[[#Headers],[#Data],[Feb-2024]])</f>
        <v>16.5</v>
      </c>
      <c r="AB17" s="423">
        <f>SUMIF(TAB_CS[[#Headers],[#Data],[Tri-1]],'Cessions EDDA'!$H17,TAB_CS[[#Headers],[#Data],[Mar-2024]])</f>
        <v>15.5</v>
      </c>
      <c r="AC17" s="423">
        <f>SUMIF(TAB_CS[[#Headers],[#Data],[Tri-1]],'Cessions EDDA'!$H17,TAB_CS[[#Headers],[#Data],[Apr-2024]])</f>
        <v>19</v>
      </c>
      <c r="AD17" s="423">
        <f>SUMIF(TAB_CS[[#Headers],[#Data],[Tri-1]],'Cessions EDDA'!$H17,TAB_CS[[#Headers],[#Data],[May-2024]])</f>
        <v>9</v>
      </c>
      <c r="AE17" s="422">
        <f>SUMIF(TAB_CS[[#Headers],[#Data],[Tri-1]],'Cessions EDDA'!$H17,TAB_CS[[#Headers],[#Data],[Jun-2024]])</f>
        <v>0</v>
      </c>
      <c r="AF17" s="422">
        <f>SUMIF(TAB_CS[[#Headers],[#Data],[Tri-1]],'Cessions EDDA'!$H17,TAB_CS[[#Headers],[#Data],[Jul-2024]])</f>
        <v>0</v>
      </c>
      <c r="AG17" s="422">
        <f>SUMIF(TAB_CS[[#Headers],[#Data],[Tri-1]],'Cessions EDDA'!$H17,TAB_CS[[#Headers],[#Data],[Aug-2024]])</f>
        <v>0</v>
      </c>
      <c r="AH17" s="422">
        <f>SUMIF(TAB_CS[[#Headers],[#Data],[Tri-1]],'Cessions EDDA'!$H17,TAB_CS[[#Headers],[#Data],[Sep-2024]])</f>
        <v>0</v>
      </c>
      <c r="AI17" s="422">
        <f>SUMIF(TAB_CS[[#Headers],[#Data],[Tri-1]],'Cessions EDDA'!$H17,TAB_CS[[#Headers],[#Data],[Oct-2024]])</f>
        <v>0</v>
      </c>
      <c r="AJ17" s="422">
        <f>SUMIF(TAB_CS[[#Headers],[#Data],[Tri-1]],'Cessions EDDA'!$H17,TAB_CS[[#Headers],[#Data],[Nov-2024]])</f>
        <v>0</v>
      </c>
      <c r="AK17" s="422">
        <f>SUMIF(TAB_CS[[#Headers],[#Data],[Tri-1]],'Cessions EDDA'!$H17,TAB_CS[[#Headers],[#Data],[Dec-2024]])</f>
        <v>0</v>
      </c>
      <c r="AL17" s="422">
        <f>SUMIF(TAB_CS[[#Headers],[#Data],[Tri-1]],'Cessions EDDA'!$H17,TAB_CS[[#Headers],[#Data],[Jan-2025]])</f>
        <v>0</v>
      </c>
      <c r="AM17" s="422">
        <f>SUMIF(TAB_CS[[#Headers],[#Data],[Tri-1]],'Cessions EDDA'!$H17,TAB_CS[[#Headers],[#Data],[Feb-2025]])</f>
        <v>0</v>
      </c>
      <c r="AN17" s="422">
        <f>SUMIF(TAB_CS[[#Headers],[#Data],[Tri-1]],'Cessions EDDA'!$H17,TAB_CS[[#Headers],[#Data],[Mar-2025]])</f>
        <v>0</v>
      </c>
      <c r="AO17" s="422">
        <f>SUMIF(TAB_CS[[#Headers],[#Data],[Tri-1]],'Cessions EDDA'!$H17,TAB_CS[[#Headers],[#Data],[Apr-2025]])</f>
        <v>0</v>
      </c>
      <c r="AP17" s="422">
        <f>SUMIF(TAB_CS[[#Headers],[#Data],[Tri-1]],'Cessions EDDA'!$H17,TAB_CS[[#Headers],[#Data],[May-2025]])</f>
        <v>0</v>
      </c>
      <c r="AQ17" s="422">
        <f>SUMIF(TAB_CS[[#Headers],[#Data],[Tri-1]],'Cessions EDDA'!$H17,TAB_CS[[#Headers],[#Data],[Jun-2025]])</f>
        <v>0</v>
      </c>
      <c r="AR17" s="422">
        <f>SUMIF(TAB_CS[[#Headers],[#Data],[Tri-1]],'Cessions EDDA'!$H17,TAB_CS[[#Headers],[#Data],[Jul-2025]])</f>
        <v>0</v>
      </c>
      <c r="AS17" s="422">
        <f>SUMIF(TAB_CS[[#Headers],[#Data],[Tri-1]],'Cessions EDDA'!$H17,TAB_CS[[#Headers],[#Data],[Aug-2025]])</f>
        <v>0</v>
      </c>
      <c r="AT17" s="422">
        <f>SUMIF(TAB_CS[[#Headers],[#Data],[Tri-1]],'Cessions EDDA'!$H17,TAB_CS[[#Headers],[#Data],[Sep-2025]])</f>
        <v>0</v>
      </c>
      <c r="AU17" s="422">
        <f>SUMIF(TAB_CS[[#Headers],[#Data],[Tri-1]],'Cessions EDDA'!$H17,TAB_CS[[#Headers],[#Data],[Oct-2025]])</f>
        <v>0</v>
      </c>
      <c r="AV17" s="422">
        <f>SUMIF(TAB_CS[[#Headers],[#Data],[Tri-1]],'Cessions EDDA'!$H17,TAB_CS[[#Headers],[#Data],[Nov-2025]])</f>
        <v>0</v>
      </c>
      <c r="AW17" s="422">
        <f>SUMIF(TAB_CS[[#Headers],[#Data],[Tri-1]],'Cessions EDDA'!$H17,TAB_CS[[#Headers],[#Data],[Dec-2025]])</f>
        <v>0</v>
      </c>
    </row>
    <row r="18" spans="1:49" x14ac:dyDescent="0.3">
      <c r="A18" s="399"/>
      <c r="B18" s="406" t="s">
        <v>5849</v>
      </c>
      <c r="C18" s="407" t="s">
        <v>313</v>
      </c>
      <c r="D18" s="402">
        <v>736</v>
      </c>
      <c r="E18" s="402">
        <v>851.39</v>
      </c>
      <c r="F18" s="403">
        <f>(E18-D18)/E18</f>
        <v>0.13553130762635218</v>
      </c>
      <c r="G18" s="404">
        <f t="shared" ref="G18" si="19">((E18-D18)-(E18*$G$8))/E18</f>
        <v>8.5531307626352179E-2</v>
      </c>
      <c r="H18" s="404" t="str">
        <f t="shared" si="5"/>
        <v>DEVLEESCHOUWER, Sophie851,39</v>
      </c>
      <c r="I18" s="405" t="s">
        <v>5850</v>
      </c>
      <c r="J18" s="405">
        <v>9</v>
      </c>
      <c r="K18" s="422">
        <f>SUMIF(TAB_CS[[#Headers],[#Data],[Tri-1]],'Cessions EDDA'!$H18,TAB_CS[[#Headers],[#Data],[Oct-2022]])</f>
        <v>0</v>
      </c>
      <c r="L18" s="422">
        <f>SUMIF(TAB_CS[[#Headers],[#Data],[Tri-1]],'Cessions EDDA'!$H18,TAB_CS[[#Headers],[#Data],[Nov-2022]])</f>
        <v>0</v>
      </c>
      <c r="M18" s="429">
        <f>SUMIF(TAB_CS[[#Headers],[#Data],[Tri-1]],'Cessions EDDA'!$H18,TAB_CS[[#Headers],[#Data],[Dec-2022]])</f>
        <v>0</v>
      </c>
      <c r="N18" s="429">
        <f>SUMIF(TAB_CS[[#Headers],[#Data],[Tri-1]],'Cessions EDDA'!$H18,TAB_CS[[#Headers],[#Data],[Jan-2023]])</f>
        <v>0</v>
      </c>
      <c r="O18" s="429">
        <f>SUMIF(TAB_CS[[#Headers],[#Data],[Tri-1]],'Cessions EDDA'!$H18,TAB_CS[[#Headers],[#Data],[Feb-2023]])</f>
        <v>0</v>
      </c>
      <c r="P18" s="429">
        <f>SUMIF(TAB_CS[[#Headers],[#Data],[Tri-1]],'Cessions EDDA'!$H18,TAB_CS[[#Headers],[#Data],[Mar-2023]])</f>
        <v>0</v>
      </c>
      <c r="Q18" s="422">
        <f>SUMIF(TAB_CS[[#Headers],[#Data],[Tri-1]],'Cessions EDDA'!$H18,TAB_CS[[#Headers],[#Data],[Apr-2023]])</f>
        <v>0</v>
      </c>
      <c r="R18" s="422">
        <f>SUMIF(TAB_CS[[#Headers],[#Data],[Tri-1]],'Cessions EDDA'!$H18,TAB_CS[[#Headers],[#Data],[May-2023]])</f>
        <v>0</v>
      </c>
      <c r="S18" s="422">
        <f>SUMIF(TAB_CS[[#Headers],[#Data],[Tri-1]],'Cessions EDDA'!$H18,TAB_CS[[#Headers],[#Data],[Jun-2023]])</f>
        <v>0</v>
      </c>
      <c r="T18" s="422">
        <f>SUMIF(TAB_CS[[#Headers],[#Data],[Tri-1]],'Cessions EDDA'!$H18,TAB_CS[[#Headers],[#Data],[Jul-2023]])</f>
        <v>0</v>
      </c>
      <c r="U18" s="422">
        <f>SUMIF(TAB_CS[[#Headers],[#Data],[Tri-1]],'Cessions EDDA'!$H18,TAB_CS[[#Headers],[#Data],[Aug-2023]])</f>
        <v>0</v>
      </c>
      <c r="V18" s="422">
        <f>SUMIF(TAB_CS[[#Headers],[#Data],[Tri-1]],'Cessions EDDA'!$H18,TAB_CS[[#Headers],[#Data],[Sep-2023]])</f>
        <v>0</v>
      </c>
      <c r="W18" s="422">
        <f>SUMIF(TAB_CS[[#Headers],[#Data],[Tri-1]],'Cessions EDDA'!$H18,TAB_CS[[#Headers],[#Data],[Oct-2023]])</f>
        <v>0</v>
      </c>
      <c r="X18" s="422">
        <f>SUMIF(TAB_CS[[#Headers],[#Data],[Tri-1]],'Cessions EDDA'!$H18,TAB_CS[[#Headers],[#Data],[Nov-2023]])</f>
        <v>0</v>
      </c>
      <c r="Y18" s="422">
        <f>SUMIF(TAB_CS[[#Headers],[#Data],[Tri-1]],'Cessions EDDA'!$H18,TAB_CS[[#Headers],[#Data],[Dec-2023]])</f>
        <v>0</v>
      </c>
      <c r="Z18" s="422">
        <f>SUMIF(TAB_CS[[#Headers],[#Data],[Tri-1]],'Cessions EDDA'!$H18,TAB_CS[[#Headers],[#Data],[Jan-2024]])</f>
        <v>0</v>
      </c>
      <c r="AA18" s="422">
        <f>SUMIF(TAB_CS[[#Headers],[#Data],[Tri-1]],'Cessions EDDA'!$H18,TAB_CS[[#Headers],[#Data],[Feb-2024]])</f>
        <v>0</v>
      </c>
      <c r="AB18" s="422">
        <f>SUMIF(TAB_CS[[#Headers],[#Data],[Tri-1]],'Cessions EDDA'!$H18,TAB_CS[[#Headers],[#Data],[Mar-2024]])</f>
        <v>0</v>
      </c>
      <c r="AC18" s="422">
        <f>SUMIF(TAB_CS[[#Headers],[#Data],[Tri-1]],'Cessions EDDA'!$H18,TAB_CS[[#Headers],[#Data],[Apr-2024]])</f>
        <v>0</v>
      </c>
      <c r="AD18" s="423">
        <f>SUMIF(TAB_CS[[#Headers],[#Data],[Tri-1]],'Cessions EDDA'!$H18,TAB_CS[[#Headers],[#Data],[May-2024]])</f>
        <v>3</v>
      </c>
      <c r="AE18" s="423">
        <f>SUMIF(TAB_CS[[#Headers],[#Data],[Tri-1]],'Cessions EDDA'!$H18,TAB_CS[[#Headers],[#Data],[Jun-2024]])</f>
        <v>18.5</v>
      </c>
      <c r="AF18" s="423">
        <f>SUMIF(TAB_CS[[#Headers],[#Data],[Tri-1]],'Cessions EDDA'!$H18,TAB_CS[[#Headers],[#Data],[Jul-2024]])</f>
        <v>12</v>
      </c>
      <c r="AG18" s="423">
        <f>SUMIF(TAB_CS[[#Headers],[#Data],[Tri-1]],'Cessions EDDA'!$H18,TAB_CS[[#Headers],[#Data],[Aug-2024]])</f>
        <v>10</v>
      </c>
      <c r="AH18" s="423">
        <f>SUMIF(TAB_CS[[#Headers],[#Data],[Tri-1]],'Cessions EDDA'!$H18,TAB_CS[[#Headers],[#Data],[Sep-2024]])</f>
        <v>19.5</v>
      </c>
      <c r="AI18" s="422">
        <f>SUMIF(TAB_CS[[#Headers],[#Data],[Tri-1]],'Cessions EDDA'!$H18,TAB_CS[[#Headers],[#Data],[Oct-2024]])</f>
        <v>14</v>
      </c>
      <c r="AJ18" s="422">
        <f>SUMIF(TAB_CS[[#Headers],[#Data],[Tri-1]],'Cessions EDDA'!$H18,TAB_CS[[#Headers],[#Data],[Nov-2024]])</f>
        <v>18</v>
      </c>
      <c r="AK18" s="422">
        <f>SUMIF(TAB_CS[[#Headers],[#Data],[Tri-1]],'Cessions EDDA'!$H18,TAB_CS[[#Headers],[#Data],[Dec-2024]])</f>
        <v>15</v>
      </c>
      <c r="AL18" s="422">
        <f>SUMIF(TAB_CS[[#Headers],[#Data],[Tri-1]],'Cessions EDDA'!$H18,TAB_CS[[#Headers],[#Data],[Jan-2025]])</f>
        <v>0</v>
      </c>
      <c r="AM18" s="422">
        <f>SUMIF(TAB_CS[[#Headers],[#Data],[Tri-1]],'Cessions EDDA'!$H18,TAB_CS[[#Headers],[#Data],[Feb-2025]])</f>
        <v>0</v>
      </c>
      <c r="AN18" s="422">
        <f>SUMIF(TAB_CS[[#Headers],[#Data],[Tri-1]],'Cessions EDDA'!$H18,TAB_CS[[#Headers],[#Data],[Mar-2025]])</f>
        <v>0</v>
      </c>
      <c r="AO18" s="422">
        <f>SUMIF(TAB_CS[[#Headers],[#Data],[Tri-1]],'Cessions EDDA'!$H18,TAB_CS[[#Headers],[#Data],[Apr-2025]])</f>
        <v>0</v>
      </c>
      <c r="AP18" s="422">
        <f>SUMIF(TAB_CS[[#Headers],[#Data],[Tri-1]],'Cessions EDDA'!$H18,TAB_CS[[#Headers],[#Data],[May-2025]])</f>
        <v>0</v>
      </c>
      <c r="AQ18" s="422">
        <f>SUMIF(TAB_CS[[#Headers],[#Data],[Tri-1]],'Cessions EDDA'!$H18,TAB_CS[[#Headers],[#Data],[Jun-2025]])</f>
        <v>0</v>
      </c>
      <c r="AR18" s="422">
        <f>SUMIF(TAB_CS[[#Headers],[#Data],[Tri-1]],'Cessions EDDA'!$H18,TAB_CS[[#Headers],[#Data],[Jul-2025]])</f>
        <v>0</v>
      </c>
      <c r="AS18" s="422">
        <f>SUMIF(TAB_CS[[#Headers],[#Data],[Tri-1]],'Cessions EDDA'!$H18,TAB_CS[[#Headers],[#Data],[Aug-2025]])</f>
        <v>0</v>
      </c>
      <c r="AT18" s="422">
        <f>SUMIF(TAB_CS[[#Headers],[#Data],[Tri-1]],'Cessions EDDA'!$H18,TAB_CS[[#Headers],[#Data],[Sep-2025]])</f>
        <v>0</v>
      </c>
      <c r="AU18" s="422">
        <f>SUMIF(TAB_CS[[#Headers],[#Data],[Tri-1]],'Cessions EDDA'!$H18,TAB_CS[[#Headers],[#Data],[Oct-2025]])</f>
        <v>0</v>
      </c>
      <c r="AV18" s="422">
        <f>SUMIF(TAB_CS[[#Headers],[#Data],[Tri-1]],'Cessions EDDA'!$H18,TAB_CS[[#Headers],[#Data],[Nov-2025]])</f>
        <v>0</v>
      </c>
      <c r="AW18" s="422">
        <f>SUMIF(TAB_CS[[#Headers],[#Data],[Tri-1]],'Cessions EDDA'!$H18,TAB_CS[[#Headers],[#Data],[Dec-2025]])</f>
        <v>0</v>
      </c>
    </row>
    <row r="19" spans="1:49" s="442" customFormat="1" x14ac:dyDescent="0.3">
      <c r="A19" s="653"/>
      <c r="B19" s="434" t="s">
        <v>5849</v>
      </c>
      <c r="C19" s="435" t="s">
        <v>5893</v>
      </c>
      <c r="D19" s="436">
        <v>736</v>
      </c>
      <c r="E19" s="436">
        <v>851.39</v>
      </c>
      <c r="F19" s="437">
        <f>(E19-D19)/E19</f>
        <v>0.13553130762635218</v>
      </c>
      <c r="G19" s="438">
        <f t="shared" ref="G19" si="20">((E19-D19)-(E19*$G$8))/E19</f>
        <v>8.5531307626352179E-2</v>
      </c>
      <c r="H19" s="438" t="str">
        <f t="shared" si="5"/>
        <v>DEVLEESCHOUWER, Sophie (projection)851,39</v>
      </c>
      <c r="I19" s="439" t="s">
        <v>5850</v>
      </c>
      <c r="J19" s="439">
        <v>9</v>
      </c>
      <c r="K19" s="440">
        <f>SUMIF(TAB_CS[[#Headers],[#Data],[Tri-1]],'Cessions EDDA'!$H19,TAB_CS[[#Headers],[#Data],[Oct-2022]])</f>
        <v>0</v>
      </c>
      <c r="L19" s="440">
        <f>SUMIF(TAB_CS[[#Headers],[#Data],[Tri-1]],'Cessions EDDA'!$H19,TAB_CS[[#Headers],[#Data],[Nov-2022]])</f>
        <v>0</v>
      </c>
      <c r="M19" s="441">
        <f>SUMIF(TAB_CS[[#Headers],[#Data],[Tri-1]],'Cessions EDDA'!$H19,TAB_CS[[#Headers],[#Data],[Dec-2022]])</f>
        <v>0</v>
      </c>
      <c r="N19" s="441">
        <f>SUMIF(TAB_CS[[#Headers],[#Data],[Tri-1]],'Cessions EDDA'!$H19,TAB_CS[[#Headers],[#Data],[Jan-2023]])</f>
        <v>0</v>
      </c>
      <c r="O19" s="441">
        <f>SUMIF(TAB_CS[[#Headers],[#Data],[Tri-1]],'Cessions EDDA'!$H19,TAB_CS[[#Headers],[#Data],[Feb-2023]])</f>
        <v>0</v>
      </c>
      <c r="P19" s="441">
        <f>SUMIF(TAB_CS[[#Headers],[#Data],[Tri-1]],'Cessions EDDA'!$H19,TAB_CS[[#Headers],[#Data],[Mar-2023]])</f>
        <v>0</v>
      </c>
      <c r="Q19" s="440">
        <f>SUMIF(TAB_CS[[#Headers],[#Data],[Tri-1]],'Cessions EDDA'!$H19,TAB_CS[[#Headers],[#Data],[Apr-2023]])</f>
        <v>0</v>
      </c>
      <c r="R19" s="440">
        <f>SUMIF(TAB_CS[[#Headers],[#Data],[Tri-1]],'Cessions EDDA'!$H19,TAB_CS[[#Headers],[#Data],[May-2023]])</f>
        <v>0</v>
      </c>
      <c r="S19" s="440">
        <f>SUMIF(TAB_CS[[#Headers],[#Data],[Tri-1]],'Cessions EDDA'!$H19,TAB_CS[[#Headers],[#Data],[Jun-2023]])</f>
        <v>0</v>
      </c>
      <c r="T19" s="440">
        <f>SUMIF(TAB_CS[[#Headers],[#Data],[Tri-1]],'Cessions EDDA'!$H19,TAB_CS[[#Headers],[#Data],[Jul-2023]])</f>
        <v>0</v>
      </c>
      <c r="U19" s="440">
        <f>SUMIF(TAB_CS[[#Headers],[#Data],[Tri-1]],'Cessions EDDA'!$H19,TAB_CS[[#Headers],[#Data],[Aug-2023]])</f>
        <v>0</v>
      </c>
      <c r="V19" s="440">
        <f>SUMIF(TAB_CS[[#Headers],[#Data],[Tri-1]],'Cessions EDDA'!$H19,TAB_CS[[#Headers],[#Data],[Sep-2023]])</f>
        <v>0</v>
      </c>
      <c r="W19" s="440">
        <f>SUMIF(TAB_CS[[#Headers],[#Data],[Tri-1]],'Cessions EDDA'!$H19,TAB_CS[[#Headers],[#Data],[Oct-2023]])</f>
        <v>0</v>
      </c>
      <c r="X19" s="440">
        <f>SUMIF(TAB_CS[[#Headers],[#Data],[Tri-1]],'Cessions EDDA'!$H19,TAB_CS[[#Headers],[#Data],[Nov-2023]])</f>
        <v>0</v>
      </c>
      <c r="Y19" s="440">
        <f>SUMIF(TAB_CS[[#Headers],[#Data],[Tri-1]],'Cessions EDDA'!$H19,TAB_CS[[#Headers],[#Data],[Dec-2023]])</f>
        <v>0</v>
      </c>
      <c r="Z19" s="440">
        <f>SUMIF(TAB_CS[[#Headers],[#Data],[Tri-1]],'Cessions EDDA'!$H19,TAB_CS[[#Headers],[#Data],[Jan-2024]])</f>
        <v>0</v>
      </c>
      <c r="AA19" s="440">
        <f>SUMIF(TAB_CS[[#Headers],[#Data],[Tri-1]],'Cessions EDDA'!$H19,TAB_CS[[#Headers],[#Data],[Feb-2024]])</f>
        <v>0</v>
      </c>
      <c r="AB19" s="440">
        <f>SUMIF(TAB_CS[[#Headers],[#Data],[Tri-1]],'Cessions EDDA'!$H19,TAB_CS[[#Headers],[#Data],[Mar-2024]])</f>
        <v>0</v>
      </c>
      <c r="AC19" s="440">
        <f>SUMIF(TAB_CS[[#Headers],[#Data],[Tri-1]],'Cessions EDDA'!$H19,TAB_CS[[#Headers],[#Data],[Apr-2024]])</f>
        <v>0</v>
      </c>
      <c r="AD19" s="440">
        <f>SUMIF(TAB_CS[[#Headers],[#Data],[Tri-1]],'Cessions EDDA'!$H19,TAB_CS[[#Headers],[#Data],[May-2024]])</f>
        <v>0</v>
      </c>
      <c r="AE19" s="440">
        <f>SUMIF(TAB_CS[[#Headers],[#Data],[Tri-1]],'Cessions EDDA'!$H19,TAB_CS[[#Headers],[#Data],[Jun-2024]])</f>
        <v>0</v>
      </c>
      <c r="AF19" s="440">
        <f>SUMIF(TAB_CS[[#Headers],[#Data],[Tri-1]],'Cessions EDDA'!$H19,TAB_CS[[#Headers],[#Data],[Jul-2024]])</f>
        <v>0</v>
      </c>
      <c r="AG19" s="440">
        <f>SUMIF(TAB_CS[[#Headers],[#Data],[Tri-1]],'Cessions EDDA'!$H19,TAB_CS[[#Headers],[#Data],[Aug-2024]])</f>
        <v>0</v>
      </c>
      <c r="AH19" s="440">
        <f>SUMIF(TAB_CS[[#Headers],[#Data],[Tri-1]],'Cessions EDDA'!$H19,TAB_CS[[#Headers],[#Data],[Sep-2024]])</f>
        <v>0</v>
      </c>
      <c r="AI19" s="440">
        <f>SUMIF(TAB_CS[[#Headers],[#Data],[Tri-1]],'Cessions EDDA'!$H19,TAB_CS[[#Headers],[#Data],[Oct-2024]])</f>
        <v>0</v>
      </c>
      <c r="AJ19" s="440">
        <v>0</v>
      </c>
      <c r="AK19" s="440">
        <v>3</v>
      </c>
      <c r="AL19" s="440">
        <v>18</v>
      </c>
      <c r="AM19" s="440">
        <v>18</v>
      </c>
      <c r="AN19" s="440">
        <v>18</v>
      </c>
      <c r="AO19" s="440">
        <v>18</v>
      </c>
      <c r="AP19" s="440">
        <v>18</v>
      </c>
      <c r="AQ19" s="440">
        <v>18</v>
      </c>
      <c r="AR19" s="440">
        <v>18</v>
      </c>
      <c r="AS19" s="440">
        <v>18</v>
      </c>
      <c r="AT19" s="440">
        <v>18</v>
      </c>
      <c r="AU19" s="440">
        <v>18</v>
      </c>
      <c r="AV19" s="440">
        <v>18</v>
      </c>
      <c r="AW19" s="440">
        <v>18</v>
      </c>
    </row>
    <row r="20" spans="1:49" x14ac:dyDescent="0.3">
      <c r="A20" s="399"/>
      <c r="B20" s="406"/>
      <c r="C20" s="407" t="s">
        <v>325</v>
      </c>
      <c r="D20" s="402">
        <v>590</v>
      </c>
      <c r="E20" s="402">
        <v>704.46</v>
      </c>
      <c r="F20" s="403">
        <f t="shared" ref="F20:F36" si="21">(E20-D20)/E20</f>
        <v>0.16247906197654946</v>
      </c>
      <c r="G20" s="404">
        <f t="shared" si="7"/>
        <v>0.11247906197654944</v>
      </c>
      <c r="H20" s="404" t="str">
        <f t="shared" si="5"/>
        <v>FREIRE FERREIRA, Carlos Miguel704,46</v>
      </c>
      <c r="I20" s="405" t="s">
        <v>54</v>
      </c>
      <c r="J20" s="405">
        <v>8</v>
      </c>
      <c r="K20" s="422">
        <f>SUMIF(TAB_CS[[#Headers],[#Data],[Tri-1]],'Cessions EDDA'!$H20,TAB_CS[[#Headers],[#Data],[Oct-2022]])</f>
        <v>0</v>
      </c>
      <c r="L20" s="422">
        <f>SUMIF(TAB_CS[[#Headers],[#Data],[Tri-1]],'Cessions EDDA'!$H20,TAB_CS[[#Headers],[#Data],[Nov-2022]])</f>
        <v>0</v>
      </c>
      <c r="M20" s="429">
        <f>SUMIF(TAB_CS[[#Headers],[#Data],[Tri-1]],'Cessions EDDA'!$H20,TAB_CS[[#Headers],[#Data],[Dec-2022]])</f>
        <v>0</v>
      </c>
      <c r="N20" s="430">
        <f>SUMIF(TAB_CS[[#Headers],[#Data],[Tri-1]],'Cessions EDDA'!$H20,TAB_CS[[#Headers],[#Data],[Jan-2023]])</f>
        <v>21</v>
      </c>
      <c r="O20" s="430">
        <f>SUMIF(TAB_CS[[#Headers],[#Data],[Tri-1]],'Cessions EDDA'!$H20,TAB_CS[[#Headers],[#Data],[Feb-2023]])</f>
        <v>20</v>
      </c>
      <c r="P20" s="430">
        <f>SUMIF(TAB_CS[[#Headers],[#Data],[Tri-1]],'Cessions EDDA'!$H20,TAB_CS[[#Headers],[#Data],[Mar-2023]])</f>
        <v>23</v>
      </c>
      <c r="Q20" s="423">
        <f>SUMIF(TAB_CS[[#Headers],[#Data],[Tri-1]],'Cessions EDDA'!$H20,TAB_CS[[#Headers],[#Data],[Apr-2023]])</f>
        <v>14</v>
      </c>
      <c r="R20" s="423">
        <f>SUMIF(TAB_CS[[#Headers],[#Data],[Tri-1]],'Cessions EDDA'!$H20,TAB_CS[[#Headers],[#Data],[May-2023]])</f>
        <v>19</v>
      </c>
      <c r="S20" s="423">
        <f>SUMIF(TAB_CS[[#Headers],[#Data],[Tri-1]],'Cessions EDDA'!$H20,TAB_CS[[#Headers],[#Data],[Jun-2023]])</f>
        <v>21</v>
      </c>
      <c r="T20" s="423">
        <f>SUMIF(TAB_CS[[#Headers],[#Data],[Tri-1]],'Cessions EDDA'!$H20,TAB_CS[[#Headers],[#Data],[Jul-2023]])</f>
        <v>11</v>
      </c>
      <c r="U20" s="423">
        <f>SUMIF(TAB_CS[[#Headers],[#Data],[Tri-1]],'Cessions EDDA'!$H20,TAB_CS[[#Headers],[#Data],[Aug-2023]])</f>
        <v>21</v>
      </c>
      <c r="V20" s="423">
        <f>SUMIF(TAB_CS[[#Headers],[#Data],[Tri-1]],'Cessions EDDA'!$H20,TAB_CS[[#Headers],[#Data],[Sep-2023]])</f>
        <v>20</v>
      </c>
      <c r="W20" s="423">
        <f>SUMIF(TAB_CS[[#Headers],[#Data],[Tri-1]],'Cessions EDDA'!$H20,TAB_CS[[#Headers],[#Data],[Oct-2023]])</f>
        <v>20</v>
      </c>
      <c r="X20" s="423">
        <f>SUMIF(TAB_CS[[#Headers],[#Data],[Tri-1]],'Cessions EDDA'!$H20,TAB_CS[[#Headers],[#Data],[Nov-2023]])</f>
        <v>20</v>
      </c>
      <c r="Y20" s="423">
        <f>SUMIF(TAB_CS[[#Headers],[#Data],[Tri-1]],'Cessions EDDA'!$H20,TAB_CS[[#Headers],[#Data],[Dec-2023]])</f>
        <v>16</v>
      </c>
      <c r="Z20" s="423">
        <f>SUMIF(TAB_CS[[#Headers],[#Data],[Tri-1]],'Cessions EDDA'!$H20,TAB_CS[[#Headers],[#Data],[Jan-2024]])</f>
        <v>21</v>
      </c>
      <c r="AA20" s="423">
        <f>SUMIF(TAB_CS[[#Headers],[#Data],[Tri-1]],'Cessions EDDA'!$H20,TAB_CS[[#Headers],[#Data],[Feb-2024]])</f>
        <v>19</v>
      </c>
      <c r="AB20" s="423">
        <f>SUMIF(TAB_CS[[#Headers],[#Data],[Tri-1]],'Cessions EDDA'!$H20,TAB_CS[[#Headers],[#Data],[Mar-2024]])</f>
        <v>4</v>
      </c>
      <c r="AC20" s="422">
        <f>SUMIF(TAB_CS[[#Headers],[#Data],[Tri-1]],'Cessions EDDA'!$H20,TAB_CS[[#Headers],[#Data],[Apr-2024]])</f>
        <v>0</v>
      </c>
      <c r="AD20" s="422">
        <f>SUMIF(TAB_CS[[#Headers],[#Data],[Tri-1]],'Cessions EDDA'!$H20,TAB_CS[[#Headers],[#Data],[May-2024]])</f>
        <v>0</v>
      </c>
      <c r="AE20" s="422">
        <f>SUMIF(TAB_CS[[#Headers],[#Data],[Tri-1]],'Cessions EDDA'!$H20,TAB_CS[[#Headers],[#Data],[Jun-2024]])</f>
        <v>0</v>
      </c>
      <c r="AF20" s="422">
        <f>SUMIF(TAB_CS[[#Headers],[#Data],[Tri-1]],'Cessions EDDA'!$H20,TAB_CS[[#Headers],[#Data],[Jul-2024]])</f>
        <v>0</v>
      </c>
      <c r="AG20" s="422">
        <f>SUMIF(TAB_CS[[#Headers],[#Data],[Tri-1]],'Cessions EDDA'!$H20,TAB_CS[[#Headers],[#Data],[Aug-2024]])</f>
        <v>0</v>
      </c>
      <c r="AH20" s="422">
        <f>SUMIF(TAB_CS[[#Headers],[#Data],[Tri-1]],'Cessions EDDA'!$H20,TAB_CS[[#Headers],[#Data],[Sep-2024]])</f>
        <v>0</v>
      </c>
      <c r="AI20" s="422">
        <f>SUMIF(TAB_CS[[#Headers],[#Data],[Tri-1]],'Cessions EDDA'!$H20,TAB_CS[[#Headers],[#Data],[Oct-2024]])</f>
        <v>0</v>
      </c>
      <c r="AJ20" s="422">
        <f>SUMIF(TAB_CS[[#Headers],[#Data],[Tri-1]],'Cessions EDDA'!$H20,TAB_CS[[#Headers],[#Data],[Nov-2024]])</f>
        <v>0</v>
      </c>
      <c r="AK20" s="422">
        <f>SUMIF(TAB_CS[[#Headers],[#Data],[Tri-1]],'Cessions EDDA'!$H20,TAB_CS[[#Headers],[#Data],[Dec-2024]])</f>
        <v>0</v>
      </c>
      <c r="AL20" s="422">
        <f>SUMIF(TAB_CS[[#Headers],[#Data],[Tri-1]],'Cessions EDDA'!$H20,TAB_CS[[#Headers],[#Data],[Jan-2025]])</f>
        <v>0</v>
      </c>
      <c r="AM20" s="422">
        <f>SUMIF(TAB_CS[[#Headers],[#Data],[Tri-1]],'Cessions EDDA'!$H20,TAB_CS[[#Headers],[#Data],[Feb-2025]])</f>
        <v>0</v>
      </c>
      <c r="AN20" s="422">
        <f>SUMIF(TAB_CS[[#Headers],[#Data],[Tri-1]],'Cessions EDDA'!$H20,TAB_CS[[#Headers],[#Data],[Mar-2025]])</f>
        <v>0</v>
      </c>
      <c r="AO20" s="422">
        <f>SUMIF(TAB_CS[[#Headers],[#Data],[Tri-1]],'Cessions EDDA'!$H20,TAB_CS[[#Headers],[#Data],[Apr-2025]])</f>
        <v>0</v>
      </c>
      <c r="AP20" s="422">
        <f>SUMIF(TAB_CS[[#Headers],[#Data],[Tri-1]],'Cessions EDDA'!$H20,TAB_CS[[#Headers],[#Data],[May-2025]])</f>
        <v>0</v>
      </c>
      <c r="AQ20" s="422">
        <f>SUMIF(TAB_CS[[#Headers],[#Data],[Tri-1]],'Cessions EDDA'!$H20,TAB_CS[[#Headers],[#Data],[Jun-2025]])</f>
        <v>0</v>
      </c>
      <c r="AR20" s="422">
        <f>SUMIF(TAB_CS[[#Headers],[#Data],[Tri-1]],'Cessions EDDA'!$H20,TAB_CS[[#Headers],[#Data],[Jul-2025]])</f>
        <v>0</v>
      </c>
      <c r="AS20" s="422">
        <f>SUMIF(TAB_CS[[#Headers],[#Data],[Tri-1]],'Cessions EDDA'!$H20,TAB_CS[[#Headers],[#Data],[Aug-2025]])</f>
        <v>0</v>
      </c>
      <c r="AT20" s="422">
        <f>SUMIF(TAB_CS[[#Headers],[#Data],[Tri-1]],'Cessions EDDA'!$H20,TAB_CS[[#Headers],[#Data],[Sep-2025]])</f>
        <v>0</v>
      </c>
      <c r="AU20" s="422">
        <f>SUMIF(TAB_CS[[#Headers],[#Data],[Tri-1]],'Cessions EDDA'!$H20,TAB_CS[[#Headers],[#Data],[Oct-2025]])</f>
        <v>0</v>
      </c>
      <c r="AV20" s="422">
        <f>SUMIF(TAB_CS[[#Headers],[#Data],[Tri-1]],'Cessions EDDA'!$H20,TAB_CS[[#Headers],[#Data],[Nov-2025]])</f>
        <v>0</v>
      </c>
      <c r="AW20" s="422">
        <f>SUMIF(TAB_CS[[#Headers],[#Data],[Tri-1]],'Cessions EDDA'!$H20,TAB_CS[[#Headers],[#Data],[Dec-2025]])</f>
        <v>0</v>
      </c>
    </row>
    <row r="21" spans="1:49" x14ac:dyDescent="0.3">
      <c r="A21" s="399"/>
      <c r="B21" s="406"/>
      <c r="C21" s="407" t="s">
        <v>325</v>
      </c>
      <c r="D21" s="402">
        <v>620</v>
      </c>
      <c r="E21" s="402">
        <v>741.44</v>
      </c>
      <c r="F21" s="403">
        <f t="shared" ref="F21" si="22">(E21-D21)/E21</f>
        <v>0.16378938282261551</v>
      </c>
      <c r="G21" s="404">
        <f t="shared" ref="G21" si="23">((E21-D21)-(E21*$G$8))/E21</f>
        <v>0.11378938282261551</v>
      </c>
      <c r="H21" s="404" t="str">
        <f t="shared" si="5"/>
        <v>FREIRE FERREIRA, Carlos Miguel741,44</v>
      </c>
      <c r="I21" s="405" t="s">
        <v>54</v>
      </c>
      <c r="J21" s="405">
        <v>8</v>
      </c>
      <c r="K21" s="422">
        <f>SUMIF(TAB_CS[[#Headers],[#Data],[Tri-1]],'Cessions EDDA'!$H21,TAB_CS[[#Headers],[#Data],[Oct-2022]])</f>
        <v>0</v>
      </c>
      <c r="L21" s="422">
        <f>SUMIF(TAB_CS[[#Headers],[#Data],[Tri-1]],'Cessions EDDA'!$H21,TAB_CS[[#Headers],[#Data],[Nov-2022]])</f>
        <v>0</v>
      </c>
      <c r="M21" s="429">
        <f>SUMIF(TAB_CS[[#Headers],[#Data],[Tri-1]],'Cessions EDDA'!$H21,TAB_CS[[#Headers],[#Data],[Dec-2022]])</f>
        <v>0</v>
      </c>
      <c r="N21" s="429">
        <f>SUMIF(TAB_CS[[#Headers],[#Data],[Tri-1]],'Cessions EDDA'!$H21,TAB_CS[[#Headers],[#Data],[Jan-2023]])</f>
        <v>0</v>
      </c>
      <c r="O21" s="429">
        <f>SUMIF(TAB_CS[[#Headers],[#Data],[Tri-1]],'Cessions EDDA'!$H21,TAB_CS[[#Headers],[#Data],[Feb-2023]])</f>
        <v>0</v>
      </c>
      <c r="P21" s="429">
        <f>SUMIF(TAB_CS[[#Headers],[#Data],[Tri-1]],'Cessions EDDA'!$H21,TAB_CS[[#Headers],[#Data],[Mar-2023]])</f>
        <v>0</v>
      </c>
      <c r="Q21" s="422">
        <f>SUMIF(TAB_CS[[#Headers],[#Data],[Tri-1]],'Cessions EDDA'!$H21,TAB_CS[[#Headers],[#Data],[Apr-2023]])</f>
        <v>0</v>
      </c>
      <c r="R21" s="422">
        <f>SUMIF(TAB_CS[[#Headers],[#Data],[Tri-1]],'Cessions EDDA'!$H21,TAB_CS[[#Headers],[#Data],[May-2023]])</f>
        <v>0</v>
      </c>
      <c r="S21" s="422">
        <f>SUMIF(TAB_CS[[#Headers],[#Data],[Tri-1]],'Cessions EDDA'!$H21,TAB_CS[[#Headers],[#Data],[Jun-2023]])</f>
        <v>0</v>
      </c>
      <c r="T21" s="422">
        <f>SUMIF(TAB_CS[[#Headers],[#Data],[Tri-1]],'Cessions EDDA'!$H21,TAB_CS[[#Headers],[#Data],[Jul-2023]])</f>
        <v>0</v>
      </c>
      <c r="U21" s="422">
        <f>SUMIF(TAB_CS[[#Headers],[#Data],[Tri-1]],'Cessions EDDA'!$H21,TAB_CS[[#Headers],[#Data],[Aug-2023]])</f>
        <v>0</v>
      </c>
      <c r="V21" s="422">
        <f>SUMIF(TAB_CS[[#Headers],[#Data],[Tri-1]],'Cessions EDDA'!$H21,TAB_CS[[#Headers],[#Data],[Sep-2023]])</f>
        <v>0</v>
      </c>
      <c r="W21" s="422">
        <f>SUMIF(TAB_CS[[#Headers],[#Data],[Tri-1]],'Cessions EDDA'!$H21,TAB_CS[[#Headers],[#Data],[Oct-2023]])</f>
        <v>0</v>
      </c>
      <c r="X21" s="422">
        <f>SUMIF(TAB_CS[[#Headers],[#Data],[Tri-1]],'Cessions EDDA'!$H21,TAB_CS[[#Headers],[#Data],[Nov-2023]])</f>
        <v>0</v>
      </c>
      <c r="Y21" s="422">
        <f>SUMIF(TAB_CS[[#Headers],[#Data],[Tri-1]],'Cessions EDDA'!$H21,TAB_CS[[#Headers],[#Data],[Dec-2023]])</f>
        <v>0</v>
      </c>
      <c r="Z21" s="422">
        <f>SUMIF(TAB_CS[[#Headers],[#Data],[Tri-1]],'Cessions EDDA'!$H21,TAB_CS[[#Headers],[#Data],[Jan-2024]])</f>
        <v>0</v>
      </c>
      <c r="AA21" s="422">
        <f>SUMIF(TAB_CS[[#Headers],[#Data],[Tri-1]],'Cessions EDDA'!$H21,TAB_CS[[#Headers],[#Data],[Feb-2024]])</f>
        <v>0</v>
      </c>
      <c r="AB21" s="423">
        <f>SUMIF(TAB_CS[[#Headers],[#Data],[Tri-1]],'Cessions EDDA'!$H21,TAB_CS[[#Headers],[#Data],[Mar-2024]])</f>
        <v>12</v>
      </c>
      <c r="AC21" s="423">
        <f>SUMIF(TAB_CS[[#Headers],[#Data],[Tri-1]],'Cessions EDDA'!$H21,TAB_CS[[#Headers],[#Data],[Apr-2024]])</f>
        <v>19</v>
      </c>
      <c r="AD21" s="423">
        <f>SUMIF(TAB_CS[[#Headers],[#Data],[Tri-1]],'Cessions EDDA'!$H21,TAB_CS[[#Headers],[#Data],[May-2024]])</f>
        <v>14</v>
      </c>
      <c r="AE21" s="423">
        <f>SUMIF(TAB_CS[[#Headers],[#Data],[Tri-1]],'Cessions EDDA'!$H21,TAB_CS[[#Headers],[#Data],[Jun-2024]])</f>
        <v>20</v>
      </c>
      <c r="AF21" s="423">
        <f>SUMIF(TAB_CS[[#Headers],[#Data],[Tri-1]],'Cessions EDDA'!$H21,TAB_CS[[#Headers],[#Data],[Jul-2024]])</f>
        <v>23</v>
      </c>
      <c r="AG21" s="423">
        <f>SUMIF(TAB_CS[[#Headers],[#Data],[Tri-1]],'Cessions EDDA'!$H21,TAB_CS[[#Headers],[#Data],[Aug-2024]])</f>
        <v>12</v>
      </c>
      <c r="AH21" s="423">
        <f>SUMIF(TAB_CS[[#Headers],[#Data],[Tri-1]],'Cessions EDDA'!$H21,TAB_CS[[#Headers],[#Data],[Sep-2024]])</f>
        <v>20</v>
      </c>
      <c r="AI21" s="422">
        <f>SUMIF(TAB_CS[[#Headers],[#Data],[Tri-1]],'Cessions EDDA'!$H21,TAB_CS[[#Headers],[#Data],[Oct-2024]])</f>
        <v>22</v>
      </c>
      <c r="AJ21" s="422">
        <f>SUMIF(TAB_CS[[#Headers],[#Data],[Tri-1]],'Cessions EDDA'!$H21,TAB_CS[[#Headers],[#Data],[Nov-2024]])</f>
        <v>18</v>
      </c>
      <c r="AK21" s="422">
        <f>SUMIF(TAB_CS[[#Headers],[#Data],[Tri-1]],'Cessions EDDA'!$H21,TAB_CS[[#Headers],[#Data],[Dec-2024]])</f>
        <v>18</v>
      </c>
      <c r="AL21" s="422">
        <f>SUMIF(TAB_CS[[#Headers],[#Data],[Tri-1]],'Cessions EDDA'!$H21,TAB_CS[[#Headers],[#Data],[Jan-2025]])</f>
        <v>18</v>
      </c>
      <c r="AM21" s="422">
        <f>SUMIF(TAB_CS[[#Headers],[#Data],[Tri-1]],'Cessions EDDA'!$H21,TAB_CS[[#Headers],[#Data],[Feb-2025]])</f>
        <v>4</v>
      </c>
      <c r="AN21" s="422">
        <f>SUMIF(TAB_CS[[#Headers],[#Data],[Tri-1]],'Cessions EDDA'!$H21,TAB_CS[[#Headers],[#Data],[Mar-2025]])</f>
        <v>0</v>
      </c>
      <c r="AO21" s="422">
        <f>SUMIF(TAB_CS[[#Headers],[#Data],[Tri-1]],'Cessions EDDA'!$H21,TAB_CS[[#Headers],[#Data],[Apr-2025]])</f>
        <v>0</v>
      </c>
      <c r="AP21" s="422">
        <f>SUMIF(TAB_CS[[#Headers],[#Data],[Tri-1]],'Cessions EDDA'!$H21,TAB_CS[[#Headers],[#Data],[May-2025]])</f>
        <v>0</v>
      </c>
      <c r="AQ21" s="422">
        <f>SUMIF(TAB_CS[[#Headers],[#Data],[Tri-1]],'Cessions EDDA'!$H21,TAB_CS[[#Headers],[#Data],[Jun-2025]])</f>
        <v>0</v>
      </c>
      <c r="AR21" s="422">
        <f>SUMIF(TAB_CS[[#Headers],[#Data],[Tri-1]],'Cessions EDDA'!$H21,TAB_CS[[#Headers],[#Data],[Jul-2025]])</f>
        <v>0</v>
      </c>
      <c r="AS21" s="422">
        <f>SUMIF(TAB_CS[[#Headers],[#Data],[Tri-1]],'Cessions EDDA'!$H21,TAB_CS[[#Headers],[#Data],[Aug-2025]])</f>
        <v>0</v>
      </c>
      <c r="AT21" s="422">
        <f>SUMIF(TAB_CS[[#Headers],[#Data],[Tri-1]],'Cessions EDDA'!$H21,TAB_CS[[#Headers],[#Data],[Sep-2025]])</f>
        <v>0</v>
      </c>
      <c r="AU21" s="422">
        <f>SUMIF(TAB_CS[[#Headers],[#Data],[Tri-1]],'Cessions EDDA'!$H21,TAB_CS[[#Headers],[#Data],[Oct-2025]])</f>
        <v>0</v>
      </c>
      <c r="AV21" s="422">
        <f>SUMIF(TAB_CS[[#Headers],[#Data],[Tri-1]],'Cessions EDDA'!$H21,TAB_CS[[#Headers],[#Data],[Nov-2025]])</f>
        <v>0</v>
      </c>
      <c r="AW21" s="422">
        <f>SUMIF(TAB_CS[[#Headers],[#Data],[Tri-1]],'Cessions EDDA'!$H21,TAB_CS[[#Headers],[#Data],[Dec-2025]])</f>
        <v>0</v>
      </c>
    </row>
    <row r="22" spans="1:49" s="442" customFormat="1" x14ac:dyDescent="0.3">
      <c r="A22" s="653"/>
      <c r="B22" s="434"/>
      <c r="C22" s="435" t="s">
        <v>5894</v>
      </c>
      <c r="D22" s="436">
        <v>620</v>
      </c>
      <c r="E22" s="436">
        <v>741.44</v>
      </c>
      <c r="F22" s="437">
        <f t="shared" ref="F22" si="24">(E22-D22)/E22</f>
        <v>0.16378938282261551</v>
      </c>
      <c r="G22" s="438">
        <f t="shared" ref="G22" si="25">((E22-D22)-(E22*$G$8))/E22</f>
        <v>0.11378938282261551</v>
      </c>
      <c r="H22" s="438" t="str">
        <f t="shared" si="5"/>
        <v>FREIRE FERREIRA, Carlos Miguel (projection)741,44</v>
      </c>
      <c r="I22" s="439" t="s">
        <v>54</v>
      </c>
      <c r="J22" s="439">
        <v>8</v>
      </c>
      <c r="K22" s="440">
        <f>SUMIF(TAB_CS[[#Headers],[#Data],[Tri-1]],'Cessions EDDA'!$H22,TAB_CS[[#Headers],[#Data],[Oct-2022]])</f>
        <v>0</v>
      </c>
      <c r="L22" s="440">
        <f>SUMIF(TAB_CS[[#Headers],[#Data],[Tri-1]],'Cessions EDDA'!$H22,TAB_CS[[#Headers],[#Data],[Nov-2022]])</f>
        <v>0</v>
      </c>
      <c r="M22" s="441">
        <f>SUMIF(TAB_CS[[#Headers],[#Data],[Tri-1]],'Cessions EDDA'!$H22,TAB_CS[[#Headers],[#Data],[Dec-2022]])</f>
        <v>0</v>
      </c>
      <c r="N22" s="441">
        <f>SUMIF(TAB_CS[[#Headers],[#Data],[Tri-1]],'Cessions EDDA'!$H22,TAB_CS[[#Headers],[#Data],[Jan-2023]])</f>
        <v>0</v>
      </c>
      <c r="O22" s="441">
        <f>SUMIF(TAB_CS[[#Headers],[#Data],[Tri-1]],'Cessions EDDA'!$H22,TAB_CS[[#Headers],[#Data],[Feb-2023]])</f>
        <v>0</v>
      </c>
      <c r="P22" s="441">
        <f>SUMIF(TAB_CS[[#Headers],[#Data],[Tri-1]],'Cessions EDDA'!$H22,TAB_CS[[#Headers],[#Data],[Mar-2023]])</f>
        <v>0</v>
      </c>
      <c r="Q22" s="440">
        <f>SUMIF(TAB_CS[[#Headers],[#Data],[Tri-1]],'Cessions EDDA'!$H22,TAB_CS[[#Headers],[#Data],[Apr-2023]])</f>
        <v>0</v>
      </c>
      <c r="R22" s="440">
        <f>SUMIF(TAB_CS[[#Headers],[#Data],[Tri-1]],'Cessions EDDA'!$H22,TAB_CS[[#Headers],[#Data],[May-2023]])</f>
        <v>0</v>
      </c>
      <c r="S22" s="440">
        <f>SUMIF(TAB_CS[[#Headers],[#Data],[Tri-1]],'Cessions EDDA'!$H22,TAB_CS[[#Headers],[#Data],[Jun-2023]])</f>
        <v>0</v>
      </c>
      <c r="T22" s="440">
        <f>SUMIF(TAB_CS[[#Headers],[#Data],[Tri-1]],'Cessions EDDA'!$H22,TAB_CS[[#Headers],[#Data],[Jul-2023]])</f>
        <v>0</v>
      </c>
      <c r="U22" s="440">
        <f>SUMIF(TAB_CS[[#Headers],[#Data],[Tri-1]],'Cessions EDDA'!$H22,TAB_CS[[#Headers],[#Data],[Aug-2023]])</f>
        <v>0</v>
      </c>
      <c r="V22" s="440">
        <f>SUMIF(TAB_CS[[#Headers],[#Data],[Tri-1]],'Cessions EDDA'!$H22,TAB_CS[[#Headers],[#Data],[Sep-2023]])</f>
        <v>0</v>
      </c>
      <c r="W22" s="440">
        <f>SUMIF(TAB_CS[[#Headers],[#Data],[Tri-1]],'Cessions EDDA'!$H22,TAB_CS[[#Headers],[#Data],[Oct-2023]])</f>
        <v>0</v>
      </c>
      <c r="X22" s="440">
        <f>SUMIF(TAB_CS[[#Headers],[#Data],[Tri-1]],'Cessions EDDA'!$H22,TAB_CS[[#Headers],[#Data],[Nov-2023]])</f>
        <v>0</v>
      </c>
      <c r="Y22" s="440">
        <f>SUMIF(TAB_CS[[#Headers],[#Data],[Tri-1]],'Cessions EDDA'!$H22,TAB_CS[[#Headers],[#Data],[Dec-2023]])</f>
        <v>0</v>
      </c>
      <c r="Z22" s="440">
        <f>SUMIF(TAB_CS[[#Headers],[#Data],[Tri-1]],'Cessions EDDA'!$H22,TAB_CS[[#Headers],[#Data],[Jan-2024]])</f>
        <v>0</v>
      </c>
      <c r="AA22" s="440">
        <f>SUMIF(TAB_CS[[#Headers],[#Data],[Tri-1]],'Cessions EDDA'!$H22,TAB_CS[[#Headers],[#Data],[Feb-2024]])</f>
        <v>0</v>
      </c>
      <c r="AB22" s="440">
        <f>SUMIF(TAB_CS[[#Headers],[#Data],[Tri-1]],'Cessions EDDA'!$H22,TAB_CS[[#Headers],[#Data],[Mar-2024]])</f>
        <v>0</v>
      </c>
      <c r="AC22" s="440">
        <f>SUMIF(TAB_CS[[#Headers],[#Data],[Tri-1]],'Cessions EDDA'!$H22,TAB_CS[[#Headers],[#Data],[Apr-2024]])</f>
        <v>0</v>
      </c>
      <c r="AD22" s="440">
        <f>SUMIF(TAB_CS[[#Headers],[#Data],[Tri-1]],'Cessions EDDA'!$H22,TAB_CS[[#Headers],[#Data],[May-2024]])</f>
        <v>0</v>
      </c>
      <c r="AE22" s="440">
        <f>SUMIF(TAB_CS[[#Headers],[#Data],[Tri-1]],'Cessions EDDA'!$H22,TAB_CS[[#Headers],[#Data],[Jun-2024]])</f>
        <v>0</v>
      </c>
      <c r="AF22" s="440">
        <f>SUMIF(TAB_CS[[#Headers],[#Data],[Tri-1]],'Cessions EDDA'!$H22,TAB_CS[[#Headers],[#Data],[Jul-2024]])</f>
        <v>0</v>
      </c>
      <c r="AG22" s="440">
        <f>SUMIF(TAB_CS[[#Headers],[#Data],[Tri-1]],'Cessions EDDA'!$H22,TAB_CS[[#Headers],[#Data],[Aug-2024]])</f>
        <v>0</v>
      </c>
      <c r="AH22" s="440">
        <f>SUMIF(TAB_CS[[#Headers],[#Data],[Tri-1]],'Cessions EDDA'!$H22,TAB_CS[[#Headers],[#Data],[Sep-2024]])</f>
        <v>0</v>
      </c>
      <c r="AI22" s="440">
        <f>SUMIF(TAB_CS[[#Headers],[#Data],[Tri-1]],'Cessions EDDA'!$H22,TAB_CS[[#Headers],[#Data],[Oct-2024]])</f>
        <v>0</v>
      </c>
      <c r="AJ22" s="440">
        <v>0</v>
      </c>
      <c r="AK22" s="440">
        <v>0</v>
      </c>
      <c r="AL22" s="440">
        <v>0</v>
      </c>
      <c r="AM22" s="440">
        <v>14</v>
      </c>
      <c r="AN22" s="440">
        <v>18</v>
      </c>
      <c r="AO22" s="440">
        <v>18</v>
      </c>
      <c r="AP22" s="440">
        <v>18</v>
      </c>
      <c r="AQ22" s="440">
        <v>18</v>
      </c>
      <c r="AR22" s="440">
        <v>18</v>
      </c>
      <c r="AS22" s="440">
        <v>18</v>
      </c>
      <c r="AT22" s="440">
        <v>18</v>
      </c>
      <c r="AU22" s="440">
        <v>18</v>
      </c>
      <c r="AV22" s="440">
        <v>18</v>
      </c>
      <c r="AW22" s="440">
        <v>18</v>
      </c>
    </row>
    <row r="23" spans="1:49" x14ac:dyDescent="0.3">
      <c r="A23" s="399"/>
      <c r="B23" s="406"/>
      <c r="C23" s="407" t="s">
        <v>311</v>
      </c>
      <c r="D23" s="402">
        <v>693</v>
      </c>
      <c r="E23" s="402">
        <v>806.53</v>
      </c>
      <c r="F23" s="403">
        <f t="shared" si="21"/>
        <v>0.14076351778607116</v>
      </c>
      <c r="G23" s="404">
        <f t="shared" si="7"/>
        <v>9.0763517786071155E-2</v>
      </c>
      <c r="H23" s="404" t="str">
        <f t="shared" si="5"/>
        <v>GAGO CABEZAS, Irma806,53</v>
      </c>
      <c r="I23" s="405" t="s">
        <v>54</v>
      </c>
      <c r="J23" s="405">
        <v>10</v>
      </c>
      <c r="K23" s="422">
        <f>SUMIF(TAB_CS[[#Headers],[#Data],[Tri-1]],'Cessions EDDA'!$H23,TAB_CS[[#Headers],[#Data],[Oct-2022]])</f>
        <v>0</v>
      </c>
      <c r="L23" s="422">
        <f>SUMIF(TAB_CS[[#Headers],[#Data],[Tri-1]],'Cessions EDDA'!$H23,TAB_CS[[#Headers],[#Data],[Nov-2022]])</f>
        <v>0</v>
      </c>
      <c r="M23" s="430">
        <f>SUMIF(TAB_CS[[#Headers],[#Data],[Tri-1]],'Cessions EDDA'!$H23,TAB_CS[[#Headers],[#Data],[Dec-2022]])</f>
        <v>10.5</v>
      </c>
      <c r="N23" s="430">
        <f>SUMIF(TAB_CS[[#Headers],[#Data],[Tri-1]],'Cessions EDDA'!$H23,TAB_CS[[#Headers],[#Data],[Jan-2023]])</f>
        <v>16.5</v>
      </c>
      <c r="O23" s="430">
        <f>SUMIF(TAB_CS[[#Headers],[#Data],[Tri-1]],'Cessions EDDA'!$H23,TAB_CS[[#Headers],[#Data],[Feb-2023]])</f>
        <v>16</v>
      </c>
      <c r="P23" s="430">
        <f>SUMIF(TAB_CS[[#Headers],[#Data],[Tri-1]],'Cessions EDDA'!$H23,TAB_CS[[#Headers],[#Data],[Mar-2023]])</f>
        <v>20</v>
      </c>
      <c r="Q23" s="423">
        <f>SUMIF(TAB_CS[[#Headers],[#Data],[Tri-1]],'Cessions EDDA'!$H23,TAB_CS[[#Headers],[#Data],[Apr-2023]])</f>
        <v>17</v>
      </c>
      <c r="R23" s="423">
        <f>SUMIF(TAB_CS[[#Headers],[#Data],[Tri-1]],'Cessions EDDA'!$H23,TAB_CS[[#Headers],[#Data],[May-2023]])</f>
        <v>12</v>
      </c>
      <c r="S23" s="423">
        <f>SUMIF(TAB_CS[[#Headers],[#Data],[Tri-1]],'Cessions EDDA'!$H23,TAB_CS[[#Headers],[#Data],[Jun-2023]])</f>
        <v>21.5</v>
      </c>
      <c r="T23" s="423">
        <f>SUMIF(TAB_CS[[#Headers],[#Data],[Tri-1]],'Cessions EDDA'!$H23,TAB_CS[[#Headers],[#Data],[Jul-2023]])</f>
        <v>15</v>
      </c>
      <c r="U23" s="423">
        <f>SUMIF(TAB_CS[[#Headers],[#Data],[Tri-1]],'Cessions EDDA'!$H23,TAB_CS[[#Headers],[#Data],[Aug-2023]])</f>
        <v>11.5</v>
      </c>
      <c r="V23" s="423">
        <f>SUMIF(TAB_CS[[#Headers],[#Data],[Tri-1]],'Cessions EDDA'!$H23,TAB_CS[[#Headers],[#Data],[Sep-2023]])</f>
        <v>20.5</v>
      </c>
      <c r="W23" s="423">
        <f>SUMIF(TAB_CS[[#Headers],[#Data],[Tri-1]],'Cessions EDDA'!$H23,TAB_CS[[#Headers],[#Data],[Oct-2023]])</f>
        <v>13</v>
      </c>
      <c r="X23" s="423">
        <f>SUMIF(TAB_CS[[#Headers],[#Data],[Tri-1]],'Cessions EDDA'!$H23,TAB_CS[[#Headers],[#Data],[Nov-2023]])</f>
        <v>15.5</v>
      </c>
      <c r="Y23" s="423">
        <f>SUMIF(TAB_CS[[#Headers],[#Data],[Tri-1]],'Cessions EDDA'!$H23,TAB_CS[[#Headers],[#Data],[Dec-2023]])</f>
        <v>15</v>
      </c>
      <c r="Z23" s="423">
        <f>SUMIF(TAB_CS[[#Headers],[#Data],[Tri-1]],'Cessions EDDA'!$H23,TAB_CS[[#Headers],[#Data],[Jan-2024]])</f>
        <v>13</v>
      </c>
      <c r="AA23" s="423">
        <f>SUMIF(TAB_CS[[#Headers],[#Data],[Tri-1]],'Cessions EDDA'!$H23,TAB_CS[[#Headers],[#Data],[Feb-2024]])</f>
        <v>16</v>
      </c>
      <c r="AB23" s="423">
        <f>SUMIF(TAB_CS[[#Headers],[#Data],[Tri-1]],'Cessions EDDA'!$H23,TAB_CS[[#Headers],[#Data],[Mar-2024]])</f>
        <v>16.5</v>
      </c>
      <c r="AC23" s="423">
        <f>SUMIF(TAB_CS[[#Headers],[#Data],[Tri-1]],'Cessions EDDA'!$H23,TAB_CS[[#Headers],[#Data],[Apr-2024]])</f>
        <v>19</v>
      </c>
      <c r="AD23" s="423">
        <f>SUMIF(TAB_CS[[#Headers],[#Data],[Tri-1]],'Cessions EDDA'!$H23,TAB_CS[[#Headers],[#Data],[May-2024]])</f>
        <v>15.5</v>
      </c>
      <c r="AE23" s="423">
        <f>SUMIF(TAB_CS[[#Headers],[#Data],[Tri-1]],'Cessions EDDA'!$H23,TAB_CS[[#Headers],[#Data],[Jun-2024]])</f>
        <v>1</v>
      </c>
      <c r="AF23" s="422">
        <f>SUMIF(TAB_CS[[#Headers],[#Data],[Tri-1]],'Cessions EDDA'!$H23,TAB_CS[[#Headers],[#Data],[Jul-2024]])</f>
        <v>0</v>
      </c>
      <c r="AG23" s="422">
        <f>SUMIF(TAB_CS[[#Headers],[#Data],[Tri-1]],'Cessions EDDA'!$H23,TAB_CS[[#Headers],[#Data],[Aug-2024]])</f>
        <v>0</v>
      </c>
      <c r="AH23" s="422">
        <f>SUMIF(TAB_CS[[#Headers],[#Data],[Tri-1]],'Cessions EDDA'!$H23,TAB_CS[[#Headers],[#Data],[Sep-2024]])</f>
        <v>0</v>
      </c>
      <c r="AI23" s="422">
        <f>SUMIF(TAB_CS[[#Headers],[#Data],[Tri-1]],'Cessions EDDA'!$H23,TAB_CS[[#Headers],[#Data],[Oct-2024]])</f>
        <v>0</v>
      </c>
      <c r="AJ23" s="422">
        <f>SUMIF(TAB_CS[[#Headers],[#Data],[Tri-1]],'Cessions EDDA'!$H23,TAB_CS[[#Headers],[#Data],[Nov-2024]])</f>
        <v>0</v>
      </c>
      <c r="AK23" s="422">
        <f>SUMIF(TAB_CS[[#Headers],[#Data],[Tri-1]],'Cessions EDDA'!$H23,TAB_CS[[#Headers],[#Data],[Dec-2024]])</f>
        <v>0</v>
      </c>
      <c r="AL23" s="422">
        <f>SUMIF(TAB_CS[[#Headers],[#Data],[Tri-1]],'Cessions EDDA'!$H23,TAB_CS[[#Headers],[#Data],[Jan-2025]])</f>
        <v>0</v>
      </c>
      <c r="AM23" s="422">
        <f>SUMIF(TAB_CS[[#Headers],[#Data],[Tri-1]],'Cessions EDDA'!$H23,TAB_CS[[#Headers],[#Data],[Feb-2025]])</f>
        <v>0</v>
      </c>
      <c r="AN23" s="422">
        <f>SUMIF(TAB_CS[[#Headers],[#Data],[Tri-1]],'Cessions EDDA'!$H23,TAB_CS[[#Headers],[#Data],[Mar-2025]])</f>
        <v>0</v>
      </c>
      <c r="AO23" s="422">
        <f>SUMIF(TAB_CS[[#Headers],[#Data],[Tri-1]],'Cessions EDDA'!$H23,TAB_CS[[#Headers],[#Data],[Apr-2025]])</f>
        <v>0</v>
      </c>
      <c r="AP23" s="422">
        <f>SUMIF(TAB_CS[[#Headers],[#Data],[Tri-1]],'Cessions EDDA'!$H23,TAB_CS[[#Headers],[#Data],[May-2025]])</f>
        <v>0</v>
      </c>
      <c r="AQ23" s="422">
        <f>SUMIF(TAB_CS[[#Headers],[#Data],[Tri-1]],'Cessions EDDA'!$H23,TAB_CS[[#Headers],[#Data],[Jun-2025]])</f>
        <v>0</v>
      </c>
      <c r="AR23" s="422">
        <f>SUMIF(TAB_CS[[#Headers],[#Data],[Tri-1]],'Cessions EDDA'!$H23,TAB_CS[[#Headers],[#Data],[Jul-2025]])</f>
        <v>0</v>
      </c>
      <c r="AS23" s="422">
        <f>SUMIF(TAB_CS[[#Headers],[#Data],[Tri-1]],'Cessions EDDA'!$H23,TAB_CS[[#Headers],[#Data],[Aug-2025]])</f>
        <v>0</v>
      </c>
      <c r="AT23" s="422">
        <f>SUMIF(TAB_CS[[#Headers],[#Data],[Tri-1]],'Cessions EDDA'!$H23,TAB_CS[[#Headers],[#Data],[Sep-2025]])</f>
        <v>0</v>
      </c>
      <c r="AU23" s="422">
        <f>SUMIF(TAB_CS[[#Headers],[#Data],[Tri-1]],'Cessions EDDA'!$H23,TAB_CS[[#Headers],[#Data],[Oct-2025]])</f>
        <v>0</v>
      </c>
      <c r="AV23" s="422">
        <f>SUMIF(TAB_CS[[#Headers],[#Data],[Tri-1]],'Cessions EDDA'!$H23,TAB_CS[[#Headers],[#Data],[Nov-2025]])</f>
        <v>0</v>
      </c>
      <c r="AW23" s="422">
        <f>SUMIF(TAB_CS[[#Headers],[#Data],[Tri-1]],'Cessions EDDA'!$H23,TAB_CS[[#Headers],[#Data],[Dec-2025]])</f>
        <v>0</v>
      </c>
    </row>
    <row r="24" spans="1:49" x14ac:dyDescent="0.3">
      <c r="A24" s="399"/>
      <c r="B24" s="406"/>
      <c r="C24" s="407" t="s">
        <v>311</v>
      </c>
      <c r="D24" s="402">
        <v>729</v>
      </c>
      <c r="E24" s="402">
        <v>848.87</v>
      </c>
      <c r="F24" s="403">
        <f t="shared" ref="F24" si="26">(E24-D24)/E24</f>
        <v>0.14121125731855291</v>
      </c>
      <c r="G24" s="404">
        <f t="shared" ref="G24" si="27">((E24-D24)-(E24*$G$8))/E24</f>
        <v>9.121125731855291E-2</v>
      </c>
      <c r="H24" s="404" t="str">
        <f t="shared" si="5"/>
        <v>GAGO CABEZAS, Irma848,87</v>
      </c>
      <c r="I24" s="405" t="s">
        <v>54</v>
      </c>
      <c r="J24" s="405">
        <v>10</v>
      </c>
      <c r="K24" s="422">
        <f>SUMIF(TAB_CS[[#Headers],[#Data],[Tri-1]],'Cessions EDDA'!$H24,TAB_CS[[#Headers],[#Data],[Oct-2022]])</f>
        <v>0</v>
      </c>
      <c r="L24" s="422">
        <f>SUMIF(TAB_CS[[#Headers],[#Data],[Tri-1]],'Cessions EDDA'!$H24,TAB_CS[[#Headers],[#Data],[Nov-2022]])</f>
        <v>0</v>
      </c>
      <c r="M24" s="429">
        <f>SUMIF(TAB_CS[[#Headers],[#Data],[Tri-1]],'Cessions EDDA'!$H24,TAB_CS[[#Headers],[#Data],[Dec-2022]])</f>
        <v>0</v>
      </c>
      <c r="N24" s="429">
        <f>SUMIF(TAB_CS[[#Headers],[#Data],[Tri-1]],'Cessions EDDA'!$H24,TAB_CS[[#Headers],[#Data],[Jan-2023]])</f>
        <v>0</v>
      </c>
      <c r="O24" s="429">
        <f>SUMIF(TAB_CS[[#Headers],[#Data],[Tri-1]],'Cessions EDDA'!$H24,TAB_CS[[#Headers],[#Data],[Feb-2023]])</f>
        <v>0</v>
      </c>
      <c r="P24" s="429">
        <f>SUMIF(TAB_CS[[#Headers],[#Data],[Tri-1]],'Cessions EDDA'!$H24,TAB_CS[[#Headers],[#Data],[Mar-2023]])</f>
        <v>0</v>
      </c>
      <c r="Q24" s="422">
        <f>SUMIF(TAB_CS[[#Headers],[#Data],[Tri-1]],'Cessions EDDA'!$H24,TAB_CS[[#Headers],[#Data],[Apr-2023]])</f>
        <v>0</v>
      </c>
      <c r="R24" s="422">
        <f>SUMIF(TAB_CS[[#Headers],[#Data],[Tri-1]],'Cessions EDDA'!$H24,TAB_CS[[#Headers],[#Data],[May-2023]])</f>
        <v>0</v>
      </c>
      <c r="S24" s="422">
        <f>SUMIF(TAB_CS[[#Headers],[#Data],[Tri-1]],'Cessions EDDA'!$H24,TAB_CS[[#Headers],[#Data],[Jun-2023]])</f>
        <v>0</v>
      </c>
      <c r="T24" s="422">
        <f>SUMIF(TAB_CS[[#Headers],[#Data],[Tri-1]],'Cessions EDDA'!$H24,TAB_CS[[#Headers],[#Data],[Jul-2023]])</f>
        <v>0</v>
      </c>
      <c r="U24" s="422">
        <f>SUMIF(TAB_CS[[#Headers],[#Data],[Tri-1]],'Cessions EDDA'!$H24,TAB_CS[[#Headers],[#Data],[Aug-2023]])</f>
        <v>0</v>
      </c>
      <c r="V24" s="422">
        <f>SUMIF(TAB_CS[[#Headers],[#Data],[Tri-1]],'Cessions EDDA'!$H24,TAB_CS[[#Headers],[#Data],[Sep-2023]])</f>
        <v>0</v>
      </c>
      <c r="W24" s="422">
        <f>SUMIF(TAB_CS[[#Headers],[#Data],[Tri-1]],'Cessions EDDA'!$H24,TAB_CS[[#Headers],[#Data],[Oct-2023]])</f>
        <v>0</v>
      </c>
      <c r="X24" s="422">
        <f>SUMIF(TAB_CS[[#Headers],[#Data],[Tri-1]],'Cessions EDDA'!$H24,TAB_CS[[#Headers],[#Data],[Nov-2023]])</f>
        <v>0</v>
      </c>
      <c r="Y24" s="422">
        <f>SUMIF(TAB_CS[[#Headers],[#Data],[Tri-1]],'Cessions EDDA'!$H24,TAB_CS[[#Headers],[#Data],[Dec-2023]])</f>
        <v>0</v>
      </c>
      <c r="Z24" s="422">
        <f>SUMIF(TAB_CS[[#Headers],[#Data],[Tri-1]],'Cessions EDDA'!$H24,TAB_CS[[#Headers],[#Data],[Jan-2024]])</f>
        <v>0</v>
      </c>
      <c r="AA24" s="422">
        <f>SUMIF(TAB_CS[[#Headers],[#Data],[Tri-1]],'Cessions EDDA'!$H24,TAB_CS[[#Headers],[#Data],[Feb-2024]])</f>
        <v>0</v>
      </c>
      <c r="AB24" s="422">
        <f>SUMIF(TAB_CS[[#Headers],[#Data],[Tri-1]],'Cessions EDDA'!$H24,TAB_CS[[#Headers],[#Data],[Mar-2024]])</f>
        <v>0</v>
      </c>
      <c r="AC24" s="422">
        <f>SUMIF(TAB_CS[[#Headers],[#Data],[Tri-1]],'Cessions EDDA'!$H24,TAB_CS[[#Headers],[#Data],[Apr-2024]])</f>
        <v>0</v>
      </c>
      <c r="AD24" s="422">
        <f>SUMIF(TAB_CS[[#Headers],[#Data],[Tri-1]],'Cessions EDDA'!$H24,TAB_CS[[#Headers],[#Data],[May-2024]])</f>
        <v>0</v>
      </c>
      <c r="AE24" s="423">
        <f>SUMIF(TAB_CS[[#Headers],[#Data],[Tri-1]],'Cessions EDDA'!$H24,TAB_CS[[#Headers],[#Data],[Jun-2024]])</f>
        <v>19</v>
      </c>
      <c r="AF24" s="423">
        <f>SUMIF(TAB_CS[[#Headers],[#Data],[Tri-1]],'Cessions EDDA'!$H24,TAB_CS[[#Headers],[#Data],[Jul-2024]])</f>
        <v>16.5</v>
      </c>
      <c r="AG24" s="423">
        <f>SUMIF(TAB_CS[[#Headers],[#Data],[Tri-1]],'Cessions EDDA'!$H24,TAB_CS[[#Headers],[#Data],[Aug-2024]])</f>
        <v>8</v>
      </c>
      <c r="AH24" s="423">
        <f>SUMIF(TAB_CS[[#Headers],[#Data],[Tri-1]],'Cessions EDDA'!$H24,TAB_CS[[#Headers],[#Data],[Sep-2024]])</f>
        <v>20</v>
      </c>
      <c r="AI24" s="422">
        <f>SUMIF(TAB_CS[[#Headers],[#Data],[Tri-1]],'Cessions EDDA'!$H24,TAB_CS[[#Headers],[#Data],[Oct-2024]])</f>
        <v>14</v>
      </c>
      <c r="AJ24" s="422">
        <f>SUMIF(TAB_CS[[#Headers],[#Data],[Tri-1]],'Cessions EDDA'!$H24,TAB_CS[[#Headers],[#Data],[Nov-2024]])</f>
        <v>18</v>
      </c>
      <c r="AK24" s="422">
        <f>SUMIF(TAB_CS[[#Headers],[#Data],[Tri-1]],'Cessions EDDA'!$H24,TAB_CS[[#Headers],[#Data],[Dec-2024]])</f>
        <v>14.5</v>
      </c>
      <c r="AL24" s="422">
        <f>SUMIF(TAB_CS[[#Headers],[#Data],[Tri-1]],'Cessions EDDA'!$H24,TAB_CS[[#Headers],[#Data],[Jan-2025]])</f>
        <v>0</v>
      </c>
      <c r="AM24" s="422">
        <f>SUMIF(TAB_CS[[#Headers],[#Data],[Tri-1]],'Cessions EDDA'!$H24,TAB_CS[[#Headers],[#Data],[Feb-2025]])</f>
        <v>0</v>
      </c>
      <c r="AN24" s="422">
        <f>SUMIF(TAB_CS[[#Headers],[#Data],[Tri-1]],'Cessions EDDA'!$H24,TAB_CS[[#Headers],[#Data],[Mar-2025]])</f>
        <v>0</v>
      </c>
      <c r="AO24" s="422">
        <f>SUMIF(TAB_CS[[#Headers],[#Data],[Tri-1]],'Cessions EDDA'!$H24,TAB_CS[[#Headers],[#Data],[Apr-2025]])</f>
        <v>0</v>
      </c>
      <c r="AP24" s="422">
        <f>SUMIF(TAB_CS[[#Headers],[#Data],[Tri-1]],'Cessions EDDA'!$H24,TAB_CS[[#Headers],[#Data],[May-2025]])</f>
        <v>0</v>
      </c>
      <c r="AQ24" s="422">
        <f>SUMIF(TAB_CS[[#Headers],[#Data],[Tri-1]],'Cessions EDDA'!$H24,TAB_CS[[#Headers],[#Data],[Jun-2025]])</f>
        <v>0</v>
      </c>
      <c r="AR24" s="422">
        <f>SUMIF(TAB_CS[[#Headers],[#Data],[Tri-1]],'Cessions EDDA'!$H24,TAB_CS[[#Headers],[#Data],[Jul-2025]])</f>
        <v>0</v>
      </c>
      <c r="AS24" s="422">
        <f>SUMIF(TAB_CS[[#Headers],[#Data],[Tri-1]],'Cessions EDDA'!$H24,TAB_CS[[#Headers],[#Data],[Aug-2025]])</f>
        <v>0</v>
      </c>
      <c r="AT24" s="422">
        <f>SUMIF(TAB_CS[[#Headers],[#Data],[Tri-1]],'Cessions EDDA'!$H24,TAB_CS[[#Headers],[#Data],[Sep-2025]])</f>
        <v>0</v>
      </c>
      <c r="AU24" s="422">
        <f>SUMIF(TAB_CS[[#Headers],[#Data],[Tri-1]],'Cessions EDDA'!$H24,TAB_CS[[#Headers],[#Data],[Oct-2025]])</f>
        <v>0</v>
      </c>
      <c r="AV24" s="422">
        <f>SUMIF(TAB_CS[[#Headers],[#Data],[Tri-1]],'Cessions EDDA'!$H24,TAB_CS[[#Headers],[#Data],[Nov-2025]])</f>
        <v>0</v>
      </c>
      <c r="AW24" s="422">
        <f>SUMIF(TAB_CS[[#Headers],[#Data],[Tri-1]],'Cessions EDDA'!$H24,TAB_CS[[#Headers],[#Data],[Dec-2025]])</f>
        <v>0</v>
      </c>
    </row>
    <row r="25" spans="1:49" s="442" customFormat="1" x14ac:dyDescent="0.3">
      <c r="A25" s="653"/>
      <c r="B25" s="434"/>
      <c r="C25" s="435" t="s">
        <v>5895</v>
      </c>
      <c r="D25" s="436">
        <v>729</v>
      </c>
      <c r="E25" s="436">
        <v>848.87</v>
      </c>
      <c r="F25" s="437">
        <f t="shared" ref="F25" si="28">(E25-D25)/E25</f>
        <v>0.14121125731855291</v>
      </c>
      <c r="G25" s="438">
        <f t="shared" ref="G25" si="29">((E25-D25)-(E25*$G$8))/E25</f>
        <v>9.121125731855291E-2</v>
      </c>
      <c r="H25" s="438" t="str">
        <f t="shared" si="5"/>
        <v>GAGO CABEZAS, Irma (projection)848,87</v>
      </c>
      <c r="I25" s="439" t="s">
        <v>54</v>
      </c>
      <c r="J25" s="439">
        <v>10</v>
      </c>
      <c r="K25" s="440">
        <f>SUMIF(TAB_CS[[#Headers],[#Data],[Tri-1]],'Cessions EDDA'!$H25,TAB_CS[[#Headers],[#Data],[Oct-2022]])</f>
        <v>0</v>
      </c>
      <c r="L25" s="440">
        <f>SUMIF(TAB_CS[[#Headers],[#Data],[Tri-1]],'Cessions EDDA'!$H25,TAB_CS[[#Headers],[#Data],[Nov-2022]])</f>
        <v>0</v>
      </c>
      <c r="M25" s="441">
        <f>SUMIF(TAB_CS[[#Headers],[#Data],[Tri-1]],'Cessions EDDA'!$H25,TAB_CS[[#Headers],[#Data],[Dec-2022]])</f>
        <v>0</v>
      </c>
      <c r="N25" s="441">
        <f>SUMIF(TAB_CS[[#Headers],[#Data],[Tri-1]],'Cessions EDDA'!$H25,TAB_CS[[#Headers],[#Data],[Jan-2023]])</f>
        <v>0</v>
      </c>
      <c r="O25" s="441">
        <f>SUMIF(TAB_CS[[#Headers],[#Data],[Tri-1]],'Cessions EDDA'!$H25,TAB_CS[[#Headers],[#Data],[Feb-2023]])</f>
        <v>0</v>
      </c>
      <c r="P25" s="441">
        <f>SUMIF(TAB_CS[[#Headers],[#Data],[Tri-1]],'Cessions EDDA'!$H25,TAB_CS[[#Headers],[#Data],[Mar-2023]])</f>
        <v>0</v>
      </c>
      <c r="Q25" s="440">
        <f>SUMIF(TAB_CS[[#Headers],[#Data],[Tri-1]],'Cessions EDDA'!$H25,TAB_CS[[#Headers],[#Data],[Apr-2023]])</f>
        <v>0</v>
      </c>
      <c r="R25" s="440">
        <f>SUMIF(TAB_CS[[#Headers],[#Data],[Tri-1]],'Cessions EDDA'!$H25,TAB_CS[[#Headers],[#Data],[May-2023]])</f>
        <v>0</v>
      </c>
      <c r="S25" s="440">
        <f>SUMIF(TAB_CS[[#Headers],[#Data],[Tri-1]],'Cessions EDDA'!$H25,TAB_CS[[#Headers],[#Data],[Jun-2023]])</f>
        <v>0</v>
      </c>
      <c r="T25" s="440">
        <f>SUMIF(TAB_CS[[#Headers],[#Data],[Tri-1]],'Cessions EDDA'!$H25,TAB_CS[[#Headers],[#Data],[Jul-2023]])</f>
        <v>0</v>
      </c>
      <c r="U25" s="440">
        <f>SUMIF(TAB_CS[[#Headers],[#Data],[Tri-1]],'Cessions EDDA'!$H25,TAB_CS[[#Headers],[#Data],[Aug-2023]])</f>
        <v>0</v>
      </c>
      <c r="V25" s="440">
        <f>SUMIF(TAB_CS[[#Headers],[#Data],[Tri-1]],'Cessions EDDA'!$H25,TAB_CS[[#Headers],[#Data],[Sep-2023]])</f>
        <v>0</v>
      </c>
      <c r="W25" s="440">
        <f>SUMIF(TAB_CS[[#Headers],[#Data],[Tri-1]],'Cessions EDDA'!$H25,TAB_CS[[#Headers],[#Data],[Oct-2023]])</f>
        <v>0</v>
      </c>
      <c r="X25" s="440">
        <f>SUMIF(TAB_CS[[#Headers],[#Data],[Tri-1]],'Cessions EDDA'!$H25,TAB_CS[[#Headers],[#Data],[Nov-2023]])</f>
        <v>0</v>
      </c>
      <c r="Y25" s="440">
        <f>SUMIF(TAB_CS[[#Headers],[#Data],[Tri-1]],'Cessions EDDA'!$H25,TAB_CS[[#Headers],[#Data],[Dec-2023]])</f>
        <v>0</v>
      </c>
      <c r="Z25" s="440">
        <f>SUMIF(TAB_CS[[#Headers],[#Data],[Tri-1]],'Cessions EDDA'!$H25,TAB_CS[[#Headers],[#Data],[Jan-2024]])</f>
        <v>0</v>
      </c>
      <c r="AA25" s="440">
        <f>SUMIF(TAB_CS[[#Headers],[#Data],[Tri-1]],'Cessions EDDA'!$H25,TAB_CS[[#Headers],[#Data],[Feb-2024]])</f>
        <v>0</v>
      </c>
      <c r="AB25" s="440">
        <f>SUMIF(TAB_CS[[#Headers],[#Data],[Tri-1]],'Cessions EDDA'!$H25,TAB_CS[[#Headers],[#Data],[Mar-2024]])</f>
        <v>0</v>
      </c>
      <c r="AC25" s="440">
        <f>SUMIF(TAB_CS[[#Headers],[#Data],[Tri-1]],'Cessions EDDA'!$H25,TAB_CS[[#Headers],[#Data],[Apr-2024]])</f>
        <v>0</v>
      </c>
      <c r="AD25" s="440">
        <f>SUMIF(TAB_CS[[#Headers],[#Data],[Tri-1]],'Cessions EDDA'!$H25,TAB_CS[[#Headers],[#Data],[May-2024]])</f>
        <v>0</v>
      </c>
      <c r="AE25" s="440">
        <f>SUMIF(TAB_CS[[#Headers],[#Data],[Tri-1]],'Cessions EDDA'!$H25,TAB_CS[[#Headers],[#Data],[Jun-2024]])</f>
        <v>0</v>
      </c>
      <c r="AF25" s="440">
        <f>SUMIF(TAB_CS[[#Headers],[#Data],[Tri-1]],'Cessions EDDA'!$H25,TAB_CS[[#Headers],[#Data],[Jul-2024]])</f>
        <v>0</v>
      </c>
      <c r="AG25" s="440">
        <f>SUMIF(TAB_CS[[#Headers],[#Data],[Tri-1]],'Cessions EDDA'!$H25,TAB_CS[[#Headers],[#Data],[Aug-2024]])</f>
        <v>0</v>
      </c>
      <c r="AH25" s="440">
        <f>SUMIF(TAB_CS[[#Headers],[#Data],[Tri-1]],'Cessions EDDA'!$H25,TAB_CS[[#Headers],[#Data],[Sep-2024]])</f>
        <v>0</v>
      </c>
      <c r="AI25" s="440">
        <f>SUMIF(TAB_CS[[#Headers],[#Data],[Tri-1]],'Cessions EDDA'!$H25,TAB_CS[[#Headers],[#Data],[Oct-2024]])</f>
        <v>0</v>
      </c>
      <c r="AJ25" s="440">
        <f>SUMIF(TAB_CS[[#Headers],[#Data],[Tri-1]],'Cessions EDDA'!$H25,TAB_CS[[#Headers],[#Data],[Nov-2024]])</f>
        <v>0</v>
      </c>
      <c r="AK25" s="440">
        <v>3.5</v>
      </c>
      <c r="AL25" s="440">
        <v>18</v>
      </c>
      <c r="AM25" s="440">
        <v>18</v>
      </c>
      <c r="AN25" s="440">
        <v>18</v>
      </c>
      <c r="AO25" s="440">
        <v>18</v>
      </c>
      <c r="AP25" s="440">
        <v>18</v>
      </c>
      <c r="AQ25" s="440">
        <v>18</v>
      </c>
      <c r="AR25" s="440">
        <v>18</v>
      </c>
      <c r="AS25" s="440">
        <v>18</v>
      </c>
      <c r="AT25" s="440">
        <v>18</v>
      </c>
      <c r="AU25" s="440">
        <v>18</v>
      </c>
      <c r="AV25" s="440">
        <v>18</v>
      </c>
      <c r="AW25" s="440">
        <v>18</v>
      </c>
    </row>
    <row r="26" spans="1:49" x14ac:dyDescent="0.3">
      <c r="A26" s="399"/>
      <c r="B26" s="406"/>
      <c r="C26" s="407" t="s">
        <v>286</v>
      </c>
      <c r="D26" s="402">
        <v>770</v>
      </c>
      <c r="E26" s="402">
        <v>865.54</v>
      </c>
      <c r="F26" s="403">
        <f t="shared" si="21"/>
        <v>0.11038195808397067</v>
      </c>
      <c r="G26" s="404">
        <f t="shared" si="7"/>
        <v>6.0381958083970656E-2</v>
      </c>
      <c r="H26" s="404" t="str">
        <f t="shared" si="5"/>
        <v>NICULESCU, Calin865,54</v>
      </c>
      <c r="I26" s="405" t="s">
        <v>79</v>
      </c>
      <c r="J26" s="405">
        <v>10</v>
      </c>
      <c r="K26" s="422">
        <f>SUMIF(TAB_CS[[#Headers],[#Data],[Tri-1]],'Cessions EDDA'!$H26,TAB_CS[[#Headers],[#Data],[Oct-2022]])</f>
        <v>0</v>
      </c>
      <c r="L26" s="422">
        <f>SUMIF(TAB_CS[[#Headers],[#Data],[Tri-1]],'Cessions EDDA'!$H26,TAB_CS[[#Headers],[#Data],[Nov-2022]])</f>
        <v>0</v>
      </c>
      <c r="M26" s="429">
        <f>SUMIF(TAB_CS[[#Headers],[#Data],[Tri-1]],'Cessions EDDA'!$H26,TAB_CS[[#Headers],[#Data],[Dec-2022]])</f>
        <v>0</v>
      </c>
      <c r="N26" s="429">
        <f>SUMIF(TAB_CS[[#Headers],[#Data],[Tri-1]],'Cessions EDDA'!$H26,TAB_CS[[#Headers],[#Data],[Jan-2023]])</f>
        <v>0</v>
      </c>
      <c r="O26" s="430">
        <f>SUMIF(TAB_CS[[#Headers],[#Data],[Tri-1]],'Cessions EDDA'!$H26,TAB_CS[[#Headers],[#Data],[Feb-2023]])</f>
        <v>16</v>
      </c>
      <c r="P26" s="430">
        <f>SUMIF(TAB_CS[[#Headers],[#Data],[Tri-1]],'Cessions EDDA'!$H26,TAB_CS[[#Headers],[#Data],[Mar-2023]])</f>
        <v>23</v>
      </c>
      <c r="Q26" s="423">
        <f>SUMIF(TAB_CS[[#Headers],[#Data],[Tri-1]],'Cessions EDDA'!$H26,TAB_CS[[#Headers],[#Data],[Apr-2023]])</f>
        <v>14</v>
      </c>
      <c r="R26" s="423">
        <f>SUMIF(TAB_CS[[#Headers],[#Data],[Tri-1]],'Cessions EDDA'!$H26,TAB_CS[[#Headers],[#Data],[May-2023]])</f>
        <v>17</v>
      </c>
      <c r="S26" s="423">
        <f>SUMIF(TAB_CS[[#Headers],[#Data],[Tri-1]],'Cessions EDDA'!$H26,TAB_CS[[#Headers],[#Data],[Jun-2023]])</f>
        <v>22</v>
      </c>
      <c r="T26" s="423">
        <f>SUMIF(TAB_CS[[#Headers],[#Data],[Tri-1]],'Cessions EDDA'!$H26,TAB_CS[[#Headers],[#Data],[Jul-2023]])</f>
        <v>14</v>
      </c>
      <c r="U26" s="423">
        <f>SUMIF(TAB_CS[[#Headers],[#Data],[Tri-1]],'Cessions EDDA'!$H26,TAB_CS[[#Headers],[#Data],[Aug-2023]])</f>
        <v>18</v>
      </c>
      <c r="V26" s="423">
        <f>SUMIF(TAB_CS[[#Headers],[#Data],[Tri-1]],'Cessions EDDA'!$H26,TAB_CS[[#Headers],[#Data],[Sep-2023]])</f>
        <v>18</v>
      </c>
      <c r="W26" s="423">
        <f>SUMIF(TAB_CS[[#Headers],[#Data],[Tri-1]],'Cessions EDDA'!$H26,TAB_CS[[#Headers],[#Data],[Oct-2023]])</f>
        <v>21</v>
      </c>
      <c r="X26" s="423">
        <f>SUMIF(TAB_CS[[#Headers],[#Data],[Tri-1]],'Cessions EDDA'!$H26,TAB_CS[[#Headers],[#Data],[Nov-2023]])</f>
        <v>16.5</v>
      </c>
      <c r="Y26" s="423">
        <f>SUMIF(TAB_CS[[#Headers],[#Data],[Tri-1]],'Cessions EDDA'!$H26,TAB_CS[[#Headers],[#Data],[Dec-2023]])</f>
        <v>15</v>
      </c>
      <c r="Z26" s="423">
        <f>SUMIF(TAB_CS[[#Headers],[#Data],[Tri-1]],'Cessions EDDA'!$H26,TAB_CS[[#Headers],[#Data],[Jan-2024]])</f>
        <v>19.5</v>
      </c>
      <c r="AA26" s="423">
        <f>SUMIF(TAB_CS[[#Headers],[#Data],[Tri-1]],'Cessions EDDA'!$H26,TAB_CS[[#Headers],[#Data],[Feb-2024]])</f>
        <v>18</v>
      </c>
      <c r="AB26" s="423">
        <f>SUMIF(TAB_CS[[#Headers],[#Data],[Tri-1]],'Cessions EDDA'!$H26,TAB_CS[[#Headers],[#Data],[Mar-2024]])</f>
        <v>18.5</v>
      </c>
      <c r="AC26" s="423">
        <f>SUMIF(TAB_CS[[#Headers],[#Data],[Tri-1]],'Cessions EDDA'!$H26,TAB_CS[[#Headers],[#Data],[Apr-2024]])</f>
        <v>9.5</v>
      </c>
      <c r="AD26" s="422">
        <f>SUMIF(TAB_CS[[#Headers],[#Data],[Tri-1]],'Cessions EDDA'!$H26,TAB_CS[[#Headers],[#Data],[May-2024]])</f>
        <v>0</v>
      </c>
      <c r="AE26" s="422">
        <f>SUMIF(TAB_CS[[#Headers],[#Data],[Tri-1]],'Cessions EDDA'!$H26,TAB_CS[[#Headers],[#Data],[Jun-2024]])</f>
        <v>0</v>
      </c>
      <c r="AF26" s="422">
        <f>SUMIF(TAB_CS[[#Headers],[#Data],[Tri-1]],'Cessions EDDA'!$H26,TAB_CS[[#Headers],[#Data],[Jul-2024]])</f>
        <v>0</v>
      </c>
      <c r="AG26" s="422">
        <f>SUMIF(TAB_CS[[#Headers],[#Data],[Tri-1]],'Cessions EDDA'!$H26,TAB_CS[[#Headers],[#Data],[Aug-2024]])</f>
        <v>0</v>
      </c>
      <c r="AH26" s="549">
        <f>SUMIF(TAB_CS[[#Headers],[#Data],[Tri-1]],'Cessions EDDA'!$H26,TAB_CS[[#Headers],[#Data],[Sep-2024]])</f>
        <v>0</v>
      </c>
      <c r="AI26" s="549">
        <f>SUMIF(TAB_CS[[#Headers],[#Data],[Tri-1]],'Cessions EDDA'!$H26,TAB_CS[[#Headers],[#Data],[Oct-2024]])</f>
        <v>0</v>
      </c>
      <c r="AJ26" s="549">
        <f>SUMIF(TAB_CS[[#Headers],[#Data],[Tri-1]],'Cessions EDDA'!$H26,TAB_CS[[#Headers],[#Data],[Nov-2024]])</f>
        <v>0</v>
      </c>
      <c r="AK26" s="549">
        <f>SUMIF(TAB_CS[[#Headers],[#Data],[Tri-1]],'Cessions EDDA'!$H26,TAB_CS[[#Headers],[#Data],[Dec-2024]])</f>
        <v>0</v>
      </c>
      <c r="AL26" s="549">
        <f>SUMIF(TAB_CS[[#Headers],[#Data],[Tri-1]],'Cessions EDDA'!$H26,TAB_CS[[#Headers],[#Data],[Jan-2025]])</f>
        <v>0</v>
      </c>
      <c r="AM26" s="549">
        <f>SUMIF(TAB_CS[[#Headers],[#Data],[Tri-1]],'Cessions EDDA'!$H26,TAB_CS[[#Headers],[#Data],[Feb-2025]])</f>
        <v>0</v>
      </c>
      <c r="AN26" s="549">
        <f>SUMIF(TAB_CS[[#Headers],[#Data],[Tri-1]],'Cessions EDDA'!$H26,TAB_CS[[#Headers],[#Data],[Mar-2025]])</f>
        <v>0</v>
      </c>
      <c r="AO26" s="549">
        <f>SUMIF(TAB_CS[[#Headers],[#Data],[Tri-1]],'Cessions EDDA'!$H26,TAB_CS[[#Headers],[#Data],[Apr-2025]])</f>
        <v>0</v>
      </c>
      <c r="AP26" s="549">
        <f>SUMIF(TAB_CS[[#Headers],[#Data],[Tri-1]],'Cessions EDDA'!$H26,TAB_CS[[#Headers],[#Data],[May-2025]])</f>
        <v>0</v>
      </c>
      <c r="AQ26" s="549">
        <f>SUMIF(TAB_CS[[#Headers],[#Data],[Tri-1]],'Cessions EDDA'!$H26,TAB_CS[[#Headers],[#Data],[Jun-2025]])</f>
        <v>0</v>
      </c>
      <c r="AR26" s="549">
        <f>SUMIF(TAB_CS[[#Headers],[#Data],[Tri-1]],'Cessions EDDA'!$H26,TAB_CS[[#Headers],[#Data],[Jul-2025]])</f>
        <v>0</v>
      </c>
      <c r="AS26" s="549">
        <f>SUMIF(TAB_CS[[#Headers],[#Data],[Tri-1]],'Cessions EDDA'!$H26,TAB_CS[[#Headers],[#Data],[Aug-2025]])</f>
        <v>0</v>
      </c>
      <c r="AT26" s="549">
        <f>SUMIF(TAB_CS[[#Headers],[#Data],[Tri-1]],'Cessions EDDA'!$H26,TAB_CS[[#Headers],[#Data],[Sep-2025]])</f>
        <v>0</v>
      </c>
      <c r="AU26" s="549">
        <f>SUMIF(TAB_CS[[#Headers],[#Data],[Tri-1]],'Cessions EDDA'!$H26,TAB_CS[[#Headers],[#Data],[Oct-2025]])</f>
        <v>0</v>
      </c>
      <c r="AV26" s="549">
        <f>SUMIF(TAB_CS[[#Headers],[#Data],[Tri-1]],'Cessions EDDA'!$H26,TAB_CS[[#Headers],[#Data],[Nov-2025]])</f>
        <v>0</v>
      </c>
      <c r="AW26" s="549">
        <f>SUMIF(TAB_CS[[#Headers],[#Data],[Tri-1]],'Cessions EDDA'!$H26,TAB_CS[[#Headers],[#Data],[Dec-2025]])</f>
        <v>0</v>
      </c>
    </row>
    <row r="27" spans="1:49" x14ac:dyDescent="0.3">
      <c r="A27" s="399"/>
      <c r="B27" s="406"/>
      <c r="C27" s="407" t="s">
        <v>286</v>
      </c>
      <c r="D27" s="402">
        <v>810.42</v>
      </c>
      <c r="E27" s="402">
        <v>910.99</v>
      </c>
      <c r="F27" s="403">
        <f t="shared" ref="F27" si="30">(E27-D27)/E27</f>
        <v>0.11039638195808961</v>
      </c>
      <c r="G27" s="404">
        <f t="shared" ref="G27" si="31">((E27-D27)-(E27*$G$8))/E27</f>
        <v>6.0396381958089607E-2</v>
      </c>
      <c r="H27" s="404" t="str">
        <f t="shared" si="5"/>
        <v>NICULESCU, Calin910,99</v>
      </c>
      <c r="I27" s="405" t="s">
        <v>79</v>
      </c>
      <c r="J27" s="405">
        <v>10</v>
      </c>
      <c r="K27" s="422">
        <f>SUMIF(TAB_CS[[#Headers],[#Data],[Tri-1]],'Cessions EDDA'!$H27,TAB_CS[[#Headers],[#Data],[Oct-2022]])</f>
        <v>0</v>
      </c>
      <c r="L27" s="422">
        <f>SUMIF(TAB_CS[[#Headers],[#Data],[Tri-1]],'Cessions EDDA'!$H27,TAB_CS[[#Headers],[#Data],[Nov-2022]])</f>
        <v>0</v>
      </c>
      <c r="M27" s="429">
        <f>SUMIF(TAB_CS[[#Headers],[#Data],[Tri-1]],'Cessions EDDA'!$H27,TAB_CS[[#Headers],[#Data],[Dec-2022]])</f>
        <v>0</v>
      </c>
      <c r="N27" s="429">
        <f>SUMIF(TAB_CS[[#Headers],[#Data],[Tri-1]],'Cessions EDDA'!$H27,TAB_CS[[#Headers],[#Data],[Jan-2023]])</f>
        <v>0</v>
      </c>
      <c r="O27" s="429">
        <f>SUMIF(TAB_CS[[#Headers],[#Data],[Tri-1]],'Cessions EDDA'!$H27,TAB_CS[[#Headers],[#Data],[Feb-2023]])</f>
        <v>0</v>
      </c>
      <c r="P27" s="429">
        <f>SUMIF(TAB_CS[[#Headers],[#Data],[Tri-1]],'Cessions EDDA'!$H27,TAB_CS[[#Headers],[#Data],[Mar-2023]])</f>
        <v>0</v>
      </c>
      <c r="Q27" s="422">
        <f>SUMIF(TAB_CS[[#Headers],[#Data],[Tri-1]],'Cessions EDDA'!$H27,TAB_CS[[#Headers],[#Data],[Apr-2023]])</f>
        <v>0</v>
      </c>
      <c r="R27" s="422">
        <f>SUMIF(TAB_CS[[#Headers],[#Data],[Tri-1]],'Cessions EDDA'!$H27,TAB_CS[[#Headers],[#Data],[May-2023]])</f>
        <v>0</v>
      </c>
      <c r="S27" s="422">
        <f>SUMIF(TAB_CS[[#Headers],[#Data],[Tri-1]],'Cessions EDDA'!$H27,TAB_CS[[#Headers],[#Data],[Jun-2023]])</f>
        <v>0</v>
      </c>
      <c r="T27" s="422">
        <f>SUMIF(TAB_CS[[#Headers],[#Data],[Tri-1]],'Cessions EDDA'!$H27,TAB_CS[[#Headers],[#Data],[Jul-2023]])</f>
        <v>0</v>
      </c>
      <c r="U27" s="422">
        <f>SUMIF(TAB_CS[[#Headers],[#Data],[Tri-1]],'Cessions EDDA'!$H27,TAB_CS[[#Headers],[#Data],[Aug-2023]])</f>
        <v>0</v>
      </c>
      <c r="V27" s="422">
        <f>SUMIF(TAB_CS[[#Headers],[#Data],[Tri-1]],'Cessions EDDA'!$H27,TAB_CS[[#Headers],[#Data],[Sep-2023]])</f>
        <v>0</v>
      </c>
      <c r="W27" s="422">
        <f>SUMIF(TAB_CS[[#Headers],[#Data],[Tri-1]],'Cessions EDDA'!$H27,TAB_CS[[#Headers],[#Data],[Oct-2023]])</f>
        <v>0</v>
      </c>
      <c r="X27" s="422">
        <f>SUMIF(TAB_CS[[#Headers],[#Data],[Tri-1]],'Cessions EDDA'!$H27,TAB_CS[[#Headers],[#Data],[Nov-2023]])</f>
        <v>0</v>
      </c>
      <c r="Y27" s="422">
        <f>SUMIF(TAB_CS[[#Headers],[#Data],[Tri-1]],'Cessions EDDA'!$H27,TAB_CS[[#Headers],[#Data],[Dec-2023]])</f>
        <v>0</v>
      </c>
      <c r="Z27" s="422">
        <f>SUMIF(TAB_CS[[#Headers],[#Data],[Tri-1]],'Cessions EDDA'!$H27,TAB_CS[[#Headers],[#Data],[Jan-2024]])</f>
        <v>0</v>
      </c>
      <c r="AA27" s="422">
        <f>SUMIF(TAB_CS[[#Headers],[#Data],[Tri-1]],'Cessions EDDA'!$H27,TAB_CS[[#Headers],[#Data],[Feb-2024]])</f>
        <v>0</v>
      </c>
      <c r="AB27" s="422">
        <f>SUMIF(TAB_CS[[#Headers],[#Data],[Tri-1]],'Cessions EDDA'!$H27,TAB_CS[[#Headers],[#Data],[Mar-2024]])</f>
        <v>0</v>
      </c>
      <c r="AC27" s="423">
        <f>SUMIF(TAB_CS[[#Headers],[#Data],[Tri-1]],'Cessions EDDA'!$H27,TAB_CS[[#Headers],[#Data],[Apr-2024]])</f>
        <v>9</v>
      </c>
      <c r="AD27" s="423">
        <f>SUMIF(TAB_CS[[#Headers],[#Data],[Tri-1]],'Cessions EDDA'!$H27,TAB_CS[[#Headers],[#Data],[May-2024]])</f>
        <v>13.5</v>
      </c>
      <c r="AE27" s="423">
        <f>SUMIF(TAB_CS[[#Headers],[#Data],[Tri-1]],'Cessions EDDA'!$H27,TAB_CS[[#Headers],[#Data],[Jun-2024]])</f>
        <v>19</v>
      </c>
      <c r="AF27" s="423">
        <f>SUMIF(TAB_CS[[#Headers],[#Data],[Tri-1]],'Cessions EDDA'!$H27,TAB_CS[[#Headers],[#Data],[Jul-2024]])</f>
        <v>23</v>
      </c>
      <c r="AG27" s="423">
        <f>SUMIF(TAB_CS[[#Headers],[#Data],[Tri-1]],'Cessions EDDA'!$H27,TAB_CS[[#Headers],[#Data],[Aug-2024]])</f>
        <v>10</v>
      </c>
      <c r="AH27" s="549">
        <v>0</v>
      </c>
      <c r="AI27" s="549">
        <v>0</v>
      </c>
      <c r="AJ27" s="549">
        <v>0</v>
      </c>
      <c r="AK27" s="549">
        <v>0</v>
      </c>
      <c r="AL27" s="549">
        <v>0</v>
      </c>
      <c r="AM27" s="549">
        <v>0</v>
      </c>
      <c r="AN27" s="549">
        <v>0</v>
      </c>
      <c r="AO27" s="549">
        <v>0</v>
      </c>
      <c r="AP27" s="549">
        <v>0</v>
      </c>
      <c r="AQ27" s="549">
        <f>SUMIF(TAB_CS[[#Headers],[#Data],[Tri-1]],'Cessions EDDA'!$H27,TAB_CS[[#Headers],[#Data],[Jun-2025]])</f>
        <v>0</v>
      </c>
      <c r="AR27" s="549">
        <f>SUMIF(TAB_CS[[#Headers],[#Data],[Tri-1]],'Cessions EDDA'!$H27,TAB_CS[[#Headers],[#Data],[Jul-2025]])</f>
        <v>0</v>
      </c>
      <c r="AS27" s="549">
        <f>SUMIF(TAB_CS[[#Headers],[#Data],[Tri-1]],'Cessions EDDA'!$H27,TAB_CS[[#Headers],[#Data],[Aug-2025]])</f>
        <v>0</v>
      </c>
      <c r="AT27" s="549">
        <f>SUMIF(TAB_CS[[#Headers],[#Data],[Tri-1]],'Cessions EDDA'!$H27,TAB_CS[[#Headers],[#Data],[Sep-2025]])</f>
        <v>0</v>
      </c>
      <c r="AU27" s="549">
        <f>SUMIF(TAB_CS[[#Headers],[#Data],[Tri-1]],'Cessions EDDA'!$H27,TAB_CS[[#Headers],[#Data],[Oct-2025]])</f>
        <v>0</v>
      </c>
      <c r="AV27" s="549">
        <f>SUMIF(TAB_CS[[#Headers],[#Data],[Tri-1]],'Cessions EDDA'!$H27,TAB_CS[[#Headers],[#Data],[Nov-2025]])</f>
        <v>0</v>
      </c>
      <c r="AW27" s="549">
        <f>SUMIF(TAB_CS[[#Headers],[#Data],[Tri-1]],'Cessions EDDA'!$H27,TAB_CS[[#Headers],[#Data],[Dec-2025]])</f>
        <v>0</v>
      </c>
    </row>
    <row r="28" spans="1:49" s="442" customFormat="1" x14ac:dyDescent="0.3">
      <c r="A28" s="653"/>
      <c r="B28" s="434"/>
      <c r="C28" s="435" t="s">
        <v>5896</v>
      </c>
      <c r="D28" s="436">
        <v>810.42</v>
      </c>
      <c r="E28" s="436">
        <v>910.99</v>
      </c>
      <c r="F28" s="437">
        <f t="shared" ref="F28" si="32">(E28-D28)/E28</f>
        <v>0.11039638195808961</v>
      </c>
      <c r="G28" s="438">
        <f t="shared" ref="G28" si="33">((E28-D28)-(E28*$G$8))/E28</f>
        <v>6.0396381958089607E-2</v>
      </c>
      <c r="H28" s="438" t="str">
        <f t="shared" si="5"/>
        <v>NICULESCU, Calin (projection)910,99</v>
      </c>
      <c r="I28" s="439" t="s">
        <v>79</v>
      </c>
      <c r="J28" s="439">
        <v>10</v>
      </c>
      <c r="K28" s="440">
        <f>SUMIF(TAB_CS[[#Headers],[#Data],[Tri-1]],'Cessions EDDA'!$H28,TAB_CS[[#Headers],[#Data],[Oct-2022]])</f>
        <v>0</v>
      </c>
      <c r="L28" s="440">
        <f>SUMIF(TAB_CS[[#Headers],[#Data],[Tri-1]],'Cessions EDDA'!$H28,TAB_CS[[#Headers],[#Data],[Nov-2022]])</f>
        <v>0</v>
      </c>
      <c r="M28" s="441">
        <f>SUMIF(TAB_CS[[#Headers],[#Data],[Tri-1]],'Cessions EDDA'!$H28,TAB_CS[[#Headers],[#Data],[Dec-2022]])</f>
        <v>0</v>
      </c>
      <c r="N28" s="441">
        <f>SUMIF(TAB_CS[[#Headers],[#Data],[Tri-1]],'Cessions EDDA'!$H28,TAB_CS[[#Headers],[#Data],[Jan-2023]])</f>
        <v>0</v>
      </c>
      <c r="O28" s="441">
        <f>SUMIF(TAB_CS[[#Headers],[#Data],[Tri-1]],'Cessions EDDA'!$H28,TAB_CS[[#Headers],[#Data],[Feb-2023]])</f>
        <v>0</v>
      </c>
      <c r="P28" s="441">
        <f>SUMIF(TAB_CS[[#Headers],[#Data],[Tri-1]],'Cessions EDDA'!$H28,TAB_CS[[#Headers],[#Data],[Mar-2023]])</f>
        <v>0</v>
      </c>
      <c r="Q28" s="440">
        <f>SUMIF(TAB_CS[[#Headers],[#Data],[Tri-1]],'Cessions EDDA'!$H28,TAB_CS[[#Headers],[#Data],[Apr-2023]])</f>
        <v>0</v>
      </c>
      <c r="R28" s="440">
        <f>SUMIF(TAB_CS[[#Headers],[#Data],[Tri-1]],'Cessions EDDA'!$H28,TAB_CS[[#Headers],[#Data],[May-2023]])</f>
        <v>0</v>
      </c>
      <c r="S28" s="440">
        <f>SUMIF(TAB_CS[[#Headers],[#Data],[Tri-1]],'Cessions EDDA'!$H28,TAB_CS[[#Headers],[#Data],[Jun-2023]])</f>
        <v>0</v>
      </c>
      <c r="T28" s="440">
        <f>SUMIF(TAB_CS[[#Headers],[#Data],[Tri-1]],'Cessions EDDA'!$H28,TAB_CS[[#Headers],[#Data],[Jul-2023]])</f>
        <v>0</v>
      </c>
      <c r="U28" s="440">
        <f>SUMIF(TAB_CS[[#Headers],[#Data],[Tri-1]],'Cessions EDDA'!$H28,TAB_CS[[#Headers],[#Data],[Aug-2023]])</f>
        <v>0</v>
      </c>
      <c r="V28" s="440">
        <f>SUMIF(TAB_CS[[#Headers],[#Data],[Tri-1]],'Cessions EDDA'!$H28,TAB_CS[[#Headers],[#Data],[Sep-2023]])</f>
        <v>0</v>
      </c>
      <c r="W28" s="440">
        <f>SUMIF(TAB_CS[[#Headers],[#Data],[Tri-1]],'Cessions EDDA'!$H28,TAB_CS[[#Headers],[#Data],[Oct-2023]])</f>
        <v>0</v>
      </c>
      <c r="X28" s="440">
        <f>SUMIF(TAB_CS[[#Headers],[#Data],[Tri-1]],'Cessions EDDA'!$H28,TAB_CS[[#Headers],[#Data],[Nov-2023]])</f>
        <v>0</v>
      </c>
      <c r="Y28" s="440">
        <f>SUMIF(TAB_CS[[#Headers],[#Data],[Tri-1]],'Cessions EDDA'!$H28,TAB_CS[[#Headers],[#Data],[Dec-2023]])</f>
        <v>0</v>
      </c>
      <c r="Z28" s="440">
        <f>SUMIF(TAB_CS[[#Headers],[#Data],[Tri-1]],'Cessions EDDA'!$H28,TAB_CS[[#Headers],[#Data],[Jan-2024]])</f>
        <v>0</v>
      </c>
      <c r="AA28" s="440">
        <f>SUMIF(TAB_CS[[#Headers],[#Data],[Tri-1]],'Cessions EDDA'!$H28,TAB_CS[[#Headers],[#Data],[Feb-2024]])</f>
        <v>0</v>
      </c>
      <c r="AB28" s="440">
        <f>SUMIF(TAB_CS[[#Headers],[#Data],[Tri-1]],'Cessions EDDA'!$H28,TAB_CS[[#Headers],[#Data],[Mar-2024]])</f>
        <v>0</v>
      </c>
      <c r="AC28" s="440">
        <v>0</v>
      </c>
      <c r="AD28" s="440">
        <v>0</v>
      </c>
      <c r="AE28" s="440">
        <v>0</v>
      </c>
      <c r="AF28" s="440">
        <v>0</v>
      </c>
      <c r="AG28" s="440">
        <v>0</v>
      </c>
      <c r="AH28" s="550">
        <v>0</v>
      </c>
      <c r="AI28" s="550">
        <v>0</v>
      </c>
      <c r="AJ28" s="550">
        <v>0</v>
      </c>
      <c r="AK28" s="550">
        <v>0</v>
      </c>
      <c r="AL28" s="550">
        <v>0</v>
      </c>
      <c r="AM28" s="550">
        <v>0</v>
      </c>
      <c r="AN28" s="550">
        <v>0</v>
      </c>
      <c r="AO28" s="550">
        <v>0</v>
      </c>
      <c r="AP28" s="550">
        <v>0</v>
      </c>
      <c r="AQ28" s="550">
        <v>0</v>
      </c>
      <c r="AR28" s="550">
        <v>0</v>
      </c>
      <c r="AS28" s="550">
        <v>0</v>
      </c>
      <c r="AT28" s="550">
        <v>0</v>
      </c>
      <c r="AU28" s="550">
        <v>0</v>
      </c>
      <c r="AV28" s="550">
        <v>0</v>
      </c>
      <c r="AW28" s="550">
        <v>0</v>
      </c>
    </row>
    <row r="29" spans="1:49" x14ac:dyDescent="0.3">
      <c r="A29" s="399"/>
      <c r="B29" s="406"/>
      <c r="C29" s="407" t="s">
        <v>308</v>
      </c>
      <c r="D29" s="402">
        <v>655</v>
      </c>
      <c r="E29" s="402">
        <v>753.77</v>
      </c>
      <c r="F29" s="403">
        <f t="shared" si="21"/>
        <v>0.13103466574684583</v>
      </c>
      <c r="G29" s="404">
        <f t="shared" si="7"/>
        <v>8.1034665746845841E-2</v>
      </c>
      <c r="H29" s="404" t="str">
        <f t="shared" si="5"/>
        <v>OLLINGER, Yannick753,77</v>
      </c>
      <c r="I29" s="405" t="s">
        <v>54</v>
      </c>
      <c r="J29" s="405">
        <v>9</v>
      </c>
      <c r="K29" s="422">
        <f>SUMIF(TAB_CS[[#Headers],[#Data],[Tri-1]],'Cessions EDDA'!$H29,TAB_CS[[#Headers],[#Data],[Oct-2022]])</f>
        <v>0</v>
      </c>
      <c r="L29" s="423">
        <f>SUMIF(TAB_CS[[#Headers],[#Data],[Tri-1]],'Cessions EDDA'!$H29,TAB_CS[[#Headers],[#Data],[Nov-2022]])</f>
        <v>3</v>
      </c>
      <c r="M29" s="430">
        <f>SUMIF(TAB_CS[[#Headers],[#Data],[Tri-1]],'Cessions EDDA'!$H29,TAB_CS[[#Headers],[#Data],[Dec-2022]])</f>
        <v>21</v>
      </c>
      <c r="N29" s="430">
        <f>SUMIF(TAB_CS[[#Headers],[#Data],[Tri-1]],'Cessions EDDA'!$H29,TAB_CS[[#Headers],[#Data],[Jan-2023]])</f>
        <v>20.5</v>
      </c>
      <c r="O29" s="430">
        <f>SUMIF(TAB_CS[[#Headers],[#Data],[Tri-1]],'Cessions EDDA'!$H29,TAB_CS[[#Headers],[#Data],[Feb-2023]])</f>
        <v>20</v>
      </c>
      <c r="P29" s="430">
        <f>SUMIF(TAB_CS[[#Headers],[#Data],[Tri-1]],'Cessions EDDA'!$H29,TAB_CS[[#Headers],[#Data],[Mar-2023]])</f>
        <v>23</v>
      </c>
      <c r="Q29" s="423">
        <f>SUMIF(TAB_CS[[#Headers],[#Data],[Tri-1]],'Cessions EDDA'!$H29,TAB_CS[[#Headers],[#Data],[Apr-2023]])</f>
        <v>19</v>
      </c>
      <c r="R29" s="423">
        <f>SUMIF(TAB_CS[[#Headers],[#Data],[Tri-1]],'Cessions EDDA'!$H29,TAB_CS[[#Headers],[#Data],[May-2023]])</f>
        <v>14</v>
      </c>
      <c r="S29" s="423">
        <f>SUMIF(TAB_CS[[#Headers],[#Data],[Tri-1]],'Cessions EDDA'!$H29,TAB_CS[[#Headers],[#Data],[Jun-2023]])</f>
        <v>22</v>
      </c>
      <c r="T29" s="423">
        <f>SUMIF(TAB_CS[[#Headers],[#Data],[Tri-1]],'Cessions EDDA'!$H29,TAB_CS[[#Headers],[#Data],[Jul-2023]])</f>
        <v>10.5</v>
      </c>
      <c r="U29" s="423">
        <f>SUMIF(TAB_CS[[#Headers],[#Data],[Tri-1]],'Cessions EDDA'!$H29,TAB_CS[[#Headers],[#Data],[Aug-2023]])</f>
        <v>21</v>
      </c>
      <c r="V29" s="423">
        <f>SUMIF(TAB_CS[[#Headers],[#Data],[Tri-1]],'Cessions EDDA'!$H29,TAB_CS[[#Headers],[#Data],[Sep-2023]])</f>
        <v>21</v>
      </c>
      <c r="W29" s="423">
        <f>SUMIF(TAB_CS[[#Headers],[#Data],[Tri-1]],'Cessions EDDA'!$H29,TAB_CS[[#Headers],[#Data],[Oct-2023]])</f>
        <v>21.5</v>
      </c>
      <c r="X29" s="423">
        <f>SUMIF(TAB_CS[[#Headers],[#Data],[Tri-1]],'Cessions EDDA'!$H29,TAB_CS[[#Headers],[#Data],[Nov-2023]])</f>
        <v>21</v>
      </c>
      <c r="Y29" s="423">
        <f>SUMIF(TAB_CS[[#Headers],[#Data],[Tri-1]],'Cessions EDDA'!$H29,TAB_CS[[#Headers],[#Data],[Dec-2023]])</f>
        <v>16.5</v>
      </c>
      <c r="Z29" s="423">
        <f>SUMIF(TAB_CS[[#Headers],[#Data],[Tri-1]],'Cessions EDDA'!$H29,TAB_CS[[#Headers],[#Data],[Jan-2024]])</f>
        <v>21</v>
      </c>
      <c r="AA29" s="423">
        <f>SUMIF(TAB_CS[[#Headers],[#Data],[Tri-1]],'Cessions EDDA'!$H29,TAB_CS[[#Headers],[#Data],[Feb-2024]])</f>
        <v>21</v>
      </c>
      <c r="AB29" s="423">
        <f>SUMIF(TAB_CS[[#Headers],[#Data],[Tri-1]],'Cessions EDDA'!$H29,TAB_CS[[#Headers],[#Data],[Mar-2024]])</f>
        <v>20.5</v>
      </c>
      <c r="AC29" s="423">
        <f>SUMIF(TAB_CS[[#Headers],[#Data],[Tri-1]],'Cessions EDDA'!$H29,TAB_CS[[#Headers],[#Data],[Apr-2024]])</f>
        <v>10.5</v>
      </c>
      <c r="AD29" s="422">
        <f>SUMIF(TAB_CS[[#Headers],[#Data],[Tri-1]],'Cessions EDDA'!$H29,TAB_CS[[#Headers],[#Data],[May-2024]])</f>
        <v>0</v>
      </c>
      <c r="AE29" s="422">
        <f>SUMIF(TAB_CS[[#Headers],[#Data],[Tri-1]],'Cessions EDDA'!$H29,TAB_CS[[#Headers],[#Data],[Jun-2024]])</f>
        <v>0</v>
      </c>
      <c r="AF29" s="422">
        <f>SUMIF(TAB_CS[[#Headers],[#Data],[Tri-1]],'Cessions EDDA'!$H29,TAB_CS[[#Headers],[#Data],[Jul-2024]])</f>
        <v>0</v>
      </c>
      <c r="AG29" s="422">
        <f>SUMIF(TAB_CS[[#Headers],[#Data],[Tri-1]],'Cessions EDDA'!$H29,TAB_CS[[#Headers],[#Data],[Aug-2024]])</f>
        <v>0</v>
      </c>
      <c r="AH29" s="422">
        <f>SUMIF(TAB_CS[[#Headers],[#Data],[Tri-1]],'Cessions EDDA'!$H29,TAB_CS[[#Headers],[#Data],[Sep-2024]])</f>
        <v>0</v>
      </c>
      <c r="AI29" s="422">
        <f>SUMIF(TAB_CS[[#Headers],[#Data],[Tri-1]],'Cessions EDDA'!$H29,TAB_CS[[#Headers],[#Data],[Oct-2024]])</f>
        <v>0</v>
      </c>
      <c r="AJ29" s="422">
        <f>SUMIF(TAB_CS[[#Headers],[#Data],[Tri-1]],'Cessions EDDA'!$H29,TAB_CS[[#Headers],[#Data],[Nov-2024]])</f>
        <v>0</v>
      </c>
      <c r="AK29" s="422">
        <f>SUMIF(TAB_CS[[#Headers],[#Data],[Tri-1]],'Cessions EDDA'!$H29,TAB_CS[[#Headers],[#Data],[Dec-2024]])</f>
        <v>0</v>
      </c>
      <c r="AL29" s="422">
        <f>SUMIF(TAB_CS[[#Headers],[#Data],[Tri-1]],'Cessions EDDA'!$H29,TAB_CS[[#Headers],[#Data],[Jan-2025]])</f>
        <v>0</v>
      </c>
      <c r="AM29" s="422">
        <f>SUMIF(TAB_CS[[#Headers],[#Data],[Tri-1]],'Cessions EDDA'!$H29,TAB_CS[[#Headers],[#Data],[Feb-2025]])</f>
        <v>0</v>
      </c>
      <c r="AN29" s="422">
        <f>SUMIF(TAB_CS[[#Headers],[#Data],[Tri-1]],'Cessions EDDA'!$H29,TAB_CS[[#Headers],[#Data],[Mar-2025]])</f>
        <v>0</v>
      </c>
      <c r="AO29" s="422">
        <f>SUMIF(TAB_CS[[#Headers],[#Data],[Tri-1]],'Cessions EDDA'!$H29,TAB_CS[[#Headers],[#Data],[Apr-2025]])</f>
        <v>0</v>
      </c>
      <c r="AP29" s="422">
        <f>SUMIF(TAB_CS[[#Headers],[#Data],[Tri-1]],'Cessions EDDA'!$H29,TAB_CS[[#Headers],[#Data],[May-2025]])</f>
        <v>0</v>
      </c>
      <c r="AQ29" s="422">
        <f>SUMIF(TAB_CS[[#Headers],[#Data],[Tri-1]],'Cessions EDDA'!$H29,TAB_CS[[#Headers],[#Data],[Jun-2025]])</f>
        <v>0</v>
      </c>
      <c r="AR29" s="422">
        <f>SUMIF(TAB_CS[[#Headers],[#Data],[Tri-1]],'Cessions EDDA'!$H29,TAB_CS[[#Headers],[#Data],[Jul-2025]])</f>
        <v>0</v>
      </c>
      <c r="AS29" s="422">
        <f>SUMIF(TAB_CS[[#Headers],[#Data],[Tri-1]],'Cessions EDDA'!$H29,TAB_CS[[#Headers],[#Data],[Aug-2025]])</f>
        <v>0</v>
      </c>
      <c r="AT29" s="422">
        <f>SUMIF(TAB_CS[[#Headers],[#Data],[Tri-1]],'Cessions EDDA'!$H29,TAB_CS[[#Headers],[#Data],[Sep-2025]])</f>
        <v>0</v>
      </c>
      <c r="AU29" s="422">
        <f>SUMIF(TAB_CS[[#Headers],[#Data],[Tri-1]],'Cessions EDDA'!$H29,TAB_CS[[#Headers],[#Data],[Oct-2025]])</f>
        <v>0</v>
      </c>
      <c r="AV29" s="422">
        <f>SUMIF(TAB_CS[[#Headers],[#Data],[Tri-1]],'Cessions EDDA'!$H29,TAB_CS[[#Headers],[#Data],[Nov-2025]])</f>
        <v>0</v>
      </c>
      <c r="AW29" s="422">
        <f>SUMIF(TAB_CS[[#Headers],[#Data],[Tri-1]],'Cessions EDDA'!$H29,TAB_CS[[#Headers],[#Data],[Dec-2025]])</f>
        <v>0</v>
      </c>
    </row>
    <row r="30" spans="1:49" x14ac:dyDescent="0.3">
      <c r="A30" s="399"/>
      <c r="B30" s="406"/>
      <c r="C30" s="407" t="s">
        <v>308</v>
      </c>
      <c r="D30" s="402">
        <v>689.41</v>
      </c>
      <c r="E30" s="402">
        <v>793.34</v>
      </c>
      <c r="F30" s="403">
        <f t="shared" ref="F30" si="34">(E30-D30)/E30</f>
        <v>0.13100310081427893</v>
      </c>
      <c r="G30" s="404">
        <f t="shared" ref="G30" si="35">((E30-D30)-(E30*$G$8))/E30</f>
        <v>8.1003100814278944E-2</v>
      </c>
      <c r="H30" s="404" t="str">
        <f t="shared" si="5"/>
        <v>OLLINGER, Yannick793,34</v>
      </c>
      <c r="I30" s="405" t="s">
        <v>54</v>
      </c>
      <c r="J30" s="405">
        <v>9</v>
      </c>
      <c r="K30" s="422">
        <f>SUMIF(TAB_CS[[#Headers],[#Data],[Tri-1]],'Cessions EDDA'!$H30,TAB_CS[[#Headers],[#Data],[Oct-2022]])</f>
        <v>0</v>
      </c>
      <c r="L30" s="422">
        <f>SUMIF(TAB_CS[[#Headers],[#Data],[Tri-1]],'Cessions EDDA'!$H30,TAB_CS[[#Headers],[#Data],[Nov-2022]])</f>
        <v>0</v>
      </c>
      <c r="M30" s="429">
        <f>SUMIF(TAB_CS[[#Headers],[#Data],[Tri-1]],'Cessions EDDA'!$H30,TAB_CS[[#Headers],[#Data],[Dec-2022]])</f>
        <v>0</v>
      </c>
      <c r="N30" s="429">
        <f>SUMIF(TAB_CS[[#Headers],[#Data],[Tri-1]],'Cessions EDDA'!$H30,TAB_CS[[#Headers],[#Data],[Jan-2023]])</f>
        <v>0</v>
      </c>
      <c r="O30" s="429">
        <f>SUMIF(TAB_CS[[#Headers],[#Data],[Tri-1]],'Cessions EDDA'!$H30,TAB_CS[[#Headers],[#Data],[Feb-2023]])</f>
        <v>0</v>
      </c>
      <c r="P30" s="429">
        <f>SUMIF(TAB_CS[[#Headers],[#Data],[Tri-1]],'Cessions EDDA'!$H30,TAB_CS[[#Headers],[#Data],[Mar-2023]])</f>
        <v>0</v>
      </c>
      <c r="Q30" s="422">
        <f>SUMIF(TAB_CS[[#Headers],[#Data],[Tri-1]],'Cessions EDDA'!$H30,TAB_CS[[#Headers],[#Data],[Apr-2023]])</f>
        <v>0</v>
      </c>
      <c r="R30" s="422">
        <f>SUMIF(TAB_CS[[#Headers],[#Data],[Tri-1]],'Cessions EDDA'!$H30,TAB_CS[[#Headers],[#Data],[May-2023]])</f>
        <v>0</v>
      </c>
      <c r="S30" s="422">
        <f>SUMIF(TAB_CS[[#Headers],[#Data],[Tri-1]],'Cessions EDDA'!$H30,TAB_CS[[#Headers],[#Data],[Jun-2023]])</f>
        <v>0</v>
      </c>
      <c r="T30" s="422">
        <f>SUMIF(TAB_CS[[#Headers],[#Data],[Tri-1]],'Cessions EDDA'!$H30,TAB_CS[[#Headers],[#Data],[Jul-2023]])</f>
        <v>0</v>
      </c>
      <c r="U30" s="422">
        <f>SUMIF(TAB_CS[[#Headers],[#Data],[Tri-1]],'Cessions EDDA'!$H30,TAB_CS[[#Headers],[#Data],[Aug-2023]])</f>
        <v>0</v>
      </c>
      <c r="V30" s="422">
        <f>SUMIF(TAB_CS[[#Headers],[#Data],[Tri-1]],'Cessions EDDA'!$H30,TAB_CS[[#Headers],[#Data],[Sep-2023]])</f>
        <v>0</v>
      </c>
      <c r="W30" s="422">
        <f>SUMIF(TAB_CS[[#Headers],[#Data],[Tri-1]],'Cessions EDDA'!$H30,TAB_CS[[#Headers],[#Data],[Oct-2023]])</f>
        <v>0</v>
      </c>
      <c r="X30" s="422">
        <f>SUMIF(TAB_CS[[#Headers],[#Data],[Tri-1]],'Cessions EDDA'!$H30,TAB_CS[[#Headers],[#Data],[Nov-2023]])</f>
        <v>0</v>
      </c>
      <c r="Y30" s="422">
        <f>SUMIF(TAB_CS[[#Headers],[#Data],[Tri-1]],'Cessions EDDA'!$H30,TAB_CS[[#Headers],[#Data],[Dec-2023]])</f>
        <v>0</v>
      </c>
      <c r="Z30" s="422">
        <f>SUMIF(TAB_CS[[#Headers],[#Data],[Tri-1]],'Cessions EDDA'!$H30,TAB_CS[[#Headers],[#Data],[Jan-2024]])</f>
        <v>0</v>
      </c>
      <c r="AA30" s="422">
        <f>SUMIF(TAB_CS[[#Headers],[#Data],[Tri-1]],'Cessions EDDA'!$H30,TAB_CS[[#Headers],[#Data],[Feb-2024]])</f>
        <v>0</v>
      </c>
      <c r="AB30" s="422">
        <f>SUMIF(TAB_CS[[#Headers],[#Data],[Tri-1]],'Cessions EDDA'!$H30,TAB_CS[[#Headers],[#Data],[Mar-2024]])</f>
        <v>0</v>
      </c>
      <c r="AC30" s="423">
        <f>SUMIF(TAB_CS[[#Headers],[#Data],[Tri-1]],'Cessions EDDA'!$H30,TAB_CS[[#Headers],[#Data],[Apr-2024]])</f>
        <v>10.5</v>
      </c>
      <c r="AD30" s="423">
        <f>SUMIF(TAB_CS[[#Headers],[#Data],[Tri-1]],'Cessions EDDA'!$H30,TAB_CS[[#Headers],[#Data],[May-2024]])</f>
        <v>20</v>
      </c>
      <c r="AE30" s="423">
        <f>SUMIF(TAB_CS[[#Headers],[#Data],[Tri-1]],'Cessions EDDA'!$H30,TAB_CS[[#Headers],[#Data],[Jun-2024]])</f>
        <v>20</v>
      </c>
      <c r="AF30" s="423">
        <f>SUMIF(TAB_CS[[#Headers],[#Data],[Tri-1]],'Cessions EDDA'!$H30,TAB_CS[[#Headers],[#Data],[Jul-2024]])</f>
        <v>12</v>
      </c>
      <c r="AG30" s="423">
        <f>SUMIF(TAB_CS[[#Headers],[#Data],[Tri-1]],'Cessions EDDA'!$H30,TAB_CS[[#Headers],[#Data],[Aug-2024]])</f>
        <v>19</v>
      </c>
      <c r="AH30" s="423">
        <f>SUMIF(TAB_CS[[#Headers],[#Data],[Tri-1]],'Cessions EDDA'!$H30,TAB_CS[[#Headers],[#Data],[Sep-2024]])</f>
        <v>21</v>
      </c>
      <c r="AI30" s="422">
        <f>SUMIF(TAB_CS[[#Headers],[#Data],[Tri-1]],'Cessions EDDA'!$H30,TAB_CS[[#Headers],[#Data],[Oct-2024]])</f>
        <v>22.5</v>
      </c>
      <c r="AJ30" s="422">
        <f>SUMIF(TAB_CS[[#Headers],[#Data],[Tri-1]],'Cessions EDDA'!$H30,TAB_CS[[#Headers],[#Data],[Nov-2024]])</f>
        <v>15.5</v>
      </c>
      <c r="AK30" s="422">
        <f>SUMIF(TAB_CS[[#Headers],[#Data],[Tri-1]],'Cessions EDDA'!$H30,TAB_CS[[#Headers],[#Data],[Dec-2024]])</f>
        <v>18</v>
      </c>
      <c r="AL30" s="422">
        <f>SUMIF(TAB_CS[[#Headers],[#Data],[Tri-1]],'Cessions EDDA'!$H30,TAB_CS[[#Headers],[#Data],[Jan-2025]])</f>
        <v>18</v>
      </c>
      <c r="AM30" s="422">
        <f>SUMIF(TAB_CS[[#Headers],[#Data],[Tri-1]],'Cessions EDDA'!$H30,TAB_CS[[#Headers],[#Data],[Feb-2025]])</f>
        <v>18</v>
      </c>
      <c r="AN30" s="422">
        <f>SUMIF(TAB_CS[[#Headers],[#Data],[Tri-1]],'Cessions EDDA'!$H30,TAB_CS[[#Headers],[#Data],[Mar-2025]])</f>
        <v>18</v>
      </c>
      <c r="AO30" s="422">
        <f>SUMIF(TAB_CS[[#Headers],[#Data],[Tri-1]],'Cessions EDDA'!$H30,TAB_CS[[#Headers],[#Data],[Apr-2025]])</f>
        <v>18</v>
      </c>
      <c r="AP30" s="422">
        <f>SUMIF(TAB_CS[[#Headers],[#Data],[Tri-1]],'Cessions EDDA'!$H30,TAB_CS[[#Headers],[#Data],[May-2025]])</f>
        <v>4.5</v>
      </c>
      <c r="AQ30" s="422">
        <f>SUMIF(TAB_CS[[#Headers],[#Data],[Tri-1]],'Cessions EDDA'!$H30,TAB_CS[[#Headers],[#Data],[Jun-2025]])</f>
        <v>0</v>
      </c>
      <c r="AR30" s="422">
        <f>SUMIF(TAB_CS[[#Headers],[#Data],[Tri-1]],'Cessions EDDA'!$H30,TAB_CS[[#Headers],[#Data],[Jul-2025]])</f>
        <v>0</v>
      </c>
      <c r="AS30" s="422">
        <f>SUMIF(TAB_CS[[#Headers],[#Data],[Tri-1]],'Cessions EDDA'!$H30,TAB_CS[[#Headers],[#Data],[Aug-2025]])</f>
        <v>0</v>
      </c>
      <c r="AT30" s="422">
        <f>SUMIF(TAB_CS[[#Headers],[#Data],[Tri-1]],'Cessions EDDA'!$H30,TAB_CS[[#Headers],[#Data],[Sep-2025]])</f>
        <v>0</v>
      </c>
      <c r="AU30" s="422">
        <f>SUMIF(TAB_CS[[#Headers],[#Data],[Tri-1]],'Cessions EDDA'!$H30,TAB_CS[[#Headers],[#Data],[Oct-2025]])</f>
        <v>0</v>
      </c>
      <c r="AV30" s="422">
        <f>SUMIF(TAB_CS[[#Headers],[#Data],[Tri-1]],'Cessions EDDA'!$H30,TAB_CS[[#Headers],[#Data],[Nov-2025]])</f>
        <v>0</v>
      </c>
      <c r="AW30" s="422">
        <f>SUMIF(TAB_CS[[#Headers],[#Data],[Tri-1]],'Cessions EDDA'!$H30,TAB_CS[[#Headers],[#Data],[Dec-2025]])</f>
        <v>0</v>
      </c>
    </row>
    <row r="31" spans="1:49" s="442" customFormat="1" x14ac:dyDescent="0.3">
      <c r="A31" s="653"/>
      <c r="B31" s="434"/>
      <c r="C31" s="435" t="s">
        <v>5897</v>
      </c>
      <c r="D31" s="436">
        <v>689.41</v>
      </c>
      <c r="E31" s="436">
        <v>793.34</v>
      </c>
      <c r="F31" s="437">
        <f t="shared" ref="F31" si="36">(E31-D31)/E31</f>
        <v>0.13100310081427893</v>
      </c>
      <c r="G31" s="438">
        <f t="shared" ref="G31" si="37">((E31-D31)-(E31*$G$8))/E31</f>
        <v>8.1003100814278944E-2</v>
      </c>
      <c r="H31" s="438" t="str">
        <f t="shared" si="5"/>
        <v>OLLINGER, Yannick (projection)793,34</v>
      </c>
      <c r="I31" s="439" t="s">
        <v>54</v>
      </c>
      <c r="J31" s="439">
        <v>9</v>
      </c>
      <c r="K31" s="440">
        <f>SUMIF(TAB_CS[[#Headers],[#Data],[Tri-1]],'Cessions EDDA'!$H31,TAB_CS[[#Headers],[#Data],[Oct-2022]])</f>
        <v>0</v>
      </c>
      <c r="L31" s="440">
        <f>SUMIF(TAB_CS[[#Headers],[#Data],[Tri-1]],'Cessions EDDA'!$H31,TAB_CS[[#Headers],[#Data],[Nov-2022]])</f>
        <v>0</v>
      </c>
      <c r="M31" s="441">
        <f>SUMIF(TAB_CS[[#Headers],[#Data],[Tri-1]],'Cessions EDDA'!$H31,TAB_CS[[#Headers],[#Data],[Dec-2022]])</f>
        <v>0</v>
      </c>
      <c r="N31" s="441">
        <f>SUMIF(TAB_CS[[#Headers],[#Data],[Tri-1]],'Cessions EDDA'!$H31,TAB_CS[[#Headers],[#Data],[Jan-2023]])</f>
        <v>0</v>
      </c>
      <c r="O31" s="441">
        <f>SUMIF(TAB_CS[[#Headers],[#Data],[Tri-1]],'Cessions EDDA'!$H31,TAB_CS[[#Headers],[#Data],[Feb-2023]])</f>
        <v>0</v>
      </c>
      <c r="P31" s="441">
        <f>SUMIF(TAB_CS[[#Headers],[#Data],[Tri-1]],'Cessions EDDA'!$H31,TAB_CS[[#Headers],[#Data],[Mar-2023]])</f>
        <v>0</v>
      </c>
      <c r="Q31" s="440">
        <f>SUMIF(TAB_CS[[#Headers],[#Data],[Tri-1]],'Cessions EDDA'!$H31,TAB_CS[[#Headers],[#Data],[Apr-2023]])</f>
        <v>0</v>
      </c>
      <c r="R31" s="440">
        <f>SUMIF(TAB_CS[[#Headers],[#Data],[Tri-1]],'Cessions EDDA'!$H31,TAB_CS[[#Headers],[#Data],[May-2023]])</f>
        <v>0</v>
      </c>
      <c r="S31" s="440">
        <f>SUMIF(TAB_CS[[#Headers],[#Data],[Tri-1]],'Cessions EDDA'!$H31,TAB_CS[[#Headers],[#Data],[Jun-2023]])</f>
        <v>0</v>
      </c>
      <c r="T31" s="440">
        <f>SUMIF(TAB_CS[[#Headers],[#Data],[Tri-1]],'Cessions EDDA'!$H31,TAB_CS[[#Headers],[#Data],[Jul-2023]])</f>
        <v>0</v>
      </c>
      <c r="U31" s="440">
        <f>SUMIF(TAB_CS[[#Headers],[#Data],[Tri-1]],'Cessions EDDA'!$H31,TAB_CS[[#Headers],[#Data],[Aug-2023]])</f>
        <v>0</v>
      </c>
      <c r="V31" s="440">
        <f>SUMIF(TAB_CS[[#Headers],[#Data],[Tri-1]],'Cessions EDDA'!$H31,TAB_CS[[#Headers],[#Data],[Sep-2023]])</f>
        <v>0</v>
      </c>
      <c r="W31" s="440">
        <f>SUMIF(TAB_CS[[#Headers],[#Data],[Tri-1]],'Cessions EDDA'!$H31,TAB_CS[[#Headers],[#Data],[Oct-2023]])</f>
        <v>0</v>
      </c>
      <c r="X31" s="440">
        <f>SUMIF(TAB_CS[[#Headers],[#Data],[Tri-1]],'Cessions EDDA'!$H31,TAB_CS[[#Headers],[#Data],[Nov-2023]])</f>
        <v>0</v>
      </c>
      <c r="Y31" s="440">
        <f>SUMIF(TAB_CS[[#Headers],[#Data],[Tri-1]],'Cessions EDDA'!$H31,TAB_CS[[#Headers],[#Data],[Dec-2023]])</f>
        <v>0</v>
      </c>
      <c r="Z31" s="440">
        <f>SUMIF(TAB_CS[[#Headers],[#Data],[Tri-1]],'Cessions EDDA'!$H31,TAB_CS[[#Headers],[#Data],[Jan-2024]])</f>
        <v>0</v>
      </c>
      <c r="AA31" s="440">
        <f>SUMIF(TAB_CS[[#Headers],[#Data],[Tri-1]],'Cessions EDDA'!$H31,TAB_CS[[#Headers],[#Data],[Feb-2024]])</f>
        <v>0</v>
      </c>
      <c r="AB31" s="440">
        <f>SUMIF(TAB_CS[[#Headers],[#Data],[Tri-1]],'Cessions EDDA'!$H31,TAB_CS[[#Headers],[#Data],[Mar-2024]])</f>
        <v>0</v>
      </c>
      <c r="AC31" s="440">
        <f>SUMIF(TAB_CS[[#Headers],[#Data],[Tri-1]],'Cessions EDDA'!$H31,TAB_CS[[#Headers],[#Data],[Apr-2024]])</f>
        <v>0</v>
      </c>
      <c r="AD31" s="440">
        <f>SUMIF(TAB_CS[[#Headers],[#Data],[Tri-1]],'Cessions EDDA'!$H31,TAB_CS[[#Headers],[#Data],[May-2024]])</f>
        <v>0</v>
      </c>
      <c r="AE31" s="440">
        <f>SUMIF(TAB_CS[[#Headers],[#Data],[Tri-1]],'Cessions EDDA'!$H31,TAB_CS[[#Headers],[#Data],[Jun-2024]])</f>
        <v>0</v>
      </c>
      <c r="AF31" s="440">
        <f>SUMIF(TAB_CS[[#Headers],[#Data],[Tri-1]],'Cessions EDDA'!$H31,TAB_CS[[#Headers],[#Data],[Jul-2024]])</f>
        <v>0</v>
      </c>
      <c r="AG31" s="440">
        <f>SUMIF(TAB_CS[[#Headers],[#Data],[Tri-1]],'Cessions EDDA'!$H31,TAB_CS[[#Headers],[#Data],[Aug-2024]])</f>
        <v>0</v>
      </c>
      <c r="AH31" s="440">
        <f>SUMIF(TAB_CS[[#Headers],[#Data],[Tri-1]],'Cessions EDDA'!$H31,TAB_CS[[#Headers],[#Data],[Sep-2024]])</f>
        <v>0</v>
      </c>
      <c r="AI31" s="440">
        <v>0</v>
      </c>
      <c r="AJ31" s="440">
        <v>0</v>
      </c>
      <c r="AK31" s="440">
        <v>0</v>
      </c>
      <c r="AL31" s="440">
        <v>0</v>
      </c>
      <c r="AM31" s="440">
        <v>0</v>
      </c>
      <c r="AN31" s="440">
        <v>0</v>
      </c>
      <c r="AO31" s="440">
        <v>0</v>
      </c>
      <c r="AP31" s="440">
        <v>13.5</v>
      </c>
      <c r="AQ31" s="440">
        <v>18</v>
      </c>
      <c r="AR31" s="440">
        <v>18</v>
      </c>
      <c r="AS31" s="440">
        <v>18</v>
      </c>
      <c r="AT31" s="440">
        <v>18</v>
      </c>
      <c r="AU31" s="440">
        <v>18</v>
      </c>
      <c r="AV31" s="440">
        <v>18</v>
      </c>
      <c r="AW31" s="440">
        <v>18</v>
      </c>
    </row>
    <row r="32" spans="1:49" x14ac:dyDescent="0.3">
      <c r="A32" s="399"/>
      <c r="B32" s="406"/>
      <c r="C32" s="407" t="s">
        <v>290</v>
      </c>
      <c r="D32" s="402">
        <v>395</v>
      </c>
      <c r="E32" s="402">
        <v>469.41</v>
      </c>
      <c r="F32" s="403">
        <f t="shared" si="21"/>
        <v>0.15851813979250554</v>
      </c>
      <c r="G32" s="404">
        <f t="shared" si="7"/>
        <v>0.10851813979250553</v>
      </c>
      <c r="H32" s="404" t="str">
        <f t="shared" si="5"/>
        <v>TURCITU, Mihai-Alexandru 469,41</v>
      </c>
      <c r="I32" s="405" t="s">
        <v>54</v>
      </c>
      <c r="J32" s="405">
        <v>2</v>
      </c>
      <c r="K32" s="422">
        <f>SUMIF(TAB_CS[[#Headers],[#Data],[Tri-1]],'Cessions EDDA'!$H32,TAB_CS[[#Headers],[#Data],[Oct-2022]])</f>
        <v>0</v>
      </c>
      <c r="L32" s="423">
        <f>SUMIF(TAB_CS[[#Headers],[#Data],[Tri-1]],'Cessions EDDA'!$H32,TAB_CS[[#Headers],[#Data],[Nov-2022]])</f>
        <v>5.5</v>
      </c>
      <c r="M32" s="430">
        <f>SUMIF(TAB_CS[[#Headers],[#Data],[Tri-1]],'Cessions EDDA'!$H32,TAB_CS[[#Headers],[#Data],[Dec-2022]])</f>
        <v>16</v>
      </c>
      <c r="N32" s="430">
        <f>SUMIF(TAB_CS[[#Headers],[#Data],[Tri-1]],'Cessions EDDA'!$H32,TAB_CS[[#Headers],[#Data],[Jan-2023]])</f>
        <v>17</v>
      </c>
      <c r="O32" s="430">
        <f>SUMIF(TAB_CS[[#Headers],[#Data],[Tri-1]],'Cessions EDDA'!$H32,TAB_CS[[#Headers],[#Data],[Feb-2023]])</f>
        <v>18</v>
      </c>
      <c r="P32" s="430">
        <f>SUMIF(TAB_CS[[#Headers],[#Data],[Tri-1]],'Cessions EDDA'!$H32,TAB_CS[[#Headers],[#Data],[Mar-2023]])</f>
        <v>20</v>
      </c>
      <c r="Q32" s="423">
        <f>SUMIF(TAB_CS[[#Headers],[#Data],[Tri-1]],'Cessions EDDA'!$H32,TAB_CS[[#Headers],[#Data],[Apr-2023]])</f>
        <v>18</v>
      </c>
      <c r="R32" s="423">
        <f>SUMIF(TAB_CS[[#Headers],[#Data],[Tri-1]],'Cessions EDDA'!$H32,TAB_CS[[#Headers],[#Data],[May-2023]])</f>
        <v>19</v>
      </c>
      <c r="S32" s="423">
        <f>SUMIF(TAB_CS[[#Headers],[#Data],[Tri-1]],'Cessions EDDA'!$H32,TAB_CS[[#Headers],[#Data],[Jun-2023]])</f>
        <v>19</v>
      </c>
      <c r="T32" s="423">
        <f>SUMIF(TAB_CS[[#Headers],[#Data],[Tri-1]],'Cessions EDDA'!$H32,TAB_CS[[#Headers],[#Data],[Jul-2023]])</f>
        <v>20</v>
      </c>
      <c r="U32" s="423">
        <f>SUMIF(TAB_CS[[#Headers],[#Data],[Tri-1]],'Cessions EDDA'!$H32,TAB_CS[[#Headers],[#Data],[Aug-2023]])</f>
        <v>13</v>
      </c>
      <c r="V32" s="423">
        <f>SUMIF(TAB_CS[[#Headers],[#Data],[Tri-1]],'Cessions EDDA'!$H32,TAB_CS[[#Headers],[#Data],[Sep-2023]])</f>
        <v>20</v>
      </c>
      <c r="W32" s="423">
        <f>SUMIF(TAB_CS[[#Headers],[#Data],[Tri-1]],'Cessions EDDA'!$H32,TAB_CS[[#Headers],[#Data],[Oct-2023]])</f>
        <v>20</v>
      </c>
      <c r="X32" s="423">
        <f>SUMIF(TAB_CS[[#Headers],[#Data],[Tri-1]],'Cessions EDDA'!$H32,TAB_CS[[#Headers],[#Data],[Nov-2023]])</f>
        <v>21</v>
      </c>
      <c r="Y32" s="423">
        <f>SUMIF(TAB_CS[[#Headers],[#Data],[Tri-1]],'Cessions EDDA'!$H32,TAB_CS[[#Headers],[#Data],[Dec-2023]])</f>
        <v>15.5</v>
      </c>
      <c r="Z32" s="423">
        <f>SUMIF(TAB_CS[[#Headers],[#Data],[Tri-1]],'Cessions EDDA'!$H32,TAB_CS[[#Headers],[#Data],[Jan-2024]])</f>
        <v>18</v>
      </c>
      <c r="AA32" s="423">
        <f>SUMIF(TAB_CS[[#Headers],[#Data],[Tri-1]],'Cessions EDDA'!$H32,TAB_CS[[#Headers],[#Data],[Feb-2024]])</f>
        <v>21</v>
      </c>
      <c r="AB32" s="423">
        <f>SUMIF(TAB_CS[[#Headers],[#Data],[Tri-1]],'Cessions EDDA'!$H32,TAB_CS[[#Headers],[#Data],[Mar-2024]])</f>
        <v>21</v>
      </c>
      <c r="AC32" s="423">
        <f>SUMIF(TAB_CS[[#Headers],[#Data],[Tri-1]],'Cessions EDDA'!$H32,TAB_CS[[#Headers],[#Data],[Apr-2024]])</f>
        <v>19.5</v>
      </c>
      <c r="AD32" s="422">
        <f>SUMIF(TAB_CS[[#Headers],[#Data],[Tri-1]],'Cessions EDDA'!$H32,TAB_CS[[#Headers],[#Data],[May-2024]])</f>
        <v>0</v>
      </c>
      <c r="AE32" s="422">
        <f>SUMIF(TAB_CS[[#Headers],[#Data],[Tri-1]],'Cessions EDDA'!$H32,TAB_CS[[#Headers],[#Data],[Jun-2024]])</f>
        <v>0</v>
      </c>
      <c r="AF32" s="422">
        <f>SUMIF(TAB_CS[[#Headers],[#Data],[Tri-1]],'Cessions EDDA'!$H32,TAB_CS[[#Headers],[#Data],[Jul-2024]])</f>
        <v>0</v>
      </c>
      <c r="AG32" s="422">
        <f>SUMIF(TAB_CS[[#Headers],[#Data],[Tri-1]],'Cessions EDDA'!$H32,TAB_CS[[#Headers],[#Data],[Aug-2024]])</f>
        <v>0</v>
      </c>
      <c r="AH32" s="422">
        <f>SUMIF(TAB_CS[[#Headers],[#Data],[Tri-1]],'Cessions EDDA'!$H32,TAB_CS[[#Headers],[#Data],[Sep-2024]])</f>
        <v>0</v>
      </c>
      <c r="AI32" s="422">
        <f>SUMIF(TAB_CS[[#Headers],[#Data],[Tri-1]],'Cessions EDDA'!$H32,TAB_CS[[#Headers],[#Data],[Oct-2024]])</f>
        <v>0</v>
      </c>
      <c r="AJ32" s="422">
        <f>SUMIF(TAB_CS[[#Headers],[#Data],[Tri-1]],'Cessions EDDA'!$H32,TAB_CS[[#Headers],[#Data],[Nov-2024]])</f>
        <v>0</v>
      </c>
      <c r="AK32" s="422">
        <f>SUMIF(TAB_CS[[#Headers],[#Data],[Tri-1]],'Cessions EDDA'!$H32,TAB_CS[[#Headers],[#Data],[Dec-2024]])</f>
        <v>0</v>
      </c>
      <c r="AL32" s="422">
        <f>SUMIF(TAB_CS[[#Headers],[#Data],[Tri-1]],'Cessions EDDA'!$H32,TAB_CS[[#Headers],[#Data],[Jan-2025]])</f>
        <v>0</v>
      </c>
      <c r="AM32" s="422">
        <f>SUMIF(TAB_CS[[#Headers],[#Data],[Tri-1]],'Cessions EDDA'!$H32,TAB_CS[[#Headers],[#Data],[Feb-2025]])</f>
        <v>0</v>
      </c>
      <c r="AN32" s="422">
        <f>SUMIF(TAB_CS[[#Headers],[#Data],[Tri-1]],'Cessions EDDA'!$H32,TAB_CS[[#Headers],[#Data],[Mar-2025]])</f>
        <v>0</v>
      </c>
      <c r="AO32" s="422">
        <f>SUMIF(TAB_CS[[#Headers],[#Data],[Tri-1]],'Cessions EDDA'!$H32,TAB_CS[[#Headers],[#Data],[Apr-2025]])</f>
        <v>0</v>
      </c>
      <c r="AP32" s="422">
        <f>SUMIF(TAB_CS[[#Headers],[#Data],[Tri-1]],'Cessions EDDA'!$H32,TAB_CS[[#Headers],[#Data],[May-2025]])</f>
        <v>0</v>
      </c>
      <c r="AQ32" s="422">
        <f>SUMIF(TAB_CS[[#Headers],[#Data],[Tri-1]],'Cessions EDDA'!$H32,TAB_CS[[#Headers],[#Data],[Jun-2025]])</f>
        <v>0</v>
      </c>
      <c r="AR32" s="422">
        <f>SUMIF(TAB_CS[[#Headers],[#Data],[Tri-1]],'Cessions EDDA'!$H32,TAB_CS[[#Headers],[#Data],[Jul-2025]])</f>
        <v>0</v>
      </c>
      <c r="AS32" s="422">
        <f>SUMIF(TAB_CS[[#Headers],[#Data],[Tri-1]],'Cessions EDDA'!$H32,TAB_CS[[#Headers],[#Data],[Aug-2025]])</f>
        <v>0</v>
      </c>
      <c r="AT32" s="422">
        <f>SUMIF(TAB_CS[[#Headers],[#Data],[Tri-1]],'Cessions EDDA'!$H32,TAB_CS[[#Headers],[#Data],[Sep-2025]])</f>
        <v>0</v>
      </c>
      <c r="AU32" s="422">
        <f>SUMIF(TAB_CS[[#Headers],[#Data],[Tri-1]],'Cessions EDDA'!$H32,TAB_CS[[#Headers],[#Data],[Oct-2025]])</f>
        <v>0</v>
      </c>
      <c r="AV32" s="422">
        <f>SUMIF(TAB_CS[[#Headers],[#Data],[Tri-1]],'Cessions EDDA'!$H32,TAB_CS[[#Headers],[#Data],[Nov-2025]])</f>
        <v>0</v>
      </c>
      <c r="AW32" s="422">
        <f>SUMIF(TAB_CS[[#Headers],[#Data],[Tri-1]],'Cessions EDDA'!$H32,TAB_CS[[#Headers],[#Data],[Dec-2025]])</f>
        <v>0</v>
      </c>
    </row>
    <row r="33" spans="1:49" x14ac:dyDescent="0.3">
      <c r="A33" s="399"/>
      <c r="B33" s="406"/>
      <c r="C33" s="407" t="s">
        <v>290</v>
      </c>
      <c r="D33" s="402">
        <v>415.75</v>
      </c>
      <c r="E33" s="402">
        <v>494.06</v>
      </c>
      <c r="F33" s="403">
        <f t="shared" ref="F33:F35" si="38">(E33-D33)/E33</f>
        <v>0.15850301582803708</v>
      </c>
      <c r="G33" s="404">
        <f t="shared" ref="G33:G35" si="39">((E33-D33)-(E33*$G$8))/E33</f>
        <v>0.10850301582803708</v>
      </c>
      <c r="H33" s="404" t="str">
        <f t="shared" si="5"/>
        <v>TURCITU, Mihai-Alexandru 494,06</v>
      </c>
      <c r="I33" s="405" t="s">
        <v>54</v>
      </c>
      <c r="J33" s="405">
        <v>2</v>
      </c>
      <c r="K33" s="422">
        <f>SUMIF(TAB_CS[[#Headers],[#Data],[Tri-1]],'Cessions EDDA'!$H33,TAB_CS[[#Headers],[#Data],[Oct-2022]])</f>
        <v>0</v>
      </c>
      <c r="L33" s="422">
        <f>SUMIF(TAB_CS[[#Headers],[#Data],[Tri-1]],'Cessions EDDA'!$H33,TAB_CS[[#Headers],[#Data],[Nov-2022]])</f>
        <v>0</v>
      </c>
      <c r="M33" s="429">
        <f>SUMIF(TAB_CS[[#Headers],[#Data],[Tri-1]],'Cessions EDDA'!$H33,TAB_CS[[#Headers],[#Data],[Dec-2022]])</f>
        <v>0</v>
      </c>
      <c r="N33" s="429">
        <f>SUMIF(TAB_CS[[#Headers],[#Data],[Tri-1]],'Cessions EDDA'!$H33,TAB_CS[[#Headers],[#Data],[Jan-2023]])</f>
        <v>0</v>
      </c>
      <c r="O33" s="429">
        <f>SUMIF(TAB_CS[[#Headers],[#Data],[Tri-1]],'Cessions EDDA'!$H33,TAB_CS[[#Headers],[#Data],[Feb-2023]])</f>
        <v>0</v>
      </c>
      <c r="P33" s="429">
        <f>SUMIF(TAB_CS[[#Headers],[#Data],[Tri-1]],'Cessions EDDA'!$H33,TAB_CS[[#Headers],[#Data],[Mar-2023]])</f>
        <v>0</v>
      </c>
      <c r="Q33" s="422">
        <f>SUMIF(TAB_CS[[#Headers],[#Data],[Tri-1]],'Cessions EDDA'!$H33,TAB_CS[[#Headers],[#Data],[Apr-2023]])</f>
        <v>0</v>
      </c>
      <c r="R33" s="422">
        <f>SUMIF(TAB_CS[[#Headers],[#Data],[Tri-1]],'Cessions EDDA'!$H33,TAB_CS[[#Headers],[#Data],[May-2023]])</f>
        <v>0</v>
      </c>
      <c r="S33" s="422">
        <f>SUMIF(TAB_CS[[#Headers],[#Data],[Tri-1]],'Cessions EDDA'!$H33,TAB_CS[[#Headers],[#Data],[Jun-2023]])</f>
        <v>0</v>
      </c>
      <c r="T33" s="422">
        <f>SUMIF(TAB_CS[[#Headers],[#Data],[Tri-1]],'Cessions EDDA'!$H33,TAB_CS[[#Headers],[#Data],[Jul-2023]])</f>
        <v>0</v>
      </c>
      <c r="U33" s="422">
        <f>SUMIF(TAB_CS[[#Headers],[#Data],[Tri-1]],'Cessions EDDA'!$H33,TAB_CS[[#Headers],[#Data],[Aug-2023]])</f>
        <v>0</v>
      </c>
      <c r="V33" s="422">
        <f>SUMIF(TAB_CS[[#Headers],[#Data],[Tri-1]],'Cessions EDDA'!$H33,TAB_CS[[#Headers],[#Data],[Sep-2023]])</f>
        <v>0</v>
      </c>
      <c r="W33" s="422">
        <f>SUMIF(TAB_CS[[#Headers],[#Data],[Tri-1]],'Cessions EDDA'!$H33,TAB_CS[[#Headers],[#Data],[Oct-2023]])</f>
        <v>0</v>
      </c>
      <c r="X33" s="422">
        <f>SUMIF(TAB_CS[[#Headers],[#Data],[Tri-1]],'Cessions EDDA'!$H33,TAB_CS[[#Headers],[#Data],[Nov-2023]])</f>
        <v>0</v>
      </c>
      <c r="Y33" s="422">
        <f>SUMIF(TAB_CS[[#Headers],[#Data],[Tri-1]],'Cessions EDDA'!$H33,TAB_CS[[#Headers],[#Data],[Dec-2023]])</f>
        <v>0</v>
      </c>
      <c r="Z33" s="422">
        <f>SUMIF(TAB_CS[[#Headers],[#Data],[Tri-1]],'Cessions EDDA'!$H33,TAB_CS[[#Headers],[#Data],[Jan-2024]])</f>
        <v>0</v>
      </c>
      <c r="AA33" s="422">
        <f>SUMIF(TAB_CS[[#Headers],[#Data],[Tri-1]],'Cessions EDDA'!$H33,TAB_CS[[#Headers],[#Data],[Feb-2024]])</f>
        <v>0</v>
      </c>
      <c r="AB33" s="422">
        <f>SUMIF(TAB_CS[[#Headers],[#Data],[Tri-1]],'Cessions EDDA'!$H33,TAB_CS[[#Headers],[#Data],[Mar-2024]])</f>
        <v>0</v>
      </c>
      <c r="AC33" s="423">
        <f>SUMIF(TAB_CS[[#Headers],[#Data],[Tri-1]],'Cessions EDDA'!$H33,TAB_CS[[#Headers],[#Data],[Apr-2024]])</f>
        <v>0.5</v>
      </c>
      <c r="AD33" s="423">
        <f>SUMIF(TAB_CS[[#Headers],[#Data],[Tri-1]],'Cessions EDDA'!$H33,TAB_CS[[#Headers],[#Data],[May-2024]])</f>
        <v>17.5</v>
      </c>
      <c r="AE33" s="423">
        <f>SUMIF(TAB_CS[[#Headers],[#Data],[Tri-1]],'Cessions EDDA'!$H33,TAB_CS[[#Headers],[#Data],[Jun-2024]])</f>
        <v>18.5</v>
      </c>
      <c r="AF33" s="423">
        <f>SUMIF(TAB_CS[[#Headers],[#Data],[Tri-1]],'Cessions EDDA'!$H33,TAB_CS[[#Headers],[#Data],[Jul-2024]])</f>
        <v>22.5</v>
      </c>
      <c r="AG33" s="423">
        <f>SUMIF(TAB_CS[[#Headers],[#Data],[Tri-1]],'Cessions EDDA'!$H33,TAB_CS[[#Headers],[#Data],[Aug-2024]])</f>
        <v>20.5</v>
      </c>
      <c r="AH33" s="423">
        <f>SUMIF(TAB_CS[[#Headers],[#Data],[Tri-1]],'Cessions EDDA'!$H33,TAB_CS[[#Headers],[#Data],[Sep-2024]])</f>
        <v>16</v>
      </c>
      <c r="AI33" s="422">
        <f>SUMIF(TAB_CS[[#Headers],[#Data],[Tri-1]],'Cessions EDDA'!$H33,TAB_CS[[#Headers],[#Data],[Oct-2024]])</f>
        <v>14.5</v>
      </c>
      <c r="AJ33" s="422">
        <f>SUMIF(TAB_CS[[#Headers],[#Data],[Tri-1]],'Cessions EDDA'!$H33,TAB_CS[[#Headers],[#Data],[Nov-2024]])</f>
        <v>0</v>
      </c>
      <c r="AK33" s="422">
        <f>SUMIF(TAB_CS[[#Headers],[#Data],[Tri-1]],'Cessions EDDA'!$H33,TAB_CS[[#Headers],[#Data],[Dec-2024]])</f>
        <v>0</v>
      </c>
      <c r="AL33" s="422">
        <f>SUMIF(TAB_CS[[#Headers],[#Data],[Tri-1]],'Cessions EDDA'!$H33,TAB_CS[[#Headers],[#Data],[Jan-2025]])</f>
        <v>0</v>
      </c>
      <c r="AM33" s="422">
        <f>SUMIF(TAB_CS[[#Headers],[#Data],[Tri-1]],'Cessions EDDA'!$H33,TAB_CS[[#Headers],[#Data],[Feb-2025]])</f>
        <v>0</v>
      </c>
      <c r="AN33" s="422">
        <f>SUMIF(TAB_CS[[#Headers],[#Data],[Tri-1]],'Cessions EDDA'!$H33,TAB_CS[[#Headers],[#Data],[Mar-2025]])</f>
        <v>0</v>
      </c>
      <c r="AO33" s="422">
        <f>SUMIF(TAB_CS[[#Headers],[#Data],[Tri-1]],'Cessions EDDA'!$H33,TAB_CS[[#Headers],[#Data],[Apr-2025]])</f>
        <v>0</v>
      </c>
      <c r="AP33" s="422">
        <f>SUMIF(TAB_CS[[#Headers],[#Data],[Tri-1]],'Cessions EDDA'!$H33,TAB_CS[[#Headers],[#Data],[May-2025]])</f>
        <v>0</v>
      </c>
      <c r="AQ33" s="422">
        <f>SUMIF(TAB_CS[[#Headers],[#Data],[Tri-1]],'Cessions EDDA'!$H33,TAB_CS[[#Headers],[#Data],[Jun-2025]])</f>
        <v>0</v>
      </c>
      <c r="AR33" s="422">
        <f>SUMIF(TAB_CS[[#Headers],[#Data],[Tri-1]],'Cessions EDDA'!$H33,TAB_CS[[#Headers],[#Data],[Jul-2025]])</f>
        <v>0</v>
      </c>
      <c r="AS33" s="422">
        <f>SUMIF(TAB_CS[[#Headers],[#Data],[Tri-1]],'Cessions EDDA'!$H33,TAB_CS[[#Headers],[#Data],[Aug-2025]])</f>
        <v>0</v>
      </c>
      <c r="AT33" s="422">
        <f>SUMIF(TAB_CS[[#Headers],[#Data],[Tri-1]],'Cessions EDDA'!$H33,TAB_CS[[#Headers],[#Data],[Sep-2025]])</f>
        <v>0</v>
      </c>
      <c r="AU33" s="422">
        <f>SUMIF(TAB_CS[[#Headers],[#Data],[Tri-1]],'Cessions EDDA'!$H33,TAB_CS[[#Headers],[#Data],[Oct-2025]])</f>
        <v>0</v>
      </c>
      <c r="AV33" s="422">
        <f>SUMIF(TAB_CS[[#Headers],[#Data],[Tri-1]],'Cessions EDDA'!$H33,TAB_CS[[#Headers],[#Data],[Nov-2025]])</f>
        <v>0</v>
      </c>
      <c r="AW33" s="422">
        <f>SUMIF(TAB_CS[[#Headers],[#Data],[Tri-1]],'Cessions EDDA'!$H33,TAB_CS[[#Headers],[#Data],[Dec-2025]])</f>
        <v>0</v>
      </c>
    </row>
    <row r="34" spans="1:49" s="442" customFormat="1" x14ac:dyDescent="0.3">
      <c r="A34" s="653"/>
      <c r="B34" s="434"/>
      <c r="C34" s="655" t="s">
        <v>5898</v>
      </c>
      <c r="D34" s="436">
        <v>415.75</v>
      </c>
      <c r="E34" s="436">
        <v>494.06</v>
      </c>
      <c r="F34" s="437">
        <f t="shared" ref="F34" si="40">(E34-D34)/E34</f>
        <v>0.15850301582803708</v>
      </c>
      <c r="G34" s="438">
        <f t="shared" ref="G34" si="41">((E34-D34)-(E34*$G$8))/E34</f>
        <v>0.10850301582803708</v>
      </c>
      <c r="H34" s="438" t="str">
        <f t="shared" si="5"/>
        <v>TURCITU, Mihai-Alexandru (projection)494,06</v>
      </c>
      <c r="I34" s="439" t="s">
        <v>54</v>
      </c>
      <c r="J34" s="439">
        <v>2</v>
      </c>
      <c r="K34" s="440">
        <f>SUMIF(TAB_CS[[#Headers],[#Data],[Tri-1]],'Cessions EDDA'!$H34,TAB_CS[[#Headers],[#Data],[Oct-2022]])</f>
        <v>0</v>
      </c>
      <c r="L34" s="440">
        <f>SUMIF(TAB_CS[[#Headers],[#Data],[Tri-1]],'Cessions EDDA'!$H34,TAB_CS[[#Headers],[#Data],[Nov-2022]])</f>
        <v>0</v>
      </c>
      <c r="M34" s="441">
        <f>SUMIF(TAB_CS[[#Headers],[#Data],[Tri-1]],'Cessions EDDA'!$H34,TAB_CS[[#Headers],[#Data],[Dec-2022]])</f>
        <v>0</v>
      </c>
      <c r="N34" s="441">
        <f>SUMIF(TAB_CS[[#Headers],[#Data],[Tri-1]],'Cessions EDDA'!$H34,TAB_CS[[#Headers],[#Data],[Jan-2023]])</f>
        <v>0</v>
      </c>
      <c r="O34" s="441">
        <f>SUMIF(TAB_CS[[#Headers],[#Data],[Tri-1]],'Cessions EDDA'!$H34,TAB_CS[[#Headers],[#Data],[Feb-2023]])</f>
        <v>0</v>
      </c>
      <c r="P34" s="441">
        <f>SUMIF(TAB_CS[[#Headers],[#Data],[Tri-1]],'Cessions EDDA'!$H34,TAB_CS[[#Headers],[#Data],[Mar-2023]])</f>
        <v>0</v>
      </c>
      <c r="Q34" s="440">
        <f>SUMIF(TAB_CS[[#Headers],[#Data],[Tri-1]],'Cessions EDDA'!$H34,TAB_CS[[#Headers],[#Data],[Apr-2023]])</f>
        <v>0</v>
      </c>
      <c r="R34" s="440">
        <f>SUMIF(TAB_CS[[#Headers],[#Data],[Tri-1]],'Cessions EDDA'!$H34,TAB_CS[[#Headers],[#Data],[May-2023]])</f>
        <v>0</v>
      </c>
      <c r="S34" s="440">
        <f>SUMIF(TAB_CS[[#Headers],[#Data],[Tri-1]],'Cessions EDDA'!$H34,TAB_CS[[#Headers],[#Data],[Jun-2023]])</f>
        <v>0</v>
      </c>
      <c r="T34" s="440">
        <f>SUMIF(TAB_CS[[#Headers],[#Data],[Tri-1]],'Cessions EDDA'!$H34,TAB_CS[[#Headers],[#Data],[Jul-2023]])</f>
        <v>0</v>
      </c>
      <c r="U34" s="440">
        <f>SUMIF(TAB_CS[[#Headers],[#Data],[Tri-1]],'Cessions EDDA'!$H34,TAB_CS[[#Headers],[#Data],[Aug-2023]])</f>
        <v>0</v>
      </c>
      <c r="V34" s="440">
        <f>SUMIF(TAB_CS[[#Headers],[#Data],[Tri-1]],'Cessions EDDA'!$H34,TAB_CS[[#Headers],[#Data],[Sep-2023]])</f>
        <v>0</v>
      </c>
      <c r="W34" s="440">
        <f>SUMIF(TAB_CS[[#Headers],[#Data],[Tri-1]],'Cessions EDDA'!$H34,TAB_CS[[#Headers],[#Data],[Oct-2023]])</f>
        <v>0</v>
      </c>
      <c r="X34" s="440">
        <f>SUMIF(TAB_CS[[#Headers],[#Data],[Tri-1]],'Cessions EDDA'!$H34,TAB_CS[[#Headers],[#Data],[Nov-2023]])</f>
        <v>0</v>
      </c>
      <c r="Y34" s="440">
        <f>SUMIF(TAB_CS[[#Headers],[#Data],[Tri-1]],'Cessions EDDA'!$H34,TAB_CS[[#Headers],[#Data],[Dec-2023]])</f>
        <v>0</v>
      </c>
      <c r="Z34" s="440">
        <f>SUMIF(TAB_CS[[#Headers],[#Data],[Tri-1]],'Cessions EDDA'!$H34,TAB_CS[[#Headers],[#Data],[Jan-2024]])</f>
        <v>0</v>
      </c>
      <c r="AA34" s="440">
        <f>SUMIF(TAB_CS[[#Headers],[#Data],[Tri-1]],'Cessions EDDA'!$H34,TAB_CS[[#Headers],[#Data],[Feb-2024]])</f>
        <v>0</v>
      </c>
      <c r="AB34" s="440">
        <f>SUMIF(TAB_CS[[#Headers],[#Data],[Tri-1]],'Cessions EDDA'!$H34,TAB_CS[[#Headers],[#Data],[Mar-2024]])</f>
        <v>0</v>
      </c>
      <c r="AC34" s="440">
        <f>SUMIF(TAB_CS[[#Headers],[#Data],[Tri-1]],'Cessions EDDA'!$H34,TAB_CS[[#Headers],[#Data],[Apr-2024]])</f>
        <v>0</v>
      </c>
      <c r="AD34" s="440">
        <f>SUMIF(TAB_CS[[#Headers],[#Data],[Tri-1]],'Cessions EDDA'!$H34,TAB_CS[[#Headers],[#Data],[May-2024]])</f>
        <v>0</v>
      </c>
      <c r="AE34" s="440">
        <f>SUMIF(TAB_CS[[#Headers],[#Data],[Tri-1]],'Cessions EDDA'!$H34,TAB_CS[[#Headers],[#Data],[Jun-2024]])</f>
        <v>0</v>
      </c>
      <c r="AF34" s="440">
        <f>SUMIF(TAB_CS[[#Headers],[#Data],[Tri-1]],'Cessions EDDA'!$H34,TAB_CS[[#Headers],[#Data],[Jul-2024]])</f>
        <v>0</v>
      </c>
      <c r="AG34" s="440">
        <f>SUMIF(TAB_CS[[#Headers],[#Data],[Tri-1]],'Cessions EDDA'!$H34,TAB_CS[[#Headers],[#Data],[Aug-2024]])</f>
        <v>0</v>
      </c>
      <c r="AH34" s="440">
        <f>SUMIF(TAB_CS[[#Headers],[#Data],[Tri-1]],'Cessions EDDA'!$H34,TAB_CS[[#Headers],[#Data],[Sep-2024]])</f>
        <v>0</v>
      </c>
      <c r="AI34" s="656">
        <v>0</v>
      </c>
      <c r="AJ34" s="656">
        <v>0</v>
      </c>
      <c r="AK34" s="656">
        <v>0</v>
      </c>
      <c r="AL34" s="656">
        <v>0</v>
      </c>
      <c r="AM34" s="656">
        <v>0</v>
      </c>
      <c r="AN34" s="656">
        <v>0</v>
      </c>
      <c r="AO34" s="656">
        <v>0</v>
      </c>
      <c r="AP34" s="656">
        <v>0</v>
      </c>
      <c r="AQ34" s="656">
        <v>0</v>
      </c>
      <c r="AR34" s="656">
        <v>0</v>
      </c>
      <c r="AS34" s="656">
        <v>0</v>
      </c>
      <c r="AT34" s="656">
        <v>0</v>
      </c>
      <c r="AU34" s="656">
        <v>0</v>
      </c>
      <c r="AV34" s="656">
        <v>0</v>
      </c>
      <c r="AW34" s="656">
        <v>0</v>
      </c>
    </row>
    <row r="35" spans="1:49" x14ac:dyDescent="0.3">
      <c r="A35" s="399"/>
      <c r="B35" s="406"/>
      <c r="C35" s="407" t="s">
        <v>263</v>
      </c>
      <c r="D35" s="402">
        <v>630</v>
      </c>
      <c r="E35" s="402">
        <v>753.77</v>
      </c>
      <c r="F35" s="403">
        <f t="shared" si="38"/>
        <v>0.16420128155803493</v>
      </c>
      <c r="G35" s="404">
        <f t="shared" si="39"/>
        <v>0.11420128155803491</v>
      </c>
      <c r="H35" s="404" t="str">
        <f t="shared" si="5"/>
        <v>WHYE, Gregory753,77</v>
      </c>
      <c r="I35" s="405" t="s">
        <v>54</v>
      </c>
      <c r="J35" s="405">
        <v>9</v>
      </c>
      <c r="K35" s="422">
        <f>SUMIF(TAB_CS[[#Headers],[#Data],[Tri-1]],'Cessions EDDA'!$H35,TAB_CS[[#Headers],[#Data],[Oct-2022]])</f>
        <v>0</v>
      </c>
      <c r="L35" s="423">
        <f>SUMIF(TAB_CS[[#Headers],[#Data],[Tri-1]],'Cessions EDDA'!$H35,TAB_CS[[#Headers],[#Data],[Nov-2022]])</f>
        <v>6</v>
      </c>
      <c r="M35" s="430">
        <f>SUMIF(TAB_CS[[#Headers],[#Data],[Tri-1]],'Cessions EDDA'!$H35,TAB_CS[[#Headers],[#Data],[Dec-2022]])</f>
        <v>16</v>
      </c>
      <c r="N35" s="430">
        <f>SUMIF(TAB_CS[[#Headers],[#Data],[Tri-1]],'Cessions EDDA'!$H35,TAB_CS[[#Headers],[#Data],[Jan-2023]])</f>
        <v>21</v>
      </c>
      <c r="O35" s="430">
        <f>SUMIF(TAB_CS[[#Headers],[#Data],[Tri-1]],'Cessions EDDA'!$H35,TAB_CS[[#Headers],[#Data],[Feb-2023]])</f>
        <v>19.5</v>
      </c>
      <c r="P35" s="430">
        <f>SUMIF(TAB_CS[[#Headers],[#Data],[Tri-1]],'Cessions EDDA'!$H35,TAB_CS[[#Headers],[#Data],[Mar-2023]])</f>
        <v>23</v>
      </c>
      <c r="Q35" s="423">
        <f>SUMIF(TAB_CS[[#Headers],[#Data],[Tri-1]],'Cessions EDDA'!$H35,TAB_CS[[#Headers],[#Data],[Apr-2023]])</f>
        <v>17</v>
      </c>
      <c r="R35" s="423">
        <f>SUMIF(TAB_CS[[#Headers],[#Data],[Tri-1]],'Cessions EDDA'!$H35,TAB_CS[[#Headers],[#Data],[May-2023]])</f>
        <v>19</v>
      </c>
      <c r="S35" s="423">
        <f>SUMIF(TAB_CS[[#Headers],[#Data],[Tri-1]],'Cessions EDDA'!$H35,TAB_CS[[#Headers],[#Data],[Jun-2023]])</f>
        <v>20</v>
      </c>
      <c r="T35" s="423">
        <f>SUMIF(TAB_CS[[#Headers],[#Data],[Tri-1]],'Cessions EDDA'!$H35,TAB_CS[[#Headers],[#Data],[Jul-2023]])</f>
        <v>18</v>
      </c>
      <c r="U35" s="423">
        <f>SUMIF(TAB_CS[[#Headers],[#Data],[Tri-1]],'Cessions EDDA'!$H35,TAB_CS[[#Headers],[#Data],[Aug-2023]])</f>
        <v>22</v>
      </c>
      <c r="V35" s="423">
        <f>SUMIF(TAB_CS[[#Headers],[#Data],[Tri-1]],'Cessions EDDA'!$H35,TAB_CS[[#Headers],[#Data],[Sep-2023]])</f>
        <v>21</v>
      </c>
      <c r="W35" s="423">
        <f>SUMIF(TAB_CS[[#Headers],[#Data],[Tri-1]],'Cessions EDDA'!$H35,TAB_CS[[#Headers],[#Data],[Oct-2023]])</f>
        <v>22</v>
      </c>
      <c r="X35" s="423">
        <f>SUMIF(TAB_CS[[#Headers],[#Data],[Tri-1]],'Cessions EDDA'!$H35,TAB_CS[[#Headers],[#Data],[Nov-2023]])</f>
        <v>20</v>
      </c>
      <c r="Y35" s="423">
        <f>SUMIF(TAB_CS[[#Headers],[#Data],[Tri-1]],'Cessions EDDA'!$H35,TAB_CS[[#Headers],[#Data],[Dec-2023]])</f>
        <v>16</v>
      </c>
      <c r="Z35" s="423">
        <f>SUMIF(TAB_CS[[#Headers],[#Data],[Tri-1]],'Cessions EDDA'!$H35,TAB_CS[[#Headers],[#Data],[Jan-2024]])</f>
        <v>21</v>
      </c>
      <c r="AA35" s="423">
        <f>SUMIF(TAB_CS[[#Headers],[#Data],[Tri-1]],'Cessions EDDA'!$H35,TAB_CS[[#Headers],[#Data],[Feb-2024]])</f>
        <v>21</v>
      </c>
      <c r="AB35" s="423">
        <f>SUMIF(TAB_CS[[#Headers],[#Data],[Tri-1]],'Cessions EDDA'!$H35,TAB_CS[[#Headers],[#Data],[Mar-2024]])</f>
        <v>21</v>
      </c>
      <c r="AC35" s="423">
        <f>SUMIF(TAB_CS[[#Headers],[#Data],[Tri-1]],'Cessions EDDA'!$H35,TAB_CS[[#Headers],[#Data],[Apr-2024]])</f>
        <v>21</v>
      </c>
      <c r="AD35" s="423">
        <f>SUMIF(TAB_CS[[#Headers],[#Data],[Tri-1]],'Cessions EDDA'!$H35,TAB_CS[[#Headers],[#Data],[May-2024]])</f>
        <v>2.5</v>
      </c>
      <c r="AE35" s="422">
        <f>SUMIF(TAB_CS[[#Headers],[#Data],[Tri-1]],'Cessions EDDA'!$H35,TAB_CS[[#Headers],[#Data],[Jun-2024]])</f>
        <v>0</v>
      </c>
      <c r="AF35" s="422">
        <f>SUMIF(TAB_CS[[#Headers],[#Data],[Tri-1]],'Cessions EDDA'!$H35,TAB_CS[[#Headers],[#Data],[Jul-2024]])</f>
        <v>0</v>
      </c>
      <c r="AG35" s="422">
        <f>SUMIF(TAB_CS[[#Headers],[#Data],[Tri-1]],'Cessions EDDA'!$H35,TAB_CS[[#Headers],[#Data],[Aug-2024]])</f>
        <v>0</v>
      </c>
      <c r="AH35" s="422">
        <f>SUMIF(TAB_CS[[#Headers],[#Data],[Tri-1]],'Cessions EDDA'!$H35,TAB_CS[[#Headers],[#Data],[Sep-2024]])</f>
        <v>0</v>
      </c>
      <c r="AI35" s="422">
        <f>SUMIF(TAB_CS[[#Headers],[#Data],[Tri-1]],'Cessions EDDA'!$H35,TAB_CS[[#Headers],[#Data],[Oct-2024]])</f>
        <v>0</v>
      </c>
      <c r="AJ35" s="422">
        <f>SUMIF(TAB_CS[[#Headers],[#Data],[Tri-1]],'Cessions EDDA'!$H35,TAB_CS[[#Headers],[#Data],[Nov-2024]])</f>
        <v>0</v>
      </c>
      <c r="AK35" s="422">
        <f>SUMIF(TAB_CS[[#Headers],[#Data],[Tri-1]],'Cessions EDDA'!$H35,TAB_CS[[#Headers],[#Data],[Dec-2024]])</f>
        <v>0</v>
      </c>
      <c r="AL35" s="422">
        <f>SUMIF(TAB_CS[[#Headers],[#Data],[Tri-1]],'Cessions EDDA'!$H35,TAB_CS[[#Headers],[#Data],[Jan-2025]])</f>
        <v>0</v>
      </c>
      <c r="AM35" s="422">
        <f>SUMIF(TAB_CS[[#Headers],[#Data],[Tri-1]],'Cessions EDDA'!$H35,TAB_CS[[#Headers],[#Data],[Feb-2025]])</f>
        <v>0</v>
      </c>
      <c r="AN35" s="422">
        <f>SUMIF(TAB_CS[[#Headers],[#Data],[Tri-1]],'Cessions EDDA'!$H35,TAB_CS[[#Headers],[#Data],[Mar-2025]])</f>
        <v>0</v>
      </c>
      <c r="AO35" s="422">
        <f>SUMIF(TAB_CS[[#Headers],[#Data],[Tri-1]],'Cessions EDDA'!$H35,TAB_CS[[#Headers],[#Data],[Apr-2025]])</f>
        <v>0</v>
      </c>
      <c r="AP35" s="422">
        <f>SUMIF(TAB_CS[[#Headers],[#Data],[Tri-1]],'Cessions EDDA'!$H35,TAB_CS[[#Headers],[#Data],[May-2025]])</f>
        <v>0</v>
      </c>
      <c r="AQ35" s="422">
        <f>SUMIF(TAB_CS[[#Headers],[#Data],[Tri-1]],'Cessions EDDA'!$H35,TAB_CS[[#Headers],[#Data],[Jun-2025]])</f>
        <v>0</v>
      </c>
      <c r="AR35" s="422">
        <f>SUMIF(TAB_CS[[#Headers],[#Data],[Tri-1]],'Cessions EDDA'!$H35,TAB_CS[[#Headers],[#Data],[Jul-2025]])</f>
        <v>0</v>
      </c>
      <c r="AS35" s="422">
        <f>SUMIF(TAB_CS[[#Headers],[#Data],[Tri-1]],'Cessions EDDA'!$H35,TAB_CS[[#Headers],[#Data],[Aug-2025]])</f>
        <v>0</v>
      </c>
      <c r="AT35" s="422">
        <f>SUMIF(TAB_CS[[#Headers],[#Data],[Tri-1]],'Cessions EDDA'!$H35,TAB_CS[[#Headers],[#Data],[Sep-2025]])</f>
        <v>0</v>
      </c>
      <c r="AU35" s="422">
        <f>SUMIF(TAB_CS[[#Headers],[#Data],[Tri-1]],'Cessions EDDA'!$H35,TAB_CS[[#Headers],[#Data],[Oct-2025]])</f>
        <v>0</v>
      </c>
      <c r="AV35" s="422">
        <f>SUMIF(TAB_CS[[#Headers],[#Data],[Tri-1]],'Cessions EDDA'!$H35,TAB_CS[[#Headers],[#Data],[Nov-2025]])</f>
        <v>0</v>
      </c>
      <c r="AW35" s="422">
        <f>SUMIF(TAB_CS[[#Headers],[#Data],[Tri-1]],'Cessions EDDA'!$H35,TAB_CS[[#Headers],[#Data],[Dec-2025]])</f>
        <v>0</v>
      </c>
    </row>
    <row r="36" spans="1:49" x14ac:dyDescent="0.3">
      <c r="A36" s="399"/>
      <c r="B36" s="406"/>
      <c r="C36" s="407" t="s">
        <v>263</v>
      </c>
      <c r="D36" s="402">
        <v>663</v>
      </c>
      <c r="E36" s="402">
        <v>793.34</v>
      </c>
      <c r="F36" s="403">
        <f t="shared" si="21"/>
        <v>0.16429273703582326</v>
      </c>
      <c r="G36" s="404">
        <f t="shared" si="7"/>
        <v>0.11429273703582327</v>
      </c>
      <c r="H36" s="404" t="str">
        <f t="shared" si="5"/>
        <v>WHYE, Gregory793,34</v>
      </c>
      <c r="I36" s="405" t="s">
        <v>54</v>
      </c>
      <c r="J36" s="405">
        <v>9</v>
      </c>
      <c r="K36" s="422">
        <f>SUMIF(TAB_CS[[#Headers],[#Data],[Tri-1]],'Cessions EDDA'!$H36,TAB_CS[[#Headers],[#Data],[Oct-2022]])</f>
        <v>0</v>
      </c>
      <c r="L36" s="422">
        <f>SUMIF(TAB_CS[[#Headers],[#Data],[Tri-1]],'Cessions EDDA'!$H36,TAB_CS[[#Headers],[#Data],[Nov-2022]])</f>
        <v>0</v>
      </c>
      <c r="M36" s="429">
        <f>SUMIF(TAB_CS[[#Headers],[#Data],[Tri-1]],'Cessions EDDA'!$H36,TAB_CS[[#Headers],[#Data],[Dec-2022]])</f>
        <v>0</v>
      </c>
      <c r="N36" s="429">
        <f>SUMIF(TAB_CS[[#Headers],[#Data],[Tri-1]],'Cessions EDDA'!$H36,TAB_CS[[#Headers],[#Data],[Jan-2023]])</f>
        <v>0</v>
      </c>
      <c r="O36" s="429">
        <f>SUMIF(TAB_CS[[#Headers],[#Data],[Tri-1]],'Cessions EDDA'!$H36,TAB_CS[[#Headers],[#Data],[Feb-2023]])</f>
        <v>0</v>
      </c>
      <c r="P36" s="429">
        <f>SUMIF(TAB_CS[[#Headers],[#Data],[Tri-1]],'Cessions EDDA'!$H36,TAB_CS[[#Headers],[#Data],[Mar-2023]])</f>
        <v>0</v>
      </c>
      <c r="Q36" s="422">
        <f>SUMIF(TAB_CS[[#Headers],[#Data],[Tri-1]],'Cessions EDDA'!$H36,TAB_CS[[#Headers],[#Data],[Apr-2023]])</f>
        <v>0</v>
      </c>
      <c r="R36" s="422">
        <f>SUMIF(TAB_CS[[#Headers],[#Data],[Tri-1]],'Cessions EDDA'!$H36,TAB_CS[[#Headers],[#Data],[May-2023]])</f>
        <v>0</v>
      </c>
      <c r="S36" s="422">
        <f>SUMIF(TAB_CS[[#Headers],[#Data],[Tri-1]],'Cessions EDDA'!$H36,TAB_CS[[#Headers],[#Data],[Jun-2023]])</f>
        <v>0</v>
      </c>
      <c r="T36" s="422">
        <f>SUMIF(TAB_CS[[#Headers],[#Data],[Tri-1]],'Cessions EDDA'!$H36,TAB_CS[[#Headers],[#Data],[Jul-2023]])</f>
        <v>0</v>
      </c>
      <c r="U36" s="422">
        <f>SUMIF(TAB_CS[[#Headers],[#Data],[Tri-1]],'Cessions EDDA'!$H36,TAB_CS[[#Headers],[#Data],[Aug-2023]])</f>
        <v>0</v>
      </c>
      <c r="V36" s="422">
        <f>SUMIF(TAB_CS[[#Headers],[#Data],[Tri-1]],'Cessions EDDA'!$H36,TAB_CS[[#Headers],[#Data],[Sep-2023]])</f>
        <v>0</v>
      </c>
      <c r="W36" s="422">
        <f>SUMIF(TAB_CS[[#Headers],[#Data],[Tri-1]],'Cessions EDDA'!$H36,TAB_CS[[#Headers],[#Data],[Oct-2023]])</f>
        <v>0</v>
      </c>
      <c r="X36" s="422">
        <f>SUMIF(TAB_CS[[#Headers],[#Data],[Tri-1]],'Cessions EDDA'!$H36,TAB_CS[[#Headers],[#Data],[Nov-2023]])</f>
        <v>0</v>
      </c>
      <c r="Y36" s="422">
        <f>SUMIF(TAB_CS[[#Headers],[#Data],[Tri-1]],'Cessions EDDA'!$H36,TAB_CS[[#Headers],[#Data],[Dec-2023]])</f>
        <v>0</v>
      </c>
      <c r="Z36" s="422">
        <f>SUMIF(TAB_CS[[#Headers],[#Data],[Tri-1]],'Cessions EDDA'!$H36,TAB_CS[[#Headers],[#Data],[Jan-2024]])</f>
        <v>0</v>
      </c>
      <c r="AA36" s="422">
        <f>SUMIF(TAB_CS[[#Headers],[#Data],[Tri-1]],'Cessions EDDA'!$H36,TAB_CS[[#Headers],[#Data],[Feb-2024]])</f>
        <v>0</v>
      </c>
      <c r="AB36" s="422">
        <f>SUMIF(TAB_CS[[#Headers],[#Data],[Tri-1]],'Cessions EDDA'!$H36,TAB_CS[[#Headers],[#Data],[Mar-2024]])</f>
        <v>0</v>
      </c>
      <c r="AC36" s="422">
        <f>SUMIF(TAB_CS[[#Headers],[#Data],[Tri-1]],'Cessions EDDA'!$H36,TAB_CS[[#Headers],[#Data],[Apr-2024]])</f>
        <v>0</v>
      </c>
      <c r="AD36" s="423">
        <f>SUMIF(TAB_CS[[#Headers],[#Data],[Tri-1]],'Cessions EDDA'!$H36,TAB_CS[[#Headers],[#Data],[May-2024]])</f>
        <v>16.5</v>
      </c>
      <c r="AE36" s="423">
        <f>SUMIF(TAB_CS[[#Headers],[#Data],[Tri-1]],'Cessions EDDA'!$H36,TAB_CS[[#Headers],[#Data],[Jun-2024]])</f>
        <v>19</v>
      </c>
      <c r="AF36" s="423">
        <f>SUMIF(TAB_CS[[#Headers],[#Data],[Tri-1]],'Cessions EDDA'!$H36,TAB_CS[[#Headers],[#Data],[Jul-2024]])</f>
        <v>20</v>
      </c>
      <c r="AG36" s="423">
        <f>SUMIF(TAB_CS[[#Headers],[#Data],[Tri-1]],'Cessions EDDA'!$H36,TAB_CS[[#Headers],[#Data],[Aug-2024]])</f>
        <v>21</v>
      </c>
      <c r="AH36" s="423">
        <f>SUMIF(TAB_CS[[#Headers],[#Data],[Tri-1]],'Cessions EDDA'!$H36,TAB_CS[[#Headers],[#Data],[Sep-2024]])</f>
        <v>21</v>
      </c>
      <c r="AI36" s="422">
        <f>SUMIF(TAB_CS[[#Headers],[#Data],[Tri-1]],'Cessions EDDA'!$H36,TAB_CS[[#Headers],[#Data],[Oct-2024]])</f>
        <v>23</v>
      </c>
      <c r="AJ36" s="422">
        <f>SUMIF(TAB_CS[[#Headers],[#Data],[Tri-1]],'Cessions EDDA'!$H36,TAB_CS[[#Headers],[#Data],[Nov-2024]])</f>
        <v>17.5</v>
      </c>
      <c r="AK36" s="422">
        <f>SUMIF(TAB_CS[[#Headers],[#Data],[Tri-1]],'Cessions EDDA'!$H36,TAB_CS[[#Headers],[#Data],[Dec-2024]])</f>
        <v>18</v>
      </c>
      <c r="AL36" s="422">
        <f>SUMIF(TAB_CS[[#Headers],[#Data],[Tri-1]],'Cessions EDDA'!$H36,TAB_CS[[#Headers],[#Data],[Jan-2025]])</f>
        <v>18</v>
      </c>
      <c r="AM36" s="422">
        <f>SUMIF(TAB_CS[[#Headers],[#Data],[Tri-1]],'Cessions EDDA'!$H36,TAB_CS[[#Headers],[#Data],[Feb-2025]])</f>
        <v>18</v>
      </c>
      <c r="AN36" s="422">
        <f>SUMIF(TAB_CS[[#Headers],[#Data],[Tri-1]],'Cessions EDDA'!$H36,TAB_CS[[#Headers],[#Data],[Mar-2025]])</f>
        <v>18</v>
      </c>
      <c r="AO36" s="422">
        <f>SUMIF(TAB_CS[[#Headers],[#Data],[Tri-1]],'Cessions EDDA'!$H36,TAB_CS[[#Headers],[#Data],[Apr-2025]])</f>
        <v>0</v>
      </c>
      <c r="AP36" s="422">
        <f>SUMIF(TAB_CS[[#Headers],[#Data],[Tri-1]],'Cessions EDDA'!$H36,TAB_CS[[#Headers],[#Data],[May-2025]])</f>
        <v>0</v>
      </c>
      <c r="AQ36" s="422">
        <f>SUMIF(TAB_CS[[#Headers],[#Data],[Tri-1]],'Cessions EDDA'!$H36,TAB_CS[[#Headers],[#Data],[Jun-2025]])</f>
        <v>0</v>
      </c>
      <c r="AR36" s="422">
        <f>SUMIF(TAB_CS[[#Headers],[#Data],[Tri-1]],'Cessions EDDA'!$H36,TAB_CS[[#Headers],[#Data],[Jul-2025]])</f>
        <v>0</v>
      </c>
      <c r="AS36" s="422">
        <f>SUMIF(TAB_CS[[#Headers],[#Data],[Tri-1]],'Cessions EDDA'!$H36,TAB_CS[[#Headers],[#Data],[Aug-2025]])</f>
        <v>0</v>
      </c>
      <c r="AT36" s="422">
        <f>SUMIF(TAB_CS[[#Headers],[#Data],[Tri-1]],'Cessions EDDA'!$H36,TAB_CS[[#Headers],[#Data],[Sep-2025]])</f>
        <v>0</v>
      </c>
      <c r="AU36" s="422">
        <f>SUMIF(TAB_CS[[#Headers],[#Data],[Tri-1]],'Cessions EDDA'!$H36,TAB_CS[[#Headers],[#Data],[Oct-2025]])</f>
        <v>0</v>
      </c>
      <c r="AV36" s="422">
        <f>SUMIF(TAB_CS[[#Headers],[#Data],[Tri-1]],'Cessions EDDA'!$H36,TAB_CS[[#Headers],[#Data],[Nov-2025]])</f>
        <v>0</v>
      </c>
      <c r="AW36" s="422">
        <f>SUMIF(TAB_CS[[#Headers],[#Data],[Tri-1]],'Cessions EDDA'!$H36,TAB_CS[[#Headers],[#Data],[Dec-2025]])</f>
        <v>0</v>
      </c>
    </row>
    <row r="37" spans="1:49" s="442" customFormat="1" x14ac:dyDescent="0.3">
      <c r="A37" s="653"/>
      <c r="B37" s="434"/>
      <c r="C37" s="435" t="s">
        <v>5899</v>
      </c>
      <c r="D37" s="436">
        <v>663</v>
      </c>
      <c r="E37" s="436">
        <v>793.34</v>
      </c>
      <c r="F37" s="437">
        <f t="shared" ref="F37" si="42">(E37-D37)/E37</f>
        <v>0.16429273703582326</v>
      </c>
      <c r="G37" s="438">
        <f t="shared" ref="G37" si="43">((E37-D37)-(E37*$G$8))/E37</f>
        <v>0.11429273703582327</v>
      </c>
      <c r="H37" s="438" t="str">
        <f t="shared" si="5"/>
        <v>WHYE, Gregory (projection)793,34</v>
      </c>
      <c r="I37" s="439" t="s">
        <v>54</v>
      </c>
      <c r="J37" s="439">
        <v>9</v>
      </c>
      <c r="K37" s="440">
        <f>SUMIF(TAB_CS[[#Headers],[#Data],[Tri-1]],'Cessions EDDA'!$H37,TAB_CS[[#Headers],[#Data],[Oct-2022]])</f>
        <v>0</v>
      </c>
      <c r="L37" s="440">
        <f>SUMIF(TAB_CS[[#Headers],[#Data],[Tri-1]],'Cessions EDDA'!$H37,TAB_CS[[#Headers],[#Data],[Nov-2022]])</f>
        <v>0</v>
      </c>
      <c r="M37" s="441">
        <f>SUMIF(TAB_CS[[#Headers],[#Data],[Tri-1]],'Cessions EDDA'!$H37,TAB_CS[[#Headers],[#Data],[Dec-2022]])</f>
        <v>0</v>
      </c>
      <c r="N37" s="441">
        <f>SUMIF(TAB_CS[[#Headers],[#Data],[Tri-1]],'Cessions EDDA'!$H37,TAB_CS[[#Headers],[#Data],[Jan-2023]])</f>
        <v>0</v>
      </c>
      <c r="O37" s="441">
        <f>SUMIF(TAB_CS[[#Headers],[#Data],[Tri-1]],'Cessions EDDA'!$H37,TAB_CS[[#Headers],[#Data],[Feb-2023]])</f>
        <v>0</v>
      </c>
      <c r="P37" s="441">
        <f>SUMIF(TAB_CS[[#Headers],[#Data],[Tri-1]],'Cessions EDDA'!$H37,TAB_CS[[#Headers],[#Data],[Mar-2023]])</f>
        <v>0</v>
      </c>
      <c r="Q37" s="440">
        <f>SUMIF(TAB_CS[[#Headers],[#Data],[Tri-1]],'Cessions EDDA'!$H37,TAB_CS[[#Headers],[#Data],[Apr-2023]])</f>
        <v>0</v>
      </c>
      <c r="R37" s="440">
        <f>SUMIF(TAB_CS[[#Headers],[#Data],[Tri-1]],'Cessions EDDA'!$H37,TAB_CS[[#Headers],[#Data],[May-2023]])</f>
        <v>0</v>
      </c>
      <c r="S37" s="440">
        <f>SUMIF(TAB_CS[[#Headers],[#Data],[Tri-1]],'Cessions EDDA'!$H37,TAB_CS[[#Headers],[#Data],[Jun-2023]])</f>
        <v>0</v>
      </c>
      <c r="T37" s="440">
        <f>SUMIF(TAB_CS[[#Headers],[#Data],[Tri-1]],'Cessions EDDA'!$H37,TAB_CS[[#Headers],[#Data],[Jul-2023]])</f>
        <v>0</v>
      </c>
      <c r="U37" s="440">
        <f>SUMIF(TAB_CS[[#Headers],[#Data],[Tri-1]],'Cessions EDDA'!$H37,TAB_CS[[#Headers],[#Data],[Aug-2023]])</f>
        <v>0</v>
      </c>
      <c r="V37" s="440">
        <f>SUMIF(TAB_CS[[#Headers],[#Data],[Tri-1]],'Cessions EDDA'!$H37,TAB_CS[[#Headers],[#Data],[Sep-2023]])</f>
        <v>0</v>
      </c>
      <c r="W37" s="440">
        <f>SUMIF(TAB_CS[[#Headers],[#Data],[Tri-1]],'Cessions EDDA'!$H37,TAB_CS[[#Headers],[#Data],[Oct-2023]])</f>
        <v>0</v>
      </c>
      <c r="X37" s="440">
        <f>SUMIF(TAB_CS[[#Headers],[#Data],[Tri-1]],'Cessions EDDA'!$H37,TAB_CS[[#Headers],[#Data],[Nov-2023]])</f>
        <v>0</v>
      </c>
      <c r="Y37" s="440">
        <f>SUMIF(TAB_CS[[#Headers],[#Data],[Tri-1]],'Cessions EDDA'!$H37,TAB_CS[[#Headers],[#Data],[Dec-2023]])</f>
        <v>0</v>
      </c>
      <c r="Z37" s="440">
        <f>SUMIF(TAB_CS[[#Headers],[#Data],[Tri-1]],'Cessions EDDA'!$H37,TAB_CS[[#Headers],[#Data],[Jan-2024]])</f>
        <v>0</v>
      </c>
      <c r="AA37" s="440">
        <f>SUMIF(TAB_CS[[#Headers],[#Data],[Tri-1]],'Cessions EDDA'!$H37,TAB_CS[[#Headers],[#Data],[Feb-2024]])</f>
        <v>0</v>
      </c>
      <c r="AB37" s="440">
        <f>SUMIF(TAB_CS[[#Headers],[#Data],[Tri-1]],'Cessions EDDA'!$H37,TAB_CS[[#Headers],[#Data],[Mar-2024]])</f>
        <v>0</v>
      </c>
      <c r="AC37" s="440">
        <f>SUMIF(TAB_CS[[#Headers],[#Data],[Tri-1]],'Cessions EDDA'!$H37,TAB_CS[[#Headers],[#Data],[Apr-2024]])</f>
        <v>0</v>
      </c>
      <c r="AD37" s="440">
        <f>SUMIF(TAB_CS[[#Headers],[#Data],[Tri-1]],'Cessions EDDA'!$H37,TAB_CS[[#Headers],[#Data],[May-2024]])</f>
        <v>0</v>
      </c>
      <c r="AE37" s="440">
        <f>SUMIF(TAB_CS[[#Headers],[#Data],[Tri-1]],'Cessions EDDA'!$H37,TAB_CS[[#Headers],[#Data],[Jun-2024]])</f>
        <v>0</v>
      </c>
      <c r="AF37" s="440">
        <f>SUMIF(TAB_CS[[#Headers],[#Data],[Tri-1]],'Cessions EDDA'!$H37,TAB_CS[[#Headers],[#Data],[Jul-2024]])</f>
        <v>0</v>
      </c>
      <c r="AG37" s="440">
        <f>SUMIF(TAB_CS[[#Headers],[#Data],[Tri-1]],'Cessions EDDA'!$H37,TAB_CS[[#Headers],[#Data],[Aug-2024]])</f>
        <v>0</v>
      </c>
      <c r="AH37" s="440">
        <f>SUMIF(TAB_CS[[#Headers],[#Data],[Tri-1]],'Cessions EDDA'!$H37,TAB_CS[[#Headers],[#Data],[Sep-2024]])</f>
        <v>0</v>
      </c>
      <c r="AI37" s="440">
        <f>SUMIF(TAB_CS[[#Headers],[#Data],[Tri-1]],'Cessions EDDA'!$H37,TAB_CS[[#Headers],[#Data],[Oct-2024]])</f>
        <v>0</v>
      </c>
      <c r="AJ37" s="440">
        <v>0</v>
      </c>
      <c r="AK37" s="440">
        <v>0</v>
      </c>
      <c r="AL37" s="440">
        <v>0</v>
      </c>
      <c r="AM37" s="440">
        <v>0</v>
      </c>
      <c r="AN37" s="440">
        <v>0</v>
      </c>
      <c r="AO37" s="440">
        <v>18</v>
      </c>
      <c r="AP37" s="440">
        <v>18</v>
      </c>
      <c r="AQ37" s="440">
        <v>18</v>
      </c>
      <c r="AR37" s="440">
        <v>18</v>
      </c>
      <c r="AS37" s="440">
        <v>18</v>
      </c>
      <c r="AT37" s="440">
        <v>18</v>
      </c>
      <c r="AU37" s="440">
        <v>18</v>
      </c>
      <c r="AV37" s="440">
        <v>18</v>
      </c>
      <c r="AW37" s="440">
        <v>18</v>
      </c>
    </row>
    <row r="38" spans="1:49" s="442" customFormat="1" x14ac:dyDescent="0.3">
      <c r="A38" s="653"/>
      <c r="B38" s="434"/>
      <c r="C38" s="407" t="s">
        <v>6087</v>
      </c>
      <c r="D38" s="402">
        <v>720</v>
      </c>
      <c r="E38" s="402">
        <v>910.99</v>
      </c>
      <c r="F38" s="628">
        <f t="shared" ref="F38:F40" si="44">(E38-D38)/E38</f>
        <v>0.20965103897957169</v>
      </c>
      <c r="G38" s="629">
        <f t="shared" ref="G38:G40" si="45">((E38-D38)-(E38*$G$8))/E38</f>
        <v>0.1596510389795717</v>
      </c>
      <c r="H38" s="438" t="str">
        <f t="shared" si="5"/>
        <v>MUNTEANU Gabriela Alina910,99</v>
      </c>
      <c r="I38" s="405" t="s">
        <v>79</v>
      </c>
      <c r="J38" s="405">
        <v>10</v>
      </c>
      <c r="K38" s="422">
        <f>SUMIF(TAB_CS[[#Headers],[#Data],[Tri-1]],'Cessions EDDA'!$H38,TAB_CS[[#Headers],[#Data],[Oct-2022]])</f>
        <v>0</v>
      </c>
      <c r="L38" s="422">
        <f>SUMIF(TAB_CS[[#Headers],[#Data],[Tri-1]],'Cessions EDDA'!$H38,TAB_CS[[#Headers],[#Data],[Nov-2022]])</f>
        <v>0</v>
      </c>
      <c r="M38" s="429">
        <f>SUMIF(TAB_CS[[#Headers],[#Data],[Tri-1]],'Cessions EDDA'!$H38,TAB_CS[[#Headers],[#Data],[Dec-2022]])</f>
        <v>0</v>
      </c>
      <c r="N38" s="429">
        <f>SUMIF(TAB_CS[[#Headers],[#Data],[Tri-1]],'Cessions EDDA'!$H38,TAB_CS[[#Headers],[#Data],[Jan-2023]])</f>
        <v>0</v>
      </c>
      <c r="O38" s="429">
        <f>SUMIF(TAB_CS[[#Headers],[#Data],[Tri-1]],'Cessions EDDA'!$H38,TAB_CS[[#Headers],[#Data],[Feb-2023]])</f>
        <v>0</v>
      </c>
      <c r="P38" s="429">
        <f>SUMIF(TAB_CS[[#Headers],[#Data],[Tri-1]],'Cessions EDDA'!$H38,TAB_CS[[#Headers],[#Data],[Mar-2023]])</f>
        <v>0</v>
      </c>
      <c r="Q38" s="422">
        <f>SUMIF(TAB_CS[[#Headers],[#Data],[Tri-1]],'Cessions EDDA'!$H38,TAB_CS[[#Headers],[#Data],[Apr-2023]])</f>
        <v>0</v>
      </c>
      <c r="R38" s="422">
        <f>SUMIF(TAB_CS[[#Headers],[#Data],[Tri-1]],'Cessions EDDA'!$H38,TAB_CS[[#Headers],[#Data],[May-2023]])</f>
        <v>0</v>
      </c>
      <c r="S38" s="422">
        <f>SUMIF(TAB_CS[[#Headers],[#Data],[Tri-1]],'Cessions EDDA'!$H38,TAB_CS[[#Headers],[#Data],[Jun-2023]])</f>
        <v>0</v>
      </c>
      <c r="T38" s="422">
        <f>SUMIF(TAB_CS[[#Headers],[#Data],[Tri-1]],'Cessions EDDA'!$H38,TAB_CS[[#Headers],[#Data],[Jul-2023]])</f>
        <v>0</v>
      </c>
      <c r="U38" s="422">
        <f>SUMIF(TAB_CS[[#Headers],[#Data],[Tri-1]],'Cessions EDDA'!$H38,TAB_CS[[#Headers],[#Data],[Aug-2023]])</f>
        <v>0</v>
      </c>
      <c r="V38" s="422">
        <f>SUMIF(TAB_CS[[#Headers],[#Data],[Tri-1]],'Cessions EDDA'!$H38,TAB_CS[[#Headers],[#Data],[Sep-2023]])</f>
        <v>0</v>
      </c>
      <c r="W38" s="422">
        <f>SUMIF(TAB_CS[[#Headers],[#Data],[Tri-1]],'Cessions EDDA'!$H38,TAB_CS[[#Headers],[#Data],[Oct-2023]])</f>
        <v>0</v>
      </c>
      <c r="X38" s="422">
        <f>SUMIF(TAB_CS[[#Headers],[#Data],[Tri-1]],'Cessions EDDA'!$H38,TAB_CS[[#Headers],[#Data],[Nov-2023]])</f>
        <v>0</v>
      </c>
      <c r="Y38" s="422">
        <f>SUMIF(TAB_CS[[#Headers],[#Data],[Tri-1]],'Cessions EDDA'!$H38,TAB_CS[[#Headers],[#Data],[Dec-2023]])</f>
        <v>0</v>
      </c>
      <c r="Z38" s="422">
        <f>SUMIF(TAB_CS[[#Headers],[#Data],[Tri-1]],'Cessions EDDA'!$H38,TAB_CS[[#Headers],[#Data],[Jan-2024]])</f>
        <v>0</v>
      </c>
      <c r="AA38" s="422">
        <f>SUMIF(TAB_CS[[#Headers],[#Data],[Tri-1]],'Cessions EDDA'!$H38,TAB_CS[[#Headers],[#Data],[Feb-2024]])</f>
        <v>0</v>
      </c>
      <c r="AB38" s="422">
        <f>SUMIF(TAB_CS[[#Headers],[#Data],[Tri-1]],'Cessions EDDA'!$H38,TAB_CS[[#Headers],[#Data],[Mar-2024]])</f>
        <v>0</v>
      </c>
      <c r="AC38" s="422">
        <f>SUMIF(TAB_CS[[#Headers],[#Data],[Tri-1]],'Cessions EDDA'!$H38,TAB_CS[[#Headers],[#Data],[Apr-2024]])</f>
        <v>0</v>
      </c>
      <c r="AD38" s="422">
        <f>SUMIF(TAB_CS[[#Headers],[#Data],[Tri-1]],'Cessions EDDA'!$H38,TAB_CS[[#Headers],[#Data],[May-2024]])</f>
        <v>0</v>
      </c>
      <c r="AE38" s="422">
        <f>SUMIF(TAB_CS[[#Headers],[#Data],[Tri-1]],'Cessions EDDA'!$H38,TAB_CS[[#Headers],[#Data],[Jun-2024]])</f>
        <v>0</v>
      </c>
      <c r="AF38" s="422">
        <f>SUMIF(TAB_CS[[#Headers],[#Data],[Tri-1]],'Cessions EDDA'!$H38,TAB_CS[[#Headers],[#Data],[Jul-2024]])</f>
        <v>0</v>
      </c>
      <c r="AG38" s="422">
        <f>SUMIF(TAB_CS[[#Headers],[#Data],[Tri-1]],'Cessions EDDA'!$H38,TAB_CS[[#Headers],[#Data],[Aug-2024]])</f>
        <v>0</v>
      </c>
      <c r="AH38" s="422">
        <f>SUMIF(TAB_CS[[#Headers],[#Data],[Tri-1]],'Cessions EDDA'!$H38,TAB_CS[[#Headers],[#Data],[Sep-2024]])</f>
        <v>0</v>
      </c>
      <c r="AI38" s="422">
        <f>SUMIF(TAB_CS[[#Headers],[#Data],[Tri-1]],'Cessions EDDA'!$H38,TAB_CS[[#Headers],[#Data],[Oct-2024]])</f>
        <v>18.5</v>
      </c>
      <c r="AJ38" s="422">
        <f>SUMIF(TAB_CS[[#Headers],[#Data],[Tri-1]],'Cessions EDDA'!$H38,TAB_CS[[#Headers],[#Data],[Nov-2024]])</f>
        <v>18</v>
      </c>
      <c r="AK38" s="422">
        <f>SUMIF(TAB_CS[[#Headers],[#Data],[Tri-1]],'Cessions EDDA'!$H38,TAB_CS[[#Headers],[#Data],[Dec-2024]])</f>
        <v>18</v>
      </c>
      <c r="AL38" s="422">
        <f>SUMIF(TAB_CS[[#Headers],[#Data],[Tri-1]],'Cessions EDDA'!$H38,TAB_CS[[#Headers],[#Data],[Jan-2025]])</f>
        <v>18</v>
      </c>
      <c r="AM38" s="422">
        <f>SUMIF(TAB_CS[[#Headers],[#Data],[Tri-1]],'Cessions EDDA'!$H38,TAB_CS[[#Headers],[#Data],[Feb-2025]])</f>
        <v>18</v>
      </c>
      <c r="AN38" s="422">
        <f>SUMIF(TAB_CS[[#Headers],[#Data],[Tri-1]],'Cessions EDDA'!$H38,TAB_CS[[#Headers],[#Data],[Mar-2025]])</f>
        <v>18</v>
      </c>
      <c r="AO38" s="422">
        <f>SUMIF(TAB_CS[[#Headers],[#Data],[Tri-1]],'Cessions EDDA'!$H38,TAB_CS[[#Headers],[#Data],[Apr-2025]])</f>
        <v>18</v>
      </c>
      <c r="AP38" s="422">
        <f>SUMIF(TAB_CS[[#Headers],[#Data],[Tri-1]],'Cessions EDDA'!$H38,TAB_CS[[#Headers],[#Data],[May-2025]])</f>
        <v>9</v>
      </c>
      <c r="AQ38" s="422">
        <f>SUMIF(TAB_CS[[#Headers],[#Data],[Tri-1]],'Cessions EDDA'!$H38,TAB_CS[[#Headers],[#Data],[Jun-2025]])</f>
        <v>0</v>
      </c>
      <c r="AR38" s="422">
        <f>SUMIF(TAB_CS[[#Headers],[#Data],[Tri-1]],'Cessions EDDA'!$H38,TAB_CS[[#Headers],[#Data],[Jul-2025]])</f>
        <v>0</v>
      </c>
      <c r="AS38" s="422">
        <f>SUMIF(TAB_CS[[#Headers],[#Data],[Tri-1]],'Cessions EDDA'!$H38,TAB_CS[[#Headers],[#Data],[Aug-2025]])</f>
        <v>0</v>
      </c>
      <c r="AT38" s="422">
        <f>SUMIF(TAB_CS[[#Headers],[#Data],[Tri-1]],'Cessions EDDA'!$H38,TAB_CS[[#Headers],[#Data],[Sep-2025]])</f>
        <v>0</v>
      </c>
      <c r="AU38" s="422">
        <f>SUMIF(TAB_CS[[#Headers],[#Data],[Tri-1]],'Cessions EDDA'!$H38,TAB_CS[[#Headers],[#Data],[Oct-2025]])</f>
        <v>0</v>
      </c>
      <c r="AV38" s="422">
        <f>SUMIF(TAB_CS[[#Headers],[#Data],[Tri-1]],'Cessions EDDA'!$H38,TAB_CS[[#Headers],[#Data],[Nov-2025]])</f>
        <v>0</v>
      </c>
      <c r="AW38" s="422">
        <f>SUMIF(TAB_CS[[#Headers],[#Data],[Tri-1]],'Cessions EDDA'!$H38,TAB_CS[[#Headers],[#Data],[Dec-2025]])</f>
        <v>0</v>
      </c>
    </row>
    <row r="39" spans="1:49" s="442" customFormat="1" x14ac:dyDescent="0.3">
      <c r="A39" s="653"/>
      <c r="B39" s="434"/>
      <c r="C39" s="407" t="s">
        <v>6087</v>
      </c>
      <c r="D39" s="402">
        <v>730</v>
      </c>
      <c r="E39" s="402">
        <v>934.37</v>
      </c>
      <c r="F39" s="628">
        <f t="shared" ref="F39" si="46">(E39-D39)/E39</f>
        <v>0.21872491625373247</v>
      </c>
      <c r="G39" s="629">
        <f t="shared" ref="G39" si="47">((E39-D39)-(E39*$G$8))/E39</f>
        <v>0.16872491625373245</v>
      </c>
      <c r="H39" s="438" t="str">
        <f t="shared" ref="H39" si="48">_xlfn.CONCAT(C39,E39)</f>
        <v>MUNTEANU Gabriela Alina934,37</v>
      </c>
      <c r="I39" s="405" t="s">
        <v>79</v>
      </c>
      <c r="J39" s="405">
        <v>10</v>
      </c>
      <c r="K39" s="422">
        <f>SUMIF(TAB_CS[[#Headers],[#Data],[Tri-1]],'Cessions EDDA'!$H39,TAB_CS[[#Headers],[#Data],[Oct-2022]])</f>
        <v>0</v>
      </c>
      <c r="L39" s="422">
        <f>SUMIF(TAB_CS[[#Headers],[#Data],[Tri-1]],'Cessions EDDA'!$H39,TAB_CS[[#Headers],[#Data],[Nov-2022]])</f>
        <v>0</v>
      </c>
      <c r="M39" s="429">
        <f>SUMIF(TAB_CS[[#Headers],[#Data],[Tri-1]],'Cessions EDDA'!$H39,TAB_CS[[#Headers],[#Data],[Dec-2022]])</f>
        <v>0</v>
      </c>
      <c r="N39" s="429">
        <f>SUMIF(TAB_CS[[#Headers],[#Data],[Tri-1]],'Cessions EDDA'!$H39,TAB_CS[[#Headers],[#Data],[Jan-2023]])</f>
        <v>0</v>
      </c>
      <c r="O39" s="429">
        <f>SUMIF(TAB_CS[[#Headers],[#Data],[Tri-1]],'Cessions EDDA'!$H39,TAB_CS[[#Headers],[#Data],[Feb-2023]])</f>
        <v>0</v>
      </c>
      <c r="P39" s="429">
        <f>SUMIF(TAB_CS[[#Headers],[#Data],[Tri-1]],'Cessions EDDA'!$H39,TAB_CS[[#Headers],[#Data],[Mar-2023]])</f>
        <v>0</v>
      </c>
      <c r="Q39" s="422">
        <f>SUMIF(TAB_CS[[#Headers],[#Data],[Tri-1]],'Cessions EDDA'!$H39,TAB_CS[[#Headers],[#Data],[Apr-2023]])</f>
        <v>0</v>
      </c>
      <c r="R39" s="422">
        <f>SUMIF(TAB_CS[[#Headers],[#Data],[Tri-1]],'Cessions EDDA'!$H39,TAB_CS[[#Headers],[#Data],[May-2023]])</f>
        <v>0</v>
      </c>
      <c r="S39" s="422">
        <f>SUMIF(TAB_CS[[#Headers],[#Data],[Tri-1]],'Cessions EDDA'!$H39,TAB_CS[[#Headers],[#Data],[Jun-2023]])</f>
        <v>0</v>
      </c>
      <c r="T39" s="422">
        <f>SUMIF(TAB_CS[[#Headers],[#Data],[Tri-1]],'Cessions EDDA'!$H39,TAB_CS[[#Headers],[#Data],[Jul-2023]])</f>
        <v>0</v>
      </c>
      <c r="U39" s="422">
        <f>SUMIF(TAB_CS[[#Headers],[#Data],[Tri-1]],'Cessions EDDA'!$H39,TAB_CS[[#Headers],[#Data],[Aug-2023]])</f>
        <v>0</v>
      </c>
      <c r="V39" s="422">
        <f>SUMIF(TAB_CS[[#Headers],[#Data],[Tri-1]],'Cessions EDDA'!$H39,TAB_CS[[#Headers],[#Data],[Sep-2023]])</f>
        <v>0</v>
      </c>
      <c r="W39" s="422">
        <f>SUMIF(TAB_CS[[#Headers],[#Data],[Tri-1]],'Cessions EDDA'!$H39,TAB_CS[[#Headers],[#Data],[Oct-2023]])</f>
        <v>0</v>
      </c>
      <c r="X39" s="422">
        <f>SUMIF(TAB_CS[[#Headers],[#Data],[Tri-1]],'Cessions EDDA'!$H39,TAB_CS[[#Headers],[#Data],[Nov-2023]])</f>
        <v>0</v>
      </c>
      <c r="Y39" s="422">
        <f>SUMIF(TAB_CS[[#Headers],[#Data],[Tri-1]],'Cessions EDDA'!$H39,TAB_CS[[#Headers],[#Data],[Dec-2023]])</f>
        <v>0</v>
      </c>
      <c r="Z39" s="422">
        <f>SUMIF(TAB_CS[[#Headers],[#Data],[Tri-1]],'Cessions EDDA'!$H39,TAB_CS[[#Headers],[#Data],[Jan-2024]])</f>
        <v>0</v>
      </c>
      <c r="AA39" s="422">
        <f>SUMIF(TAB_CS[[#Headers],[#Data],[Tri-1]],'Cessions EDDA'!$H39,TAB_CS[[#Headers],[#Data],[Feb-2024]])</f>
        <v>0</v>
      </c>
      <c r="AB39" s="422">
        <f>SUMIF(TAB_CS[[#Headers],[#Data],[Tri-1]],'Cessions EDDA'!$H39,TAB_CS[[#Headers],[#Data],[Mar-2024]])</f>
        <v>0</v>
      </c>
      <c r="AC39" s="422">
        <f>SUMIF(TAB_CS[[#Headers],[#Data],[Tri-1]],'Cessions EDDA'!$H39,TAB_CS[[#Headers],[#Data],[Apr-2024]])</f>
        <v>0</v>
      </c>
      <c r="AD39" s="422">
        <f>SUMIF(TAB_CS[[#Headers],[#Data],[Tri-1]],'Cessions EDDA'!$H39,TAB_CS[[#Headers],[#Data],[May-2024]])</f>
        <v>0</v>
      </c>
      <c r="AE39" s="422">
        <f>SUMIF(TAB_CS[[#Headers],[#Data],[Tri-1]],'Cessions EDDA'!$H39,TAB_CS[[#Headers],[#Data],[Jun-2024]])</f>
        <v>0</v>
      </c>
      <c r="AF39" s="422">
        <f>SUMIF(TAB_CS[[#Headers],[#Data],[Tri-1]],'Cessions EDDA'!$H39,TAB_CS[[#Headers],[#Data],[Jul-2024]])</f>
        <v>0</v>
      </c>
      <c r="AG39" s="422">
        <f>SUMIF(TAB_CS[[#Headers],[#Data],[Tri-1]],'Cessions EDDA'!$H39,TAB_CS[[#Headers],[#Data],[Aug-2024]])</f>
        <v>0</v>
      </c>
      <c r="AH39" s="422">
        <f>SUMIF(TAB_CS[[#Headers],[#Data],[Tri-1]],'Cessions EDDA'!$H39,TAB_CS[[#Headers],[#Data],[Sep-2024]])</f>
        <v>0</v>
      </c>
      <c r="AI39" s="422">
        <f>SUMIF(TAB_CS[[#Headers],[#Data],[Tri-1]],'Cessions EDDA'!$H39,TAB_CS[[#Headers],[#Data],[Oct-2024]])</f>
        <v>0</v>
      </c>
      <c r="AJ39" s="422">
        <f>SUMIF(TAB_CS[[#Headers],[#Data],[Tri-1]],'Cessions EDDA'!$H39,TAB_CS[[#Headers],[#Data],[Nov-2024]])</f>
        <v>0</v>
      </c>
      <c r="AK39" s="422">
        <f>SUMIF(TAB_CS[[#Headers],[#Data],[Tri-1]],'Cessions EDDA'!$H39,TAB_CS[[#Headers],[#Data],[Dec-2024]])</f>
        <v>0</v>
      </c>
      <c r="AL39" s="422">
        <f>SUMIF(TAB_CS[[#Headers],[#Data],[Tri-1]],'Cessions EDDA'!$H39,TAB_CS[[#Headers],[#Data],[Jan-2025]])</f>
        <v>0</v>
      </c>
      <c r="AM39" s="422">
        <f>SUMIF(TAB_CS[[#Headers],[#Data],[Tri-1]],'Cessions EDDA'!$H39,TAB_CS[[#Headers],[#Data],[Feb-2025]])</f>
        <v>0</v>
      </c>
      <c r="AN39" s="422">
        <f>SUMIF(TAB_CS[[#Headers],[#Data],[Tri-1]],'Cessions EDDA'!$H39,TAB_CS[[#Headers],[#Data],[Mar-2025]])</f>
        <v>0</v>
      </c>
      <c r="AO39" s="422">
        <f>SUMIF(TAB_CS[[#Headers],[#Data],[Tri-1]],'Cessions EDDA'!$H39,TAB_CS[[#Headers],[#Data],[Apr-2025]])</f>
        <v>0</v>
      </c>
      <c r="AP39" s="422">
        <f>SUMIF(TAB_CS[[#Headers],[#Data],[Tri-1]],'Cessions EDDA'!$H39,TAB_CS[[#Headers],[#Data],[May-2025]])</f>
        <v>9</v>
      </c>
      <c r="AQ39" s="422">
        <f>SUMIF(TAB_CS[[#Headers],[#Data],[Tri-1]],'Cessions EDDA'!$H39,TAB_CS[[#Headers],[#Data],[Jun-2025]])</f>
        <v>18</v>
      </c>
      <c r="AR39" s="422">
        <f>SUMIF(TAB_CS[[#Headers],[#Data],[Tri-1]],'Cessions EDDA'!$H39,TAB_CS[[#Headers],[#Data],[Jul-2025]])</f>
        <v>18</v>
      </c>
      <c r="AS39" s="422">
        <f>SUMIF(TAB_CS[[#Headers],[#Data],[Tri-1]],'Cessions EDDA'!$H39,TAB_CS[[#Headers],[#Data],[Aug-2025]])</f>
        <v>18</v>
      </c>
      <c r="AT39" s="422">
        <f>SUMIF(TAB_CS[[#Headers],[#Data],[Tri-1]],'Cessions EDDA'!$H39,TAB_CS[[#Headers],[#Data],[Sep-2025]])</f>
        <v>18</v>
      </c>
      <c r="AU39" s="422">
        <f>SUMIF(TAB_CS[[#Headers],[#Data],[Tri-1]],'Cessions EDDA'!$H39,TAB_CS[[#Headers],[#Data],[Oct-2025]])</f>
        <v>18</v>
      </c>
      <c r="AV39" s="422">
        <f>SUMIF(TAB_CS[[#Headers],[#Data],[Tri-1]],'Cessions EDDA'!$H39,TAB_CS[[#Headers],[#Data],[Nov-2025]])</f>
        <v>18</v>
      </c>
      <c r="AW39" s="422">
        <f>SUMIF(TAB_CS[[#Headers],[#Data],[Tri-1]],'Cessions EDDA'!$H39,TAB_CS[[#Headers],[#Data],[Dec-2025]])</f>
        <v>18</v>
      </c>
    </row>
    <row r="40" spans="1:49" s="442" customFormat="1" x14ac:dyDescent="0.3">
      <c r="A40" s="653"/>
      <c r="B40" s="434"/>
      <c r="C40" s="435" t="s">
        <v>6094</v>
      </c>
      <c r="D40" s="436">
        <v>730</v>
      </c>
      <c r="E40" s="436">
        <v>934.37</v>
      </c>
      <c r="F40" s="437">
        <f t="shared" si="44"/>
        <v>0.21872491625373247</v>
      </c>
      <c r="G40" s="438">
        <f t="shared" si="45"/>
        <v>0.16872491625373245</v>
      </c>
      <c r="H40" s="438" t="str">
        <f t="shared" si="5"/>
        <v>MUNTEANU Gabriela Alina (projection)934,37</v>
      </c>
      <c r="I40" s="439" t="s">
        <v>79</v>
      </c>
      <c r="J40" s="439">
        <v>10</v>
      </c>
      <c r="K40" s="440">
        <f>SUMIF(TAB_CS[[#Headers],[#Data],[Tri-1]],'Cessions EDDA'!$H40,TAB_CS[[#Headers],[#Data],[Oct-2022]])</f>
        <v>0</v>
      </c>
      <c r="L40" s="440">
        <f>SUMIF(TAB_CS[[#Headers],[#Data],[Tri-2]],'Cessions EDDA'!$H40,TAB_CS[[#Headers],[#Data],[Nov-2022]])</f>
        <v>0</v>
      </c>
      <c r="M40" s="440">
        <f>SUMIF(TAB_CS[[#Headers],[#Data],[Profile]],'Cessions EDDA'!$H40,TAB_CS[[#Headers],[#Data],[Dec-2022]])</f>
        <v>0</v>
      </c>
      <c r="N40" s="440">
        <f>SUMIF(TAB_CS[[#Headers],[#Data],[Level]],'Cessions EDDA'!$H40,TAB_CS[[#Headers],[#Data],[Jan-2023]])</f>
        <v>0</v>
      </c>
      <c r="O40" s="440">
        <f>SUMIF(TAB_CS[[#Headers],[#Data],[Profile in €]],'Cessions EDDA'!$H40,TAB_CS[[#Headers],[#Data],[Feb-2023]])</f>
        <v>0</v>
      </c>
      <c r="P40" s="440">
        <f>SUMIF(TAB_CS[[#Headers],[#Data],[Commited days]],'Cessions EDDA'!$H40,TAB_CS[[#Headers],[#Data],[Mar-2023]])</f>
        <v>0</v>
      </c>
      <c r="Q40" s="440">
        <f>SUMIF(TAB_CS[[#Headers],[#Data],[Commited amount]],'Cessions EDDA'!$H40,TAB_CS[[#Headers],[#Data],[Apr-2023]])</f>
        <v>0</v>
      </c>
      <c r="R40" s="440">
        <f>SUMIF(TAB_CS[[#Headers],[#Data],[Producted days]],'Cessions EDDA'!$H40,TAB_CS[[#Headers],[#Data],[May-2023]])</f>
        <v>0</v>
      </c>
      <c r="S40" s="440">
        <f>SUMIF(TAB_CS[[#Headers],[#Data],[Producted amounts]],'Cessions EDDA'!$H40,TAB_CS[[#Headers],[#Data],[Jun-2023]])</f>
        <v>0</v>
      </c>
      <c r="T40" s="440">
        <f>SUMIF(TAB_CS[[#Headers],[#Data],[Tri-1]],'Cessions EDDA'!$H40,TAB_CS[[#Headers],[#Data],[Jul-2023]])</f>
        <v>0</v>
      </c>
      <c r="U40" s="440">
        <f>SUMIF(TAB_CS[[#Headers],[#Data],[Tri-1]],'Cessions EDDA'!$H40,TAB_CS[[#Headers],[#Data],[Aug-2023]])</f>
        <v>0</v>
      </c>
      <c r="V40" s="440">
        <f>SUMIF(TAB_CS[[#Headers],[#Data],[Tri-1]],'Cessions EDDA'!$H40,TAB_CS[[#Headers],[#Data],[Sep-2023]])</f>
        <v>0</v>
      </c>
      <c r="W40" s="440">
        <f>SUMIF(TAB_CS[[#Headers],[#Data],[Tri-1]],'Cessions EDDA'!$H40,TAB_CS[[#Headers],[#Data],[Oct-2023]])</f>
        <v>0</v>
      </c>
      <c r="X40" s="440">
        <f>SUMIF(TAB_CS[[#Headers],[#Data],[Tri-1]],'Cessions EDDA'!$H40,TAB_CS[[#Headers],[#Data],[Nov-2023]])</f>
        <v>0</v>
      </c>
      <c r="Y40" s="440">
        <f>SUMIF(TAB_CS[[#Headers],[#Data],[Tri-1]],'Cessions EDDA'!$H40,TAB_CS[[#Headers],[#Data],[Dec-2023]])</f>
        <v>0</v>
      </c>
      <c r="Z40" s="440">
        <f>SUMIF(TAB_CS[[#Headers],[#Data],[Tri-1]],'Cessions EDDA'!$H40,TAB_CS[[#Headers],[#Data],[Jan-2024]])</f>
        <v>0</v>
      </c>
      <c r="AA40" s="440">
        <f>SUMIF(TAB_CS[[#Headers],[#Data],[Tri-1]],'Cessions EDDA'!$H40,TAB_CS[[#Headers],[#Data],[Feb-2024]])</f>
        <v>0</v>
      </c>
      <c r="AB40" s="440">
        <f>SUMIF(TAB_CS[[#Headers],[#Data],[Tri-1]],'Cessions EDDA'!$H40,TAB_CS[[#Headers],[#Data],[Mar-2024]])</f>
        <v>0</v>
      </c>
      <c r="AC40" s="440">
        <f>SUMIF(TAB_CS[[#Headers],[#Data],[Tri-1]],'Cessions EDDA'!$H40,TAB_CS[[#Headers],[#Data],[Apr-2024]])</f>
        <v>0</v>
      </c>
      <c r="AD40" s="440">
        <f>SUMIF(TAB_CS[[#Headers],[#Data],[Tri-1]],'Cessions EDDA'!$H40,TAB_CS[[#Headers],[#Data],[May-2024]])</f>
        <v>0</v>
      </c>
      <c r="AE40" s="440">
        <f>SUMIF(TAB_CS[[#Headers],[#Data],[Tri-1]],'Cessions EDDA'!$H40,TAB_CS[[#Headers],[#Data],[Jun-2024]])</f>
        <v>0</v>
      </c>
      <c r="AF40" s="440">
        <f>SUMIF(TAB_CS[[#Headers],[#Data],[Tri-1]],'Cessions EDDA'!$H40,TAB_CS[[#Headers],[#Data],[Jul-2024]])</f>
        <v>0</v>
      </c>
      <c r="AG40" s="440">
        <f>SUMIF(TAB_CS[[#Headers],[#Data],[Tri-1]],'Cessions EDDA'!$H40,TAB_CS[[#Headers],[#Data],[Aug-2024]])</f>
        <v>0</v>
      </c>
      <c r="AH40" s="440">
        <f>SUMIF(TAB_CS[[#Headers],[#Data],[Tri-1]],'Cessions EDDA'!$H40,TAB_CS[[#Headers],[#Data],[Sep-2024]])</f>
        <v>0</v>
      </c>
      <c r="AI40" s="440">
        <f>SUMIF(TAB_CS[[#Headers],[#Data],[Tri-1]],'Cessions EDDA'!$H40,TAB_CS[[#Headers],[#Data],[Oct-2024]])</f>
        <v>0</v>
      </c>
      <c r="AJ40" s="440">
        <v>0</v>
      </c>
      <c r="AK40" s="440">
        <v>0</v>
      </c>
      <c r="AL40" s="440">
        <v>0</v>
      </c>
      <c r="AM40" s="440">
        <v>0</v>
      </c>
      <c r="AN40" s="440">
        <v>0</v>
      </c>
      <c r="AO40" s="440">
        <v>0</v>
      </c>
      <c r="AP40" s="440">
        <v>0</v>
      </c>
      <c r="AQ40" s="440">
        <v>0</v>
      </c>
      <c r="AR40" s="440">
        <v>0</v>
      </c>
      <c r="AS40" s="440">
        <v>0</v>
      </c>
      <c r="AT40" s="440">
        <v>0</v>
      </c>
      <c r="AU40" s="440">
        <v>0</v>
      </c>
      <c r="AV40" s="440">
        <v>0</v>
      </c>
      <c r="AW40" s="440">
        <v>0</v>
      </c>
    </row>
    <row r="41" spans="1:49" s="392" customFormat="1" x14ac:dyDescent="0.25">
      <c r="B41" s="397"/>
      <c r="C41" s="397"/>
      <c r="D41" s="397"/>
      <c r="E41" s="397"/>
      <c r="F41" s="397"/>
      <c r="G41" s="398">
        <v>0.04</v>
      </c>
      <c r="H41" s="398"/>
      <c r="I41" s="397"/>
      <c r="J41" s="397"/>
      <c r="K41" s="397"/>
      <c r="L41" s="397"/>
      <c r="M41" s="417"/>
      <c r="N41" s="397"/>
      <c r="O41" s="397"/>
      <c r="P41" s="397"/>
      <c r="Q41" s="397"/>
      <c r="R41" s="397"/>
      <c r="S41" s="397"/>
      <c r="T41" s="397"/>
      <c r="U41" s="397"/>
      <c r="V41" s="397"/>
      <c r="W41" s="397"/>
      <c r="X41" s="397"/>
      <c r="Y41" s="397"/>
      <c r="Z41" s="397"/>
      <c r="AA41" s="397"/>
      <c r="AB41" s="397"/>
      <c r="AC41" s="397"/>
      <c r="AD41" s="397"/>
      <c r="AE41" s="397"/>
      <c r="AF41" s="397"/>
      <c r="AG41" s="397"/>
      <c r="AH41" s="397"/>
      <c r="AI41" s="397"/>
      <c r="AJ41" s="397"/>
      <c r="AK41" s="397"/>
      <c r="AL41" s="397"/>
      <c r="AM41" s="397"/>
      <c r="AN41" s="397"/>
      <c r="AO41" s="397"/>
      <c r="AP41" s="397"/>
      <c r="AQ41" s="397"/>
      <c r="AR41" s="397"/>
      <c r="AS41" s="397"/>
      <c r="AT41" s="397"/>
      <c r="AU41" s="397"/>
      <c r="AV41" s="397"/>
      <c r="AW41" s="397"/>
    </row>
    <row r="42" spans="1:49" x14ac:dyDescent="0.3">
      <c r="A42" s="399"/>
      <c r="B42" s="406"/>
      <c r="C42" s="407" t="s">
        <v>320</v>
      </c>
      <c r="D42" s="402">
        <v>450</v>
      </c>
      <c r="E42" s="402">
        <v>531.12</v>
      </c>
      <c r="F42" s="403">
        <f>(E42-D42)/E42</f>
        <v>0.15273384545865343</v>
      </c>
      <c r="G42" s="404">
        <f>((E42-D42)-(E42*$G$8))/E42</f>
        <v>0.10273384545865342</v>
      </c>
      <c r="H42" s="404" t="str">
        <f>_xlfn.CONCAT(C42,E42)</f>
        <v>TRINDADE-SALGUEIRO, Nuno531,12</v>
      </c>
      <c r="I42" s="405" t="s">
        <v>92</v>
      </c>
      <c r="J42" s="405">
        <v>10</v>
      </c>
      <c r="K42" s="422">
        <f>SUMIF(TAB_CS[[#Headers],[#Data],[Tri-1]],'Cessions EDDA'!$H42,TAB_CS[[#Headers],[#Data],[Oct-2022]])</f>
        <v>0</v>
      </c>
      <c r="L42" s="422">
        <f>SUMIF(TAB_CS[[#Headers],[#Data],[Tri-1]],'Cessions EDDA'!$H42,TAB_CS[[#Headers],[#Data],[Nov-2022]])</f>
        <v>0</v>
      </c>
      <c r="M42" s="430">
        <f>SUMIF(TAB_CS[[#Headers],[#Data],[Tri-1]],'Cessions EDDA'!$H42,TAB_CS[[#Headers],[#Data],[Dec-2022]])</f>
        <v>4</v>
      </c>
      <c r="N42" s="430">
        <f>SUMIF(TAB_CS[[#Headers],[#Data],[Tri-1]],'Cessions EDDA'!$H42,TAB_CS[[#Headers],[#Data],[Jan-2023]])</f>
        <v>21</v>
      </c>
      <c r="O42" s="430">
        <f>SUMIF(TAB_CS[[#Headers],[#Data],[Tri-1]],'Cessions EDDA'!$H42,TAB_CS[[#Headers],[#Data],[Feb-2023]])</f>
        <v>19</v>
      </c>
      <c r="P42" s="423">
        <f>SUMIF(TAB_CS[[#Headers],[#Data],[Tri-1]],'Cessions EDDA'!$H42,TAB_CS[[#Headers],[#Data],[Mar-2023]])</f>
        <v>22</v>
      </c>
      <c r="Q42" s="423">
        <f>SUMIF(TAB_CS[[#Headers],[#Data],[Tri-1]],'Cessions EDDA'!$H42,TAB_CS[[#Headers],[#Data],[Apr-2023]])</f>
        <v>14</v>
      </c>
      <c r="R42" s="423">
        <f>SUMIF(TAB_CS[[#Headers],[#Data],[Tri-1]],'Cessions EDDA'!$H42,TAB_CS[[#Headers],[#Data],[May-2023]])</f>
        <v>18</v>
      </c>
      <c r="S42" s="423">
        <f>SUMIF(TAB_CS[[#Headers],[#Data],[Tri-1]],'Cessions EDDA'!$H42,TAB_CS[[#Headers],[#Data],[Jun-2023]])</f>
        <v>18</v>
      </c>
      <c r="T42" s="423">
        <f>SUMIF(TAB_CS[[#Headers],[#Data],[Tri-1]],'Cessions EDDA'!$H42,TAB_CS[[#Headers],[#Data],[Jul-2023]])</f>
        <v>19</v>
      </c>
      <c r="U42" s="423">
        <f>SUMIF(TAB_CS[[#Headers],[#Data],[Tri-1]],'Cessions EDDA'!$H42,TAB_CS[[#Headers],[#Data],[Aug-2023]])</f>
        <v>21.5</v>
      </c>
      <c r="V42" s="423">
        <f>SUMIF(TAB_CS[[#Headers],[#Data],[Tri-1]],'Cessions EDDA'!$H42,TAB_CS[[#Headers],[#Data],[Sep-2023]])</f>
        <v>11</v>
      </c>
      <c r="W42" s="423">
        <f>SUMIF(TAB_CS[[#Headers],[#Data],[Tri-1]],'Cessions EDDA'!$H42,TAB_CS[[#Headers],[#Data],[Oct-2023]])</f>
        <v>22</v>
      </c>
      <c r="X42" s="423">
        <f>SUMIF(TAB_CS[[#Headers],[#Data],[Tri-1]],'Cessions EDDA'!$H42,TAB_CS[[#Headers],[#Data],[Nov-2023]])</f>
        <v>19</v>
      </c>
      <c r="Y42" s="423">
        <f>SUMIF(TAB_CS[[#Headers],[#Data],[Tri-1]],'Cessions EDDA'!$H42,TAB_CS[[#Headers],[#Data],[Dec-2023]])</f>
        <v>15</v>
      </c>
      <c r="Z42" s="423">
        <f>SUMIF(TAB_CS[[#Headers],[#Data],[Tri-1]],'Cessions EDDA'!$H42,TAB_CS[[#Headers],[#Data],[Jan-2024]])</f>
        <v>20.5</v>
      </c>
      <c r="AA42" s="423">
        <f>SUMIF(TAB_CS[[#Headers],[#Data],[Tri-1]],'Cessions EDDA'!$H42,TAB_CS[[#Headers],[#Data],[Feb-2024]])</f>
        <v>21</v>
      </c>
      <c r="AB42" s="423">
        <f>SUMIF(TAB_CS[[#Headers],[#Data],[Tri-1]],'Cessions EDDA'!$H42,TAB_CS[[#Headers],[#Data],[Mar-2024]])</f>
        <v>17.5</v>
      </c>
      <c r="AC42" s="423">
        <f>SUMIF(TAB_CS[[#Headers],[#Data],[Tri-1]],'Cessions EDDA'!$H42,TAB_CS[[#Headers],[#Data],[Apr-2024]])</f>
        <v>21</v>
      </c>
      <c r="AD42" s="423">
        <f>SUMIF(TAB_CS[[#Headers],[#Data],[Tri-1]],'Cessions EDDA'!$H42,TAB_CS[[#Headers],[#Data],[May-2024]])</f>
        <v>13.5</v>
      </c>
      <c r="AE42" s="423">
        <f>SUMIF(TAB_CS[[#Headers],[#Data],[Tri-1]],'Cessions EDDA'!$H42,TAB_CS[[#Headers],[#Data],[Jun-2024]])</f>
        <v>20</v>
      </c>
      <c r="AF42" s="423">
        <f>SUMIF(TAB_CS[[#Headers],[#Data],[Tri-1]],'Cessions EDDA'!$H42,TAB_CS[[#Headers],[#Data],[Jul-2024]])</f>
        <v>23</v>
      </c>
      <c r="AG42" s="423">
        <f>SUMIF(TAB_CS[[#Headers],[#Data],[Tri-1]],'Cessions EDDA'!$H42,TAB_CS[[#Headers],[#Data],[Aug-2024]])</f>
        <v>20</v>
      </c>
      <c r="AH42" s="423">
        <f>SUMIF(TAB_CS[[#Headers],[#Data],[Tri-1]],'Cessions EDDA'!$H42,TAB_CS[[#Headers],[#Data],[Sep-2024]])</f>
        <v>16</v>
      </c>
      <c r="AI42" s="422">
        <f>SUMIF(TAB_CS[[#Headers],[#Data],[Tri-1]],'Cessions EDDA'!$H42,TAB_CS[[#Headers],[#Data],[Oct-2024]])</f>
        <v>5</v>
      </c>
      <c r="AJ42" s="422">
        <f>SUMIF(TAB_CS[[#Headers],[#Data],[Tri-1]],'Cessions EDDA'!$H42,TAB_CS[[#Headers],[#Data],[Nov-2024]])</f>
        <v>0</v>
      </c>
      <c r="AK42" s="422">
        <f>SUMIF(TAB_CS[[#Headers],[#Data],[Tri-1]],'Cessions EDDA'!$H42,TAB_CS[[#Headers],[#Data],[Dec-2024]])</f>
        <v>0</v>
      </c>
      <c r="AL42" s="422">
        <f>SUMIF(TAB_CS[[#Headers],[#Data],[Tri-1]],'Cessions EDDA'!$H42,TAB_CS[[#Headers],[#Data],[Jan-2025]])</f>
        <v>0</v>
      </c>
      <c r="AM42" s="422">
        <f>SUMIF(TAB_CS[[#Headers],[#Data],[Tri-1]],'Cessions EDDA'!$H42,TAB_CS[[#Headers],[#Data],[Feb-2025]])</f>
        <v>0</v>
      </c>
      <c r="AN42" s="422">
        <f>SUMIF(TAB_CS[[#Headers],[#Data],[Tri-1]],'Cessions EDDA'!$H42,TAB_CS[[#Headers],[#Data],[Mar-2025]])</f>
        <v>0</v>
      </c>
      <c r="AO42" s="422">
        <f>SUMIF(TAB_CS[[#Headers],[#Data],[Tri-1]],'Cessions EDDA'!$H42,TAB_CS[[#Headers],[#Data],[Apr-2025]])</f>
        <v>0</v>
      </c>
      <c r="AP42" s="422">
        <f>SUMIF(TAB_CS[[#Headers],[#Data],[Tri-1]],'Cessions EDDA'!$H42,TAB_CS[[#Headers],[#Data],[May-2025]])</f>
        <v>0</v>
      </c>
      <c r="AQ42" s="422">
        <f>SUMIF(TAB_CS[[#Headers],[#Data],[Tri-1]],'Cessions EDDA'!$H42,TAB_CS[[#Headers],[#Data],[Jun-2025]])</f>
        <v>0</v>
      </c>
      <c r="AR42" s="422">
        <f>SUMIF(TAB_CS[[#Headers],[#Data],[Tri-1]],'Cessions EDDA'!$H42,TAB_CS[[#Headers],[#Data],[Jul-2025]])</f>
        <v>0</v>
      </c>
      <c r="AS42" s="422">
        <f>SUMIF(TAB_CS[[#Headers],[#Data],[Tri-1]],'Cessions EDDA'!$H42,TAB_CS[[#Headers],[#Data],[Aug-2025]])</f>
        <v>0</v>
      </c>
      <c r="AT42" s="422">
        <f>SUMIF(TAB_CS[[#Headers],[#Data],[Tri-1]],'Cessions EDDA'!$H42,TAB_CS[[#Headers],[#Data],[Sep-2025]])</f>
        <v>0</v>
      </c>
      <c r="AU42" s="422">
        <f>SUMIF(TAB_CS[[#Headers],[#Data],[Tri-1]],'Cessions EDDA'!$H42,TAB_CS[[#Headers],[#Data],[Oct-2025]])</f>
        <v>0</v>
      </c>
      <c r="AV42" s="422">
        <f>SUMIF(TAB_CS[[#Headers],[#Data],[Tri-1]],'Cessions EDDA'!$H42,TAB_CS[[#Headers],[#Data],[Nov-2025]])</f>
        <v>0</v>
      </c>
      <c r="AW42" s="422">
        <f>SUMIF(TAB_CS[[#Headers],[#Data],[Tri-1]],'Cessions EDDA'!$H42,TAB_CS[[#Headers],[#Data],[Dec-2025]])</f>
        <v>0</v>
      </c>
    </row>
    <row r="43" spans="1:49" x14ac:dyDescent="0.3">
      <c r="A43" s="399"/>
      <c r="B43" s="406"/>
      <c r="C43" s="407" t="s">
        <v>320</v>
      </c>
      <c r="D43" s="402">
        <v>450</v>
      </c>
      <c r="E43" s="402">
        <v>559</v>
      </c>
      <c r="F43" s="403">
        <f>(E43-D43)/E43</f>
        <v>0.19499105545617174</v>
      </c>
      <c r="G43" s="404">
        <f>((E43-D43)-(E43*$G$8))/E43</f>
        <v>0.14499105545617172</v>
      </c>
      <c r="H43" s="404" t="str">
        <f>_xlfn.CONCAT(C43,E43)</f>
        <v>TRINDADE-SALGUEIRO, Nuno559</v>
      </c>
      <c r="I43" s="405" t="s">
        <v>92</v>
      </c>
      <c r="J43" s="405">
        <v>10</v>
      </c>
      <c r="K43" s="422">
        <f>SUMIF(TAB_CS[[#Headers],[#Data],[Tri-1]],'Cessions EDDA'!$H43,TAB_CS[[#Headers],[#Data],[Oct-2022]])</f>
        <v>0</v>
      </c>
      <c r="L43" s="422">
        <f>SUMIF(TAB_CS[[#Headers],[#Data],[Tri-1]],'Cessions EDDA'!$H43,TAB_CS[[#Headers],[#Data],[Nov-2022]])</f>
        <v>0</v>
      </c>
      <c r="M43" s="429">
        <f>SUMIF(TAB_CS[[#Headers],[#Data],[Tri-1]],'Cessions EDDA'!$H43,TAB_CS[[#Headers],[#Data],[Dec-2022]])</f>
        <v>0</v>
      </c>
      <c r="N43" s="429">
        <f>SUMIF(TAB_CS[[#Headers],[#Data],[Tri-1]],'Cessions EDDA'!$H43,TAB_CS[[#Headers],[#Data],[Jan-2023]])</f>
        <v>0</v>
      </c>
      <c r="O43" s="429">
        <f>SUMIF(TAB_CS[[#Headers],[#Data],[Tri-1]],'Cessions EDDA'!$H43,TAB_CS[[#Headers],[#Data],[Feb-2023]])</f>
        <v>0</v>
      </c>
      <c r="P43" s="422">
        <f>SUMIF(TAB_CS[[#Headers],[#Data],[Tri-1]],'Cessions EDDA'!$H43,TAB_CS[[#Headers],[#Data],[Mar-2023]])</f>
        <v>0</v>
      </c>
      <c r="Q43" s="422">
        <f>SUMIF(TAB_CS[[#Headers],[#Data],[Tri-1]],'Cessions EDDA'!$H43,TAB_CS[[#Headers],[#Data],[Apr-2023]])</f>
        <v>0</v>
      </c>
      <c r="R43" s="422">
        <f>SUMIF(TAB_CS[[#Headers],[#Data],[Tri-1]],'Cessions EDDA'!$H43,TAB_CS[[#Headers],[#Data],[May-2023]])</f>
        <v>0</v>
      </c>
      <c r="S43" s="422">
        <f>SUMIF(TAB_CS[[#Headers],[#Data],[Tri-1]],'Cessions EDDA'!$H43,TAB_CS[[#Headers],[#Data],[Jun-2023]])</f>
        <v>0</v>
      </c>
      <c r="T43" s="422">
        <f>SUMIF(TAB_CS[[#Headers],[#Data],[Tri-1]],'Cessions EDDA'!$H43,TAB_CS[[#Headers],[#Data],[Jul-2023]])</f>
        <v>0</v>
      </c>
      <c r="U43" s="422">
        <f>SUMIF(TAB_CS[[#Headers],[#Data],[Tri-1]],'Cessions EDDA'!$H43,TAB_CS[[#Headers],[#Data],[Aug-2023]])</f>
        <v>0</v>
      </c>
      <c r="V43" s="422">
        <f>SUMIF(TAB_CS[[#Headers],[#Data],[Tri-1]],'Cessions EDDA'!$H43,TAB_CS[[#Headers],[#Data],[Sep-2023]])</f>
        <v>0</v>
      </c>
      <c r="W43" s="422">
        <f>SUMIF(TAB_CS[[#Headers],[#Data],[Tri-1]],'Cessions EDDA'!$H43,TAB_CS[[#Headers],[#Data],[Oct-2023]])</f>
        <v>0</v>
      </c>
      <c r="X43" s="422">
        <f>SUMIF(TAB_CS[[#Headers],[#Data],[Tri-1]],'Cessions EDDA'!$H43,TAB_CS[[#Headers],[#Data],[Nov-2023]])</f>
        <v>0</v>
      </c>
      <c r="Y43" s="422">
        <f>SUMIF(TAB_CS[[#Headers],[#Data],[Tri-1]],'Cessions EDDA'!$H43,TAB_CS[[#Headers],[#Data],[Dec-2023]])</f>
        <v>0</v>
      </c>
      <c r="Z43" s="422">
        <f>SUMIF(TAB_CS[[#Headers],[#Data],[Tri-1]],'Cessions EDDA'!$H43,TAB_CS[[#Headers],[#Data],[Jan-2024]])</f>
        <v>0</v>
      </c>
      <c r="AA43" s="422">
        <f>SUMIF(TAB_CS[[#Headers],[#Data],[Tri-1]],'Cessions EDDA'!$H43,TAB_CS[[#Headers],[#Data],[Feb-2024]])</f>
        <v>0</v>
      </c>
      <c r="AB43" s="422">
        <f>SUMIF(TAB_CS[[#Headers],[#Data],[Tri-1]],'Cessions EDDA'!$H43,TAB_CS[[#Headers],[#Data],[Mar-2024]])</f>
        <v>0</v>
      </c>
      <c r="AC43" s="422">
        <f>SUMIF(TAB_CS[[#Headers],[#Data],[Tri-1]],'Cessions EDDA'!$H43,TAB_CS[[#Headers],[#Data],[Apr-2024]])</f>
        <v>0</v>
      </c>
      <c r="AD43" s="422">
        <f>SUMIF(TAB_CS[[#Headers],[#Data],[Tri-1]],'Cessions EDDA'!$H43,TAB_CS[[#Headers],[#Data],[May-2024]])</f>
        <v>0</v>
      </c>
      <c r="AE43" s="422">
        <f>SUMIF(TAB_CS[[#Headers],[#Data],[Tri-1]],'Cessions EDDA'!$H43,TAB_CS[[#Headers],[#Data],[Jun-2024]])</f>
        <v>0</v>
      </c>
      <c r="AF43" s="422">
        <f>SUMIF(TAB_CS[[#Headers],[#Data],[Tri-1]],'Cessions EDDA'!$H43,TAB_CS[[#Headers],[#Data],[Jul-2024]])</f>
        <v>0</v>
      </c>
      <c r="AG43" s="422">
        <f>SUMIF(TAB_CS[[#Headers],[#Data],[Tri-1]],'Cessions EDDA'!$H43,TAB_CS[[#Headers],[#Data],[Aug-2024]])</f>
        <v>0</v>
      </c>
      <c r="AH43" s="422">
        <f>SUMIF(TAB_CS[[#Headers],[#Data],[Tri-1]],'Cessions EDDA'!$H43,TAB_CS[[#Headers],[#Data],[Sep-2024]])</f>
        <v>0</v>
      </c>
      <c r="AI43" s="422">
        <f>SUMIF(TAB_CS[[#Headers],[#Data],[Tri-1]],'Cessions EDDA'!$H43,TAB_CS[[#Headers],[#Data],[Oct-2024]])</f>
        <v>13</v>
      </c>
      <c r="AJ43" s="422">
        <f>SUMIF(TAB_CS[[#Headers],[#Data],[Tri-1]],'Cessions EDDA'!$H43,TAB_CS[[#Headers],[#Data],[Nov-2024]])</f>
        <v>18</v>
      </c>
      <c r="AK43" s="422">
        <f>SUMIF(TAB_CS[[#Headers],[#Data],[Tri-1]],'Cessions EDDA'!$H43,TAB_CS[[#Headers],[#Data],[Dec-2024]])</f>
        <v>18</v>
      </c>
      <c r="AL43" s="422">
        <f>SUMIF(TAB_CS[[#Headers],[#Data],[Tri-1]],'Cessions EDDA'!$H43,TAB_CS[[#Headers],[#Data],[Jan-2025]])</f>
        <v>18</v>
      </c>
      <c r="AM43" s="422">
        <f>SUMIF(TAB_CS[[#Headers],[#Data],[Tri-1]],'Cessions EDDA'!$H43,TAB_CS[[#Headers],[#Data],[Feb-2025]])</f>
        <v>18</v>
      </c>
      <c r="AN43" s="422">
        <f>SUMIF(TAB_CS[[#Headers],[#Data],[Tri-1]],'Cessions EDDA'!$H43,TAB_CS[[#Headers],[#Data],[Mar-2025]])</f>
        <v>18</v>
      </c>
      <c r="AO43" s="422">
        <f>SUMIF(TAB_CS[[#Headers],[#Data],[Tri-1]],'Cessions EDDA'!$H43,TAB_CS[[#Headers],[#Data],[Apr-2025]])</f>
        <v>18</v>
      </c>
      <c r="AP43" s="422">
        <f>SUMIF(TAB_CS[[#Headers],[#Data],[Tri-1]],'Cessions EDDA'!$H43,TAB_CS[[#Headers],[#Data],[May-2025]])</f>
        <v>18</v>
      </c>
      <c r="AQ43" s="422">
        <f>SUMIF(TAB_CS[[#Headers],[#Data],[Tri-1]],'Cessions EDDA'!$H43,TAB_CS[[#Headers],[#Data],[Jun-2025]])</f>
        <v>18</v>
      </c>
      <c r="AR43" s="422">
        <f>SUMIF(TAB_CS[[#Headers],[#Data],[Tri-1]],'Cessions EDDA'!$H43,TAB_CS[[#Headers],[#Data],[Jul-2025]])</f>
        <v>18</v>
      </c>
      <c r="AS43" s="422">
        <f>SUMIF(TAB_CS[[#Headers],[#Data],[Tri-1]],'Cessions EDDA'!$H43,TAB_CS[[#Headers],[#Data],[Aug-2025]])</f>
        <v>15</v>
      </c>
      <c r="AT43" s="422">
        <f>SUMIF(TAB_CS[[#Headers],[#Data],[Tri-1]],'Cessions EDDA'!$H43,TAB_CS[[#Headers],[#Data],[Sep-2025]])</f>
        <v>0</v>
      </c>
      <c r="AU43" s="422">
        <f>SUMIF(TAB_CS[[#Headers],[#Data],[Tri-1]],'Cessions EDDA'!$H43,TAB_CS[[#Headers],[#Data],[Oct-2025]])</f>
        <v>0</v>
      </c>
      <c r="AV43" s="422">
        <f>SUMIF(TAB_CS[[#Headers],[#Data],[Tri-1]],'Cessions EDDA'!$H43,TAB_CS[[#Headers],[#Data],[Nov-2025]])</f>
        <v>0</v>
      </c>
      <c r="AW43" s="422">
        <f>SUMIF(TAB_CS[[#Headers],[#Data],[Tri-1]],'Cessions EDDA'!$H43,TAB_CS[[#Headers],[#Data],[Dec-2025]])</f>
        <v>0</v>
      </c>
    </row>
    <row r="44" spans="1:49" s="442" customFormat="1" x14ac:dyDescent="0.3">
      <c r="A44" s="653"/>
      <c r="B44" s="434"/>
      <c r="C44" s="435" t="s">
        <v>5900</v>
      </c>
      <c r="D44" s="436">
        <v>450</v>
      </c>
      <c r="E44" s="436">
        <v>559</v>
      </c>
      <c r="F44" s="437">
        <f>(E44-D44)/E44</f>
        <v>0.19499105545617174</v>
      </c>
      <c r="G44" s="438">
        <f>((E44-D44)-(E44*$G$8))/E44</f>
        <v>0.14499105545617172</v>
      </c>
      <c r="H44" s="438" t="str">
        <f>_xlfn.CONCAT(C44,E44)</f>
        <v>TRINDADE-SALGUEIRO, Nuno (projection)559</v>
      </c>
      <c r="I44" s="439" t="s">
        <v>92</v>
      </c>
      <c r="J44" s="439">
        <v>10</v>
      </c>
      <c r="K44" s="440">
        <f>SUMIF(TAB_CS[[#Headers],[#Data],[Tri-1]],'Cessions EDDA'!$H44,TAB_CS[[#Headers],[#Data],[Oct-2022]])</f>
        <v>0</v>
      </c>
      <c r="L44" s="440">
        <f>SUMIF(TAB_CS[[#Headers],[#Data],[Tri-1]],'Cessions EDDA'!$H44,TAB_CS[[#Headers],[#Data],[Nov-2022]])</f>
        <v>0</v>
      </c>
      <c r="M44" s="441">
        <f>SUMIF(TAB_CS[[#Headers],[#Data],[Tri-1]],'Cessions EDDA'!$H44,TAB_CS[[#Headers],[#Data],[Dec-2022]])</f>
        <v>0</v>
      </c>
      <c r="N44" s="441">
        <f>SUMIF(TAB_CS[[#Headers],[#Data],[Tri-1]],'Cessions EDDA'!$H44,TAB_CS[[#Headers],[#Data],[Jan-2023]])</f>
        <v>0</v>
      </c>
      <c r="O44" s="441">
        <f>SUMIF(TAB_CS[[#Headers],[#Data],[Tri-1]],'Cessions EDDA'!$H44,TAB_CS[[#Headers],[#Data],[Feb-2023]])</f>
        <v>0</v>
      </c>
      <c r="P44" s="440">
        <f>SUMIF(TAB_CS[[#Headers],[#Data],[Tri-1]],'Cessions EDDA'!$H44,TAB_CS[[#Headers],[#Data],[Mar-2023]])</f>
        <v>0</v>
      </c>
      <c r="Q44" s="440">
        <f>SUMIF(TAB_CS[[#Headers],[#Data],[Tri-1]],'Cessions EDDA'!$H44,TAB_CS[[#Headers],[#Data],[Apr-2023]])</f>
        <v>0</v>
      </c>
      <c r="R44" s="440">
        <f>SUMIF(TAB_CS[[#Headers],[#Data],[Tri-1]],'Cessions EDDA'!$H44,TAB_CS[[#Headers],[#Data],[May-2023]])</f>
        <v>0</v>
      </c>
      <c r="S44" s="440">
        <f>SUMIF(TAB_CS[[#Headers],[#Data],[Tri-1]],'Cessions EDDA'!$H44,TAB_CS[[#Headers],[#Data],[Jun-2023]])</f>
        <v>0</v>
      </c>
      <c r="T44" s="440">
        <f>SUMIF(TAB_CS[[#Headers],[#Data],[Tri-1]],'Cessions EDDA'!$H44,TAB_CS[[#Headers],[#Data],[Jul-2023]])</f>
        <v>0</v>
      </c>
      <c r="U44" s="440">
        <f>SUMIF(TAB_CS[[#Headers],[#Data],[Tri-1]],'Cessions EDDA'!$H44,TAB_CS[[#Headers],[#Data],[Aug-2023]])</f>
        <v>0</v>
      </c>
      <c r="V44" s="440">
        <f>SUMIF(TAB_CS[[#Headers],[#Data],[Tri-1]],'Cessions EDDA'!$H44,TAB_CS[[#Headers],[#Data],[Sep-2023]])</f>
        <v>0</v>
      </c>
      <c r="W44" s="440">
        <f>SUMIF(TAB_CS[[#Headers],[#Data],[Tri-1]],'Cessions EDDA'!$H44,TAB_CS[[#Headers],[#Data],[Oct-2023]])</f>
        <v>0</v>
      </c>
      <c r="X44" s="440">
        <f>SUMIF(TAB_CS[[#Headers],[#Data],[Tri-1]],'Cessions EDDA'!$H44,TAB_CS[[#Headers],[#Data],[Nov-2023]])</f>
        <v>0</v>
      </c>
      <c r="Y44" s="440">
        <f>SUMIF(TAB_CS[[#Headers],[#Data],[Tri-1]],'Cessions EDDA'!$H44,TAB_CS[[#Headers],[#Data],[Dec-2023]])</f>
        <v>0</v>
      </c>
      <c r="Z44" s="440">
        <f>SUMIF(TAB_CS[[#Headers],[#Data],[Tri-1]],'Cessions EDDA'!$H44,TAB_CS[[#Headers],[#Data],[Jan-2024]])</f>
        <v>0</v>
      </c>
      <c r="AA44" s="440">
        <f>SUMIF(TAB_CS[[#Headers],[#Data],[Tri-1]],'Cessions EDDA'!$H44,TAB_CS[[#Headers],[#Data],[Feb-2024]])</f>
        <v>0</v>
      </c>
      <c r="AB44" s="440">
        <f>SUMIF(TAB_CS[[#Headers],[#Data],[Tri-1]],'Cessions EDDA'!$H44,TAB_CS[[#Headers],[#Data],[Mar-2024]])</f>
        <v>0</v>
      </c>
      <c r="AC44" s="440">
        <f>SUMIF(TAB_CS[[#Headers],[#Data],[Tri-1]],'Cessions EDDA'!$H44,TAB_CS[[#Headers],[#Data],[Apr-2024]])</f>
        <v>0</v>
      </c>
      <c r="AD44" s="440">
        <f>SUMIF(TAB_CS[[#Headers],[#Data],[Tri-1]],'Cessions EDDA'!$H44,TAB_CS[[#Headers],[#Data],[May-2024]])</f>
        <v>0</v>
      </c>
      <c r="AE44" s="440">
        <f>SUMIF(TAB_CS[[#Headers],[#Data],[Tri-1]],'Cessions EDDA'!$H44,TAB_CS[[#Headers],[#Data],[Jun-2024]])</f>
        <v>0</v>
      </c>
      <c r="AF44" s="440">
        <f>SUMIF(TAB_CS[[#Headers],[#Data],[Tri-1]],'Cessions EDDA'!$H44,TAB_CS[[#Headers],[#Data],[Jul-2024]])</f>
        <v>0</v>
      </c>
      <c r="AG44" s="440">
        <f>SUMIF(TAB_CS[[#Headers],[#Data],[Tri-1]],'Cessions EDDA'!$H44,TAB_CS[[#Headers],[#Data],[Aug-2024]])</f>
        <v>0</v>
      </c>
      <c r="AH44" s="440">
        <f>SUMIF(TAB_CS[[#Headers],[#Data],[Tri-1]],'Cessions EDDA'!$H44,TAB_CS[[#Headers],[#Data],[Sep-2024]])</f>
        <v>0</v>
      </c>
      <c r="AI44" s="440">
        <v>0</v>
      </c>
      <c r="AJ44" s="440">
        <v>0</v>
      </c>
      <c r="AK44" s="440">
        <v>0</v>
      </c>
      <c r="AL44" s="440">
        <v>0</v>
      </c>
      <c r="AM44" s="440">
        <v>0</v>
      </c>
      <c r="AN44" s="440">
        <v>0</v>
      </c>
      <c r="AO44" s="440">
        <v>0</v>
      </c>
      <c r="AP44" s="440">
        <v>0</v>
      </c>
      <c r="AQ44" s="440">
        <v>0</v>
      </c>
      <c r="AR44" s="440">
        <v>0</v>
      </c>
      <c r="AS44" s="440">
        <v>3</v>
      </c>
      <c r="AT44" s="440">
        <v>18</v>
      </c>
      <c r="AU44" s="440">
        <v>18</v>
      </c>
      <c r="AV44" s="440">
        <v>18</v>
      </c>
      <c r="AW44" s="440">
        <v>18</v>
      </c>
    </row>
    <row r="45" spans="1:49" x14ac:dyDescent="0.3">
      <c r="A45" s="399"/>
      <c r="B45" s="400"/>
      <c r="C45" s="407" t="s">
        <v>5453</v>
      </c>
      <c r="D45" s="402">
        <v>339.33</v>
      </c>
      <c r="E45" s="402">
        <v>413.82</v>
      </c>
      <c r="F45" s="403">
        <f>(E45-D45)/E45</f>
        <v>0.18000579962302451</v>
      </c>
      <c r="G45" s="404">
        <f t="shared" ref="G45:G54" si="49">((E45-D45)-(E45*$G$41))/E45</f>
        <v>0.14000579962302451</v>
      </c>
      <c r="H45" s="404" t="str">
        <f>_xlfn.CONCAT(C45,E45)</f>
        <v>MARCELLINO, Costanza413,82</v>
      </c>
      <c r="I45" s="405" t="s">
        <v>67</v>
      </c>
      <c r="J45" s="405">
        <v>4</v>
      </c>
      <c r="K45" s="422">
        <f>SUMIF(TAB_CS[[#Headers],[#Data],[Tri-1]],'Cessions EDDA'!$H45,TAB_CS[[#Headers],[#Data],[Oct-2022]])</f>
        <v>0</v>
      </c>
      <c r="L45" s="422">
        <f>SUMIF(TAB_CS[[#Headers],[#Data],[Tri-1]],'Cessions EDDA'!$H45,TAB_CS[[#Headers],[#Data],[Nov-2022]])</f>
        <v>0</v>
      </c>
      <c r="M45" s="422">
        <f>SUMIF(TAB_CS[[#Headers],[#Data],[Tri-1]],'Cessions EDDA'!$H45,TAB_CS[[#Headers],[#Data],[Dec-2022]])</f>
        <v>0</v>
      </c>
      <c r="N45" s="422">
        <f>SUMIF(TAB_CS[[#Headers],[#Data],[Tri-1]],'Cessions EDDA'!$H45,TAB_CS[[#Headers],[#Data],[Jan-2023]])</f>
        <v>0</v>
      </c>
      <c r="O45" s="422">
        <f>SUMIF(TAB_CS[[#Headers],[#Data],[Tri-1]],'Cessions EDDA'!$H45,TAB_CS[[#Headers],[#Data],[Feb-2023]])</f>
        <v>0</v>
      </c>
      <c r="P45" s="422">
        <f>SUMIF(TAB_CS[[#Headers],[#Data],[Tri-1]],'Cessions EDDA'!$H45,TAB_CS[[#Headers],[#Data],[Mar-2023]])</f>
        <v>0</v>
      </c>
      <c r="Q45" s="422">
        <f>SUMIF(TAB_CS[[#Headers],[#Data],[Tri-1]],'Cessions EDDA'!$H45,TAB_CS[[#Headers],[#Data],[Apr-2023]])</f>
        <v>0</v>
      </c>
      <c r="R45" s="422">
        <f>SUMIF(TAB_CS[[#Headers],[#Data],[Tri-1]],'Cessions EDDA'!$H45,TAB_CS[[#Headers],[#Data],[May-2023]])</f>
        <v>0</v>
      </c>
      <c r="S45" s="422">
        <f>SUMIF(TAB_CS[[#Headers],[#Data],[Tri-1]],'Cessions EDDA'!$H45,TAB_CS[[#Headers],[#Data],[Jun-2023]])</f>
        <v>0</v>
      </c>
      <c r="T45" s="422">
        <f>SUMIF(TAB_CS[[#Headers],[#Data],[Tri-1]],'Cessions EDDA'!$H45,TAB_CS[[#Headers],[#Data],[Jul-2023]])</f>
        <v>0</v>
      </c>
      <c r="U45" s="422">
        <f>SUMIF(TAB_CS[[#Headers],[#Data],[Tri-1]],'Cessions EDDA'!$H45,TAB_CS[[#Headers],[#Data],[Aug-2023]])</f>
        <v>0</v>
      </c>
      <c r="V45" s="433">
        <v>18</v>
      </c>
      <c r="W45" s="423">
        <f>SUMIF(TAB_CS[[#Headers],[#Data],[Tri-1]],'Cessions EDDA'!$H45,TAB_CS[[#Headers],[#Data],[Oct-2023]])</f>
        <v>16</v>
      </c>
      <c r="X45" s="423">
        <f>SUMIF(TAB_CS[[#Headers],[#Data],[Tri-1]],'Cessions EDDA'!$H45,TAB_CS[[#Headers],[#Data],[Nov-2023]])</f>
        <v>18</v>
      </c>
      <c r="Y45" s="423">
        <f>SUMIF(TAB_CS[[#Headers],[#Data],[Tri-1]],'Cessions EDDA'!$H45,TAB_CS[[#Headers],[#Data],[Dec-2023]])</f>
        <v>15</v>
      </c>
      <c r="Z45" s="423">
        <f>SUMIF(TAB_CS[[#Headers],[#Data],[Tri-1]],'Cessions EDDA'!$H45,TAB_CS[[#Headers],[#Data],[Jan-2024]])</f>
        <v>17</v>
      </c>
      <c r="AA45" s="423">
        <f>SUMIF(TAB_CS[[#Headers],[#Data],[Tri-1]],'Cessions EDDA'!$H45,TAB_CS[[#Headers],[#Data],[Feb-2024]])</f>
        <v>15</v>
      </c>
      <c r="AB45" s="423">
        <f>SUMIF(TAB_CS[[#Headers],[#Data],[Tri-1]],'Cessions EDDA'!$H45,TAB_CS[[#Headers],[#Data],[Mar-2024]])</f>
        <v>15</v>
      </c>
      <c r="AC45" s="423">
        <f>SUMIF(TAB_CS[[#Headers],[#Data],[Tri-1]],'Cessions EDDA'!$H45,TAB_CS[[#Headers],[#Data],[Apr-2024]])</f>
        <v>15</v>
      </c>
      <c r="AD45" s="423">
        <f>SUMIF(TAB_CS[[#Headers],[#Data],[Tri-1]],'Cessions EDDA'!$H45,TAB_CS[[#Headers],[#Data],[May-2024]])</f>
        <v>16</v>
      </c>
      <c r="AE45" s="423">
        <f>SUMIF(TAB_CS[[#Headers],[#Data],[Tri-1]],'Cessions EDDA'!$H45,TAB_CS[[#Headers],[#Data],[Jun-2024]])</f>
        <v>15</v>
      </c>
      <c r="AF45" s="423">
        <f>SUMIF(TAB_CS[[#Headers],[#Data],[Tri-1]],'Cessions EDDA'!$H45,TAB_CS[[#Headers],[#Data],[Jul-2024]])</f>
        <v>16</v>
      </c>
      <c r="AG45" s="423">
        <f>SUMIF(TAB_CS[[#Headers],[#Data],[Tri-1]],'Cessions EDDA'!$H45,TAB_CS[[#Headers],[#Data],[Aug-2024]])</f>
        <v>16</v>
      </c>
      <c r="AH45" s="423">
        <f>SUMIF(TAB_CS[[#Headers],[#Data],[Tri-1]],'Cessions EDDA'!$H45,TAB_CS[[#Headers],[#Data],[Sep-2024]])</f>
        <v>15</v>
      </c>
      <c r="AI45" s="422">
        <f>SUMIF(TAB_CS[[#Headers],[#Data],[Tri-1]],'Cessions EDDA'!$H45,TAB_CS[[#Headers],[#Data],[Oct-2024]])</f>
        <v>10</v>
      </c>
      <c r="AJ45" s="422">
        <f>SUMIF(TAB_CS[[#Headers],[#Data],[Tri-1]],'Cessions EDDA'!$H45,TAB_CS[[#Headers],[#Data],[Nov-2024]])</f>
        <v>0</v>
      </c>
      <c r="AK45" s="422">
        <f>SUMIF(TAB_CS[[#Headers],[#Data],[Tri-1]],'Cessions EDDA'!$H45,TAB_CS[[#Headers],[#Data],[Dec-2024]])</f>
        <v>0</v>
      </c>
      <c r="AL45" s="422">
        <f>SUMIF(TAB_CS[[#Headers],[#Data],[Tri-1]],'Cessions EDDA'!$H45,TAB_CS[[#Headers],[#Data],[Jan-2025]])</f>
        <v>0</v>
      </c>
      <c r="AM45" s="422">
        <f>SUMIF(TAB_CS[[#Headers],[#Data],[Tri-1]],'Cessions EDDA'!$H45,TAB_CS[[#Headers],[#Data],[Feb-2025]])</f>
        <v>0</v>
      </c>
      <c r="AN45" s="422">
        <f>SUMIF(TAB_CS[[#Headers],[#Data],[Tri-1]],'Cessions EDDA'!$H45,TAB_CS[[#Headers],[#Data],[Mar-2025]])</f>
        <v>0</v>
      </c>
      <c r="AO45" s="422">
        <f>SUMIF(TAB_CS[[#Headers],[#Data],[Tri-1]],'Cessions EDDA'!$H45,TAB_CS[[#Headers],[#Data],[Apr-2025]])</f>
        <v>0</v>
      </c>
      <c r="AP45" s="422">
        <f>SUMIF(TAB_CS[[#Headers],[#Data],[Tri-1]],'Cessions EDDA'!$H45,TAB_CS[[#Headers],[#Data],[May-2025]])</f>
        <v>0</v>
      </c>
      <c r="AQ45" s="422">
        <f>SUMIF(TAB_CS[[#Headers],[#Data],[Tri-1]],'Cessions EDDA'!$H45,TAB_CS[[#Headers],[#Data],[Jun-2025]])</f>
        <v>0</v>
      </c>
      <c r="AR45" s="422">
        <f>SUMIF(TAB_CS[[#Headers],[#Data],[Tri-1]],'Cessions EDDA'!$H45,TAB_CS[[#Headers],[#Data],[Jul-2025]])</f>
        <v>0</v>
      </c>
      <c r="AS45" s="422">
        <f>SUMIF(TAB_CS[[#Headers],[#Data],[Tri-1]],'Cessions EDDA'!$H45,TAB_CS[[#Headers],[#Data],[Aug-2025]])</f>
        <v>0</v>
      </c>
      <c r="AT45" s="422">
        <f>SUMIF(TAB_CS[[#Headers],[#Data],[Tri-1]],'Cessions EDDA'!$H45,TAB_CS[[#Headers],[#Data],[Sep-2025]])</f>
        <v>0</v>
      </c>
      <c r="AU45" s="422">
        <f>SUMIF(TAB_CS[[#Headers],[#Data],[Tri-1]],'Cessions EDDA'!$H45,TAB_CS[[#Headers],[#Data],[Oct-2025]])</f>
        <v>0</v>
      </c>
      <c r="AV45" s="422">
        <f>SUMIF(TAB_CS[[#Headers],[#Data],[Tri-1]],'Cessions EDDA'!$H45,TAB_CS[[#Headers],[#Data],[Nov-2025]])</f>
        <v>0</v>
      </c>
      <c r="AW45" s="422">
        <f>SUMIF(TAB_CS[[#Headers],[#Data],[Tri-1]],'Cessions EDDA'!$H45,TAB_CS[[#Headers],[#Data],[Dec-2025]])</f>
        <v>0</v>
      </c>
    </row>
    <row r="46" spans="1:49" s="442" customFormat="1" x14ac:dyDescent="0.3">
      <c r="A46" s="654"/>
      <c r="B46" s="434"/>
      <c r="C46" s="435" t="s">
        <v>5901</v>
      </c>
      <c r="D46" s="436">
        <v>400</v>
      </c>
      <c r="E46" s="436">
        <v>466.03</v>
      </c>
      <c r="F46" s="437">
        <f>(E46-D46)/E46</f>
        <v>0.14168615754350572</v>
      </c>
      <c r="G46" s="438">
        <f t="shared" ref="G46" si="50">((E46-D46)-(E46*$G$41))/E46</f>
        <v>0.10168615754350574</v>
      </c>
      <c r="H46" s="438" t="str">
        <f>_xlfn.CONCAT(C46,E46)</f>
        <v>MARCELLINO, Costanza (projection)466,03</v>
      </c>
      <c r="I46" s="439" t="s">
        <v>67</v>
      </c>
      <c r="J46" s="439">
        <v>4</v>
      </c>
      <c r="K46" s="440">
        <f>SUMIF(TAB_CS[[#Headers],[#Data],[Tri-1]],'Cessions EDDA'!$H46,TAB_CS[[#Headers],[#Data],[Oct-2022]])</f>
        <v>0</v>
      </c>
      <c r="L46" s="440">
        <f>SUMIF(TAB_CS[[#Headers],[#Data],[Tri-1]],'Cessions EDDA'!$H46,TAB_CS[[#Headers],[#Data],[Nov-2022]])</f>
        <v>0</v>
      </c>
      <c r="M46" s="440">
        <f>SUMIF(TAB_CS[[#Headers],[#Data],[Tri-1]],'Cessions EDDA'!$H46,TAB_CS[[#Headers],[#Data],[Dec-2022]])</f>
        <v>0</v>
      </c>
      <c r="N46" s="440">
        <f>SUMIF(TAB_CS[[#Headers],[#Data],[Tri-1]],'Cessions EDDA'!$H46,TAB_CS[[#Headers],[#Data],[Jan-2023]])</f>
        <v>0</v>
      </c>
      <c r="O46" s="440">
        <f>SUMIF(TAB_CS[[#Headers],[#Data],[Tri-1]],'Cessions EDDA'!$H46,TAB_CS[[#Headers],[#Data],[Feb-2023]])</f>
        <v>0</v>
      </c>
      <c r="P46" s="440">
        <f>SUMIF(TAB_CS[[#Headers],[#Data],[Tri-1]],'Cessions EDDA'!$H46,TAB_CS[[#Headers],[#Data],[Mar-2023]])</f>
        <v>0</v>
      </c>
      <c r="Q46" s="440">
        <f>SUMIF(TAB_CS[[#Headers],[#Data],[Tri-1]],'Cessions EDDA'!$H46,TAB_CS[[#Headers],[#Data],[Apr-2023]])</f>
        <v>0</v>
      </c>
      <c r="R46" s="440">
        <f>SUMIF(TAB_CS[[#Headers],[#Data],[Tri-1]],'Cessions EDDA'!$H46,TAB_CS[[#Headers],[#Data],[May-2023]])</f>
        <v>0</v>
      </c>
      <c r="S46" s="440">
        <f>SUMIF(TAB_CS[[#Headers],[#Data],[Tri-1]],'Cessions EDDA'!$H46,TAB_CS[[#Headers],[#Data],[Jun-2023]])</f>
        <v>0</v>
      </c>
      <c r="T46" s="440">
        <f>SUMIF(TAB_CS[[#Headers],[#Data],[Tri-1]],'Cessions EDDA'!$H46,TAB_CS[[#Headers],[#Data],[Jul-2023]])</f>
        <v>0</v>
      </c>
      <c r="U46" s="440">
        <f>SUMIF(TAB_CS[[#Headers],[#Data],[Tri-1]],'Cessions EDDA'!$H46,TAB_CS[[#Headers],[#Data],[Aug-2023]])</f>
        <v>0</v>
      </c>
      <c r="V46" s="440">
        <f>SUMIF(TAB_CS[[#Headers],[#Data],[Tri-1]],'Cessions EDDA'!$H46,TAB_CS[[#Headers],[#Data],[Sep-2023]])</f>
        <v>0</v>
      </c>
      <c r="W46" s="440">
        <f>SUMIF(TAB_CS[[#Headers],[#Data],[Tri-1]],'Cessions EDDA'!$H46,TAB_CS[[#Headers],[#Data],[Oct-2023]])</f>
        <v>0</v>
      </c>
      <c r="X46" s="440">
        <f>SUMIF(TAB_CS[[#Headers],[#Data],[Tri-1]],'Cessions EDDA'!$H46,TAB_CS[[#Headers],[#Data],[Nov-2023]])</f>
        <v>0</v>
      </c>
      <c r="Y46" s="440">
        <f>SUMIF(TAB_CS[[#Headers],[#Data],[Tri-1]],'Cessions EDDA'!$H46,TAB_CS[[#Headers],[#Data],[Dec-2023]])</f>
        <v>0</v>
      </c>
      <c r="Z46" s="440">
        <f>SUMIF(TAB_CS[[#Headers],[#Data],[Tri-1]],'Cessions EDDA'!$H46,TAB_CS[[#Headers],[#Data],[Jan-2024]])</f>
        <v>0</v>
      </c>
      <c r="AA46" s="440">
        <f>SUMIF(TAB_CS[[#Headers],[#Data],[Tri-1]],'Cessions EDDA'!$H46,TAB_CS[[#Headers],[#Data],[Feb-2024]])</f>
        <v>0</v>
      </c>
      <c r="AB46" s="440">
        <f>SUMIF(TAB_CS[[#Headers],[#Data],[Tri-1]],'Cessions EDDA'!$H46,TAB_CS[[#Headers],[#Data],[Mar-2024]])</f>
        <v>0</v>
      </c>
      <c r="AC46" s="440">
        <f>SUMIF(TAB_CS[[#Headers],[#Data],[Tri-1]],'Cessions EDDA'!$H46,TAB_CS[[#Headers],[#Data],[Apr-2024]])</f>
        <v>0</v>
      </c>
      <c r="AD46" s="440">
        <f>SUMIF(TAB_CS[[#Headers],[#Data],[Tri-1]],'Cessions EDDA'!$H46,TAB_CS[[#Headers],[#Data],[May-2024]])</f>
        <v>0</v>
      </c>
      <c r="AE46" s="440">
        <f>SUMIF(TAB_CS[[#Headers],[#Data],[Tri-1]],'Cessions EDDA'!$H46,TAB_CS[[#Headers],[#Data],[Jun-2024]])</f>
        <v>0</v>
      </c>
      <c r="AF46" s="440">
        <f>SUMIF(TAB_CS[[#Headers],[#Data],[Tri-1]],'Cessions EDDA'!$H46,TAB_CS[[#Headers],[#Data],[Jul-2024]])</f>
        <v>0</v>
      </c>
      <c r="AG46" s="440">
        <f>SUMIF(TAB_CS[[#Headers],[#Data],[Tri-1]],'Cessions EDDA'!$H46,TAB_CS[[#Headers],[#Data],[Aug-2024]])</f>
        <v>0</v>
      </c>
      <c r="AH46" s="440">
        <v>0</v>
      </c>
      <c r="AI46" s="440">
        <v>8</v>
      </c>
      <c r="AJ46" s="440">
        <v>18</v>
      </c>
      <c r="AK46" s="440">
        <v>18</v>
      </c>
      <c r="AL46" s="440">
        <v>18</v>
      </c>
      <c r="AM46" s="440">
        <v>18</v>
      </c>
      <c r="AN46" s="440">
        <v>18</v>
      </c>
      <c r="AO46" s="440">
        <v>18</v>
      </c>
      <c r="AP46" s="440">
        <v>18</v>
      </c>
      <c r="AQ46" s="440">
        <v>18</v>
      </c>
      <c r="AR46" s="440">
        <v>18</v>
      </c>
      <c r="AS46" s="440">
        <v>18</v>
      </c>
      <c r="AT46" s="440">
        <v>18</v>
      </c>
      <c r="AU46" s="440">
        <v>18</v>
      </c>
      <c r="AV46" s="440">
        <v>18</v>
      </c>
      <c r="AW46" s="440">
        <v>18</v>
      </c>
    </row>
    <row r="47" spans="1:49" s="392" customFormat="1" x14ac:dyDescent="0.25">
      <c r="B47" s="397"/>
      <c r="C47" s="397"/>
      <c r="D47" s="397"/>
      <c r="E47" s="397"/>
      <c r="F47" s="397"/>
      <c r="G47" s="398">
        <v>0.04</v>
      </c>
      <c r="H47" s="398"/>
      <c r="I47" s="397"/>
      <c r="J47" s="397"/>
      <c r="K47" s="397"/>
      <c r="L47" s="397"/>
      <c r="M47" s="417"/>
      <c r="N47" s="397"/>
      <c r="O47" s="397"/>
      <c r="P47" s="397"/>
      <c r="Q47" s="397"/>
      <c r="R47" s="397"/>
      <c r="S47" s="397"/>
      <c r="T47" s="397"/>
      <c r="U47" s="397"/>
      <c r="V47" s="397"/>
      <c r="W47" s="397"/>
      <c r="X47" s="397"/>
      <c r="Y47" s="397"/>
      <c r="Z47" s="397"/>
      <c r="AA47" s="397"/>
      <c r="AB47" s="397"/>
      <c r="AC47" s="397"/>
      <c r="AD47" s="397"/>
      <c r="AE47" s="397"/>
      <c r="AF47" s="397"/>
      <c r="AG47" s="397"/>
      <c r="AH47" s="397"/>
      <c r="AI47" s="397"/>
      <c r="AJ47" s="397"/>
      <c r="AK47" s="397"/>
      <c r="AL47" s="397"/>
      <c r="AM47" s="397"/>
      <c r="AN47" s="397"/>
      <c r="AO47" s="397"/>
      <c r="AP47" s="397"/>
      <c r="AQ47" s="397"/>
      <c r="AR47" s="397"/>
      <c r="AS47" s="397"/>
      <c r="AT47" s="397"/>
      <c r="AU47" s="397"/>
      <c r="AV47" s="397"/>
      <c r="AW47" s="397"/>
    </row>
    <row r="48" spans="1:49" x14ac:dyDescent="0.3">
      <c r="A48" s="399"/>
      <c r="B48" s="400"/>
      <c r="C48" s="401"/>
      <c r="D48" s="402"/>
      <c r="E48" s="402"/>
      <c r="F48" s="403" t="e">
        <f t="shared" ref="F48:F53" si="51">(E48-D48)/E48</f>
        <v>#DIV/0!</v>
      </c>
      <c r="G48" s="404" t="e">
        <f t="shared" si="49"/>
        <v>#DIV/0!</v>
      </c>
      <c r="H48" s="404"/>
      <c r="I48" s="405"/>
      <c r="J48" s="405"/>
      <c r="K48" s="422">
        <f>SUMIF(TAB_CS[[#Headers],[#Data],[Tri-1]],'Cessions EDDA'!$H48,TAB_CS[[#Headers],[#Data],[Oct-2022]])</f>
        <v>0</v>
      </c>
      <c r="L48" s="422">
        <f>SUMIF(TAB_CS[[#Headers],[#Data],[Tri-1]],'Cessions EDDA'!$H48,TAB_CS[[#Headers],[#Data],[Nov-2022]])</f>
        <v>0</v>
      </c>
      <c r="M48" s="422">
        <f>SUMIF(TAB_CS[[#Headers],[#Data],[Tri-1]],'Cessions EDDA'!$H48,TAB_CS[[#Headers],[#Data],[Dec-2022]])</f>
        <v>0</v>
      </c>
      <c r="N48" s="422">
        <f>SUMIF(TAB_CS[[#Headers],[#Data],[Tri-1]],'Cessions EDDA'!$H48,TAB_CS[[#Headers],[#Data],[Jan-2023]])</f>
        <v>0</v>
      </c>
      <c r="O48" s="422">
        <f>SUMIF(TAB_CS[[#Headers],[#Data],[Tri-1]],'Cessions EDDA'!$H48,TAB_CS[[#Headers],[#Data],[Feb-2023]])</f>
        <v>0</v>
      </c>
      <c r="P48" s="422">
        <f>SUMIF(TAB_CS[[#Headers],[#Data],[Tri-1]],'Cessions EDDA'!$H48,TAB_CS[[#Headers],[#Data],[Mar-2023]])</f>
        <v>0</v>
      </c>
      <c r="Q48" s="422">
        <f>SUMIF(TAB_CS[[#Headers],[#Data],[Tri-1]],'Cessions EDDA'!$H48,TAB_CS[[#Headers],[#Data],[Apr-2023]])</f>
        <v>0</v>
      </c>
      <c r="R48" s="422">
        <f>SUMIF(TAB_CS[[#Headers],[#Data],[Tri-1]],'Cessions EDDA'!$H48,TAB_CS[[#Headers],[#Data],[May-2023]])</f>
        <v>0</v>
      </c>
      <c r="S48" s="422">
        <f>SUMIF(TAB_CS[[#Headers],[#Data],[Tri-1]],'Cessions EDDA'!$H48,TAB_CS[[#Headers],[#Data],[Jun-2023]])</f>
        <v>0</v>
      </c>
      <c r="T48" s="422">
        <f>SUMIF(TAB_CS[[#Headers],[#Data],[Tri-1]],'Cessions EDDA'!$H48,TAB_CS[[#Headers],[#Data],[Jul-2023]])</f>
        <v>0</v>
      </c>
      <c r="U48" s="422">
        <f>SUMIF(TAB_CS[[#Headers],[#Data],[Tri-1]],'Cessions EDDA'!$H48,TAB_CS[[#Headers],[#Data],[Aug-2023]])</f>
        <v>0</v>
      </c>
      <c r="V48" s="422">
        <f>SUMIF(TAB_CS[[#Headers],[#Data],[Tri-1]],'Cessions EDDA'!$H48,TAB_CS[[#Headers],[#Data],[Sep-2023]])</f>
        <v>0</v>
      </c>
      <c r="W48" s="422">
        <f>SUMIF(TAB_CS[[#Headers],[#Data],[Tri-1]],'Cessions EDDA'!$H48,TAB_CS[[#Headers],[#Data],[Oct-2023]])</f>
        <v>0</v>
      </c>
      <c r="X48" s="422">
        <f>SUMIF(TAB_CS[[#Headers],[#Data],[Tri-1]],'Cessions EDDA'!$H48,TAB_CS[[#Headers],[#Data],[Nov-2023]])</f>
        <v>0</v>
      </c>
      <c r="Y48" s="422">
        <f>SUMIF(TAB_CS[[#Headers],[#Data],[Tri-1]],'Cessions EDDA'!$H48,TAB_CS[[#Headers],[#Data],[Dec-2023]])</f>
        <v>0</v>
      </c>
      <c r="Z48" s="422">
        <f>SUMIF(TAB_CS[[#Headers],[#Data],[Tri-1]],'Cessions EDDA'!$H48,TAB_CS[[#Headers],[#Data],[Jan-2024]])</f>
        <v>0</v>
      </c>
      <c r="AA48" s="422">
        <f>SUMIF(TAB_CS[[#Headers],[#Data],[Tri-1]],'Cessions EDDA'!$H48,TAB_CS[[#Headers],[#Data],[Feb-2024]])</f>
        <v>0</v>
      </c>
      <c r="AB48" s="422">
        <f>SUMIF(TAB_CS[[#Headers],[#Data],[Tri-1]],'Cessions EDDA'!$H48,TAB_CS[[#Headers],[#Data],[Mar-2024]])</f>
        <v>0</v>
      </c>
      <c r="AC48" s="422">
        <f>SUMIF(TAB_CS[[#Headers],[#Data],[Tri-1]],'Cessions EDDA'!$H48,TAB_CS[[#Headers],[#Data],[Apr-2024]])</f>
        <v>0</v>
      </c>
      <c r="AD48" s="422">
        <f>SUMIF(TAB_CS[[#Headers],[#Data],[Tri-1]],'Cessions EDDA'!$H48,TAB_CS[[#Headers],[#Data],[May-2024]])</f>
        <v>0</v>
      </c>
      <c r="AE48" s="422">
        <f>SUMIF(TAB_CS[[#Headers],[#Data],[Tri-1]],'Cessions EDDA'!$H48,TAB_CS[[#Headers],[#Data],[Jun-2024]])</f>
        <v>0</v>
      </c>
      <c r="AF48" s="422">
        <f>SUMIF(TAB_CS[[#Headers],[#Data],[Tri-1]],'Cessions EDDA'!$H48,TAB_CS[[#Headers],[#Data],[Jul-2024]])</f>
        <v>0</v>
      </c>
      <c r="AG48" s="422">
        <f>SUMIF(TAB_CS[[#Headers],[#Data],[Tri-1]],'Cessions EDDA'!$H48,TAB_CS[[#Headers],[#Data],[Aug-2024]])</f>
        <v>0</v>
      </c>
      <c r="AH48" s="422">
        <f>SUMIF(TAB_CS[[#Headers],[#Data],[Tri-1]],'Cessions EDDA'!$H48,TAB_CS[[#Headers],[#Data],[Sep-2024]])</f>
        <v>0</v>
      </c>
      <c r="AI48" s="422">
        <f>SUMIF(TAB_CS[[#Headers],[#Data],[Tri-1]],'Cessions EDDA'!$H48,TAB_CS[[#Headers],[#Data],[Oct-2024]])</f>
        <v>0</v>
      </c>
      <c r="AJ48" s="422">
        <f>SUMIF(TAB_CS[[#Headers],[#Data],[Tri-1]],'Cessions EDDA'!$H48,TAB_CS[[#Headers],[#Data],[Nov-2024]])</f>
        <v>0</v>
      </c>
      <c r="AK48" s="422">
        <f>SUMIF(TAB_CS[[#Headers],[#Data],[Tri-1]],'Cessions EDDA'!$H48,TAB_CS[[#Headers],[#Data],[Dec-2024]])</f>
        <v>0</v>
      </c>
      <c r="AL48" s="422">
        <f>SUMIF(TAB_CS[[#Headers],[#Data],[Tri-1]],'Cessions EDDA'!$H48,TAB_CS[[#Headers],[#Data],[Jan-2025]])</f>
        <v>0</v>
      </c>
      <c r="AM48" s="422">
        <f>SUMIF(TAB_CS[[#Headers],[#Data],[Tri-1]],'Cessions EDDA'!$H48,TAB_CS[[#Headers],[#Data],[Feb-2025]])</f>
        <v>0</v>
      </c>
      <c r="AN48" s="422">
        <f>SUMIF(TAB_CS[[#Headers],[#Data],[Tri-1]],'Cessions EDDA'!$H48,TAB_CS[[#Headers],[#Data],[Mar-2025]])</f>
        <v>0</v>
      </c>
      <c r="AO48" s="422">
        <f>SUMIF(TAB_CS[[#Headers],[#Data],[Tri-1]],'Cessions EDDA'!$H48,TAB_CS[[#Headers],[#Data],[Apr-2025]])</f>
        <v>0</v>
      </c>
      <c r="AP48" s="422">
        <f>SUMIF(TAB_CS[[#Headers],[#Data],[Tri-1]],'Cessions EDDA'!$H48,TAB_CS[[#Headers],[#Data],[May-2025]])</f>
        <v>0</v>
      </c>
      <c r="AQ48" s="422">
        <f>SUMIF(TAB_CS[[#Headers],[#Data],[Tri-1]],'Cessions EDDA'!$H48,TAB_CS[[#Headers],[#Data],[Jun-2025]])</f>
        <v>0</v>
      </c>
      <c r="AR48" s="422">
        <f>SUMIF(TAB_CS[[#Headers],[#Data],[Tri-1]],'Cessions EDDA'!$H48,TAB_CS[[#Headers],[#Data],[Jul-2025]])</f>
        <v>0</v>
      </c>
      <c r="AS48" s="422">
        <f>SUMIF(TAB_CS[[#Headers],[#Data],[Tri-1]],'Cessions EDDA'!$H48,TAB_CS[[#Headers],[#Data],[Aug-2025]])</f>
        <v>0</v>
      </c>
      <c r="AT48" s="422">
        <f>SUMIF(TAB_CS[[#Headers],[#Data],[Tri-1]],'Cessions EDDA'!$H48,TAB_CS[[#Headers],[#Data],[Sep-2025]])</f>
        <v>0</v>
      </c>
      <c r="AU48" s="422">
        <f>SUMIF(TAB_CS[[#Headers],[#Data],[Tri-1]],'Cessions EDDA'!$H48,TAB_CS[[#Headers],[#Data],[Oct-2025]])</f>
        <v>0</v>
      </c>
      <c r="AV48" s="422">
        <f>SUMIF(TAB_CS[[#Headers],[#Data],[Tri-1]],'Cessions EDDA'!$H48,TAB_CS[[#Headers],[#Data],[Nov-2025]])</f>
        <v>0</v>
      </c>
      <c r="AW48" s="422">
        <f>SUMIF(TAB_CS[[#Headers],[#Data],[Tri-1]],'Cessions EDDA'!$H48,TAB_CS[[#Headers],[#Data],[Dec-2025]])</f>
        <v>0</v>
      </c>
    </row>
    <row r="49" spans="1:49" x14ac:dyDescent="0.3">
      <c r="A49" s="399"/>
      <c r="B49" s="400"/>
      <c r="C49" s="401"/>
      <c r="D49" s="402"/>
      <c r="E49" s="402"/>
      <c r="F49" s="403" t="e">
        <f t="shared" si="51"/>
        <v>#DIV/0!</v>
      </c>
      <c r="G49" s="404" t="e">
        <f t="shared" si="49"/>
        <v>#DIV/0!</v>
      </c>
      <c r="H49" s="404"/>
      <c r="I49" s="405"/>
      <c r="J49" s="405"/>
      <c r="K49" s="422">
        <f>SUMIF(TAB_CS[[#Headers],[#Data],[Tri-1]],'Cessions EDDA'!$H49,TAB_CS[[#Headers],[#Data],[Oct-2022]])</f>
        <v>0</v>
      </c>
      <c r="L49" s="422">
        <f>SUMIF(TAB_CS[[#Headers],[#Data],[Tri-1]],'Cessions EDDA'!$H49,TAB_CS[[#Headers],[#Data],[Nov-2022]])</f>
        <v>0</v>
      </c>
      <c r="M49" s="422">
        <f>SUMIF(TAB_CS[[#Headers],[#Data],[Tri-1]],'Cessions EDDA'!$H49,TAB_CS[[#Headers],[#Data],[Dec-2022]])</f>
        <v>0</v>
      </c>
      <c r="N49" s="422">
        <f>SUMIF(TAB_CS[[#Headers],[#Data],[Tri-1]],'Cessions EDDA'!$H49,TAB_CS[[#Headers],[#Data],[Jan-2023]])</f>
        <v>0</v>
      </c>
      <c r="O49" s="422">
        <f>SUMIF(TAB_CS[[#Headers],[#Data],[Tri-1]],'Cessions EDDA'!$H49,TAB_CS[[#Headers],[#Data],[Feb-2023]])</f>
        <v>0</v>
      </c>
      <c r="P49" s="422">
        <f>SUMIF(TAB_CS[[#Headers],[#Data],[Tri-1]],'Cessions EDDA'!$H49,TAB_CS[[#Headers],[#Data],[Mar-2023]])</f>
        <v>0</v>
      </c>
      <c r="Q49" s="422">
        <f>SUMIF(TAB_CS[[#Headers],[#Data],[Tri-1]],'Cessions EDDA'!$H49,TAB_CS[[#Headers],[#Data],[Apr-2023]])</f>
        <v>0</v>
      </c>
      <c r="R49" s="422">
        <f>SUMIF(TAB_CS[[#Headers],[#Data],[Tri-1]],'Cessions EDDA'!$H49,TAB_CS[[#Headers],[#Data],[May-2023]])</f>
        <v>0</v>
      </c>
      <c r="S49" s="422">
        <f>SUMIF(TAB_CS[[#Headers],[#Data],[Tri-1]],'Cessions EDDA'!$H49,TAB_CS[[#Headers],[#Data],[Jun-2023]])</f>
        <v>0</v>
      </c>
      <c r="T49" s="422">
        <f>SUMIF(TAB_CS[[#Headers],[#Data],[Tri-1]],'Cessions EDDA'!$H49,TAB_CS[[#Headers],[#Data],[Jul-2023]])</f>
        <v>0</v>
      </c>
      <c r="U49" s="422">
        <f>SUMIF(TAB_CS[[#Headers],[#Data],[Tri-1]],'Cessions EDDA'!$H49,TAB_CS[[#Headers],[#Data],[Aug-2023]])</f>
        <v>0</v>
      </c>
      <c r="V49" s="422">
        <f>SUMIF(TAB_CS[[#Headers],[#Data],[Tri-1]],'Cessions EDDA'!$H49,TAB_CS[[#Headers],[#Data],[Sep-2023]])</f>
        <v>0</v>
      </c>
      <c r="W49" s="422">
        <f>SUMIF(TAB_CS[[#Headers],[#Data],[Tri-1]],'Cessions EDDA'!$H49,TAB_CS[[#Headers],[#Data],[Oct-2023]])</f>
        <v>0</v>
      </c>
      <c r="X49" s="422">
        <f>SUMIF(TAB_CS[[#Headers],[#Data],[Tri-1]],'Cessions EDDA'!$H49,TAB_CS[[#Headers],[#Data],[Nov-2023]])</f>
        <v>0</v>
      </c>
      <c r="Y49" s="422">
        <f>SUMIF(TAB_CS[[#Headers],[#Data],[Tri-1]],'Cessions EDDA'!$H49,TAB_CS[[#Headers],[#Data],[Dec-2023]])</f>
        <v>0</v>
      </c>
      <c r="Z49" s="422">
        <f>SUMIF(TAB_CS[[#Headers],[#Data],[Tri-1]],'Cessions EDDA'!$H49,TAB_CS[[#Headers],[#Data],[Jan-2024]])</f>
        <v>0</v>
      </c>
      <c r="AA49" s="422">
        <f>SUMIF(TAB_CS[[#Headers],[#Data],[Tri-1]],'Cessions EDDA'!$H49,TAB_CS[[#Headers],[#Data],[Feb-2024]])</f>
        <v>0</v>
      </c>
      <c r="AB49" s="422">
        <f>SUMIF(TAB_CS[[#Headers],[#Data],[Tri-1]],'Cessions EDDA'!$H49,TAB_CS[[#Headers],[#Data],[Mar-2024]])</f>
        <v>0</v>
      </c>
      <c r="AC49" s="422">
        <f>SUMIF(TAB_CS[[#Headers],[#Data],[Tri-1]],'Cessions EDDA'!$H49,TAB_CS[[#Headers],[#Data],[Apr-2024]])</f>
        <v>0</v>
      </c>
      <c r="AD49" s="422">
        <f>SUMIF(TAB_CS[[#Headers],[#Data],[Tri-1]],'Cessions EDDA'!$H49,TAB_CS[[#Headers],[#Data],[May-2024]])</f>
        <v>0</v>
      </c>
      <c r="AE49" s="422">
        <f>SUMIF(TAB_CS[[#Headers],[#Data],[Tri-1]],'Cessions EDDA'!$H49,TAB_CS[[#Headers],[#Data],[Jun-2024]])</f>
        <v>0</v>
      </c>
      <c r="AF49" s="422">
        <f>SUMIF(TAB_CS[[#Headers],[#Data],[Tri-1]],'Cessions EDDA'!$H49,TAB_CS[[#Headers],[#Data],[Jul-2024]])</f>
        <v>0</v>
      </c>
      <c r="AG49" s="422">
        <f>SUMIF(TAB_CS[[#Headers],[#Data],[Tri-1]],'Cessions EDDA'!$H49,TAB_CS[[#Headers],[#Data],[Aug-2024]])</f>
        <v>0</v>
      </c>
      <c r="AH49" s="422">
        <f>SUMIF(TAB_CS[[#Headers],[#Data],[Tri-1]],'Cessions EDDA'!$H49,TAB_CS[[#Headers],[#Data],[Sep-2024]])</f>
        <v>0</v>
      </c>
      <c r="AI49" s="422">
        <f>SUMIF(TAB_CS[[#Headers],[#Data],[Tri-1]],'Cessions EDDA'!$H49,TAB_CS[[#Headers],[#Data],[Oct-2024]])</f>
        <v>0</v>
      </c>
      <c r="AJ49" s="422">
        <f>SUMIF(TAB_CS[[#Headers],[#Data],[Tri-1]],'Cessions EDDA'!$H49,TAB_CS[[#Headers],[#Data],[Nov-2024]])</f>
        <v>0</v>
      </c>
      <c r="AK49" s="422">
        <f>SUMIF(TAB_CS[[#Headers],[#Data],[Tri-1]],'Cessions EDDA'!$H49,TAB_CS[[#Headers],[#Data],[Dec-2024]])</f>
        <v>0</v>
      </c>
      <c r="AL49" s="422">
        <f>SUMIF(TAB_CS[[#Headers],[#Data],[Tri-1]],'Cessions EDDA'!$H49,TAB_CS[[#Headers],[#Data],[Jan-2025]])</f>
        <v>0</v>
      </c>
      <c r="AM49" s="422">
        <f>SUMIF(TAB_CS[[#Headers],[#Data],[Tri-1]],'Cessions EDDA'!$H49,TAB_CS[[#Headers],[#Data],[Feb-2025]])</f>
        <v>0</v>
      </c>
      <c r="AN49" s="422">
        <f>SUMIF(TAB_CS[[#Headers],[#Data],[Tri-1]],'Cessions EDDA'!$H49,TAB_CS[[#Headers],[#Data],[Mar-2025]])</f>
        <v>0</v>
      </c>
      <c r="AO49" s="422">
        <f>SUMIF(TAB_CS[[#Headers],[#Data],[Tri-1]],'Cessions EDDA'!$H49,TAB_CS[[#Headers],[#Data],[Apr-2025]])</f>
        <v>0</v>
      </c>
      <c r="AP49" s="422">
        <f>SUMIF(TAB_CS[[#Headers],[#Data],[Tri-1]],'Cessions EDDA'!$H49,TAB_CS[[#Headers],[#Data],[May-2025]])</f>
        <v>0</v>
      </c>
      <c r="AQ49" s="422">
        <f>SUMIF(TAB_CS[[#Headers],[#Data],[Tri-1]],'Cessions EDDA'!$H49,TAB_CS[[#Headers],[#Data],[Jun-2025]])</f>
        <v>0</v>
      </c>
      <c r="AR49" s="422">
        <f>SUMIF(TAB_CS[[#Headers],[#Data],[Tri-1]],'Cessions EDDA'!$H49,TAB_CS[[#Headers],[#Data],[Jul-2025]])</f>
        <v>0</v>
      </c>
      <c r="AS49" s="422">
        <f>SUMIF(TAB_CS[[#Headers],[#Data],[Tri-1]],'Cessions EDDA'!$H49,TAB_CS[[#Headers],[#Data],[Aug-2025]])</f>
        <v>0</v>
      </c>
      <c r="AT49" s="422">
        <f>SUMIF(TAB_CS[[#Headers],[#Data],[Tri-1]],'Cessions EDDA'!$H49,TAB_CS[[#Headers],[#Data],[Sep-2025]])</f>
        <v>0</v>
      </c>
      <c r="AU49" s="422">
        <f>SUMIF(TAB_CS[[#Headers],[#Data],[Tri-1]],'Cessions EDDA'!$H49,TAB_CS[[#Headers],[#Data],[Oct-2025]])</f>
        <v>0</v>
      </c>
      <c r="AV49" s="422">
        <f>SUMIF(TAB_CS[[#Headers],[#Data],[Tri-1]],'Cessions EDDA'!$H49,TAB_CS[[#Headers],[#Data],[Nov-2025]])</f>
        <v>0</v>
      </c>
      <c r="AW49" s="422">
        <f>SUMIF(TAB_CS[[#Headers],[#Data],[Tri-1]],'Cessions EDDA'!$H49,TAB_CS[[#Headers],[#Data],[Dec-2025]])</f>
        <v>0</v>
      </c>
    </row>
    <row r="50" spans="1:49" x14ac:dyDescent="0.3">
      <c r="A50" s="399"/>
      <c r="B50" s="400"/>
      <c r="C50" s="401"/>
      <c r="D50" s="402"/>
      <c r="E50" s="402"/>
      <c r="F50" s="403" t="e">
        <f t="shared" si="51"/>
        <v>#DIV/0!</v>
      </c>
      <c r="G50" s="404" t="e">
        <f t="shared" si="49"/>
        <v>#DIV/0!</v>
      </c>
      <c r="H50" s="404"/>
      <c r="I50" s="405"/>
      <c r="J50" s="405"/>
      <c r="K50" s="422">
        <f>SUMIF(TAB_CS[[#Headers],[#Data],[Tri-1]],'Cessions EDDA'!$H50,TAB_CS[[#Headers],[#Data],[Oct-2022]])</f>
        <v>0</v>
      </c>
      <c r="L50" s="422">
        <f>SUMIF(TAB_CS[[#Headers],[#Data],[Tri-1]],'Cessions EDDA'!$H50,TAB_CS[[#Headers],[#Data],[Nov-2022]])</f>
        <v>0</v>
      </c>
      <c r="M50" s="422">
        <f>SUMIF(TAB_CS[[#Headers],[#Data],[Tri-1]],'Cessions EDDA'!$H50,TAB_CS[[#Headers],[#Data],[Dec-2022]])</f>
        <v>0</v>
      </c>
      <c r="N50" s="422">
        <f>SUMIF(TAB_CS[[#Headers],[#Data],[Tri-1]],'Cessions EDDA'!$H50,TAB_CS[[#Headers],[#Data],[Jan-2023]])</f>
        <v>0</v>
      </c>
      <c r="O50" s="422">
        <f>SUMIF(TAB_CS[[#Headers],[#Data],[Tri-1]],'Cessions EDDA'!$H50,TAB_CS[[#Headers],[#Data],[Feb-2023]])</f>
        <v>0</v>
      </c>
      <c r="P50" s="422">
        <f>SUMIF(TAB_CS[[#Headers],[#Data],[Tri-1]],'Cessions EDDA'!$H50,TAB_CS[[#Headers],[#Data],[Mar-2023]])</f>
        <v>0</v>
      </c>
      <c r="Q50" s="422">
        <f>SUMIF(TAB_CS[[#Headers],[#Data],[Tri-1]],'Cessions EDDA'!$H50,TAB_CS[[#Headers],[#Data],[Apr-2023]])</f>
        <v>0</v>
      </c>
      <c r="R50" s="422">
        <f>SUMIF(TAB_CS[[#Headers],[#Data],[Tri-1]],'Cessions EDDA'!$H50,TAB_CS[[#Headers],[#Data],[May-2023]])</f>
        <v>0</v>
      </c>
      <c r="S50" s="422">
        <f>SUMIF(TAB_CS[[#Headers],[#Data],[Tri-1]],'Cessions EDDA'!$H50,TAB_CS[[#Headers],[#Data],[Jun-2023]])</f>
        <v>0</v>
      </c>
      <c r="T50" s="422">
        <f>SUMIF(TAB_CS[[#Headers],[#Data],[Tri-1]],'Cessions EDDA'!$H50,TAB_CS[[#Headers],[#Data],[Jul-2023]])</f>
        <v>0</v>
      </c>
      <c r="U50" s="422">
        <f>SUMIF(TAB_CS[[#Headers],[#Data],[Tri-1]],'Cessions EDDA'!$H50,TAB_CS[[#Headers],[#Data],[Aug-2023]])</f>
        <v>0</v>
      </c>
      <c r="V50" s="422">
        <f>SUMIF(TAB_CS[[#Headers],[#Data],[Tri-1]],'Cessions EDDA'!$H50,TAB_CS[[#Headers],[#Data],[Sep-2023]])</f>
        <v>0</v>
      </c>
      <c r="W50" s="422">
        <f>SUMIF(TAB_CS[[#Headers],[#Data],[Tri-1]],'Cessions EDDA'!$H50,TAB_CS[[#Headers],[#Data],[Oct-2023]])</f>
        <v>0</v>
      </c>
      <c r="X50" s="422">
        <f>SUMIF(TAB_CS[[#Headers],[#Data],[Tri-1]],'Cessions EDDA'!$H50,TAB_CS[[#Headers],[#Data],[Nov-2023]])</f>
        <v>0</v>
      </c>
      <c r="Y50" s="422">
        <f>SUMIF(TAB_CS[[#Headers],[#Data],[Tri-1]],'Cessions EDDA'!$H50,TAB_CS[[#Headers],[#Data],[Dec-2023]])</f>
        <v>0</v>
      </c>
      <c r="Z50" s="422">
        <f>SUMIF(TAB_CS[[#Headers],[#Data],[Tri-1]],'Cessions EDDA'!$H50,TAB_CS[[#Headers],[#Data],[Jan-2024]])</f>
        <v>0</v>
      </c>
      <c r="AA50" s="422">
        <f>SUMIF(TAB_CS[[#Headers],[#Data],[Tri-1]],'Cessions EDDA'!$H50,TAB_CS[[#Headers],[#Data],[Feb-2024]])</f>
        <v>0</v>
      </c>
      <c r="AB50" s="422">
        <f>SUMIF(TAB_CS[[#Headers],[#Data],[Tri-1]],'Cessions EDDA'!$H50,TAB_CS[[#Headers],[#Data],[Mar-2024]])</f>
        <v>0</v>
      </c>
      <c r="AC50" s="422">
        <f>SUMIF(TAB_CS[[#Headers],[#Data],[Tri-1]],'Cessions EDDA'!$H50,TAB_CS[[#Headers],[#Data],[Apr-2024]])</f>
        <v>0</v>
      </c>
      <c r="AD50" s="422">
        <f>SUMIF(TAB_CS[[#Headers],[#Data],[Tri-1]],'Cessions EDDA'!$H50,TAB_CS[[#Headers],[#Data],[May-2024]])</f>
        <v>0</v>
      </c>
      <c r="AE50" s="422">
        <f>SUMIF(TAB_CS[[#Headers],[#Data],[Tri-1]],'Cessions EDDA'!$H50,TAB_CS[[#Headers],[#Data],[Jun-2024]])</f>
        <v>0</v>
      </c>
      <c r="AF50" s="422">
        <f>SUMIF(TAB_CS[[#Headers],[#Data],[Tri-1]],'Cessions EDDA'!$H50,TAB_CS[[#Headers],[#Data],[Jul-2024]])</f>
        <v>0</v>
      </c>
      <c r="AG50" s="422">
        <f>SUMIF(TAB_CS[[#Headers],[#Data],[Tri-1]],'Cessions EDDA'!$H50,TAB_CS[[#Headers],[#Data],[Aug-2024]])</f>
        <v>0</v>
      </c>
      <c r="AH50" s="422">
        <f>SUMIF(TAB_CS[[#Headers],[#Data],[Tri-1]],'Cessions EDDA'!$H50,TAB_CS[[#Headers],[#Data],[Sep-2024]])</f>
        <v>0</v>
      </c>
      <c r="AI50" s="422">
        <f>SUMIF(TAB_CS[[#Headers],[#Data],[Tri-1]],'Cessions EDDA'!$H50,TAB_CS[[#Headers],[#Data],[Oct-2024]])</f>
        <v>0</v>
      </c>
      <c r="AJ50" s="422">
        <f>SUMIF(TAB_CS[[#Headers],[#Data],[Tri-1]],'Cessions EDDA'!$H50,TAB_CS[[#Headers],[#Data],[Nov-2024]])</f>
        <v>0</v>
      </c>
      <c r="AK50" s="422">
        <f>SUMIF(TAB_CS[[#Headers],[#Data],[Tri-1]],'Cessions EDDA'!$H50,TAB_CS[[#Headers],[#Data],[Dec-2024]])</f>
        <v>0</v>
      </c>
      <c r="AL50" s="422">
        <f>SUMIF(TAB_CS[[#Headers],[#Data],[Tri-1]],'Cessions EDDA'!$H50,TAB_CS[[#Headers],[#Data],[Jan-2025]])</f>
        <v>0</v>
      </c>
      <c r="AM50" s="422">
        <f>SUMIF(TAB_CS[[#Headers],[#Data],[Tri-1]],'Cessions EDDA'!$H50,TAB_CS[[#Headers],[#Data],[Feb-2025]])</f>
        <v>0</v>
      </c>
      <c r="AN50" s="422">
        <f>SUMIF(TAB_CS[[#Headers],[#Data],[Tri-1]],'Cessions EDDA'!$H50,TAB_CS[[#Headers],[#Data],[Mar-2025]])</f>
        <v>0</v>
      </c>
      <c r="AO50" s="422">
        <f>SUMIF(TAB_CS[[#Headers],[#Data],[Tri-1]],'Cessions EDDA'!$H50,TAB_CS[[#Headers],[#Data],[Apr-2025]])</f>
        <v>0</v>
      </c>
      <c r="AP50" s="422">
        <f>SUMIF(TAB_CS[[#Headers],[#Data],[Tri-1]],'Cessions EDDA'!$H50,TAB_CS[[#Headers],[#Data],[May-2025]])</f>
        <v>0</v>
      </c>
      <c r="AQ50" s="422">
        <f>SUMIF(TAB_CS[[#Headers],[#Data],[Tri-1]],'Cessions EDDA'!$H50,TAB_CS[[#Headers],[#Data],[Jun-2025]])</f>
        <v>0</v>
      </c>
      <c r="AR50" s="422">
        <f>SUMIF(TAB_CS[[#Headers],[#Data],[Tri-1]],'Cessions EDDA'!$H50,TAB_CS[[#Headers],[#Data],[Jul-2025]])</f>
        <v>0</v>
      </c>
      <c r="AS50" s="422">
        <f>SUMIF(TAB_CS[[#Headers],[#Data],[Tri-1]],'Cessions EDDA'!$H50,TAB_CS[[#Headers],[#Data],[Aug-2025]])</f>
        <v>0</v>
      </c>
      <c r="AT50" s="422">
        <f>SUMIF(TAB_CS[[#Headers],[#Data],[Tri-1]],'Cessions EDDA'!$H50,TAB_CS[[#Headers],[#Data],[Sep-2025]])</f>
        <v>0</v>
      </c>
      <c r="AU50" s="422">
        <f>SUMIF(TAB_CS[[#Headers],[#Data],[Tri-1]],'Cessions EDDA'!$H50,TAB_CS[[#Headers],[#Data],[Oct-2025]])</f>
        <v>0</v>
      </c>
      <c r="AV50" s="422">
        <f>SUMIF(TAB_CS[[#Headers],[#Data],[Tri-1]],'Cessions EDDA'!$H50,TAB_CS[[#Headers],[#Data],[Nov-2025]])</f>
        <v>0</v>
      </c>
      <c r="AW50" s="422">
        <f>SUMIF(TAB_CS[[#Headers],[#Data],[Tri-1]],'Cessions EDDA'!$H50,TAB_CS[[#Headers],[#Data],[Dec-2025]])</f>
        <v>0</v>
      </c>
    </row>
    <row r="51" spans="1:49" x14ac:dyDescent="0.3">
      <c r="A51" s="399"/>
      <c r="B51" s="400"/>
      <c r="C51" s="401"/>
      <c r="D51" s="402"/>
      <c r="E51" s="402"/>
      <c r="F51" s="403" t="e">
        <f t="shared" si="51"/>
        <v>#DIV/0!</v>
      </c>
      <c r="G51" s="404" t="e">
        <f t="shared" si="49"/>
        <v>#DIV/0!</v>
      </c>
      <c r="H51" s="404"/>
      <c r="I51" s="405"/>
      <c r="J51" s="405"/>
      <c r="K51" s="422">
        <f>SUMIF(TAB_CS[[#Headers],[#Data],[Tri-1]],'Cessions EDDA'!$H51,TAB_CS[[#Headers],[#Data],[Oct-2022]])</f>
        <v>0</v>
      </c>
      <c r="L51" s="422">
        <f>SUMIF(TAB_CS[[#Headers],[#Data],[Tri-1]],'Cessions EDDA'!$H51,TAB_CS[[#Headers],[#Data],[Nov-2022]])</f>
        <v>0</v>
      </c>
      <c r="M51" s="422">
        <f>SUMIF(TAB_CS[[#Headers],[#Data],[Tri-1]],'Cessions EDDA'!$H51,TAB_CS[[#Headers],[#Data],[Dec-2022]])</f>
        <v>0</v>
      </c>
      <c r="N51" s="422">
        <f>SUMIF(TAB_CS[[#Headers],[#Data],[Tri-1]],'Cessions EDDA'!$H51,TAB_CS[[#Headers],[#Data],[Jan-2023]])</f>
        <v>0</v>
      </c>
      <c r="O51" s="422">
        <f>SUMIF(TAB_CS[[#Headers],[#Data],[Tri-1]],'Cessions EDDA'!$H51,TAB_CS[[#Headers],[#Data],[Feb-2023]])</f>
        <v>0</v>
      </c>
      <c r="P51" s="422">
        <f>SUMIF(TAB_CS[[#Headers],[#Data],[Tri-1]],'Cessions EDDA'!$H51,TAB_CS[[#Headers],[#Data],[Mar-2023]])</f>
        <v>0</v>
      </c>
      <c r="Q51" s="422">
        <f>SUMIF(TAB_CS[[#Headers],[#Data],[Tri-1]],'Cessions EDDA'!$H51,TAB_CS[[#Headers],[#Data],[Apr-2023]])</f>
        <v>0</v>
      </c>
      <c r="R51" s="422">
        <f>SUMIF(TAB_CS[[#Headers],[#Data],[Tri-1]],'Cessions EDDA'!$H51,TAB_CS[[#Headers],[#Data],[May-2023]])</f>
        <v>0</v>
      </c>
      <c r="S51" s="422">
        <f>SUMIF(TAB_CS[[#Headers],[#Data],[Tri-1]],'Cessions EDDA'!$H51,TAB_CS[[#Headers],[#Data],[Jun-2023]])</f>
        <v>0</v>
      </c>
      <c r="T51" s="422">
        <f>SUMIF(TAB_CS[[#Headers],[#Data],[Tri-1]],'Cessions EDDA'!$H51,TAB_CS[[#Headers],[#Data],[Jul-2023]])</f>
        <v>0</v>
      </c>
      <c r="U51" s="422">
        <f>SUMIF(TAB_CS[[#Headers],[#Data],[Tri-1]],'Cessions EDDA'!$H51,TAB_CS[[#Headers],[#Data],[Aug-2023]])</f>
        <v>0</v>
      </c>
      <c r="V51" s="422">
        <f>SUMIF(TAB_CS[[#Headers],[#Data],[Tri-1]],'Cessions EDDA'!$H51,TAB_CS[[#Headers],[#Data],[Sep-2023]])</f>
        <v>0</v>
      </c>
      <c r="W51" s="422">
        <f>SUMIF(TAB_CS[[#Headers],[#Data],[Tri-1]],'Cessions EDDA'!$H51,TAB_CS[[#Headers],[#Data],[Oct-2023]])</f>
        <v>0</v>
      </c>
      <c r="X51" s="422">
        <f>SUMIF(TAB_CS[[#Headers],[#Data],[Tri-1]],'Cessions EDDA'!$H51,TAB_CS[[#Headers],[#Data],[Nov-2023]])</f>
        <v>0</v>
      </c>
      <c r="Y51" s="422">
        <f>SUMIF(TAB_CS[[#Headers],[#Data],[Tri-1]],'Cessions EDDA'!$H51,TAB_CS[[#Headers],[#Data],[Dec-2023]])</f>
        <v>0</v>
      </c>
      <c r="Z51" s="422">
        <f>SUMIF(TAB_CS[[#Headers],[#Data],[Tri-1]],'Cessions EDDA'!$H51,TAB_CS[[#Headers],[#Data],[Jan-2024]])</f>
        <v>0</v>
      </c>
      <c r="AA51" s="422">
        <f>SUMIF(TAB_CS[[#Headers],[#Data],[Tri-1]],'Cessions EDDA'!$H51,TAB_CS[[#Headers],[#Data],[Feb-2024]])</f>
        <v>0</v>
      </c>
      <c r="AB51" s="422">
        <f>SUMIF(TAB_CS[[#Headers],[#Data],[Tri-1]],'Cessions EDDA'!$H51,TAB_CS[[#Headers],[#Data],[Mar-2024]])</f>
        <v>0</v>
      </c>
      <c r="AC51" s="422">
        <f>SUMIF(TAB_CS[[#Headers],[#Data],[Tri-1]],'Cessions EDDA'!$H51,TAB_CS[[#Headers],[#Data],[Apr-2024]])</f>
        <v>0</v>
      </c>
      <c r="AD51" s="422">
        <f>SUMIF(TAB_CS[[#Headers],[#Data],[Tri-1]],'Cessions EDDA'!$H51,TAB_CS[[#Headers],[#Data],[May-2024]])</f>
        <v>0</v>
      </c>
      <c r="AE51" s="422">
        <f>SUMIF(TAB_CS[[#Headers],[#Data],[Tri-1]],'Cessions EDDA'!$H51,TAB_CS[[#Headers],[#Data],[Jun-2024]])</f>
        <v>0</v>
      </c>
      <c r="AF51" s="422">
        <f>SUMIF(TAB_CS[[#Headers],[#Data],[Tri-1]],'Cessions EDDA'!$H51,TAB_CS[[#Headers],[#Data],[Jul-2024]])</f>
        <v>0</v>
      </c>
      <c r="AG51" s="422">
        <f>SUMIF(TAB_CS[[#Headers],[#Data],[Tri-1]],'Cessions EDDA'!$H51,TAB_CS[[#Headers],[#Data],[Aug-2024]])</f>
        <v>0</v>
      </c>
      <c r="AH51" s="422">
        <f>SUMIF(TAB_CS[[#Headers],[#Data],[Tri-1]],'Cessions EDDA'!$H51,TAB_CS[[#Headers],[#Data],[Sep-2024]])</f>
        <v>0</v>
      </c>
      <c r="AI51" s="422">
        <f>SUMIF(TAB_CS[[#Headers],[#Data],[Tri-1]],'Cessions EDDA'!$H51,TAB_CS[[#Headers],[#Data],[Oct-2024]])</f>
        <v>0</v>
      </c>
      <c r="AJ51" s="422">
        <f>SUMIF(TAB_CS[[#Headers],[#Data],[Tri-1]],'Cessions EDDA'!$H51,TAB_CS[[#Headers],[#Data],[Nov-2024]])</f>
        <v>0</v>
      </c>
      <c r="AK51" s="422">
        <f>SUMIF(TAB_CS[[#Headers],[#Data],[Tri-1]],'Cessions EDDA'!$H51,TAB_CS[[#Headers],[#Data],[Dec-2024]])</f>
        <v>0</v>
      </c>
      <c r="AL51" s="422">
        <f>SUMIF(TAB_CS[[#Headers],[#Data],[Tri-1]],'Cessions EDDA'!$H51,TAB_CS[[#Headers],[#Data],[Jan-2025]])</f>
        <v>0</v>
      </c>
      <c r="AM51" s="422">
        <f>SUMIF(TAB_CS[[#Headers],[#Data],[Tri-1]],'Cessions EDDA'!$H51,TAB_CS[[#Headers],[#Data],[Feb-2025]])</f>
        <v>0</v>
      </c>
      <c r="AN51" s="422">
        <f>SUMIF(TAB_CS[[#Headers],[#Data],[Tri-1]],'Cessions EDDA'!$H51,TAB_CS[[#Headers],[#Data],[Mar-2025]])</f>
        <v>0</v>
      </c>
      <c r="AO51" s="422">
        <f>SUMIF(TAB_CS[[#Headers],[#Data],[Tri-1]],'Cessions EDDA'!$H51,TAB_CS[[#Headers],[#Data],[Apr-2025]])</f>
        <v>0</v>
      </c>
      <c r="AP51" s="422">
        <f>SUMIF(TAB_CS[[#Headers],[#Data],[Tri-1]],'Cessions EDDA'!$H51,TAB_CS[[#Headers],[#Data],[May-2025]])</f>
        <v>0</v>
      </c>
      <c r="AQ51" s="422">
        <f>SUMIF(TAB_CS[[#Headers],[#Data],[Tri-1]],'Cessions EDDA'!$H51,TAB_CS[[#Headers],[#Data],[Jun-2025]])</f>
        <v>0</v>
      </c>
      <c r="AR51" s="422">
        <f>SUMIF(TAB_CS[[#Headers],[#Data],[Tri-1]],'Cessions EDDA'!$H51,TAB_CS[[#Headers],[#Data],[Jul-2025]])</f>
        <v>0</v>
      </c>
      <c r="AS51" s="422">
        <f>SUMIF(TAB_CS[[#Headers],[#Data],[Tri-1]],'Cessions EDDA'!$H51,TAB_CS[[#Headers],[#Data],[Aug-2025]])</f>
        <v>0</v>
      </c>
      <c r="AT51" s="422">
        <f>SUMIF(TAB_CS[[#Headers],[#Data],[Tri-1]],'Cessions EDDA'!$H51,TAB_CS[[#Headers],[#Data],[Sep-2025]])</f>
        <v>0</v>
      </c>
      <c r="AU51" s="422">
        <f>SUMIF(TAB_CS[[#Headers],[#Data],[Tri-1]],'Cessions EDDA'!$H51,TAB_CS[[#Headers],[#Data],[Oct-2025]])</f>
        <v>0</v>
      </c>
      <c r="AV51" s="422">
        <f>SUMIF(TAB_CS[[#Headers],[#Data],[Tri-1]],'Cessions EDDA'!$H51,TAB_CS[[#Headers],[#Data],[Nov-2025]])</f>
        <v>0</v>
      </c>
      <c r="AW51" s="422">
        <f>SUMIF(TAB_CS[[#Headers],[#Data],[Tri-1]],'Cessions EDDA'!$H51,TAB_CS[[#Headers],[#Data],[Dec-2025]])</f>
        <v>0</v>
      </c>
    </row>
    <row r="52" spans="1:49" x14ac:dyDescent="0.3">
      <c r="A52" s="399"/>
      <c r="B52" s="400"/>
      <c r="C52" s="401"/>
      <c r="D52" s="402"/>
      <c r="E52" s="402"/>
      <c r="F52" s="403" t="e">
        <f t="shared" si="51"/>
        <v>#DIV/0!</v>
      </c>
      <c r="G52" s="404" t="e">
        <f t="shared" si="49"/>
        <v>#DIV/0!</v>
      </c>
      <c r="H52" s="404"/>
      <c r="I52" s="405"/>
      <c r="J52" s="405"/>
      <c r="K52" s="422">
        <f>SUMIF(TAB_CS[[#Headers],[#Data],[Tri-1]],'Cessions EDDA'!$H52,TAB_CS[[#Headers],[#Data],[Oct-2022]])</f>
        <v>0</v>
      </c>
      <c r="L52" s="422">
        <f>SUMIF(TAB_CS[[#Headers],[#Data],[Tri-1]],'Cessions EDDA'!$H52,TAB_CS[[#Headers],[#Data],[Nov-2022]])</f>
        <v>0</v>
      </c>
      <c r="M52" s="422">
        <f>SUMIF(TAB_CS[[#Headers],[#Data],[Tri-1]],'Cessions EDDA'!$H52,TAB_CS[[#Headers],[#Data],[Dec-2022]])</f>
        <v>0</v>
      </c>
      <c r="N52" s="422">
        <f>SUMIF(TAB_CS[[#Headers],[#Data],[Tri-1]],'Cessions EDDA'!$H52,TAB_CS[[#Headers],[#Data],[Jan-2023]])</f>
        <v>0</v>
      </c>
      <c r="O52" s="422">
        <f>SUMIF(TAB_CS[[#Headers],[#Data],[Tri-1]],'Cessions EDDA'!$H52,TAB_CS[[#Headers],[#Data],[Feb-2023]])</f>
        <v>0</v>
      </c>
      <c r="P52" s="422">
        <f>SUMIF(TAB_CS[[#Headers],[#Data],[Tri-1]],'Cessions EDDA'!$H52,TAB_CS[[#Headers],[#Data],[Mar-2023]])</f>
        <v>0</v>
      </c>
      <c r="Q52" s="422">
        <f>SUMIF(TAB_CS[[#Headers],[#Data],[Tri-1]],'Cessions EDDA'!$H52,TAB_CS[[#Headers],[#Data],[Apr-2023]])</f>
        <v>0</v>
      </c>
      <c r="R52" s="422">
        <f>SUMIF(TAB_CS[[#Headers],[#Data],[Tri-1]],'Cessions EDDA'!$H52,TAB_CS[[#Headers],[#Data],[May-2023]])</f>
        <v>0</v>
      </c>
      <c r="S52" s="422">
        <f>SUMIF(TAB_CS[[#Headers],[#Data],[Tri-1]],'Cessions EDDA'!$H52,TAB_CS[[#Headers],[#Data],[Jun-2023]])</f>
        <v>0</v>
      </c>
      <c r="T52" s="422">
        <f>SUMIF(TAB_CS[[#Headers],[#Data],[Tri-1]],'Cessions EDDA'!$H52,TAB_CS[[#Headers],[#Data],[Jul-2023]])</f>
        <v>0</v>
      </c>
      <c r="U52" s="422">
        <f>SUMIF(TAB_CS[[#Headers],[#Data],[Tri-1]],'Cessions EDDA'!$H52,TAB_CS[[#Headers],[#Data],[Aug-2023]])</f>
        <v>0</v>
      </c>
      <c r="V52" s="422">
        <f>SUMIF(TAB_CS[[#Headers],[#Data],[Tri-1]],'Cessions EDDA'!$H52,TAB_CS[[#Headers],[#Data],[Sep-2023]])</f>
        <v>0</v>
      </c>
      <c r="W52" s="422">
        <f>SUMIF(TAB_CS[[#Headers],[#Data],[Tri-1]],'Cessions EDDA'!$H52,TAB_CS[[#Headers],[#Data],[Oct-2023]])</f>
        <v>0</v>
      </c>
      <c r="X52" s="422">
        <f>SUMIF(TAB_CS[[#Headers],[#Data],[Tri-1]],'Cessions EDDA'!$H52,TAB_CS[[#Headers],[#Data],[Nov-2023]])</f>
        <v>0</v>
      </c>
      <c r="Y52" s="422">
        <f>SUMIF(TAB_CS[[#Headers],[#Data],[Tri-1]],'Cessions EDDA'!$H52,TAB_CS[[#Headers],[#Data],[Dec-2023]])</f>
        <v>0</v>
      </c>
      <c r="Z52" s="422">
        <f>SUMIF(TAB_CS[[#Headers],[#Data],[Tri-1]],'Cessions EDDA'!$H52,TAB_CS[[#Headers],[#Data],[Jan-2024]])</f>
        <v>0</v>
      </c>
      <c r="AA52" s="422">
        <f>SUMIF(TAB_CS[[#Headers],[#Data],[Tri-1]],'Cessions EDDA'!$H52,TAB_CS[[#Headers],[#Data],[Feb-2024]])</f>
        <v>0</v>
      </c>
      <c r="AB52" s="422">
        <f>SUMIF(TAB_CS[[#Headers],[#Data],[Tri-1]],'Cessions EDDA'!$H52,TAB_CS[[#Headers],[#Data],[Mar-2024]])</f>
        <v>0</v>
      </c>
      <c r="AC52" s="422">
        <f>SUMIF(TAB_CS[[#Headers],[#Data],[Tri-1]],'Cessions EDDA'!$H52,TAB_CS[[#Headers],[#Data],[Apr-2024]])</f>
        <v>0</v>
      </c>
      <c r="AD52" s="422">
        <f>SUMIF(TAB_CS[[#Headers],[#Data],[Tri-1]],'Cessions EDDA'!$H52,TAB_CS[[#Headers],[#Data],[May-2024]])</f>
        <v>0</v>
      </c>
      <c r="AE52" s="422">
        <f>SUMIF(TAB_CS[[#Headers],[#Data],[Tri-1]],'Cessions EDDA'!$H52,TAB_CS[[#Headers],[#Data],[Jun-2024]])</f>
        <v>0</v>
      </c>
      <c r="AF52" s="422">
        <f>SUMIF(TAB_CS[[#Headers],[#Data],[Tri-1]],'Cessions EDDA'!$H52,TAB_CS[[#Headers],[#Data],[Jul-2024]])</f>
        <v>0</v>
      </c>
      <c r="AG52" s="422">
        <f>SUMIF(TAB_CS[[#Headers],[#Data],[Tri-1]],'Cessions EDDA'!$H52,TAB_CS[[#Headers],[#Data],[Aug-2024]])</f>
        <v>0</v>
      </c>
      <c r="AH52" s="422">
        <f>SUMIF(TAB_CS[[#Headers],[#Data],[Tri-1]],'Cessions EDDA'!$H52,TAB_CS[[#Headers],[#Data],[Sep-2024]])</f>
        <v>0</v>
      </c>
      <c r="AI52" s="422">
        <f>SUMIF(TAB_CS[[#Headers],[#Data],[Tri-1]],'Cessions EDDA'!$H52,TAB_CS[[#Headers],[#Data],[Oct-2024]])</f>
        <v>0</v>
      </c>
      <c r="AJ52" s="422">
        <f>SUMIF(TAB_CS[[#Headers],[#Data],[Tri-1]],'Cessions EDDA'!$H52,TAB_CS[[#Headers],[#Data],[Nov-2024]])</f>
        <v>0</v>
      </c>
      <c r="AK52" s="422">
        <f>SUMIF(TAB_CS[[#Headers],[#Data],[Tri-1]],'Cessions EDDA'!$H52,TAB_CS[[#Headers],[#Data],[Dec-2024]])</f>
        <v>0</v>
      </c>
      <c r="AL52" s="422">
        <f>SUMIF(TAB_CS[[#Headers],[#Data],[Tri-1]],'Cessions EDDA'!$H52,TAB_CS[[#Headers],[#Data],[Jan-2025]])</f>
        <v>0</v>
      </c>
      <c r="AM52" s="422">
        <f>SUMIF(TAB_CS[[#Headers],[#Data],[Tri-1]],'Cessions EDDA'!$H52,TAB_CS[[#Headers],[#Data],[Feb-2025]])</f>
        <v>0</v>
      </c>
      <c r="AN52" s="422">
        <f>SUMIF(TAB_CS[[#Headers],[#Data],[Tri-1]],'Cessions EDDA'!$H52,TAB_CS[[#Headers],[#Data],[Mar-2025]])</f>
        <v>0</v>
      </c>
      <c r="AO52" s="422">
        <f>SUMIF(TAB_CS[[#Headers],[#Data],[Tri-1]],'Cessions EDDA'!$H52,TAB_CS[[#Headers],[#Data],[Apr-2025]])</f>
        <v>0</v>
      </c>
      <c r="AP52" s="422">
        <f>SUMIF(TAB_CS[[#Headers],[#Data],[Tri-1]],'Cessions EDDA'!$H52,TAB_CS[[#Headers],[#Data],[May-2025]])</f>
        <v>0</v>
      </c>
      <c r="AQ52" s="422">
        <f>SUMIF(TAB_CS[[#Headers],[#Data],[Tri-1]],'Cessions EDDA'!$H52,TAB_CS[[#Headers],[#Data],[Jun-2025]])</f>
        <v>0</v>
      </c>
      <c r="AR52" s="422">
        <f>SUMIF(TAB_CS[[#Headers],[#Data],[Tri-1]],'Cessions EDDA'!$H52,TAB_CS[[#Headers],[#Data],[Jul-2025]])</f>
        <v>0</v>
      </c>
      <c r="AS52" s="422">
        <f>SUMIF(TAB_CS[[#Headers],[#Data],[Tri-1]],'Cessions EDDA'!$H52,TAB_CS[[#Headers],[#Data],[Aug-2025]])</f>
        <v>0</v>
      </c>
      <c r="AT52" s="422">
        <f>SUMIF(TAB_CS[[#Headers],[#Data],[Tri-1]],'Cessions EDDA'!$H52,TAB_CS[[#Headers],[#Data],[Sep-2025]])</f>
        <v>0</v>
      </c>
      <c r="AU52" s="422">
        <f>SUMIF(TAB_CS[[#Headers],[#Data],[Tri-1]],'Cessions EDDA'!$H52,TAB_CS[[#Headers],[#Data],[Oct-2025]])</f>
        <v>0</v>
      </c>
      <c r="AV52" s="422">
        <f>SUMIF(TAB_CS[[#Headers],[#Data],[Tri-1]],'Cessions EDDA'!$H52,TAB_CS[[#Headers],[#Data],[Nov-2025]])</f>
        <v>0</v>
      </c>
      <c r="AW52" s="422">
        <f>SUMIF(TAB_CS[[#Headers],[#Data],[Tri-1]],'Cessions EDDA'!$H52,TAB_CS[[#Headers],[#Data],[Dec-2025]])</f>
        <v>0</v>
      </c>
    </row>
    <row r="53" spans="1:49" x14ac:dyDescent="0.3">
      <c r="A53" s="399"/>
      <c r="B53" s="400"/>
      <c r="C53" s="401"/>
      <c r="D53" s="402"/>
      <c r="E53" s="402"/>
      <c r="F53" s="403" t="e">
        <f t="shared" si="51"/>
        <v>#DIV/0!</v>
      </c>
      <c r="G53" s="404" t="e">
        <f t="shared" si="49"/>
        <v>#DIV/0!</v>
      </c>
      <c r="H53" s="404"/>
      <c r="I53" s="405"/>
      <c r="J53" s="405"/>
      <c r="K53" s="422">
        <f>SUMIF(TAB_CS[[#Headers],[#Data],[Tri-1]],'Cessions EDDA'!$H53,TAB_CS[[#Headers],[#Data],[Oct-2022]])</f>
        <v>0</v>
      </c>
      <c r="L53" s="422">
        <f>SUMIF(TAB_CS[[#Headers],[#Data],[Tri-1]],'Cessions EDDA'!$H53,TAB_CS[[#Headers],[#Data],[Nov-2022]])</f>
        <v>0</v>
      </c>
      <c r="M53" s="422">
        <f>SUMIF(TAB_CS[[#Headers],[#Data],[Tri-1]],'Cessions EDDA'!$H53,TAB_CS[[#Headers],[#Data],[Dec-2022]])</f>
        <v>0</v>
      </c>
      <c r="N53" s="422">
        <f>SUMIF(TAB_CS[[#Headers],[#Data],[Tri-1]],'Cessions EDDA'!$H53,TAB_CS[[#Headers],[#Data],[Jan-2023]])</f>
        <v>0</v>
      </c>
      <c r="O53" s="422">
        <f>SUMIF(TAB_CS[[#Headers],[#Data],[Tri-1]],'Cessions EDDA'!$H53,TAB_CS[[#Headers],[#Data],[Feb-2023]])</f>
        <v>0</v>
      </c>
      <c r="P53" s="422">
        <f>SUMIF(TAB_CS[[#Headers],[#Data],[Tri-1]],'Cessions EDDA'!$H53,TAB_CS[[#Headers],[#Data],[Mar-2023]])</f>
        <v>0</v>
      </c>
      <c r="Q53" s="422">
        <f>SUMIF(TAB_CS[[#Headers],[#Data],[Tri-1]],'Cessions EDDA'!$H53,TAB_CS[[#Headers],[#Data],[Apr-2023]])</f>
        <v>0</v>
      </c>
      <c r="R53" s="422">
        <f>SUMIF(TAB_CS[[#Headers],[#Data],[Tri-1]],'Cessions EDDA'!$H53,TAB_CS[[#Headers],[#Data],[May-2023]])</f>
        <v>0</v>
      </c>
      <c r="S53" s="422">
        <f>SUMIF(TAB_CS[[#Headers],[#Data],[Tri-1]],'Cessions EDDA'!$H53,TAB_CS[[#Headers],[#Data],[Jun-2023]])</f>
        <v>0</v>
      </c>
      <c r="T53" s="422">
        <f>SUMIF(TAB_CS[[#Headers],[#Data],[Tri-1]],'Cessions EDDA'!$H53,TAB_CS[[#Headers],[#Data],[Jul-2023]])</f>
        <v>0</v>
      </c>
      <c r="U53" s="422">
        <f>SUMIF(TAB_CS[[#Headers],[#Data],[Tri-1]],'Cessions EDDA'!$H53,TAB_CS[[#Headers],[#Data],[Aug-2023]])</f>
        <v>0</v>
      </c>
      <c r="V53" s="422">
        <f>SUMIF(TAB_CS[[#Headers],[#Data],[Tri-1]],'Cessions EDDA'!$H53,TAB_CS[[#Headers],[#Data],[Sep-2023]])</f>
        <v>0</v>
      </c>
      <c r="W53" s="422">
        <f>SUMIF(TAB_CS[[#Headers],[#Data],[Tri-1]],'Cessions EDDA'!$H53,TAB_CS[[#Headers],[#Data],[Oct-2023]])</f>
        <v>0</v>
      </c>
      <c r="X53" s="422">
        <f>SUMIF(TAB_CS[[#Headers],[#Data],[Tri-1]],'Cessions EDDA'!$H53,TAB_CS[[#Headers],[#Data],[Nov-2023]])</f>
        <v>0</v>
      </c>
      <c r="Y53" s="422">
        <f>SUMIF(TAB_CS[[#Headers],[#Data],[Tri-1]],'Cessions EDDA'!$H53,TAB_CS[[#Headers],[#Data],[Dec-2023]])</f>
        <v>0</v>
      </c>
      <c r="Z53" s="422">
        <f>SUMIF(TAB_CS[[#Headers],[#Data],[Tri-1]],'Cessions EDDA'!$H53,TAB_CS[[#Headers],[#Data],[Jan-2024]])</f>
        <v>0</v>
      </c>
      <c r="AA53" s="422">
        <f>SUMIF(TAB_CS[[#Headers],[#Data],[Tri-1]],'Cessions EDDA'!$H53,TAB_CS[[#Headers],[#Data],[Feb-2024]])</f>
        <v>0</v>
      </c>
      <c r="AB53" s="422">
        <f>SUMIF(TAB_CS[[#Headers],[#Data],[Tri-1]],'Cessions EDDA'!$H53,TAB_CS[[#Headers],[#Data],[Mar-2024]])</f>
        <v>0</v>
      </c>
      <c r="AC53" s="422">
        <f>SUMIF(TAB_CS[[#Headers],[#Data],[Tri-1]],'Cessions EDDA'!$H53,TAB_CS[[#Headers],[#Data],[Apr-2024]])</f>
        <v>0</v>
      </c>
      <c r="AD53" s="422">
        <f>SUMIF(TAB_CS[[#Headers],[#Data],[Tri-1]],'Cessions EDDA'!$H53,TAB_CS[[#Headers],[#Data],[May-2024]])</f>
        <v>0</v>
      </c>
      <c r="AE53" s="422">
        <f>SUMIF(TAB_CS[[#Headers],[#Data],[Tri-1]],'Cessions EDDA'!$H53,TAB_CS[[#Headers],[#Data],[Jun-2024]])</f>
        <v>0</v>
      </c>
      <c r="AF53" s="422">
        <f>SUMIF(TAB_CS[[#Headers],[#Data],[Tri-1]],'Cessions EDDA'!$H53,TAB_CS[[#Headers],[#Data],[Jul-2024]])</f>
        <v>0</v>
      </c>
      <c r="AG53" s="422">
        <f>SUMIF(TAB_CS[[#Headers],[#Data],[Tri-1]],'Cessions EDDA'!$H53,TAB_CS[[#Headers],[#Data],[Aug-2024]])</f>
        <v>0</v>
      </c>
      <c r="AH53" s="422">
        <f>SUMIF(TAB_CS[[#Headers],[#Data],[Tri-1]],'Cessions EDDA'!$H53,TAB_CS[[#Headers],[#Data],[Sep-2024]])</f>
        <v>0</v>
      </c>
      <c r="AI53" s="422">
        <f>SUMIF(TAB_CS[[#Headers],[#Data],[Tri-1]],'Cessions EDDA'!$H53,TAB_CS[[#Headers],[#Data],[Oct-2024]])</f>
        <v>0</v>
      </c>
      <c r="AJ53" s="422">
        <f>SUMIF(TAB_CS[[#Headers],[#Data],[Tri-1]],'Cessions EDDA'!$H53,TAB_CS[[#Headers],[#Data],[Nov-2024]])</f>
        <v>0</v>
      </c>
      <c r="AK53" s="422">
        <f>SUMIF(TAB_CS[[#Headers],[#Data],[Tri-1]],'Cessions EDDA'!$H53,TAB_CS[[#Headers],[#Data],[Dec-2024]])</f>
        <v>0</v>
      </c>
      <c r="AL53" s="422">
        <f>SUMIF(TAB_CS[[#Headers],[#Data],[Tri-1]],'Cessions EDDA'!$H53,TAB_CS[[#Headers],[#Data],[Jan-2025]])</f>
        <v>0</v>
      </c>
      <c r="AM53" s="422">
        <f>SUMIF(TAB_CS[[#Headers],[#Data],[Tri-1]],'Cessions EDDA'!$H53,TAB_CS[[#Headers],[#Data],[Feb-2025]])</f>
        <v>0</v>
      </c>
      <c r="AN53" s="422">
        <f>SUMIF(TAB_CS[[#Headers],[#Data],[Tri-1]],'Cessions EDDA'!$H53,TAB_CS[[#Headers],[#Data],[Mar-2025]])</f>
        <v>0</v>
      </c>
      <c r="AO53" s="422">
        <f>SUMIF(TAB_CS[[#Headers],[#Data],[Tri-1]],'Cessions EDDA'!$H53,TAB_CS[[#Headers],[#Data],[Apr-2025]])</f>
        <v>0</v>
      </c>
      <c r="AP53" s="422">
        <f>SUMIF(TAB_CS[[#Headers],[#Data],[Tri-1]],'Cessions EDDA'!$H53,TAB_CS[[#Headers],[#Data],[May-2025]])</f>
        <v>0</v>
      </c>
      <c r="AQ53" s="422">
        <f>SUMIF(TAB_CS[[#Headers],[#Data],[Tri-1]],'Cessions EDDA'!$H53,TAB_CS[[#Headers],[#Data],[Jun-2025]])</f>
        <v>0</v>
      </c>
      <c r="AR53" s="422">
        <f>SUMIF(TAB_CS[[#Headers],[#Data],[Tri-1]],'Cessions EDDA'!$H53,TAB_CS[[#Headers],[#Data],[Jul-2025]])</f>
        <v>0</v>
      </c>
      <c r="AS53" s="422">
        <f>SUMIF(TAB_CS[[#Headers],[#Data],[Tri-1]],'Cessions EDDA'!$H53,TAB_CS[[#Headers],[#Data],[Aug-2025]])</f>
        <v>0</v>
      </c>
      <c r="AT53" s="422">
        <f>SUMIF(TAB_CS[[#Headers],[#Data],[Tri-1]],'Cessions EDDA'!$H53,TAB_CS[[#Headers],[#Data],[Sep-2025]])</f>
        <v>0</v>
      </c>
      <c r="AU53" s="422">
        <f>SUMIF(TAB_CS[[#Headers],[#Data],[Tri-1]],'Cessions EDDA'!$H53,TAB_CS[[#Headers],[#Data],[Oct-2025]])</f>
        <v>0</v>
      </c>
      <c r="AV53" s="422">
        <f>SUMIF(TAB_CS[[#Headers],[#Data],[Tri-1]],'Cessions EDDA'!$H53,TAB_CS[[#Headers],[#Data],[Nov-2025]])</f>
        <v>0</v>
      </c>
      <c r="AW53" s="422">
        <f>SUMIF(TAB_CS[[#Headers],[#Data],[Tri-1]],'Cessions EDDA'!$H53,TAB_CS[[#Headers],[#Data],[Dec-2025]])</f>
        <v>0</v>
      </c>
    </row>
    <row r="54" spans="1:49" x14ac:dyDescent="0.3">
      <c r="A54" s="399"/>
      <c r="B54" s="400"/>
      <c r="C54" s="401"/>
      <c r="D54" s="402"/>
      <c r="E54" s="402"/>
      <c r="F54" s="403" t="e">
        <f>(E54-D54)/E54</f>
        <v>#DIV/0!</v>
      </c>
      <c r="G54" s="404" t="e">
        <f t="shared" si="49"/>
        <v>#DIV/0!</v>
      </c>
      <c r="H54" s="404"/>
      <c r="I54" s="405"/>
      <c r="J54" s="405"/>
      <c r="K54" s="422">
        <f>SUMIF(TAB_CS[[#Headers],[#Data],[Tri-1]],'Cessions EDDA'!$H54,TAB_CS[[#Headers],[#Data],[Oct-2022]])</f>
        <v>0</v>
      </c>
      <c r="L54" s="422">
        <f>SUMIF(TAB_CS[[#Headers],[#Data],[Tri-1]],'Cessions EDDA'!$H54,TAB_CS[[#Headers],[#Data],[Nov-2022]])</f>
        <v>0</v>
      </c>
      <c r="M54" s="422">
        <f>SUMIF(TAB_CS[[#Headers],[#Data],[Tri-1]],'Cessions EDDA'!$H54,TAB_CS[[#Headers],[#Data],[Dec-2022]])</f>
        <v>0</v>
      </c>
      <c r="N54" s="422">
        <f>SUMIF(TAB_CS[[#Headers],[#Data],[Tri-1]],'Cessions EDDA'!$H54,TAB_CS[[#Headers],[#Data],[Jan-2023]])</f>
        <v>0</v>
      </c>
      <c r="O54" s="422">
        <f>SUMIF(TAB_CS[[#Headers],[#Data],[Tri-1]],'Cessions EDDA'!$H54,TAB_CS[[#Headers],[#Data],[Feb-2023]])</f>
        <v>0</v>
      </c>
      <c r="P54" s="422">
        <f>SUMIF(TAB_CS[[#Headers],[#Data],[Tri-1]],'Cessions EDDA'!$H54,TAB_CS[[#Headers],[#Data],[Mar-2023]])</f>
        <v>0</v>
      </c>
      <c r="Q54" s="422">
        <f>SUMIF(TAB_CS[[#Headers],[#Data],[Tri-1]],'Cessions EDDA'!$H54,TAB_CS[[#Headers],[#Data],[Apr-2023]])</f>
        <v>0</v>
      </c>
      <c r="R54" s="422">
        <f>SUMIF(TAB_CS[[#Headers],[#Data],[Tri-1]],'Cessions EDDA'!$H54,TAB_CS[[#Headers],[#Data],[May-2023]])</f>
        <v>0</v>
      </c>
      <c r="S54" s="422">
        <f>SUMIF(TAB_CS[[#Headers],[#Data],[Tri-1]],'Cessions EDDA'!$H54,TAB_CS[[#Headers],[#Data],[Jun-2023]])</f>
        <v>0</v>
      </c>
      <c r="T54" s="422">
        <f>SUMIF(TAB_CS[[#Headers],[#Data],[Tri-1]],'Cessions EDDA'!$H54,TAB_CS[[#Headers],[#Data],[Jul-2023]])</f>
        <v>0</v>
      </c>
      <c r="U54" s="422">
        <f>SUMIF(TAB_CS[[#Headers],[#Data],[Tri-1]],'Cessions EDDA'!$H54,TAB_CS[[#Headers],[#Data],[Aug-2023]])</f>
        <v>0</v>
      </c>
      <c r="V54" s="422">
        <f>SUMIF(TAB_CS[[#Headers],[#Data],[Tri-1]],'Cessions EDDA'!$H54,TAB_CS[[#Headers],[#Data],[Sep-2023]])</f>
        <v>0</v>
      </c>
      <c r="W54" s="422">
        <f>SUMIF(TAB_CS[[#Headers],[#Data],[Tri-1]],'Cessions EDDA'!$H54,TAB_CS[[#Headers],[#Data],[Oct-2023]])</f>
        <v>0</v>
      </c>
      <c r="X54" s="422">
        <f>SUMIF(TAB_CS[[#Headers],[#Data],[Tri-1]],'Cessions EDDA'!$H54,TAB_CS[[#Headers],[#Data],[Nov-2023]])</f>
        <v>0</v>
      </c>
      <c r="Y54" s="422">
        <f>SUMIF(TAB_CS[[#Headers],[#Data],[Tri-1]],'Cessions EDDA'!$H54,TAB_CS[[#Headers],[#Data],[Dec-2023]])</f>
        <v>0</v>
      </c>
      <c r="Z54" s="422">
        <f>SUMIF(TAB_CS[[#Headers],[#Data],[Tri-1]],'Cessions EDDA'!$H54,TAB_CS[[#Headers],[#Data],[Jan-2024]])</f>
        <v>0</v>
      </c>
      <c r="AA54" s="422">
        <f>SUMIF(TAB_CS[[#Headers],[#Data],[Tri-1]],'Cessions EDDA'!$H54,TAB_CS[[#Headers],[#Data],[Feb-2024]])</f>
        <v>0</v>
      </c>
      <c r="AB54" s="422">
        <f>SUMIF(TAB_CS[[#Headers],[#Data],[Tri-1]],'Cessions EDDA'!$H54,TAB_CS[[#Headers],[#Data],[Mar-2024]])</f>
        <v>0</v>
      </c>
      <c r="AC54" s="422">
        <f>SUMIF(TAB_CS[[#Headers],[#Data],[Tri-1]],'Cessions EDDA'!$H54,TAB_CS[[#Headers],[#Data],[Apr-2024]])</f>
        <v>0</v>
      </c>
      <c r="AD54" s="422">
        <f>SUMIF(TAB_CS[[#Headers],[#Data],[Tri-1]],'Cessions EDDA'!$H54,TAB_CS[[#Headers],[#Data],[May-2024]])</f>
        <v>0</v>
      </c>
      <c r="AE54" s="422">
        <f>SUMIF(TAB_CS[[#Headers],[#Data],[Tri-1]],'Cessions EDDA'!$H54,TAB_CS[[#Headers],[#Data],[Jun-2024]])</f>
        <v>0</v>
      </c>
      <c r="AF54" s="422">
        <f>SUMIF(TAB_CS[[#Headers],[#Data],[Tri-1]],'Cessions EDDA'!$H54,TAB_CS[[#Headers],[#Data],[Jul-2024]])</f>
        <v>0</v>
      </c>
      <c r="AG54" s="422">
        <f>SUMIF(TAB_CS[[#Headers],[#Data],[Tri-1]],'Cessions EDDA'!$H54,TAB_CS[[#Headers],[#Data],[Aug-2024]])</f>
        <v>0</v>
      </c>
      <c r="AH54" s="422">
        <f>SUMIF(TAB_CS[[#Headers],[#Data],[Tri-1]],'Cessions EDDA'!$H54,TAB_CS[[#Headers],[#Data],[Sep-2024]])</f>
        <v>0</v>
      </c>
      <c r="AI54" s="422">
        <f>SUMIF(TAB_CS[[#Headers],[#Data],[Tri-1]],'Cessions EDDA'!$H54,TAB_CS[[#Headers],[#Data],[Oct-2024]])</f>
        <v>0</v>
      </c>
      <c r="AJ54" s="422">
        <f>SUMIF(TAB_CS[[#Headers],[#Data],[Tri-1]],'Cessions EDDA'!$H54,TAB_CS[[#Headers],[#Data],[Nov-2024]])</f>
        <v>0</v>
      </c>
      <c r="AK54" s="422">
        <f>SUMIF(TAB_CS[[#Headers],[#Data],[Tri-1]],'Cessions EDDA'!$H54,TAB_CS[[#Headers],[#Data],[Dec-2024]])</f>
        <v>0</v>
      </c>
      <c r="AL54" s="422">
        <f>SUMIF(TAB_CS[[#Headers],[#Data],[Tri-1]],'Cessions EDDA'!$H54,TAB_CS[[#Headers],[#Data],[Jan-2025]])</f>
        <v>0</v>
      </c>
      <c r="AM54" s="422">
        <f>SUMIF(TAB_CS[[#Headers],[#Data],[Tri-1]],'Cessions EDDA'!$H54,TAB_CS[[#Headers],[#Data],[Feb-2025]])</f>
        <v>0</v>
      </c>
      <c r="AN54" s="422">
        <f>SUMIF(TAB_CS[[#Headers],[#Data],[Tri-1]],'Cessions EDDA'!$H54,TAB_CS[[#Headers],[#Data],[Mar-2025]])</f>
        <v>0</v>
      </c>
      <c r="AO54" s="422">
        <f>SUMIF(TAB_CS[[#Headers],[#Data],[Tri-1]],'Cessions EDDA'!$H54,TAB_CS[[#Headers],[#Data],[Apr-2025]])</f>
        <v>0</v>
      </c>
      <c r="AP54" s="422">
        <f>SUMIF(TAB_CS[[#Headers],[#Data],[Tri-1]],'Cessions EDDA'!$H54,TAB_CS[[#Headers],[#Data],[May-2025]])</f>
        <v>0</v>
      </c>
      <c r="AQ54" s="422">
        <f>SUMIF(TAB_CS[[#Headers],[#Data],[Tri-1]],'Cessions EDDA'!$H54,TAB_CS[[#Headers],[#Data],[Jun-2025]])</f>
        <v>0</v>
      </c>
      <c r="AR54" s="422">
        <f>SUMIF(TAB_CS[[#Headers],[#Data],[Tri-1]],'Cessions EDDA'!$H54,TAB_CS[[#Headers],[#Data],[Jul-2025]])</f>
        <v>0</v>
      </c>
      <c r="AS54" s="422">
        <f>SUMIF(TAB_CS[[#Headers],[#Data],[Tri-1]],'Cessions EDDA'!$H54,TAB_CS[[#Headers],[#Data],[Aug-2025]])</f>
        <v>0</v>
      </c>
      <c r="AT54" s="422">
        <f>SUMIF(TAB_CS[[#Headers],[#Data],[Tri-1]],'Cessions EDDA'!$H54,TAB_CS[[#Headers],[#Data],[Sep-2025]])</f>
        <v>0</v>
      </c>
      <c r="AU54" s="422">
        <f>SUMIF(TAB_CS[[#Headers],[#Data],[Tri-1]],'Cessions EDDA'!$H54,TAB_CS[[#Headers],[#Data],[Oct-2025]])</f>
        <v>0</v>
      </c>
      <c r="AV54" s="422">
        <f>SUMIF(TAB_CS[[#Headers],[#Data],[Tri-1]],'Cessions EDDA'!$H54,TAB_CS[[#Headers],[#Data],[Nov-2025]])</f>
        <v>0</v>
      </c>
      <c r="AW54" s="422">
        <f>SUMIF(TAB_CS[[#Headers],[#Data],[Tri-1]],'Cessions EDDA'!$H54,TAB_CS[[#Headers],[#Data],[Dec-2025]])</f>
        <v>0</v>
      </c>
    </row>
    <row r="55" spans="1:49" s="408" customFormat="1" x14ac:dyDescent="0.3">
      <c r="K55" s="424">
        <f>SUMIF('CS management'!$P:$P,'Cessions EDDA'!$H55,'CS management'!AL:AL)</f>
        <v>0</v>
      </c>
      <c r="L55" s="424"/>
      <c r="M55" s="424"/>
      <c r="N55" s="425"/>
      <c r="O55" s="425"/>
      <c r="P55" s="425"/>
      <c r="Q55" s="425"/>
      <c r="R55" s="425"/>
      <c r="S55" s="425"/>
      <c r="T55" s="425"/>
      <c r="U55" s="425"/>
      <c r="V55" s="425"/>
      <c r="W55" s="425"/>
      <c r="X55" s="425"/>
      <c r="Y55" s="425"/>
      <c r="Z55" s="425"/>
      <c r="AA55" s="425"/>
      <c r="AB55" s="425"/>
      <c r="AC55" s="425"/>
      <c r="AD55" s="425"/>
      <c r="AE55" s="425"/>
      <c r="AF55" s="425"/>
      <c r="AG55" s="425"/>
      <c r="AH55" s="425"/>
      <c r="AI55" s="425"/>
      <c r="AJ55" s="425"/>
      <c r="AK55" s="425"/>
      <c r="AL55" s="425"/>
      <c r="AM55" s="425"/>
      <c r="AN55" s="425"/>
      <c r="AO55" s="425"/>
      <c r="AP55" s="425"/>
      <c r="AQ55" s="425"/>
      <c r="AR55" s="425"/>
      <c r="AS55" s="425"/>
      <c r="AT55" s="425"/>
      <c r="AU55" s="425"/>
      <c r="AV55" s="425"/>
      <c r="AW55" s="425"/>
    </row>
    <row r="56" spans="1:49" s="408" customFormat="1" x14ac:dyDescent="0.3">
      <c r="B56" s="702" t="s">
        <v>5851</v>
      </c>
      <c r="C56" s="703"/>
      <c r="D56" s="703"/>
      <c r="E56" s="703"/>
      <c r="F56" s="703"/>
      <c r="G56" s="703"/>
      <c r="H56" s="703"/>
      <c r="I56" s="703"/>
      <c r="J56" s="409"/>
      <c r="K56" s="426">
        <f t="shared" ref="K56:AW56" si="52">K2</f>
        <v>0</v>
      </c>
      <c r="L56" s="426">
        <f t="shared" si="52"/>
        <v>10509.5</v>
      </c>
      <c r="M56" s="426">
        <f t="shared" si="52"/>
        <v>68722</v>
      </c>
      <c r="N56" s="426">
        <f t="shared" si="52"/>
        <v>118282</v>
      </c>
      <c r="O56" s="426">
        <f t="shared" si="52"/>
        <v>124030</v>
      </c>
      <c r="P56" s="426">
        <f t="shared" si="52"/>
        <v>137305.5</v>
      </c>
      <c r="Q56" s="426">
        <f t="shared" si="52"/>
        <v>100503</v>
      </c>
      <c r="R56" s="426">
        <f t="shared" si="52"/>
        <v>102217.5</v>
      </c>
      <c r="S56" s="426">
        <f t="shared" si="52"/>
        <v>129853</v>
      </c>
      <c r="T56" s="426">
        <f t="shared" si="52"/>
        <v>93893</v>
      </c>
      <c r="U56" s="426">
        <f t="shared" si="52"/>
        <v>104723.5</v>
      </c>
      <c r="V56" s="426">
        <f t="shared" si="52"/>
        <v>126471.44</v>
      </c>
      <c r="W56" s="426">
        <f t="shared" si="52"/>
        <v>126782.78</v>
      </c>
      <c r="X56" s="426">
        <f t="shared" si="52"/>
        <v>123816.44</v>
      </c>
      <c r="Y56" s="426">
        <f t="shared" si="52"/>
        <v>102214.95</v>
      </c>
      <c r="Z56" s="426">
        <f t="shared" si="52"/>
        <v>124240.61</v>
      </c>
      <c r="AA56" s="426">
        <f t="shared" si="52"/>
        <v>121686.95</v>
      </c>
      <c r="AB56" s="426">
        <f t="shared" si="52"/>
        <v>118492.95</v>
      </c>
      <c r="AC56" s="426">
        <f t="shared" si="52"/>
        <v>128894.98499999999</v>
      </c>
      <c r="AD56" s="426">
        <f t="shared" si="52"/>
        <v>105828.95</v>
      </c>
      <c r="AE56" s="426">
        <f t="shared" si="52"/>
        <v>128462.70499999999</v>
      </c>
      <c r="AF56" s="426">
        <f t="shared" si="52"/>
        <v>128856.935</v>
      </c>
      <c r="AG56" s="426">
        <f t="shared" si="52"/>
        <v>96584.634999999995</v>
      </c>
      <c r="AH56" s="426">
        <f t="shared" si="52"/>
        <v>117537.37</v>
      </c>
      <c r="AI56" s="426">
        <f t="shared" si="52"/>
        <v>126313.795</v>
      </c>
      <c r="AJ56" s="426">
        <f t="shared" si="52"/>
        <v>114279.33499999999</v>
      </c>
      <c r="AK56" s="426">
        <f t="shared" si="52"/>
        <v>116334.36</v>
      </c>
      <c r="AL56" s="426">
        <f t="shared" si="52"/>
        <v>116334.36</v>
      </c>
      <c r="AM56" s="426">
        <f t="shared" si="52"/>
        <v>116334.36</v>
      </c>
      <c r="AN56" s="426">
        <f t="shared" si="52"/>
        <v>116334.36</v>
      </c>
      <c r="AO56" s="426">
        <f t="shared" si="52"/>
        <v>116334.36</v>
      </c>
      <c r="AP56" s="426">
        <f t="shared" si="52"/>
        <v>116424.36</v>
      </c>
      <c r="AQ56" s="426">
        <f t="shared" si="52"/>
        <v>116514.36</v>
      </c>
      <c r="AR56" s="426">
        <f t="shared" si="52"/>
        <v>116514.36</v>
      </c>
      <c r="AS56" s="426">
        <f t="shared" si="52"/>
        <v>116514.36</v>
      </c>
      <c r="AT56" s="426">
        <f t="shared" si="52"/>
        <v>116514.36</v>
      </c>
      <c r="AU56" s="426">
        <f t="shared" si="52"/>
        <v>116514.36</v>
      </c>
      <c r="AV56" s="426">
        <f t="shared" si="52"/>
        <v>116514.36</v>
      </c>
      <c r="AW56" s="426">
        <f t="shared" si="52"/>
        <v>116514.36</v>
      </c>
    </row>
    <row r="57" spans="1:49" s="408" customFormat="1" x14ac:dyDescent="0.3">
      <c r="B57" s="702" t="s">
        <v>5852</v>
      </c>
      <c r="C57" s="703"/>
      <c r="D57" s="703"/>
      <c r="E57" s="703"/>
      <c r="F57" s="703"/>
      <c r="G57" s="703"/>
      <c r="H57" s="703"/>
      <c r="I57" s="703"/>
      <c r="J57" s="409"/>
      <c r="K57" s="426">
        <f t="shared" ref="K57:AW57" si="53">K3+K4</f>
        <v>0</v>
      </c>
      <c r="L57" s="426">
        <f t="shared" si="53"/>
        <v>12380.764999999999</v>
      </c>
      <c r="M57" s="426">
        <f t="shared" si="53"/>
        <v>79334.444999999992</v>
      </c>
      <c r="N57" s="426">
        <f t="shared" si="53"/>
        <v>137368.93</v>
      </c>
      <c r="O57" s="426">
        <f t="shared" si="53"/>
        <v>143598.00499999998</v>
      </c>
      <c r="P57" s="426">
        <f t="shared" si="53"/>
        <v>160221.38</v>
      </c>
      <c r="Q57" s="426">
        <f t="shared" si="53"/>
        <v>117325.93000000002</v>
      </c>
      <c r="R57" s="426">
        <f t="shared" si="53"/>
        <v>119439.25000000003</v>
      </c>
      <c r="S57" s="426">
        <f t="shared" si="53"/>
        <v>151470.29500000001</v>
      </c>
      <c r="T57" s="426">
        <f t="shared" si="53"/>
        <v>109727.565</v>
      </c>
      <c r="U57" s="426">
        <f t="shared" si="53"/>
        <v>122264.595</v>
      </c>
      <c r="V57" s="426">
        <f t="shared" si="53"/>
        <v>147946.77499999999</v>
      </c>
      <c r="W57" s="426">
        <f t="shared" si="53"/>
        <v>148326.23499999999</v>
      </c>
      <c r="X57" s="426">
        <f t="shared" si="53"/>
        <v>144962.57499999998</v>
      </c>
      <c r="Y57" s="426">
        <f t="shared" si="53"/>
        <v>119588.88</v>
      </c>
      <c r="Z57" s="426">
        <f t="shared" si="53"/>
        <v>145347.73000000001</v>
      </c>
      <c r="AA57" s="426">
        <f t="shared" si="53"/>
        <v>142374.93</v>
      </c>
      <c r="AB57" s="426">
        <f t="shared" si="53"/>
        <v>138608.39000000001</v>
      </c>
      <c r="AC57" s="426">
        <f t="shared" si="53"/>
        <v>150768.50000000003</v>
      </c>
      <c r="AD57" s="426">
        <f t="shared" si="53"/>
        <v>123934.25500000002</v>
      </c>
      <c r="AE57" s="426">
        <f t="shared" si="53"/>
        <v>150266.67500000002</v>
      </c>
      <c r="AF57" s="426">
        <f t="shared" si="53"/>
        <v>150862.29500000001</v>
      </c>
      <c r="AG57" s="426">
        <f t="shared" si="53"/>
        <v>113309.74</v>
      </c>
      <c r="AH57" s="426">
        <f t="shared" si="53"/>
        <v>138146.34500000003</v>
      </c>
      <c r="AI57" s="426">
        <f t="shared" si="53"/>
        <v>150062.94</v>
      </c>
      <c r="AJ57" s="426">
        <f t="shared" si="53"/>
        <v>135657.12000000002</v>
      </c>
      <c r="AK57" s="426">
        <f t="shared" si="53"/>
        <v>138037.14000000001</v>
      </c>
      <c r="AL57" s="426">
        <f t="shared" si="53"/>
        <v>138037.14000000001</v>
      </c>
      <c r="AM57" s="426">
        <f t="shared" si="53"/>
        <v>138037.14000000001</v>
      </c>
      <c r="AN57" s="426">
        <f t="shared" si="53"/>
        <v>138037.14000000001</v>
      </c>
      <c r="AO57" s="426">
        <f t="shared" si="53"/>
        <v>138329.39000000001</v>
      </c>
      <c r="AP57" s="426">
        <f t="shared" si="53"/>
        <v>138668.4</v>
      </c>
      <c r="AQ57" s="426">
        <f t="shared" si="53"/>
        <v>138878.82</v>
      </c>
      <c r="AR57" s="426">
        <f t="shared" si="53"/>
        <v>138878.82</v>
      </c>
      <c r="AS57" s="426">
        <f t="shared" si="53"/>
        <v>138878.82</v>
      </c>
      <c r="AT57" s="426">
        <f t="shared" si="53"/>
        <v>138878.82</v>
      </c>
      <c r="AU57" s="426">
        <f t="shared" si="53"/>
        <v>138878.82</v>
      </c>
      <c r="AV57" s="426">
        <f t="shared" si="53"/>
        <v>138878.82</v>
      </c>
      <c r="AW57" s="426">
        <f t="shared" si="53"/>
        <v>138878.82</v>
      </c>
    </row>
    <row r="58" spans="1:49" s="408" customFormat="1" x14ac:dyDescent="0.3">
      <c r="B58" s="702" t="s">
        <v>5853</v>
      </c>
      <c r="C58" s="703"/>
      <c r="D58" s="703"/>
      <c r="E58" s="703"/>
      <c r="F58" s="703"/>
      <c r="G58" s="703"/>
      <c r="H58" s="703"/>
      <c r="I58" s="703"/>
      <c r="J58" s="409"/>
      <c r="K58" s="426">
        <f t="shared" ref="K58:AW58" si="54">K57-K56</f>
        <v>0</v>
      </c>
      <c r="L58" s="426">
        <f t="shared" si="54"/>
        <v>1871.2649999999994</v>
      </c>
      <c r="M58" s="426">
        <f t="shared" si="54"/>
        <v>10612.444999999992</v>
      </c>
      <c r="N58" s="426">
        <f t="shared" si="54"/>
        <v>19086.929999999993</v>
      </c>
      <c r="O58" s="426">
        <f t="shared" si="54"/>
        <v>19568.004999999976</v>
      </c>
      <c r="P58" s="426">
        <f t="shared" si="54"/>
        <v>22915.880000000005</v>
      </c>
      <c r="Q58" s="426">
        <f t="shared" si="54"/>
        <v>16822.930000000022</v>
      </c>
      <c r="R58" s="426">
        <f t="shared" si="54"/>
        <v>17221.750000000029</v>
      </c>
      <c r="S58" s="426">
        <f t="shared" si="54"/>
        <v>21617.295000000013</v>
      </c>
      <c r="T58" s="426">
        <f t="shared" si="54"/>
        <v>15834.565000000002</v>
      </c>
      <c r="U58" s="426">
        <f t="shared" si="54"/>
        <v>17541.095000000001</v>
      </c>
      <c r="V58" s="426">
        <f t="shared" si="54"/>
        <v>21475.334999999992</v>
      </c>
      <c r="W58" s="426">
        <f t="shared" si="54"/>
        <v>21543.454999999987</v>
      </c>
      <c r="X58" s="426">
        <f t="shared" si="54"/>
        <v>21146.13499999998</v>
      </c>
      <c r="Y58" s="426">
        <f t="shared" si="54"/>
        <v>17373.930000000008</v>
      </c>
      <c r="Z58" s="426">
        <f t="shared" si="54"/>
        <v>21107.12000000001</v>
      </c>
      <c r="AA58" s="426">
        <f t="shared" si="54"/>
        <v>20687.979999999996</v>
      </c>
      <c r="AB58" s="426">
        <f t="shared" si="54"/>
        <v>20115.440000000017</v>
      </c>
      <c r="AC58" s="426">
        <f t="shared" si="54"/>
        <v>21873.515000000043</v>
      </c>
      <c r="AD58" s="426">
        <f t="shared" si="54"/>
        <v>18105.305000000022</v>
      </c>
      <c r="AE58" s="426">
        <f t="shared" si="54"/>
        <v>21803.97000000003</v>
      </c>
      <c r="AF58" s="426">
        <f t="shared" si="54"/>
        <v>22005.360000000015</v>
      </c>
      <c r="AG58" s="426">
        <f t="shared" si="54"/>
        <v>16725.10500000001</v>
      </c>
      <c r="AH58" s="426">
        <f t="shared" si="54"/>
        <v>20608.975000000035</v>
      </c>
      <c r="AI58" s="426">
        <f t="shared" si="54"/>
        <v>23749.145000000004</v>
      </c>
      <c r="AJ58" s="426">
        <f t="shared" si="54"/>
        <v>21377.785000000033</v>
      </c>
      <c r="AK58" s="426">
        <f t="shared" si="54"/>
        <v>21702.780000000013</v>
      </c>
      <c r="AL58" s="426">
        <f t="shared" si="54"/>
        <v>21702.780000000013</v>
      </c>
      <c r="AM58" s="426">
        <f t="shared" si="54"/>
        <v>21702.780000000013</v>
      </c>
      <c r="AN58" s="426">
        <f t="shared" si="54"/>
        <v>21702.780000000013</v>
      </c>
      <c r="AO58" s="426">
        <f t="shared" si="54"/>
        <v>21995.030000000013</v>
      </c>
      <c r="AP58" s="426">
        <f t="shared" si="54"/>
        <v>22244.039999999994</v>
      </c>
      <c r="AQ58" s="426">
        <f t="shared" si="54"/>
        <v>22364.460000000006</v>
      </c>
      <c r="AR58" s="426">
        <f t="shared" si="54"/>
        <v>22364.460000000006</v>
      </c>
      <c r="AS58" s="426">
        <f t="shared" si="54"/>
        <v>22364.460000000006</v>
      </c>
      <c r="AT58" s="426">
        <f t="shared" si="54"/>
        <v>22364.460000000006</v>
      </c>
      <c r="AU58" s="426">
        <f t="shared" si="54"/>
        <v>22364.460000000006</v>
      </c>
      <c r="AV58" s="426">
        <f t="shared" si="54"/>
        <v>22364.460000000006</v>
      </c>
      <c r="AW58" s="426">
        <f t="shared" si="54"/>
        <v>22364.460000000006</v>
      </c>
    </row>
    <row r="59" spans="1:49" x14ac:dyDescent="0.3">
      <c r="K59" s="419"/>
      <c r="L59" s="419"/>
      <c r="M59" s="419"/>
      <c r="N59" s="419"/>
      <c r="O59" s="419"/>
      <c r="P59" s="419"/>
      <c r="Q59" s="419"/>
      <c r="R59" s="419"/>
      <c r="S59" s="419"/>
      <c r="T59" s="419"/>
      <c r="U59" s="419"/>
      <c r="V59" s="419"/>
      <c r="W59" s="419"/>
      <c r="X59" s="419"/>
      <c r="Y59" s="419"/>
      <c r="Z59" s="419"/>
      <c r="AA59" s="419"/>
      <c r="AB59" s="419"/>
      <c r="AC59" s="419"/>
      <c r="AD59" s="419"/>
      <c r="AE59" s="419"/>
      <c r="AF59" s="419"/>
      <c r="AG59" s="419"/>
      <c r="AH59" s="419"/>
      <c r="AI59" s="419"/>
      <c r="AJ59" s="419"/>
      <c r="AK59" s="419"/>
      <c r="AL59" s="419"/>
      <c r="AM59" s="419"/>
      <c r="AN59" s="419"/>
      <c r="AO59" s="419"/>
      <c r="AP59" s="419"/>
      <c r="AQ59" s="419"/>
      <c r="AR59" s="419"/>
      <c r="AS59" s="419"/>
      <c r="AT59" s="419"/>
      <c r="AU59" s="419"/>
      <c r="AV59" s="419"/>
      <c r="AW59" s="419"/>
    </row>
    <row r="60" spans="1:49" x14ac:dyDescent="0.3">
      <c r="B60" s="700" t="s">
        <v>5854</v>
      </c>
      <c r="C60" s="701"/>
      <c r="D60" s="701"/>
      <c r="E60" s="701"/>
      <c r="F60" s="701"/>
      <c r="G60" s="701"/>
      <c r="H60" s="701"/>
      <c r="I60" s="701"/>
      <c r="J60" s="412"/>
      <c r="K60" s="426">
        <f t="shared" ref="K60:AW60" si="55">K3*$G$8+K4*$G$41</f>
        <v>0</v>
      </c>
      <c r="L60" s="426">
        <f t="shared" si="55"/>
        <v>619.03825000000006</v>
      </c>
      <c r="M60" s="426">
        <f t="shared" si="55"/>
        <v>3945.4774500000003</v>
      </c>
      <c r="N60" s="426">
        <f t="shared" si="55"/>
        <v>6756.9113000000007</v>
      </c>
      <c r="O60" s="426">
        <f t="shared" si="55"/>
        <v>7078.9874499999996</v>
      </c>
      <c r="P60" s="426">
        <f t="shared" si="55"/>
        <v>7894.222600000001</v>
      </c>
      <c r="Q60" s="426">
        <f t="shared" si="55"/>
        <v>5791.9397000000008</v>
      </c>
      <c r="R60" s="426">
        <f t="shared" si="55"/>
        <v>5876.3609000000015</v>
      </c>
      <c r="S60" s="426">
        <f t="shared" si="55"/>
        <v>7477.9131500000003</v>
      </c>
      <c r="T60" s="426">
        <f t="shared" si="55"/>
        <v>5385.4654500000006</v>
      </c>
      <c r="U60" s="426">
        <f t="shared" si="55"/>
        <v>5999.038950000001</v>
      </c>
      <c r="V60" s="426">
        <f t="shared" si="55"/>
        <v>7264.4279500000011</v>
      </c>
      <c r="W60" s="426">
        <f t="shared" si="55"/>
        <v>7233.2541500000007</v>
      </c>
      <c r="X60" s="426">
        <f t="shared" si="55"/>
        <v>7072.7283499999994</v>
      </c>
      <c r="Y60" s="426">
        <f t="shared" si="55"/>
        <v>5837.7030000000004</v>
      </c>
      <c r="Z60" s="426">
        <f t="shared" si="55"/>
        <v>7088.1575000000003</v>
      </c>
      <c r="AA60" s="426">
        <f t="shared" si="55"/>
        <v>6945.1383000000005</v>
      </c>
      <c r="AB60" s="426">
        <f t="shared" si="55"/>
        <v>6775.4005000000006</v>
      </c>
      <c r="AC60" s="426">
        <f t="shared" si="55"/>
        <v>7364.8168000000023</v>
      </c>
      <c r="AD60" s="426">
        <f t="shared" si="55"/>
        <v>6058.8003500000004</v>
      </c>
      <c r="AE60" s="426">
        <f t="shared" si="55"/>
        <v>7345.0367500000011</v>
      </c>
      <c r="AF60" s="426">
        <f t="shared" si="55"/>
        <v>7354.7459500000004</v>
      </c>
      <c r="AG60" s="426">
        <f t="shared" si="55"/>
        <v>5493.0518000000011</v>
      </c>
      <c r="AH60" s="426">
        <f t="shared" si="55"/>
        <v>6760.2650500000018</v>
      </c>
      <c r="AI60" s="426">
        <f t="shared" si="55"/>
        <v>7325.2565999999997</v>
      </c>
      <c r="AJ60" s="426">
        <f t="shared" si="55"/>
        <v>6598.3506000000016</v>
      </c>
      <c r="AK60" s="426">
        <f t="shared" si="55"/>
        <v>6717.3516000000009</v>
      </c>
      <c r="AL60" s="426">
        <f t="shared" si="55"/>
        <v>6717.3516000000009</v>
      </c>
      <c r="AM60" s="426">
        <f t="shared" si="55"/>
        <v>6717.3516000000009</v>
      </c>
      <c r="AN60" s="426">
        <f t="shared" si="55"/>
        <v>6717.3516000000009</v>
      </c>
      <c r="AO60" s="426">
        <f t="shared" si="55"/>
        <v>6731.9641000000011</v>
      </c>
      <c r="AP60" s="426">
        <f t="shared" si="55"/>
        <v>6748.9146000000001</v>
      </c>
      <c r="AQ60" s="426">
        <f t="shared" si="55"/>
        <v>6759.4356000000007</v>
      </c>
      <c r="AR60" s="426">
        <f t="shared" si="55"/>
        <v>6759.4356000000007</v>
      </c>
      <c r="AS60" s="426">
        <f t="shared" si="55"/>
        <v>6759.4356000000007</v>
      </c>
      <c r="AT60" s="426">
        <f t="shared" si="55"/>
        <v>6759.4356000000007</v>
      </c>
      <c r="AU60" s="426">
        <f t="shared" si="55"/>
        <v>6759.4356000000007</v>
      </c>
      <c r="AV60" s="426">
        <f t="shared" si="55"/>
        <v>6759.4356000000007</v>
      </c>
      <c r="AW60" s="426">
        <f t="shared" si="55"/>
        <v>6759.4356000000007</v>
      </c>
    </row>
    <row r="61" spans="1:49" x14ac:dyDescent="0.3">
      <c r="B61" s="700" t="s">
        <v>5855</v>
      </c>
      <c r="C61" s="701"/>
      <c r="D61" s="701"/>
      <c r="E61" s="701"/>
      <c r="F61" s="701"/>
      <c r="G61" s="701"/>
      <c r="H61" s="701"/>
      <c r="I61" s="701"/>
      <c r="J61" s="412"/>
      <c r="K61" s="426"/>
      <c r="L61" s="426">
        <f t="shared" ref="L61:AW61" si="56">(L3+L4+L5-L2)-L60</f>
        <v>1252.3778929221039</v>
      </c>
      <c r="M61" s="426">
        <f t="shared" si="56"/>
        <v>6667.1013184406675</v>
      </c>
      <c r="N61" s="426">
        <f t="shared" si="56"/>
        <v>12330.157646485204</v>
      </c>
      <c r="O61" s="426">
        <f t="shared" si="56"/>
        <v>12489.153819337414</v>
      </c>
      <c r="P61" s="426">
        <f t="shared" si="56"/>
        <v>15021.800426355163</v>
      </c>
      <c r="Q61" s="426">
        <f t="shared" si="56"/>
        <v>11031.133686291521</v>
      </c>
      <c r="R61" s="426">
        <f t="shared" si="56"/>
        <v>11345.533288363569</v>
      </c>
      <c r="S61" s="426">
        <f t="shared" si="56"/>
        <v>14139.524566398621</v>
      </c>
      <c r="T61" s="426">
        <f t="shared" si="56"/>
        <v>10449.243857995902</v>
      </c>
      <c r="U61" s="426">
        <f t="shared" si="56"/>
        <v>11542.199518311492</v>
      </c>
      <c r="V61" s="426">
        <f t="shared" si="56"/>
        <v>14211.052205816999</v>
      </c>
      <c r="W61" s="426">
        <f t="shared" si="56"/>
        <v>14310.346093725755</v>
      </c>
      <c r="X61" s="426">
        <f t="shared" si="56"/>
        <v>14073.552523064127</v>
      </c>
      <c r="Y61" s="426">
        <f t="shared" si="56"/>
        <v>11536.372280480929</v>
      </c>
      <c r="Z61" s="426">
        <f t="shared" si="56"/>
        <v>14019.107718091822</v>
      </c>
      <c r="AA61" s="426">
        <f t="shared" si="56"/>
        <v>13742.987006340094</v>
      </c>
      <c r="AB61" s="426">
        <f t="shared" si="56"/>
        <v>13340.1846242598</v>
      </c>
      <c r="AC61" s="426">
        <f t="shared" si="56"/>
        <v>14508.843280139465</v>
      </c>
      <c r="AD61" s="426">
        <f t="shared" si="56"/>
        <v>12046.650737980297</v>
      </c>
      <c r="AE61" s="426">
        <f t="shared" si="56"/>
        <v>14459.078351833157</v>
      </c>
      <c r="AF61" s="426">
        <f t="shared" si="56"/>
        <v>14650.759913882048</v>
      </c>
      <c r="AG61" s="426">
        <f t="shared" si="56"/>
        <v>11232.20080518382</v>
      </c>
      <c r="AH61" s="426">
        <f t="shared" si="56"/>
        <v>13848.859132195197</v>
      </c>
      <c r="AI61" s="426">
        <f t="shared" si="56"/>
        <v>16424.04666122693</v>
      </c>
      <c r="AJ61" s="426">
        <f t="shared" si="56"/>
        <v>14779.591986899995</v>
      </c>
      <c r="AK61" s="426">
        <f t="shared" si="56"/>
        <v>14985.585624207924</v>
      </c>
      <c r="AL61" s="426">
        <f t="shared" si="56"/>
        <v>14985.585624207924</v>
      </c>
      <c r="AM61" s="426">
        <f t="shared" si="56"/>
        <v>14985.585624207924</v>
      </c>
      <c r="AN61" s="426">
        <f t="shared" si="56"/>
        <v>14985.585624207924</v>
      </c>
      <c r="AO61" s="426">
        <f t="shared" si="56"/>
        <v>15263.224904749481</v>
      </c>
      <c r="AP61" s="426">
        <f t="shared" si="56"/>
        <v>15495.285811744838</v>
      </c>
      <c r="AQ61" s="426">
        <f t="shared" si="56"/>
        <v>15605.185435786447</v>
      </c>
      <c r="AR61" s="426">
        <f t="shared" si="56"/>
        <v>15605.185435786447</v>
      </c>
      <c r="AS61" s="426">
        <f t="shared" si="56"/>
        <v>15605.185435786447</v>
      </c>
      <c r="AT61" s="426">
        <f t="shared" si="56"/>
        <v>15605.185435786447</v>
      </c>
      <c r="AU61" s="426">
        <f t="shared" si="56"/>
        <v>15605.185435786447</v>
      </c>
      <c r="AV61" s="426">
        <f t="shared" si="56"/>
        <v>15605.185435786447</v>
      </c>
      <c r="AW61" s="426">
        <f t="shared" si="56"/>
        <v>15605.185435786447</v>
      </c>
    </row>
    <row r="62" spans="1:49" ht="15.75" customHeight="1" x14ac:dyDescent="0.3">
      <c r="L62" s="420"/>
      <c r="M62" s="420"/>
      <c r="N62" s="420"/>
      <c r="O62" s="420"/>
      <c r="P62" s="420"/>
      <c r="Q62" s="420"/>
      <c r="R62" s="420"/>
      <c r="S62" s="420"/>
      <c r="T62" s="420"/>
      <c r="U62" s="420"/>
      <c r="V62" s="420"/>
      <c r="W62" s="420"/>
      <c r="X62" s="420"/>
      <c r="Y62" s="420"/>
      <c r="Z62" s="420"/>
      <c r="AA62" s="420"/>
      <c r="AB62" s="420"/>
      <c r="AC62" s="420"/>
      <c r="AD62" s="420"/>
      <c r="AE62" s="420"/>
      <c r="AF62" s="420"/>
      <c r="AG62" s="420"/>
      <c r="AH62" s="420"/>
      <c r="AI62" s="420"/>
      <c r="AJ62" s="420"/>
      <c r="AK62" s="420"/>
      <c r="AL62" s="420"/>
      <c r="AM62" s="420"/>
      <c r="AN62" s="420"/>
      <c r="AO62" s="420"/>
      <c r="AP62" s="420"/>
      <c r="AQ62" s="420"/>
      <c r="AR62" s="420"/>
      <c r="AS62" s="420"/>
      <c r="AT62" s="420"/>
      <c r="AU62" s="420"/>
      <c r="AV62" s="420"/>
      <c r="AW62" s="420"/>
    </row>
    <row r="63" spans="1:49" ht="15.75" customHeight="1" x14ac:dyDescent="0.3">
      <c r="L63" s="420"/>
      <c r="M63" s="420"/>
      <c r="N63" s="420"/>
      <c r="O63" s="420"/>
      <c r="P63" s="420"/>
      <c r="Q63" s="420"/>
      <c r="R63" s="420"/>
      <c r="S63" s="420"/>
      <c r="T63" s="420"/>
      <c r="U63" s="420"/>
      <c r="V63" s="420"/>
      <c r="W63" s="420"/>
      <c r="X63" s="420"/>
      <c r="Y63" s="420"/>
      <c r="Z63" s="420"/>
      <c r="AA63" s="420"/>
      <c r="AB63" s="420"/>
      <c r="AC63" s="420"/>
      <c r="AD63" s="420"/>
      <c r="AE63" s="420"/>
      <c r="AF63" s="420"/>
      <c r="AG63" s="420"/>
      <c r="AH63" s="420"/>
      <c r="AI63" s="420"/>
      <c r="AJ63" s="420"/>
      <c r="AK63" s="420"/>
      <c r="AL63" s="420"/>
      <c r="AM63" s="420"/>
      <c r="AN63" s="420"/>
      <c r="AO63" s="420"/>
      <c r="AP63" s="420"/>
      <c r="AQ63" s="420"/>
      <c r="AR63" s="420"/>
      <c r="AS63" s="420"/>
      <c r="AT63" s="420"/>
      <c r="AU63" s="420"/>
      <c r="AV63" s="420"/>
      <c r="AW63" s="420"/>
    </row>
    <row r="64" spans="1:49" ht="33" customHeight="1" x14ac:dyDescent="0.3">
      <c r="B64" s="700" t="s">
        <v>5856</v>
      </c>
      <c r="C64" s="701"/>
      <c r="D64" s="701"/>
      <c r="E64" s="701"/>
      <c r="F64" s="701"/>
      <c r="G64" s="701"/>
      <c r="H64" s="701"/>
      <c r="I64" s="701"/>
      <c r="J64" s="412"/>
      <c r="K64" s="427"/>
      <c r="L64" s="427"/>
      <c r="M64" s="427"/>
      <c r="N64" s="427"/>
      <c r="O64" s="427"/>
      <c r="P64" s="427"/>
      <c r="Q64" s="427"/>
      <c r="R64" s="427"/>
      <c r="S64" s="427"/>
      <c r="T64" s="427"/>
      <c r="U64" s="427"/>
      <c r="V64" s="427"/>
      <c r="W64" s="427"/>
      <c r="X64" s="427"/>
      <c r="Y64" s="427"/>
      <c r="Z64" s="427"/>
      <c r="AA64" s="427"/>
      <c r="AB64" s="427"/>
      <c r="AC64" s="694" t="s">
        <v>6207</v>
      </c>
      <c r="AD64" s="695"/>
      <c r="AE64" s="696"/>
      <c r="AF64" s="697"/>
      <c r="AG64" s="698"/>
      <c r="AH64" s="699"/>
      <c r="AI64" s="427"/>
      <c r="AJ64" s="427"/>
      <c r="AK64" s="427"/>
      <c r="AL64" s="427"/>
      <c r="AM64" s="427"/>
      <c r="AN64" s="427"/>
      <c r="AO64" s="427"/>
      <c r="AP64" s="427"/>
      <c r="AQ64" s="427"/>
      <c r="AR64" s="427"/>
      <c r="AS64" s="427"/>
      <c r="AT64" s="427"/>
      <c r="AU64" s="427"/>
      <c r="AV64" s="427"/>
      <c r="AW64" s="427"/>
    </row>
    <row r="65" spans="2:49" ht="15.75" customHeight="1" x14ac:dyDescent="0.3">
      <c r="L65" s="420"/>
      <c r="M65" s="420"/>
      <c r="N65" s="420"/>
      <c r="O65" s="420"/>
      <c r="P65" s="420"/>
      <c r="Q65" s="420"/>
      <c r="R65" s="420"/>
      <c r="S65" s="420"/>
      <c r="T65" s="420"/>
      <c r="U65" s="420"/>
      <c r="V65" s="420"/>
      <c r="W65" s="420"/>
      <c r="X65" s="420"/>
      <c r="Y65" s="420"/>
      <c r="Z65" s="420"/>
      <c r="AA65" s="420"/>
      <c r="AB65" s="420"/>
      <c r="AC65" s="420"/>
      <c r="AD65" s="420"/>
      <c r="AE65" s="420"/>
      <c r="AF65" s="420"/>
      <c r="AG65" s="420"/>
      <c r="AH65" s="420"/>
      <c r="AI65" s="420"/>
      <c r="AJ65" s="420"/>
      <c r="AK65" s="420"/>
      <c r="AL65" s="420"/>
      <c r="AM65" s="420"/>
      <c r="AN65" s="420"/>
      <c r="AO65" s="420"/>
      <c r="AP65" s="420"/>
      <c r="AQ65" s="420"/>
      <c r="AR65" s="420"/>
      <c r="AS65" s="420"/>
      <c r="AT65" s="420"/>
      <c r="AU65" s="420"/>
      <c r="AV65" s="420"/>
      <c r="AW65" s="420"/>
    </row>
    <row r="66" spans="2:49" ht="15.75" customHeight="1" x14ac:dyDescent="0.3">
      <c r="B66" s="414" t="s">
        <v>5857</v>
      </c>
      <c r="L66" s="420"/>
      <c r="M66" s="420"/>
      <c r="N66" s="420"/>
      <c r="O66" s="420"/>
      <c r="P66" s="420"/>
      <c r="Q66" s="420"/>
      <c r="R66" s="420"/>
      <c r="S66" s="420"/>
      <c r="T66" s="420"/>
      <c r="U66" s="420"/>
      <c r="V66" s="420"/>
      <c r="W66" s="420"/>
      <c r="X66" s="420"/>
      <c r="Y66" s="420"/>
      <c r="Z66" s="420"/>
      <c r="AA66" s="420"/>
      <c r="AB66" s="420"/>
      <c r="AC66" s="420"/>
      <c r="AD66" s="420"/>
      <c r="AE66" s="420"/>
      <c r="AF66" s="420"/>
      <c r="AG66" s="420"/>
      <c r="AH66" s="420"/>
      <c r="AI66" s="420"/>
      <c r="AJ66" s="420"/>
      <c r="AK66" s="420"/>
      <c r="AL66" s="420"/>
      <c r="AM66" s="420"/>
      <c r="AN66" s="420"/>
      <c r="AO66" s="420"/>
      <c r="AP66" s="420"/>
      <c r="AQ66" s="420"/>
      <c r="AR66" s="420"/>
      <c r="AS66" s="420"/>
      <c r="AT66" s="420"/>
      <c r="AU66" s="420"/>
      <c r="AV66" s="420"/>
      <c r="AW66" s="420"/>
    </row>
    <row r="67" spans="2:49" ht="15.75" customHeight="1" x14ac:dyDescent="0.3">
      <c r="B67" s="415" t="s">
        <v>5858</v>
      </c>
      <c r="C67" s="416"/>
      <c r="D67" s="416"/>
      <c r="E67" s="416"/>
      <c r="F67" s="416"/>
      <c r="G67" s="416"/>
      <c r="H67" s="416"/>
      <c r="I67" s="416"/>
      <c r="J67" s="416"/>
      <c r="K67" s="427">
        <f t="shared" ref="K67:AW67" si="57">K61</f>
        <v>0</v>
      </c>
      <c r="L67" s="427">
        <f t="shared" si="57"/>
        <v>1252.3778929221039</v>
      </c>
      <c r="M67" s="427">
        <f t="shared" si="57"/>
        <v>6667.1013184406675</v>
      </c>
      <c r="N67" s="427">
        <f t="shared" si="57"/>
        <v>12330.157646485204</v>
      </c>
      <c r="O67" s="427">
        <f t="shared" si="57"/>
        <v>12489.153819337414</v>
      </c>
      <c r="P67" s="427">
        <f>P61</f>
        <v>15021.800426355163</v>
      </c>
      <c r="Q67" s="427">
        <f t="shared" si="57"/>
        <v>11031.133686291521</v>
      </c>
      <c r="R67" s="427">
        <f>R61</f>
        <v>11345.533288363569</v>
      </c>
      <c r="S67" s="427">
        <f t="shared" si="57"/>
        <v>14139.524566398621</v>
      </c>
      <c r="T67" s="427">
        <f t="shared" si="57"/>
        <v>10449.243857995902</v>
      </c>
      <c r="U67" s="427">
        <f t="shared" si="57"/>
        <v>11542.199518311492</v>
      </c>
      <c r="V67" s="427">
        <f t="shared" si="57"/>
        <v>14211.052205816999</v>
      </c>
      <c r="W67" s="427">
        <f t="shared" si="57"/>
        <v>14310.346093725755</v>
      </c>
      <c r="X67" s="427">
        <f t="shared" si="57"/>
        <v>14073.552523064127</v>
      </c>
      <c r="Y67" s="427">
        <f t="shared" si="57"/>
        <v>11536.372280480929</v>
      </c>
      <c r="Z67" s="427">
        <f t="shared" si="57"/>
        <v>14019.107718091822</v>
      </c>
      <c r="AA67" s="427">
        <f t="shared" si="57"/>
        <v>13742.987006340094</v>
      </c>
      <c r="AB67" s="427">
        <f t="shared" si="57"/>
        <v>13340.1846242598</v>
      </c>
      <c r="AC67" s="427">
        <f t="shared" si="57"/>
        <v>14508.843280139465</v>
      </c>
      <c r="AD67" s="427">
        <f t="shared" si="57"/>
        <v>12046.650737980297</v>
      </c>
      <c r="AE67" s="427">
        <f t="shared" si="57"/>
        <v>14459.078351833157</v>
      </c>
      <c r="AF67" s="427">
        <f t="shared" si="57"/>
        <v>14650.759913882048</v>
      </c>
      <c r="AG67" s="427">
        <f t="shared" si="57"/>
        <v>11232.20080518382</v>
      </c>
      <c r="AH67" s="427">
        <f t="shared" si="57"/>
        <v>13848.859132195197</v>
      </c>
      <c r="AI67" s="427">
        <f t="shared" si="57"/>
        <v>16424.04666122693</v>
      </c>
      <c r="AJ67" s="427">
        <f t="shared" si="57"/>
        <v>14779.591986899995</v>
      </c>
      <c r="AK67" s="427">
        <f t="shared" si="57"/>
        <v>14985.585624207924</v>
      </c>
      <c r="AL67" s="427">
        <f t="shared" si="57"/>
        <v>14985.585624207924</v>
      </c>
      <c r="AM67" s="427">
        <f t="shared" si="57"/>
        <v>14985.585624207924</v>
      </c>
      <c r="AN67" s="427">
        <f t="shared" si="57"/>
        <v>14985.585624207924</v>
      </c>
      <c r="AO67" s="427">
        <f t="shared" si="57"/>
        <v>15263.224904749481</v>
      </c>
      <c r="AP67" s="427">
        <f t="shared" si="57"/>
        <v>15495.285811744838</v>
      </c>
      <c r="AQ67" s="427">
        <f t="shared" si="57"/>
        <v>15605.185435786447</v>
      </c>
      <c r="AR67" s="427">
        <f t="shared" si="57"/>
        <v>15605.185435786447</v>
      </c>
      <c r="AS67" s="427">
        <f t="shared" si="57"/>
        <v>15605.185435786447</v>
      </c>
      <c r="AT67" s="427">
        <f t="shared" si="57"/>
        <v>15605.185435786447</v>
      </c>
      <c r="AU67" s="427">
        <f t="shared" si="57"/>
        <v>15605.185435786447</v>
      </c>
      <c r="AV67" s="427">
        <f t="shared" si="57"/>
        <v>15605.185435786447</v>
      </c>
      <c r="AW67" s="427">
        <f t="shared" si="57"/>
        <v>15605.185435786447</v>
      </c>
    </row>
    <row r="68" spans="2:49" x14ac:dyDescent="0.3">
      <c r="B68" s="411"/>
      <c r="C68" s="412"/>
      <c r="D68" s="412"/>
      <c r="E68" s="412"/>
      <c r="F68" s="412"/>
      <c r="G68" s="412"/>
      <c r="H68" s="412"/>
      <c r="I68" s="412"/>
      <c r="J68" s="413"/>
      <c r="L68" s="420"/>
      <c r="M68" s="420"/>
      <c r="N68" s="420"/>
      <c r="O68" s="420"/>
      <c r="P68" s="420"/>
      <c r="Q68" s="420"/>
      <c r="R68" s="420"/>
      <c r="S68" s="420"/>
      <c r="T68" s="420"/>
      <c r="U68" s="420"/>
      <c r="V68" s="420"/>
      <c r="W68" s="420"/>
      <c r="X68" s="420"/>
      <c r="Y68" s="420"/>
      <c r="Z68" s="420"/>
      <c r="AA68" s="420"/>
      <c r="AB68" s="420"/>
      <c r="AC68" s="420"/>
      <c r="AD68" s="420"/>
      <c r="AE68" s="420"/>
      <c r="AF68" s="420"/>
      <c r="AG68" s="420"/>
      <c r="AH68" s="420"/>
      <c r="AI68" s="420"/>
      <c r="AJ68" s="420"/>
      <c r="AK68" s="420"/>
      <c r="AL68" s="420"/>
      <c r="AM68" s="420"/>
      <c r="AN68" s="420"/>
      <c r="AO68" s="420"/>
      <c r="AP68" s="420"/>
      <c r="AQ68" s="420"/>
      <c r="AR68" s="420"/>
      <c r="AS68" s="420"/>
      <c r="AT68" s="420"/>
      <c r="AU68" s="420"/>
      <c r="AV68" s="420"/>
      <c r="AW68" s="420"/>
    </row>
    <row r="69" spans="2:49" x14ac:dyDescent="0.3">
      <c r="B69" s="411" t="s">
        <v>5859</v>
      </c>
      <c r="C69" s="412"/>
      <c r="D69" s="412"/>
      <c r="E69" s="412"/>
      <c r="F69" s="412"/>
      <c r="G69" s="412"/>
      <c r="H69" s="412"/>
      <c r="I69" s="412"/>
      <c r="J69" s="413">
        <v>0</v>
      </c>
      <c r="L69" s="420"/>
      <c r="M69" s="420"/>
      <c r="N69" s="420"/>
      <c r="O69" s="420"/>
      <c r="P69" s="420"/>
      <c r="Q69" s="420"/>
      <c r="R69" s="420"/>
      <c r="S69" s="420"/>
      <c r="T69" s="420"/>
      <c r="U69" s="420"/>
      <c r="V69" s="420"/>
      <c r="W69" s="420"/>
      <c r="X69" s="420"/>
      <c r="Y69" s="420"/>
      <c r="Z69" s="420"/>
      <c r="AA69" s="420"/>
      <c r="AB69" s="420"/>
      <c r="AC69" s="420"/>
      <c r="AD69" s="420"/>
      <c r="AE69" s="420"/>
      <c r="AF69" s="420"/>
      <c r="AG69" s="420"/>
      <c r="AH69" s="420"/>
      <c r="AI69" s="420"/>
      <c r="AJ69" s="420"/>
      <c r="AK69" s="420"/>
      <c r="AL69" s="420"/>
      <c r="AM69" s="420"/>
      <c r="AN69" s="420"/>
      <c r="AO69" s="420"/>
      <c r="AP69" s="420"/>
      <c r="AQ69" s="420"/>
      <c r="AR69" s="420"/>
      <c r="AS69" s="420"/>
      <c r="AT69" s="420"/>
      <c r="AU69" s="420"/>
      <c r="AV69" s="420"/>
      <c r="AW69" s="420"/>
    </row>
    <row r="70" spans="2:49" x14ac:dyDescent="0.3">
      <c r="B70" s="411" t="s">
        <v>5860</v>
      </c>
      <c r="C70" s="412"/>
      <c r="D70" s="412"/>
      <c r="E70" s="412"/>
      <c r="F70" s="412"/>
      <c r="G70" s="412"/>
      <c r="H70" s="412"/>
      <c r="I70" s="412"/>
      <c r="J70" s="413">
        <f>SUM(K67:V67)</f>
        <v>120479.27822671866</v>
      </c>
      <c r="L70" s="420"/>
      <c r="M70" s="420"/>
      <c r="N70" s="420"/>
      <c r="O70" s="420"/>
      <c r="P70" s="420"/>
      <c r="Q70" s="420"/>
      <c r="R70" s="420"/>
      <c r="S70" s="420"/>
      <c r="T70" s="420"/>
      <c r="U70" s="420"/>
      <c r="V70" s="420"/>
      <c r="W70" s="420"/>
      <c r="X70" s="420"/>
      <c r="Y70" s="420"/>
      <c r="Z70" s="420"/>
      <c r="AA70" s="420"/>
      <c r="AB70" s="420"/>
      <c r="AC70" s="420"/>
      <c r="AD70" s="420"/>
      <c r="AE70" s="420"/>
      <c r="AF70" s="420"/>
      <c r="AG70" s="420"/>
      <c r="AH70" s="420"/>
      <c r="AI70" s="420"/>
      <c r="AJ70" s="420"/>
      <c r="AK70" s="420"/>
      <c r="AL70" s="420"/>
      <c r="AM70" s="420"/>
      <c r="AN70" s="420"/>
      <c r="AO70" s="420"/>
      <c r="AP70" s="420"/>
      <c r="AQ70" s="420"/>
      <c r="AR70" s="420"/>
      <c r="AS70" s="420"/>
      <c r="AT70" s="420"/>
      <c r="AU70" s="420"/>
      <c r="AV70" s="420"/>
      <c r="AW70" s="420"/>
    </row>
    <row r="71" spans="2:49" x14ac:dyDescent="0.3">
      <c r="B71" s="411" t="s">
        <v>5861</v>
      </c>
      <c r="C71" s="412"/>
      <c r="D71" s="412"/>
      <c r="E71" s="412"/>
      <c r="F71" s="412"/>
      <c r="G71" s="412"/>
      <c r="H71" s="412"/>
      <c r="I71" s="412"/>
      <c r="J71" s="413">
        <f>SUM(W67:AH67)</f>
        <v>161768.94246717653</v>
      </c>
      <c r="L71" s="420"/>
      <c r="M71" s="420"/>
      <c r="N71" s="420"/>
      <c r="O71" s="420"/>
      <c r="P71" s="420"/>
      <c r="Q71" s="420"/>
      <c r="R71" s="420"/>
      <c r="S71" s="420"/>
      <c r="T71" s="420"/>
      <c r="U71" s="420"/>
      <c r="V71" s="420"/>
      <c r="W71" s="420"/>
      <c r="X71" s="420"/>
      <c r="Y71" s="420"/>
      <c r="Z71" s="420"/>
      <c r="AA71" s="420"/>
      <c r="AB71" s="420"/>
      <c r="AC71" s="420"/>
      <c r="AD71" s="420"/>
      <c r="AE71" s="420"/>
      <c r="AF71" s="420"/>
      <c r="AG71" s="420"/>
      <c r="AH71" s="420"/>
      <c r="AI71" s="420"/>
      <c r="AJ71" s="420"/>
      <c r="AK71" s="420"/>
      <c r="AL71" s="420"/>
      <c r="AM71" s="420"/>
      <c r="AN71" s="420"/>
      <c r="AO71" s="420"/>
      <c r="AP71" s="420"/>
      <c r="AQ71" s="420"/>
      <c r="AR71" s="420"/>
      <c r="AS71" s="420"/>
      <c r="AT71" s="420"/>
      <c r="AU71" s="420"/>
      <c r="AV71" s="420"/>
      <c r="AW71" s="420"/>
    </row>
    <row r="72" spans="2:49" x14ac:dyDescent="0.3">
      <c r="B72" s="411" t="s">
        <v>5862</v>
      </c>
      <c r="C72" s="412"/>
      <c r="D72" s="412"/>
      <c r="E72" s="412"/>
      <c r="F72" s="412"/>
      <c r="G72" s="412"/>
      <c r="H72" s="412"/>
      <c r="I72" s="412"/>
      <c r="J72" s="413">
        <f>SUM(AI67:AT67)</f>
        <v>184325.23360459867</v>
      </c>
      <c r="L72" s="420"/>
      <c r="M72" s="420"/>
      <c r="N72" s="420"/>
      <c r="O72" s="420"/>
      <c r="P72" s="420"/>
      <c r="Q72" s="420"/>
      <c r="R72" s="420"/>
      <c r="S72" s="420"/>
      <c r="T72" s="420"/>
      <c r="U72" s="420"/>
      <c r="V72" s="420"/>
      <c r="W72" s="420"/>
      <c r="X72" s="420"/>
      <c r="Y72" s="420"/>
      <c r="Z72" s="420"/>
      <c r="AA72" s="420"/>
      <c r="AB72" s="421"/>
      <c r="AC72" s="420"/>
      <c r="AD72" s="420"/>
      <c r="AE72" s="420"/>
      <c r="AF72" s="420"/>
      <c r="AG72" s="420"/>
      <c r="AH72" s="420"/>
      <c r="AI72" s="420"/>
      <c r="AJ72" s="420"/>
      <c r="AK72" s="420"/>
      <c r="AL72" s="420"/>
      <c r="AM72" s="420"/>
      <c r="AN72" s="420"/>
      <c r="AO72" s="420"/>
      <c r="AP72" s="420"/>
      <c r="AQ72" s="420"/>
      <c r="AR72" s="420"/>
      <c r="AS72" s="420"/>
      <c r="AT72" s="420"/>
      <c r="AU72" s="420"/>
      <c r="AV72" s="420"/>
      <c r="AW72" s="420"/>
    </row>
    <row r="73" spans="2:49" x14ac:dyDescent="0.3">
      <c r="B73" s="411" t="s">
        <v>5863</v>
      </c>
      <c r="C73" s="412"/>
      <c r="D73" s="412"/>
      <c r="E73" s="412"/>
      <c r="F73" s="412"/>
      <c r="G73" s="412"/>
      <c r="H73" s="412"/>
      <c r="I73" s="412"/>
      <c r="J73" s="413">
        <f>SUM(AU67:AW67)</f>
        <v>46815.556307359337</v>
      </c>
      <c r="L73" s="420"/>
      <c r="M73" s="420"/>
      <c r="N73" s="420"/>
      <c r="O73" s="420"/>
      <c r="P73" s="420"/>
      <c r="Q73" s="420"/>
      <c r="R73" s="420"/>
      <c r="S73" s="420"/>
      <c r="T73" s="420"/>
      <c r="U73" s="420"/>
      <c r="V73" s="420"/>
      <c r="W73" s="420"/>
      <c r="X73" s="420"/>
      <c r="Y73" s="420"/>
      <c r="Z73" s="420"/>
      <c r="AA73" s="420"/>
      <c r="AB73" s="420"/>
      <c r="AC73" s="420"/>
      <c r="AD73" s="420"/>
      <c r="AE73" s="420"/>
      <c r="AF73" s="420"/>
      <c r="AG73" s="420"/>
      <c r="AH73" s="420"/>
      <c r="AI73" s="420"/>
      <c r="AJ73" s="420"/>
      <c r="AK73" s="420"/>
      <c r="AL73" s="420"/>
      <c r="AM73" s="420"/>
      <c r="AN73" s="420"/>
      <c r="AO73" s="420"/>
      <c r="AP73" s="420"/>
      <c r="AQ73" s="420"/>
      <c r="AR73" s="420"/>
      <c r="AS73" s="420"/>
      <c r="AT73" s="420"/>
      <c r="AU73" s="420"/>
      <c r="AV73" s="420"/>
      <c r="AW73" s="420"/>
    </row>
    <row r="74" spans="2:49" x14ac:dyDescent="0.3">
      <c r="B74" s="411" t="s">
        <v>5864</v>
      </c>
      <c r="C74" s="412"/>
      <c r="D74" s="412"/>
      <c r="E74" s="412"/>
      <c r="F74" s="412"/>
      <c r="G74" s="412"/>
      <c r="H74" s="412"/>
      <c r="I74" s="412"/>
      <c r="J74" s="413">
        <f>SUM(J69:J73)</f>
        <v>513389.01060585317</v>
      </c>
      <c r="L74" s="420"/>
      <c r="M74" s="420"/>
      <c r="N74" s="420"/>
      <c r="O74" s="420"/>
      <c r="P74" s="420"/>
      <c r="Q74" s="420"/>
      <c r="R74" s="420"/>
      <c r="S74" s="420"/>
      <c r="T74" s="420"/>
      <c r="U74" s="420"/>
      <c r="V74" s="420"/>
      <c r="W74" s="420"/>
      <c r="X74" s="420"/>
      <c r="Y74" s="420"/>
      <c r="Z74" s="420"/>
      <c r="AA74" s="420"/>
      <c r="AB74" s="420"/>
      <c r="AC74" s="420"/>
      <c r="AD74" s="420"/>
      <c r="AE74" s="420"/>
      <c r="AF74" s="420"/>
      <c r="AG74" s="420"/>
      <c r="AH74" s="420"/>
      <c r="AI74" s="420"/>
      <c r="AJ74" s="420"/>
      <c r="AK74" s="420"/>
      <c r="AL74" s="420"/>
      <c r="AM74" s="420"/>
      <c r="AN74" s="420"/>
      <c r="AO74" s="420"/>
      <c r="AP74" s="420"/>
      <c r="AQ74" s="420"/>
      <c r="AR74" s="420"/>
      <c r="AS74" s="420"/>
      <c r="AT74" s="420"/>
      <c r="AU74" s="420"/>
      <c r="AV74" s="420"/>
      <c r="AW74" s="420"/>
    </row>
    <row r="75" spans="2:49" x14ac:dyDescent="0.3">
      <c r="L75" s="420"/>
      <c r="M75" s="420"/>
      <c r="N75" s="420"/>
      <c r="O75" s="420"/>
      <c r="P75" s="420"/>
      <c r="Q75" s="420"/>
      <c r="R75" s="420"/>
      <c r="S75" s="420"/>
      <c r="T75" s="420"/>
      <c r="U75" s="420"/>
      <c r="V75" s="420"/>
      <c r="W75" s="420"/>
      <c r="X75" s="420"/>
      <c r="Y75" s="420"/>
      <c r="Z75" s="420"/>
      <c r="AA75" s="420"/>
      <c r="AB75" s="420"/>
      <c r="AC75" s="420"/>
      <c r="AD75" s="420"/>
      <c r="AE75" s="420"/>
      <c r="AF75" s="420"/>
      <c r="AG75" s="420"/>
      <c r="AH75" s="420"/>
      <c r="AI75" s="420"/>
      <c r="AJ75" s="420"/>
      <c r="AK75" s="420"/>
      <c r="AL75" s="420"/>
      <c r="AM75" s="420"/>
      <c r="AN75" s="420"/>
      <c r="AO75" s="420"/>
      <c r="AP75" s="420"/>
      <c r="AQ75" s="420"/>
      <c r="AR75" s="420"/>
      <c r="AS75" s="420"/>
      <c r="AT75" s="420"/>
      <c r="AU75" s="420"/>
      <c r="AV75" s="420"/>
      <c r="AW75" s="420"/>
    </row>
    <row r="76" spans="2:49" x14ac:dyDescent="0.3">
      <c r="L76" s="420"/>
      <c r="M76" s="420"/>
      <c r="N76" s="420"/>
      <c r="O76" s="420"/>
      <c r="P76" s="420"/>
      <c r="Q76" s="420"/>
      <c r="R76" s="420"/>
      <c r="S76" s="420"/>
      <c r="T76" s="420"/>
      <c r="U76" s="420"/>
      <c r="V76" s="420"/>
      <c r="W76" s="420"/>
      <c r="X76" s="420"/>
      <c r="Y76" s="420"/>
      <c r="Z76" s="420"/>
      <c r="AA76" s="420"/>
      <c r="AB76" s="420"/>
      <c r="AC76" s="420"/>
      <c r="AD76" s="420"/>
      <c r="AE76" s="420"/>
      <c r="AF76" s="420"/>
      <c r="AG76" s="420"/>
      <c r="AH76" s="420"/>
      <c r="AI76" s="420"/>
      <c r="AJ76" s="420"/>
      <c r="AK76" s="420"/>
      <c r="AL76" s="420"/>
      <c r="AM76" s="420"/>
      <c r="AN76" s="420"/>
      <c r="AO76" s="420"/>
      <c r="AP76" s="420"/>
      <c r="AQ76" s="420"/>
      <c r="AR76" s="420"/>
      <c r="AS76" s="420"/>
      <c r="AT76" s="420"/>
      <c r="AU76" s="420"/>
      <c r="AV76" s="420"/>
      <c r="AW76" s="420"/>
    </row>
    <row r="77" spans="2:49" x14ac:dyDescent="0.3">
      <c r="B77" s="414" t="s">
        <v>5865</v>
      </c>
      <c r="L77" s="420"/>
      <c r="M77" s="420"/>
      <c r="N77" s="420"/>
      <c r="O77" s="420"/>
      <c r="P77" s="420"/>
      <c r="Q77" s="420"/>
      <c r="R77" s="420"/>
      <c r="S77" s="420"/>
      <c r="T77" s="420"/>
      <c r="U77" s="420"/>
      <c r="V77" s="420"/>
      <c r="W77" s="420"/>
      <c r="X77" s="420"/>
      <c r="Y77" s="420"/>
      <c r="Z77" s="420"/>
      <c r="AA77" s="420"/>
      <c r="AB77" s="420"/>
      <c r="AC77" s="420"/>
      <c r="AD77" s="420"/>
      <c r="AE77" s="420"/>
      <c r="AF77" s="420"/>
      <c r="AG77" s="420"/>
      <c r="AH77" s="420"/>
      <c r="AI77" s="420"/>
      <c r="AJ77" s="420"/>
      <c r="AK77" s="420"/>
      <c r="AL77" s="420"/>
      <c r="AM77" s="420"/>
      <c r="AN77" s="420"/>
      <c r="AO77" s="420"/>
      <c r="AP77" s="420"/>
      <c r="AQ77" s="420"/>
      <c r="AR77" s="420"/>
      <c r="AS77" s="420"/>
      <c r="AT77" s="420"/>
      <c r="AU77" s="420"/>
      <c r="AV77" s="420"/>
      <c r="AW77" s="420"/>
    </row>
    <row r="78" spans="2:49" x14ac:dyDescent="0.3">
      <c r="B78" s="411" t="s">
        <v>5866</v>
      </c>
      <c r="C78" s="412"/>
      <c r="D78" s="412"/>
      <c r="E78" s="412"/>
      <c r="F78" s="412"/>
      <c r="G78" s="412"/>
      <c r="H78" s="412"/>
      <c r="I78" s="412"/>
      <c r="J78" s="413">
        <f>SUM(K67:M67)</f>
        <v>7919.4792113627718</v>
      </c>
      <c r="L78" s="428"/>
      <c r="M78" s="420"/>
      <c r="N78" s="420"/>
      <c r="O78" s="420"/>
      <c r="P78" s="420"/>
      <c r="Q78" s="420"/>
      <c r="R78" s="420"/>
      <c r="S78" s="420"/>
      <c r="T78" s="420"/>
      <c r="U78" s="420"/>
      <c r="V78" s="420"/>
      <c r="W78" s="420"/>
      <c r="X78" s="420"/>
      <c r="Y78" s="420"/>
      <c r="Z78" s="420"/>
      <c r="AA78" s="420"/>
      <c r="AB78" s="420"/>
      <c r="AC78" s="420"/>
      <c r="AD78" s="420"/>
      <c r="AE78" s="420"/>
      <c r="AF78" s="420"/>
      <c r="AG78" s="420"/>
      <c r="AH78" s="420"/>
      <c r="AI78" s="420"/>
      <c r="AJ78" s="420"/>
      <c r="AK78" s="420"/>
      <c r="AL78" s="420"/>
      <c r="AM78" s="420"/>
      <c r="AN78" s="420"/>
      <c r="AO78" s="420"/>
      <c r="AP78" s="420"/>
      <c r="AQ78" s="420"/>
      <c r="AR78" s="420"/>
      <c r="AS78" s="420"/>
      <c r="AT78" s="420"/>
      <c r="AU78" s="420"/>
      <c r="AV78" s="420"/>
      <c r="AW78" s="420"/>
    </row>
    <row r="79" spans="2:49" x14ac:dyDescent="0.3">
      <c r="B79" s="411" t="s">
        <v>5867</v>
      </c>
      <c r="C79" s="412"/>
      <c r="D79" s="412"/>
      <c r="E79" s="412"/>
      <c r="F79" s="412"/>
      <c r="G79" s="412"/>
      <c r="H79" s="412"/>
      <c r="I79" s="412"/>
      <c r="J79" s="413">
        <f>SUM(N67:P67)</f>
        <v>39841.111892177782</v>
      </c>
      <c r="L79" s="428"/>
      <c r="M79" s="420"/>
      <c r="N79" s="420"/>
      <c r="O79" s="420"/>
      <c r="P79" s="420"/>
      <c r="Q79" s="420"/>
      <c r="R79" s="420"/>
      <c r="S79" s="420"/>
      <c r="T79" s="420"/>
      <c r="U79" s="420"/>
      <c r="V79" s="420"/>
      <c r="W79" s="420"/>
      <c r="X79" s="420"/>
      <c r="Y79" s="420"/>
      <c r="Z79" s="420"/>
      <c r="AA79" s="420"/>
      <c r="AB79" s="420"/>
      <c r="AC79" s="420"/>
      <c r="AD79" s="420"/>
      <c r="AE79" s="420"/>
      <c r="AF79" s="420"/>
      <c r="AG79" s="420"/>
      <c r="AH79" s="420"/>
      <c r="AI79" s="420"/>
      <c r="AJ79" s="420"/>
      <c r="AK79" s="420"/>
      <c r="AL79" s="420"/>
      <c r="AM79" s="420"/>
      <c r="AN79" s="420"/>
      <c r="AO79" s="420"/>
      <c r="AP79" s="420"/>
      <c r="AQ79" s="420"/>
      <c r="AR79" s="420"/>
      <c r="AS79" s="420"/>
      <c r="AT79" s="420"/>
      <c r="AU79" s="420"/>
      <c r="AV79" s="420"/>
      <c r="AW79" s="420"/>
    </row>
    <row r="80" spans="2:49" x14ac:dyDescent="0.3">
      <c r="B80" s="411" t="s">
        <v>5868</v>
      </c>
      <c r="C80" s="412"/>
      <c r="D80" s="412"/>
      <c r="E80" s="412"/>
      <c r="F80" s="412"/>
      <c r="G80" s="412"/>
      <c r="H80" s="412"/>
      <c r="I80" s="412"/>
      <c r="J80" s="413">
        <f>SUM(Q67:S67)</f>
        <v>36516.191541053711</v>
      </c>
      <c r="L80" s="420"/>
      <c r="M80" s="420"/>
      <c r="N80" s="420"/>
      <c r="O80" s="420"/>
      <c r="P80" s="420"/>
      <c r="Q80" s="420"/>
      <c r="R80" s="420"/>
      <c r="S80" s="420"/>
      <c r="T80" s="420"/>
      <c r="U80" s="420"/>
      <c r="V80" s="420"/>
      <c r="W80" s="420"/>
      <c r="X80" s="420"/>
      <c r="Y80" s="420"/>
      <c r="Z80" s="420"/>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row>
    <row r="81" spans="2:49" x14ac:dyDescent="0.3">
      <c r="B81" s="411" t="s">
        <v>5869</v>
      </c>
      <c r="C81" s="412"/>
      <c r="D81" s="412"/>
      <c r="E81" s="412"/>
      <c r="F81" s="412"/>
      <c r="G81" s="412"/>
      <c r="H81" s="412"/>
      <c r="I81" s="412"/>
      <c r="J81" s="413">
        <f>SUM(T67:V67)</f>
        <v>36202.495582124393</v>
      </c>
      <c r="L81" s="420"/>
      <c r="M81" s="420"/>
      <c r="N81" s="420"/>
      <c r="O81" s="420"/>
      <c r="P81" s="420"/>
      <c r="Q81" s="420"/>
      <c r="R81" s="420"/>
      <c r="S81" s="420"/>
      <c r="T81" s="420"/>
      <c r="U81" s="420"/>
      <c r="V81" s="420"/>
      <c r="W81" s="420"/>
      <c r="X81" s="420"/>
      <c r="Y81" s="420"/>
      <c r="Z81" s="420"/>
      <c r="AA81" s="420"/>
      <c r="AB81" s="420"/>
      <c r="AC81" s="420"/>
      <c r="AD81" s="420"/>
      <c r="AE81" s="420"/>
      <c r="AF81" s="420"/>
      <c r="AG81" s="420"/>
      <c r="AH81" s="420"/>
      <c r="AI81" s="420"/>
      <c r="AJ81" s="420"/>
      <c r="AK81" s="420"/>
      <c r="AL81" s="420"/>
      <c r="AM81" s="420"/>
      <c r="AN81" s="420"/>
      <c r="AO81" s="420"/>
      <c r="AP81" s="420"/>
      <c r="AQ81" s="420"/>
      <c r="AR81" s="420"/>
      <c r="AS81" s="420"/>
      <c r="AT81" s="420"/>
      <c r="AU81" s="420"/>
      <c r="AV81" s="420"/>
      <c r="AW81" s="420"/>
    </row>
    <row r="82" spans="2:49" x14ac:dyDescent="0.3">
      <c r="B82" s="411" t="s">
        <v>5870</v>
      </c>
      <c r="C82" s="412"/>
      <c r="D82" s="412"/>
      <c r="E82" s="412"/>
      <c r="F82" s="412"/>
      <c r="G82" s="412"/>
      <c r="H82" s="412"/>
      <c r="I82" s="412"/>
      <c r="J82" s="413">
        <f>SUM(W67:Y67)</f>
        <v>39920.270897270813</v>
      </c>
      <c r="L82" s="420"/>
      <c r="M82" s="420"/>
      <c r="N82" s="420"/>
      <c r="O82" s="420"/>
      <c r="P82" s="420"/>
      <c r="Q82" s="420"/>
      <c r="R82" s="420"/>
      <c r="S82" s="420"/>
      <c r="T82" s="420"/>
      <c r="U82" s="420"/>
      <c r="V82" s="420"/>
      <c r="W82" s="420"/>
      <c r="X82" s="420"/>
      <c r="Y82" s="420"/>
      <c r="Z82" s="420"/>
      <c r="AA82" s="420"/>
      <c r="AB82" s="420"/>
      <c r="AC82" s="420"/>
      <c r="AD82" s="420"/>
      <c r="AE82" s="420"/>
      <c r="AF82" s="420"/>
      <c r="AG82" s="420"/>
      <c r="AH82" s="420"/>
      <c r="AI82" s="420"/>
      <c r="AJ82" s="420"/>
      <c r="AK82" s="420"/>
      <c r="AL82" s="420"/>
      <c r="AM82" s="420"/>
      <c r="AN82" s="420"/>
      <c r="AO82" s="420"/>
      <c r="AP82" s="420"/>
      <c r="AQ82" s="420"/>
      <c r="AR82" s="420"/>
      <c r="AS82" s="420"/>
      <c r="AT82" s="420"/>
      <c r="AU82" s="420"/>
      <c r="AV82" s="420"/>
      <c r="AW82" s="420"/>
    </row>
    <row r="83" spans="2:49" x14ac:dyDescent="0.3">
      <c r="B83" s="411" t="s">
        <v>5871</v>
      </c>
      <c r="C83" s="412"/>
      <c r="D83" s="412"/>
      <c r="E83" s="412"/>
      <c r="F83" s="412"/>
      <c r="G83" s="412"/>
      <c r="H83" s="412"/>
      <c r="I83" s="412"/>
      <c r="J83" s="413">
        <f>SUM(Z67:AB67)</f>
        <v>41102.279348691722</v>
      </c>
      <c r="L83" s="420"/>
      <c r="M83" s="420"/>
      <c r="N83" s="420"/>
      <c r="O83" s="420"/>
      <c r="P83" s="420"/>
      <c r="Q83" s="420"/>
      <c r="R83" s="420"/>
      <c r="S83" s="420"/>
      <c r="T83" s="420"/>
      <c r="U83" s="420"/>
      <c r="V83" s="420"/>
      <c r="W83" s="420"/>
      <c r="X83" s="420"/>
      <c r="Y83" s="420"/>
      <c r="Z83" s="420"/>
      <c r="AA83" s="420"/>
      <c r="AB83" s="420"/>
      <c r="AC83" s="420"/>
      <c r="AD83" s="420"/>
      <c r="AE83" s="420"/>
      <c r="AF83" s="420"/>
      <c r="AG83" s="420"/>
      <c r="AH83" s="420"/>
      <c r="AI83" s="420"/>
      <c r="AJ83" s="420"/>
      <c r="AK83" s="420"/>
      <c r="AL83" s="420"/>
      <c r="AM83" s="420"/>
      <c r="AN83" s="420"/>
      <c r="AO83" s="420"/>
      <c r="AP83" s="420"/>
      <c r="AQ83" s="420"/>
      <c r="AR83" s="420"/>
      <c r="AS83" s="420"/>
      <c r="AT83" s="420"/>
      <c r="AU83" s="420"/>
      <c r="AV83" s="420"/>
      <c r="AW83" s="420"/>
    </row>
    <row r="84" spans="2:49" x14ac:dyDescent="0.3">
      <c r="B84" s="411" t="s">
        <v>5872</v>
      </c>
      <c r="C84" s="412"/>
      <c r="D84" s="412"/>
      <c r="E84" s="412"/>
      <c r="F84" s="412"/>
      <c r="G84" s="412"/>
      <c r="H84" s="412"/>
      <c r="I84" s="412"/>
      <c r="J84" s="413">
        <f>SUM(AC67:AE67)</f>
        <v>41014.572369952919</v>
      </c>
      <c r="L84" s="420"/>
      <c r="M84" s="420"/>
      <c r="N84" s="420"/>
      <c r="O84" s="420"/>
      <c r="P84" s="420"/>
      <c r="Q84" s="420"/>
      <c r="R84" s="420"/>
      <c r="S84" s="420"/>
      <c r="T84" s="420"/>
      <c r="U84" s="420"/>
      <c r="V84" s="420"/>
      <c r="W84" s="420"/>
      <c r="X84" s="420"/>
      <c r="Y84" s="420"/>
      <c r="Z84" s="420"/>
      <c r="AA84" s="420"/>
      <c r="AB84" s="420"/>
      <c r="AC84" s="420"/>
      <c r="AD84" s="420"/>
      <c r="AE84" s="420"/>
      <c r="AF84" s="420"/>
      <c r="AG84" s="420"/>
      <c r="AH84" s="420"/>
      <c r="AI84" s="420"/>
      <c r="AJ84" s="420"/>
      <c r="AK84" s="420"/>
      <c r="AL84" s="420"/>
      <c r="AM84" s="420"/>
      <c r="AN84" s="420"/>
      <c r="AO84" s="420"/>
      <c r="AP84" s="420"/>
      <c r="AQ84" s="420"/>
      <c r="AR84" s="420"/>
      <c r="AS84" s="420"/>
      <c r="AT84" s="420"/>
      <c r="AU84" s="420"/>
      <c r="AV84" s="420"/>
      <c r="AW84" s="420"/>
    </row>
    <row r="85" spans="2:49" x14ac:dyDescent="0.3">
      <c r="B85" s="411" t="s">
        <v>5873</v>
      </c>
      <c r="C85" s="412"/>
      <c r="D85" s="412"/>
      <c r="E85" s="412"/>
      <c r="F85" s="412"/>
      <c r="G85" s="412"/>
      <c r="H85" s="412"/>
      <c r="I85" s="412"/>
      <c r="J85" s="413">
        <f>SUM(AF67:AH67)</f>
        <v>39731.819851261069</v>
      </c>
      <c r="L85" s="420"/>
      <c r="M85" s="420"/>
      <c r="N85" s="420"/>
      <c r="O85" s="420"/>
      <c r="P85" s="420"/>
      <c r="Q85" s="420"/>
      <c r="R85" s="420"/>
      <c r="S85" s="420"/>
      <c r="T85" s="420"/>
      <c r="U85" s="420"/>
      <c r="V85" s="420"/>
      <c r="W85" s="420"/>
      <c r="X85" s="420"/>
      <c r="Y85" s="420"/>
      <c r="Z85" s="420"/>
      <c r="AA85" s="420"/>
      <c r="AB85" s="420"/>
      <c r="AC85" s="420"/>
      <c r="AD85" s="420"/>
      <c r="AE85" s="420"/>
      <c r="AF85" s="420"/>
      <c r="AG85" s="420"/>
      <c r="AH85" s="420"/>
      <c r="AI85" s="420"/>
      <c r="AJ85" s="420"/>
      <c r="AK85" s="420"/>
      <c r="AL85" s="420"/>
      <c r="AM85" s="420"/>
      <c r="AN85" s="420"/>
      <c r="AO85" s="420"/>
      <c r="AP85" s="420"/>
      <c r="AQ85" s="420"/>
      <c r="AR85" s="420"/>
      <c r="AS85" s="420"/>
      <c r="AT85" s="420"/>
      <c r="AU85" s="420"/>
      <c r="AV85" s="420"/>
      <c r="AW85" s="420"/>
    </row>
    <row r="86" spans="2:49" x14ac:dyDescent="0.3">
      <c r="B86" s="411" t="s">
        <v>5874</v>
      </c>
      <c r="C86" s="412"/>
      <c r="D86" s="412"/>
      <c r="E86" s="412"/>
      <c r="F86" s="412"/>
      <c r="G86" s="412"/>
      <c r="H86" s="412"/>
      <c r="I86" s="412"/>
      <c r="J86" s="413">
        <f>SUM(AI$67:AK$67)</f>
        <v>46189.224272334846</v>
      </c>
      <c r="L86" s="420"/>
      <c r="M86" s="420"/>
      <c r="N86" s="420"/>
      <c r="O86" s="420"/>
      <c r="P86" s="420"/>
      <c r="Q86" s="420"/>
      <c r="R86" s="420"/>
      <c r="S86" s="420"/>
      <c r="T86" s="420"/>
      <c r="U86" s="420"/>
      <c r="V86" s="420"/>
      <c r="W86" s="420"/>
      <c r="X86" s="420"/>
      <c r="Y86" s="420"/>
      <c r="Z86" s="420"/>
      <c r="AA86" s="420"/>
      <c r="AB86" s="420"/>
      <c r="AC86" s="420"/>
      <c r="AD86" s="420"/>
      <c r="AE86" s="420"/>
      <c r="AF86" s="420"/>
      <c r="AG86" s="420"/>
      <c r="AH86" s="420"/>
      <c r="AI86" s="420"/>
      <c r="AJ86" s="420"/>
      <c r="AK86" s="420"/>
      <c r="AL86" s="420"/>
      <c r="AM86" s="420"/>
      <c r="AN86" s="420"/>
      <c r="AO86" s="420"/>
      <c r="AP86" s="420"/>
      <c r="AQ86" s="420"/>
      <c r="AR86" s="420"/>
      <c r="AS86" s="420"/>
      <c r="AT86" s="420"/>
      <c r="AU86" s="420"/>
      <c r="AV86" s="420"/>
      <c r="AW86" s="420"/>
    </row>
    <row r="87" spans="2:49" x14ac:dyDescent="0.3">
      <c r="B87" s="411" t="s">
        <v>5875</v>
      </c>
      <c r="C87" s="412"/>
      <c r="D87" s="412"/>
      <c r="E87" s="412"/>
      <c r="F87" s="412"/>
      <c r="G87" s="412"/>
      <c r="H87" s="412"/>
      <c r="I87" s="412"/>
      <c r="J87" s="413">
        <f>SUM(AL$67:AN$67)</f>
        <v>44956.756872623773</v>
      </c>
      <c r="L87" s="420"/>
      <c r="M87" s="420"/>
      <c r="N87" s="420"/>
      <c r="O87" s="420"/>
      <c r="P87" s="420"/>
      <c r="Q87" s="420"/>
      <c r="R87" s="420"/>
      <c r="S87" s="420"/>
      <c r="T87" s="420"/>
      <c r="U87" s="420"/>
      <c r="V87" s="420"/>
      <c r="W87" s="420"/>
      <c r="X87" s="420"/>
      <c r="Y87" s="420"/>
      <c r="Z87" s="420"/>
      <c r="AA87" s="420"/>
      <c r="AB87" s="420"/>
      <c r="AC87" s="420"/>
      <c r="AD87" s="420"/>
      <c r="AE87" s="420"/>
      <c r="AF87" s="420"/>
      <c r="AG87" s="420"/>
      <c r="AH87" s="420"/>
      <c r="AI87" s="420"/>
      <c r="AJ87" s="420"/>
      <c r="AK87" s="420"/>
      <c r="AL87" s="420"/>
      <c r="AM87" s="420"/>
      <c r="AN87" s="420"/>
      <c r="AO87" s="420"/>
      <c r="AP87" s="420"/>
      <c r="AQ87" s="420"/>
      <c r="AR87" s="420"/>
      <c r="AS87" s="420"/>
      <c r="AT87" s="420"/>
      <c r="AU87" s="420"/>
      <c r="AV87" s="420"/>
      <c r="AW87" s="420"/>
    </row>
    <row r="88" spans="2:49" x14ac:dyDescent="0.3">
      <c r="B88" s="411" t="s">
        <v>5876</v>
      </c>
      <c r="C88" s="412"/>
      <c r="D88" s="412"/>
      <c r="E88" s="412"/>
      <c r="F88" s="412"/>
      <c r="G88" s="412"/>
      <c r="H88" s="412"/>
      <c r="I88" s="412"/>
      <c r="J88" s="413">
        <f>SUM(AO$67:AQ$67)</f>
        <v>46363.696152280769</v>
      </c>
      <c r="L88" s="420"/>
      <c r="M88" s="420"/>
      <c r="N88" s="420"/>
      <c r="O88" s="420"/>
      <c r="P88" s="420"/>
      <c r="Q88" s="420"/>
      <c r="R88" s="420"/>
      <c r="S88" s="420"/>
      <c r="T88" s="420"/>
      <c r="U88" s="420"/>
      <c r="V88" s="420"/>
      <c r="W88" s="420"/>
      <c r="X88" s="420"/>
      <c r="Y88" s="420"/>
      <c r="Z88" s="420"/>
      <c r="AA88" s="420"/>
      <c r="AB88" s="420"/>
      <c r="AC88" s="420"/>
      <c r="AD88" s="420"/>
      <c r="AE88" s="420"/>
      <c r="AF88" s="420"/>
      <c r="AG88" s="420"/>
      <c r="AH88" s="420"/>
      <c r="AI88" s="420"/>
      <c r="AJ88" s="420"/>
      <c r="AK88" s="420"/>
      <c r="AL88" s="420"/>
      <c r="AM88" s="420"/>
      <c r="AN88" s="420"/>
      <c r="AO88" s="420"/>
      <c r="AP88" s="420"/>
      <c r="AQ88" s="420"/>
      <c r="AR88" s="420"/>
      <c r="AS88" s="420"/>
      <c r="AT88" s="420"/>
      <c r="AU88" s="420"/>
      <c r="AV88" s="420"/>
      <c r="AW88" s="420"/>
    </row>
    <row r="89" spans="2:49" x14ac:dyDescent="0.3">
      <c r="B89" s="411" t="s">
        <v>5877</v>
      </c>
      <c r="C89" s="412"/>
      <c r="D89" s="412"/>
      <c r="E89" s="412"/>
      <c r="F89" s="412"/>
      <c r="G89" s="412"/>
      <c r="H89" s="412"/>
      <c r="I89" s="412"/>
      <c r="J89" s="413">
        <f>SUM(AR$67:AT$67)</f>
        <v>46815.556307359337</v>
      </c>
      <c r="L89" s="420"/>
      <c r="M89" s="420"/>
      <c r="N89" s="420"/>
      <c r="O89" s="420"/>
      <c r="P89" s="420"/>
      <c r="Q89" s="420"/>
      <c r="R89" s="420"/>
      <c r="S89" s="420"/>
      <c r="T89" s="420"/>
      <c r="U89" s="420"/>
      <c r="V89" s="420"/>
      <c r="W89" s="420"/>
      <c r="X89" s="420"/>
      <c r="Y89" s="420"/>
      <c r="Z89" s="420"/>
      <c r="AA89" s="420"/>
      <c r="AB89" s="420"/>
      <c r="AC89" s="420"/>
      <c r="AD89" s="420"/>
      <c r="AE89" s="420"/>
      <c r="AF89" s="420"/>
      <c r="AG89" s="420"/>
      <c r="AH89" s="420"/>
      <c r="AI89" s="420"/>
      <c r="AJ89" s="420"/>
      <c r="AK89" s="420"/>
      <c r="AL89" s="420"/>
      <c r="AM89" s="420"/>
      <c r="AN89" s="420"/>
      <c r="AO89" s="420"/>
      <c r="AP89" s="420"/>
      <c r="AQ89" s="420"/>
      <c r="AR89" s="420"/>
      <c r="AS89" s="420"/>
      <c r="AT89" s="420"/>
      <c r="AU89" s="420"/>
      <c r="AV89" s="420"/>
      <c r="AW89" s="420"/>
    </row>
    <row r="90" spans="2:49" x14ac:dyDescent="0.3">
      <c r="B90" s="411" t="s">
        <v>5878</v>
      </c>
      <c r="C90" s="412"/>
      <c r="D90" s="412"/>
      <c r="E90" s="412"/>
      <c r="F90" s="412"/>
      <c r="G90" s="412"/>
      <c r="H90" s="412"/>
      <c r="I90" s="412"/>
      <c r="J90" s="413">
        <f>SUM(AU$67:AW$67)</f>
        <v>46815.556307359337</v>
      </c>
      <c r="L90" s="420"/>
      <c r="M90" s="420"/>
      <c r="N90" s="420"/>
      <c r="O90" s="420"/>
      <c r="P90" s="420"/>
      <c r="Q90" s="420"/>
      <c r="R90" s="420"/>
      <c r="S90" s="420"/>
      <c r="T90" s="420"/>
      <c r="U90" s="420"/>
      <c r="V90" s="420"/>
      <c r="W90" s="420"/>
      <c r="X90" s="420"/>
      <c r="Y90" s="420"/>
      <c r="Z90" s="420"/>
      <c r="AA90" s="420"/>
      <c r="AB90" s="420"/>
      <c r="AC90" s="420"/>
      <c r="AD90" s="420"/>
      <c r="AE90" s="420"/>
      <c r="AF90" s="420"/>
      <c r="AG90" s="420"/>
      <c r="AH90" s="420"/>
      <c r="AI90" s="420"/>
      <c r="AJ90" s="420"/>
      <c r="AK90" s="420"/>
      <c r="AL90" s="420"/>
      <c r="AM90" s="420"/>
      <c r="AN90" s="420"/>
      <c r="AO90" s="420"/>
      <c r="AP90" s="420"/>
      <c r="AQ90" s="420"/>
      <c r="AR90" s="420"/>
      <c r="AS90" s="420"/>
      <c r="AT90" s="420"/>
      <c r="AU90" s="420"/>
      <c r="AV90" s="420"/>
      <c r="AW90" s="420"/>
    </row>
    <row r="91" spans="2:49" x14ac:dyDescent="0.3">
      <c r="L91" s="420"/>
      <c r="M91" s="420"/>
      <c r="N91" s="420"/>
      <c r="O91" s="420"/>
      <c r="P91" s="420"/>
      <c r="Q91" s="420"/>
      <c r="R91" s="420"/>
      <c r="S91" s="420"/>
      <c r="T91" s="420"/>
      <c r="U91" s="420"/>
      <c r="V91" s="420"/>
      <c r="W91" s="420"/>
      <c r="X91" s="420"/>
      <c r="Y91" s="420"/>
      <c r="Z91" s="420"/>
      <c r="AA91" s="420"/>
      <c r="AB91" s="420"/>
      <c r="AC91" s="420"/>
      <c r="AD91" s="420"/>
      <c r="AE91" s="420"/>
      <c r="AF91" s="420"/>
      <c r="AG91" s="420"/>
      <c r="AH91" s="420"/>
      <c r="AI91" s="420"/>
      <c r="AJ91" s="420"/>
      <c r="AK91" s="420"/>
      <c r="AL91" s="420"/>
      <c r="AM91" s="420"/>
      <c r="AN91" s="420"/>
      <c r="AO91" s="420"/>
      <c r="AP91" s="420"/>
      <c r="AQ91" s="420"/>
      <c r="AR91" s="420"/>
      <c r="AS91" s="420"/>
      <c r="AT91" s="420"/>
      <c r="AU91" s="420"/>
      <c r="AV91" s="420"/>
      <c r="AW91" s="420"/>
    </row>
    <row r="92" spans="2:49" x14ac:dyDescent="0.3">
      <c r="L92" s="420"/>
      <c r="M92" s="420"/>
      <c r="N92" s="420"/>
      <c r="O92" s="420"/>
      <c r="P92" s="420"/>
      <c r="Q92" s="420"/>
      <c r="R92" s="420"/>
      <c r="S92" s="420"/>
      <c r="T92" s="420"/>
      <c r="U92" s="420"/>
      <c r="V92" s="420"/>
      <c r="W92" s="420"/>
      <c r="X92" s="420"/>
      <c r="Y92" s="420"/>
      <c r="Z92" s="420"/>
      <c r="AA92" s="420"/>
      <c r="AB92" s="420"/>
      <c r="AC92" s="420"/>
      <c r="AD92" s="420"/>
      <c r="AE92" s="420"/>
      <c r="AF92" s="420"/>
      <c r="AG92" s="420"/>
      <c r="AH92" s="420"/>
      <c r="AI92" s="420"/>
      <c r="AJ92" s="420"/>
      <c r="AK92" s="420"/>
      <c r="AL92" s="420"/>
      <c r="AM92" s="420"/>
      <c r="AN92" s="420"/>
      <c r="AO92" s="420"/>
      <c r="AP92" s="420"/>
      <c r="AQ92" s="420"/>
      <c r="AR92" s="420"/>
      <c r="AS92" s="420"/>
      <c r="AT92" s="420"/>
      <c r="AU92" s="420"/>
      <c r="AV92" s="420"/>
      <c r="AW92" s="420"/>
    </row>
    <row r="93" spans="2:49" x14ac:dyDescent="0.3">
      <c r="L93" s="420"/>
      <c r="M93" s="420"/>
      <c r="N93" s="420"/>
      <c r="O93" s="420"/>
      <c r="P93" s="420"/>
      <c r="Q93" s="420"/>
      <c r="R93" s="420"/>
      <c r="S93" s="420"/>
      <c r="T93" s="420"/>
      <c r="U93" s="420"/>
      <c r="V93" s="420"/>
      <c r="W93" s="420"/>
      <c r="X93" s="420"/>
      <c r="Y93" s="420"/>
      <c r="Z93" s="420"/>
      <c r="AA93" s="420"/>
      <c r="AB93" s="420"/>
      <c r="AC93" s="420"/>
      <c r="AD93" s="420"/>
      <c r="AE93" s="420"/>
      <c r="AF93" s="420"/>
      <c r="AG93" s="420"/>
      <c r="AH93" s="420"/>
      <c r="AI93" s="420"/>
      <c r="AJ93" s="420"/>
      <c r="AK93" s="420"/>
      <c r="AL93" s="420"/>
      <c r="AM93" s="420"/>
      <c r="AN93" s="420"/>
      <c r="AO93" s="420"/>
      <c r="AP93" s="420"/>
      <c r="AQ93" s="420"/>
      <c r="AR93" s="420"/>
      <c r="AS93" s="420"/>
      <c r="AT93" s="420"/>
      <c r="AU93" s="420"/>
      <c r="AV93" s="420"/>
      <c r="AW93" s="420"/>
    </row>
    <row r="94" spans="2:49" x14ac:dyDescent="0.3">
      <c r="L94" s="420"/>
      <c r="M94" s="420"/>
      <c r="N94" s="420"/>
      <c r="O94" s="420"/>
      <c r="P94" s="420"/>
      <c r="Q94" s="420"/>
      <c r="R94" s="420"/>
      <c r="S94" s="420"/>
      <c r="T94" s="420"/>
      <c r="U94" s="420"/>
      <c r="V94" s="420"/>
      <c r="W94" s="420"/>
      <c r="X94" s="420"/>
      <c r="Y94" s="420"/>
      <c r="Z94" s="420"/>
      <c r="AA94" s="420"/>
      <c r="AB94" s="420"/>
      <c r="AC94" s="420"/>
      <c r="AD94" s="420"/>
      <c r="AE94" s="420"/>
      <c r="AF94" s="420"/>
      <c r="AG94" s="420"/>
      <c r="AH94" s="420"/>
      <c r="AI94" s="420"/>
      <c r="AJ94" s="420"/>
      <c r="AK94" s="420"/>
      <c r="AL94" s="420"/>
      <c r="AM94" s="420"/>
      <c r="AN94" s="420"/>
      <c r="AO94" s="420"/>
      <c r="AP94" s="420"/>
      <c r="AQ94" s="420"/>
      <c r="AR94" s="420"/>
      <c r="AS94" s="420"/>
      <c r="AT94" s="420"/>
      <c r="AU94" s="420"/>
      <c r="AV94" s="420"/>
      <c r="AW94" s="420"/>
    </row>
    <row r="95" spans="2:49" x14ac:dyDescent="0.3">
      <c r="L95" s="420"/>
      <c r="M95" s="420"/>
      <c r="N95" s="420"/>
      <c r="O95" s="420"/>
      <c r="P95" s="420"/>
      <c r="Q95" s="420"/>
      <c r="R95" s="420"/>
      <c r="S95" s="420"/>
      <c r="T95" s="420"/>
      <c r="U95" s="420"/>
      <c r="V95" s="420"/>
      <c r="W95" s="420"/>
      <c r="X95" s="420"/>
      <c r="Y95" s="420"/>
      <c r="Z95" s="420"/>
      <c r="AA95" s="420"/>
      <c r="AB95" s="420"/>
      <c r="AC95" s="420"/>
      <c r="AD95" s="420"/>
      <c r="AE95" s="420"/>
      <c r="AF95" s="420"/>
      <c r="AG95" s="420"/>
      <c r="AH95" s="420"/>
      <c r="AI95" s="420"/>
      <c r="AJ95" s="420"/>
      <c r="AK95" s="420"/>
      <c r="AL95" s="420"/>
      <c r="AM95" s="420"/>
      <c r="AN95" s="420"/>
      <c r="AO95" s="420"/>
      <c r="AP95" s="420"/>
      <c r="AQ95" s="420"/>
      <c r="AR95" s="420"/>
      <c r="AS95" s="420"/>
      <c r="AT95" s="420"/>
      <c r="AU95" s="420"/>
      <c r="AV95" s="420"/>
      <c r="AW95" s="420"/>
    </row>
    <row r="96" spans="2:49" x14ac:dyDescent="0.3">
      <c r="L96" s="420"/>
      <c r="M96" s="420"/>
      <c r="N96" s="420"/>
      <c r="O96" s="420"/>
      <c r="P96" s="420"/>
      <c r="Q96" s="420"/>
      <c r="R96" s="420"/>
      <c r="S96" s="420"/>
      <c r="T96" s="420"/>
      <c r="U96" s="420"/>
      <c r="V96" s="420"/>
      <c r="W96" s="420"/>
      <c r="X96" s="420"/>
      <c r="Y96" s="420"/>
      <c r="Z96" s="420"/>
      <c r="AA96" s="420"/>
      <c r="AB96" s="420"/>
      <c r="AC96" s="420"/>
      <c r="AD96" s="420"/>
      <c r="AE96" s="420"/>
      <c r="AF96" s="420"/>
      <c r="AG96" s="420"/>
      <c r="AH96" s="420"/>
      <c r="AI96" s="420"/>
      <c r="AJ96" s="420"/>
      <c r="AK96" s="420"/>
      <c r="AL96" s="420"/>
      <c r="AM96" s="420"/>
      <c r="AN96" s="420"/>
      <c r="AO96" s="420"/>
      <c r="AP96" s="420"/>
      <c r="AQ96" s="420"/>
      <c r="AR96" s="420"/>
      <c r="AS96" s="420"/>
      <c r="AT96" s="420"/>
      <c r="AU96" s="420"/>
      <c r="AV96" s="420"/>
      <c r="AW96" s="420"/>
    </row>
    <row r="97" spans="9:49" x14ac:dyDescent="0.3">
      <c r="L97" s="420"/>
      <c r="M97" s="420"/>
      <c r="N97" s="420"/>
      <c r="O97" s="420"/>
      <c r="P97" s="420"/>
      <c r="Q97" s="420"/>
      <c r="R97" s="420"/>
      <c r="S97" s="420"/>
      <c r="T97" s="420"/>
      <c r="U97" s="420"/>
      <c r="V97" s="420"/>
      <c r="W97" s="420"/>
      <c r="X97" s="420"/>
      <c r="Y97" s="420"/>
      <c r="Z97" s="420"/>
      <c r="AA97" s="420"/>
      <c r="AB97" s="420"/>
      <c r="AC97" s="420"/>
      <c r="AD97" s="420"/>
      <c r="AE97" s="420"/>
      <c r="AF97" s="420"/>
      <c r="AG97" s="420"/>
      <c r="AH97" s="420"/>
      <c r="AI97" s="420"/>
      <c r="AJ97" s="420"/>
      <c r="AK97" s="420"/>
      <c r="AL97" s="420"/>
      <c r="AM97" s="420"/>
      <c r="AN97" s="420"/>
      <c r="AO97" s="420"/>
      <c r="AP97" s="420"/>
      <c r="AQ97" s="420"/>
      <c r="AR97" s="420"/>
      <c r="AS97" s="420"/>
      <c r="AT97" s="420"/>
      <c r="AU97" s="420"/>
      <c r="AV97" s="420"/>
      <c r="AW97" s="420"/>
    </row>
    <row r="98" spans="9:49" x14ac:dyDescent="0.3">
      <c r="L98" s="420"/>
      <c r="M98" s="420"/>
      <c r="N98" s="420"/>
      <c r="O98" s="420"/>
      <c r="P98" s="420"/>
      <c r="Q98" s="420"/>
      <c r="R98" s="420"/>
      <c r="S98" s="420"/>
      <c r="T98" s="420"/>
      <c r="U98" s="420"/>
      <c r="V98" s="420"/>
      <c r="W98" s="420"/>
      <c r="X98" s="420"/>
      <c r="Y98" s="420"/>
      <c r="Z98" s="420"/>
      <c r="AA98" s="420"/>
      <c r="AB98" s="420"/>
      <c r="AC98" s="420"/>
      <c r="AD98" s="420"/>
      <c r="AE98" s="420"/>
      <c r="AF98" s="420"/>
      <c r="AG98" s="420"/>
      <c r="AH98" s="420"/>
      <c r="AI98" s="420"/>
      <c r="AJ98" s="420"/>
      <c r="AK98" s="420"/>
      <c r="AL98" s="420"/>
      <c r="AM98" s="420"/>
      <c r="AN98" s="420"/>
      <c r="AO98" s="420"/>
      <c r="AP98" s="420"/>
      <c r="AQ98" s="420"/>
      <c r="AR98" s="420"/>
      <c r="AS98" s="420"/>
      <c r="AT98" s="420"/>
      <c r="AU98" s="420"/>
      <c r="AV98" s="420"/>
      <c r="AW98" s="420"/>
    </row>
    <row r="99" spans="9:49" x14ac:dyDescent="0.3">
      <c r="I99" s="410"/>
      <c r="L99" s="420"/>
      <c r="M99" s="420"/>
      <c r="N99" s="420"/>
      <c r="O99" s="420"/>
      <c r="P99" s="420"/>
      <c r="Q99" s="420"/>
      <c r="R99" s="420"/>
      <c r="S99" s="420"/>
      <c r="T99" s="420"/>
      <c r="U99" s="420"/>
      <c r="V99" s="420"/>
      <c r="W99" s="420"/>
      <c r="X99" s="420"/>
      <c r="Y99" s="420"/>
      <c r="Z99" s="420"/>
      <c r="AA99" s="420"/>
      <c r="AB99" s="420"/>
      <c r="AC99" s="420"/>
      <c r="AD99" s="420"/>
      <c r="AE99" s="420"/>
      <c r="AF99" s="420"/>
      <c r="AG99" s="420"/>
      <c r="AH99" s="420"/>
      <c r="AI99" s="420"/>
      <c r="AJ99" s="420"/>
      <c r="AK99" s="420"/>
      <c r="AL99" s="420"/>
      <c r="AM99" s="420"/>
      <c r="AN99" s="420"/>
      <c r="AO99" s="420"/>
      <c r="AP99" s="420"/>
      <c r="AQ99" s="420"/>
      <c r="AR99" s="420"/>
      <c r="AS99" s="420"/>
      <c r="AT99" s="420"/>
      <c r="AU99" s="420"/>
      <c r="AV99" s="420"/>
      <c r="AW99" s="420"/>
    </row>
    <row r="100" spans="9:49" x14ac:dyDescent="0.3">
      <c r="I100" s="410"/>
      <c r="L100" s="420"/>
      <c r="M100" s="420"/>
      <c r="N100" s="420"/>
      <c r="O100" s="420"/>
      <c r="P100" s="420"/>
      <c r="Q100" s="420"/>
      <c r="R100" s="420"/>
      <c r="S100" s="420"/>
      <c r="T100" s="420"/>
      <c r="U100" s="420"/>
      <c r="V100" s="420"/>
      <c r="W100" s="420"/>
      <c r="X100" s="420"/>
      <c r="Y100" s="420"/>
      <c r="Z100" s="420"/>
      <c r="AA100" s="420"/>
      <c r="AB100" s="420"/>
      <c r="AC100" s="420"/>
      <c r="AD100" s="420"/>
      <c r="AE100" s="420"/>
      <c r="AF100" s="420"/>
      <c r="AG100" s="420"/>
      <c r="AH100" s="420"/>
      <c r="AI100" s="420"/>
      <c r="AJ100" s="420"/>
      <c r="AK100" s="420"/>
      <c r="AL100" s="420"/>
      <c r="AM100" s="420"/>
      <c r="AN100" s="420"/>
      <c r="AO100" s="420"/>
      <c r="AP100" s="420"/>
      <c r="AQ100" s="420"/>
      <c r="AR100" s="420"/>
      <c r="AS100" s="420"/>
      <c r="AT100" s="420"/>
      <c r="AU100" s="420"/>
      <c r="AV100" s="420"/>
      <c r="AW100" s="420"/>
    </row>
    <row r="101" spans="9:49" x14ac:dyDescent="0.3">
      <c r="I101" s="410"/>
      <c r="L101" s="420"/>
      <c r="M101" s="420"/>
      <c r="N101" s="420"/>
      <c r="O101" s="420"/>
      <c r="P101" s="420"/>
      <c r="Q101" s="420"/>
      <c r="R101" s="420"/>
      <c r="S101" s="420"/>
      <c r="T101" s="420"/>
      <c r="U101" s="420"/>
      <c r="V101" s="420"/>
      <c r="W101" s="420"/>
      <c r="X101" s="420"/>
      <c r="Y101" s="420"/>
      <c r="Z101" s="420"/>
      <c r="AA101" s="420"/>
      <c r="AB101" s="420"/>
      <c r="AC101" s="420"/>
      <c r="AD101" s="420"/>
      <c r="AE101" s="420"/>
      <c r="AF101" s="420"/>
      <c r="AG101" s="420"/>
      <c r="AH101" s="420"/>
      <c r="AI101" s="420"/>
      <c r="AJ101" s="420"/>
      <c r="AK101" s="420"/>
      <c r="AL101" s="420"/>
      <c r="AM101" s="420"/>
      <c r="AN101" s="420"/>
      <c r="AO101" s="420"/>
      <c r="AP101" s="420"/>
      <c r="AQ101" s="420"/>
      <c r="AR101" s="420"/>
      <c r="AS101" s="420"/>
      <c r="AT101" s="420"/>
      <c r="AU101" s="420"/>
      <c r="AV101" s="420"/>
      <c r="AW101" s="420"/>
    </row>
    <row r="102" spans="9:49" x14ac:dyDescent="0.3">
      <c r="L102" s="420"/>
      <c r="M102" s="420"/>
      <c r="N102" s="420"/>
      <c r="O102" s="420"/>
      <c r="P102" s="420"/>
      <c r="Q102" s="420"/>
      <c r="R102" s="420"/>
      <c r="S102" s="420"/>
      <c r="T102" s="420"/>
      <c r="U102" s="420"/>
      <c r="V102" s="420"/>
      <c r="W102" s="420"/>
      <c r="X102" s="420"/>
      <c r="Y102" s="420"/>
      <c r="Z102" s="420"/>
      <c r="AA102" s="420"/>
      <c r="AB102" s="420"/>
      <c r="AC102" s="420"/>
      <c r="AD102" s="420"/>
      <c r="AE102" s="420"/>
      <c r="AF102" s="420"/>
      <c r="AG102" s="420"/>
      <c r="AH102" s="420"/>
      <c r="AI102" s="420"/>
      <c r="AJ102" s="420"/>
      <c r="AK102" s="420"/>
      <c r="AL102" s="420"/>
      <c r="AM102" s="420"/>
      <c r="AN102" s="420"/>
      <c r="AO102" s="420"/>
      <c r="AP102" s="420"/>
      <c r="AQ102" s="420"/>
      <c r="AR102" s="420"/>
      <c r="AS102" s="420"/>
      <c r="AT102" s="420"/>
      <c r="AU102" s="420"/>
      <c r="AV102" s="420"/>
      <c r="AW102" s="420"/>
    </row>
  </sheetData>
  <autoFilter ref="A7:AW7" xr:uid="{7D545319-0D13-4B61-96B5-E0A795ADBF08}"/>
  <mergeCells count="8">
    <mergeCell ref="AC64:AE64"/>
    <mergeCell ref="AF64:AH64"/>
    <mergeCell ref="B64:I64"/>
    <mergeCell ref="B56:I56"/>
    <mergeCell ref="B57:I57"/>
    <mergeCell ref="B58:I58"/>
    <mergeCell ref="B60:I60"/>
    <mergeCell ref="B61:I61"/>
  </mergeCells>
  <conditionalFormatting sqref="E48:E54 E9:E37">
    <cfRule type="expression" dxfId="82" priority="3">
      <formula>AND($C9&lt;&gt;"",E9="")</formula>
    </cfRule>
  </conditionalFormatting>
  <conditionalFormatting sqref="E42:E46">
    <cfRule type="expression" dxfId="81" priority="4">
      <formula>AND($C42&lt;&gt;"",E42="")</formula>
    </cfRule>
  </conditionalFormatting>
  <conditionalFormatting sqref="K8:AW54">
    <cfRule type="cellIs" dxfId="80" priority="2" operator="equal">
      <formula>0</formula>
    </cfRule>
  </conditionalFormatting>
  <conditionalFormatting sqref="E38:E40">
    <cfRule type="expression" dxfId="79" priority="1">
      <formula>AND($C38&lt;&gt;"",E38="")</formula>
    </cfRule>
  </conditionalFormatting>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4">
    <tabColor theme="8" tint="-0.249977111117893"/>
  </sheetPr>
  <dimension ref="A2:B17"/>
  <sheetViews>
    <sheetView workbookViewId="0"/>
  </sheetViews>
  <sheetFormatPr baseColWidth="10" defaultColWidth="9.109375" defaultRowHeight="13.2" x14ac:dyDescent="0.25"/>
  <cols>
    <col min="1" max="1" width="12.77734375" bestFit="1" customWidth="1"/>
    <col min="2" max="2" width="25" bestFit="1" customWidth="1"/>
    <col min="3" max="3" width="17.44140625" bestFit="1" customWidth="1"/>
    <col min="4" max="4" width="11.44140625" customWidth="1"/>
    <col min="5" max="5" width="10.44140625" customWidth="1"/>
    <col min="6" max="6" width="9.5546875" customWidth="1"/>
    <col min="7" max="7" width="11.44140625" bestFit="1" customWidth="1"/>
    <col min="8" max="8" width="9.109375" bestFit="1" customWidth="1"/>
    <col min="9" max="9" width="11.44140625" customWidth="1"/>
    <col min="10" max="10" width="19.5546875" bestFit="1" customWidth="1"/>
  </cols>
  <sheetData>
    <row r="2" spans="1:2" x14ac:dyDescent="0.25">
      <c r="A2" s="25" t="s">
        <v>48</v>
      </c>
      <c r="B2" t="s">
        <v>5780</v>
      </c>
    </row>
    <row r="3" spans="1:2" x14ac:dyDescent="0.25">
      <c r="A3" s="25" t="s">
        <v>137</v>
      </c>
      <c r="B3" t="s">
        <v>5780</v>
      </c>
    </row>
    <row r="5" spans="1:2" x14ac:dyDescent="0.25">
      <c r="A5" s="25" t="s">
        <v>159</v>
      </c>
      <c r="B5" t="s">
        <v>199</v>
      </c>
    </row>
    <row r="6" spans="1:2" x14ac:dyDescent="0.25">
      <c r="A6" s="26" t="s">
        <v>203</v>
      </c>
      <c r="B6" s="757">
        <v>5701.5</v>
      </c>
    </row>
    <row r="7" spans="1:2" x14ac:dyDescent="0.25">
      <c r="A7" s="26" t="s">
        <v>86</v>
      </c>
      <c r="B7" s="757">
        <v>7745</v>
      </c>
    </row>
    <row r="8" spans="1:2" x14ac:dyDescent="0.25">
      <c r="A8" s="26" t="s">
        <v>85</v>
      </c>
      <c r="B8" s="757">
        <v>2820.5</v>
      </c>
    </row>
    <row r="9" spans="1:2" x14ac:dyDescent="0.25">
      <c r="A9" s="26" t="s">
        <v>87</v>
      </c>
      <c r="B9" s="757">
        <v>1958</v>
      </c>
    </row>
    <row r="10" spans="1:2" x14ac:dyDescent="0.25">
      <c r="A10" s="26" t="s">
        <v>88</v>
      </c>
      <c r="B10" s="757">
        <v>504.5</v>
      </c>
    </row>
    <row r="11" spans="1:2" x14ac:dyDescent="0.25">
      <c r="A11" s="26" t="s">
        <v>5778</v>
      </c>
      <c r="B11" s="757"/>
    </row>
    <row r="12" spans="1:2" x14ac:dyDescent="0.25">
      <c r="A12" s="443" t="s">
        <v>5778</v>
      </c>
      <c r="B12" s="757">
        <v>0</v>
      </c>
    </row>
    <row r="13" spans="1:2" x14ac:dyDescent="0.25">
      <c r="A13" s="26">
        <v>0</v>
      </c>
      <c r="B13" s="757"/>
    </row>
    <row r="14" spans="1:2" x14ac:dyDescent="0.25">
      <c r="A14" s="443" t="s">
        <v>5778</v>
      </c>
      <c r="B14" s="757">
        <v>0</v>
      </c>
    </row>
    <row r="15" spans="1:2" x14ac:dyDescent="0.25">
      <c r="A15" s="26" t="s">
        <v>243</v>
      </c>
      <c r="B15" s="757"/>
    </row>
    <row r="16" spans="1:2" x14ac:dyDescent="0.25">
      <c r="A16" s="443" t="s">
        <v>5778</v>
      </c>
      <c r="B16" s="757">
        <v>0</v>
      </c>
    </row>
    <row r="17" spans="1:2" x14ac:dyDescent="0.25">
      <c r="A17" s="26" t="s">
        <v>5779</v>
      </c>
      <c r="B17" s="757">
        <v>18729.5</v>
      </c>
    </row>
  </sheetData>
  <pageMargins left="0.7" right="0.7" top="0.75" bottom="0.75" header="0.3" footer="0.3"/>
  <pageSetup paperSize="9" orientation="portrait" verticalDpi="1200" r:id="rId2"/>
  <headerFooter>
    <oddFooter>&amp;C_x000D_&amp;1#&amp;"Arial"&amp;9&amp;K000000 Confidential</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480A94-B08A-4F71-9516-26AC5CB48447}">
  <sheetPr filterMode="1">
    <tabColor theme="8" tint="-0.249977111117893"/>
    <pageSetUpPr fitToPage="1"/>
  </sheetPr>
  <dimension ref="A1:Y504"/>
  <sheetViews>
    <sheetView zoomScaleNormal="100" workbookViewId="0">
      <pane xSplit="6" ySplit="4" topLeftCell="H92" activePane="bottomRight" state="frozen"/>
      <selection pane="topRight" activeCell="G1" sqref="G1"/>
      <selection pane="bottomLeft" activeCell="A5" sqref="A5"/>
      <selection pane="bottomRight"/>
    </sheetView>
  </sheetViews>
  <sheetFormatPr baseColWidth="10" defaultColWidth="9.109375" defaultRowHeight="14.4" x14ac:dyDescent="0.3"/>
  <cols>
    <col min="1" max="1" width="2.5546875" style="474" customWidth="1"/>
    <col min="2" max="2" width="18.6640625" style="480" customWidth="1"/>
    <col min="3" max="3" width="15.44140625" style="480" customWidth="1"/>
    <col min="4" max="4" width="12.5546875" style="486" customWidth="1"/>
    <col min="5" max="5" width="8.6640625" style="480" customWidth="1"/>
    <col min="6" max="6" width="11" style="480" customWidth="1"/>
    <col min="7" max="7" width="11.5546875" style="480" hidden="1" customWidth="1"/>
    <col min="8" max="8" width="12.109375" style="480" customWidth="1"/>
    <col min="9" max="9" width="56.33203125" style="477" customWidth="1"/>
    <col min="10" max="10" width="14.6640625" style="477" customWidth="1"/>
    <col min="11" max="11" width="16" style="477" hidden="1" customWidth="1"/>
    <col min="12" max="12" width="14.6640625" style="477" hidden="1" customWidth="1"/>
    <col min="13" max="15" width="15.6640625" style="474" customWidth="1"/>
    <col min="16" max="16" width="17.5546875" style="474" customWidth="1"/>
    <col min="17" max="17" width="11.6640625" style="474" bestFit="1" customWidth="1"/>
    <col min="18" max="25" width="9.109375" style="474"/>
    <col min="26" max="16384" width="9.109375" style="477"/>
  </cols>
  <sheetData>
    <row r="1" spans="1:25" s="474" customFormat="1" x14ac:dyDescent="0.3">
      <c r="B1" s="476"/>
      <c r="C1" s="476"/>
      <c r="D1" s="475"/>
      <c r="E1" s="476"/>
      <c r="F1" s="476"/>
      <c r="G1" s="476"/>
      <c r="H1" s="476"/>
    </row>
    <row r="2" spans="1:25" s="474" customFormat="1" x14ac:dyDescent="0.3">
      <c r="B2" s="476"/>
      <c r="C2" s="476"/>
      <c r="D2" s="475"/>
      <c r="E2" s="476"/>
      <c r="F2" s="476"/>
      <c r="G2" s="476"/>
      <c r="H2" s="476"/>
    </row>
    <row r="3" spans="1:25" x14ac:dyDescent="0.3">
      <c r="B3" s="754" t="s">
        <v>5948</v>
      </c>
      <c r="C3" s="755"/>
      <c r="D3" s="756"/>
      <c r="E3" s="754" t="s">
        <v>6093</v>
      </c>
      <c r="F3" s="755"/>
      <c r="G3" s="755"/>
      <c r="H3" s="755"/>
      <c r="I3" s="756"/>
      <c r="J3" s="753" t="s">
        <v>15</v>
      </c>
      <c r="K3" s="753"/>
      <c r="L3" s="753"/>
      <c r="M3" s="753" t="s">
        <v>5956</v>
      </c>
      <c r="N3" s="753"/>
      <c r="O3" s="753"/>
      <c r="P3" s="542" t="s">
        <v>6005</v>
      </c>
    </row>
    <row r="4" spans="1:25" s="480" customFormat="1" x14ac:dyDescent="0.3">
      <c r="A4" s="476"/>
      <c r="B4" s="478" t="s">
        <v>5923</v>
      </c>
      <c r="C4" s="478" t="s">
        <v>5843</v>
      </c>
      <c r="D4" s="479" t="s">
        <v>5947</v>
      </c>
      <c r="E4" s="478" t="s">
        <v>3</v>
      </c>
      <c r="F4" s="478" t="s">
        <v>48</v>
      </c>
      <c r="G4" s="478" t="s">
        <v>141</v>
      </c>
      <c r="H4" s="478" t="s">
        <v>137</v>
      </c>
      <c r="I4" s="478" t="s">
        <v>159</v>
      </c>
      <c r="J4" s="491" t="s">
        <v>5945</v>
      </c>
      <c r="K4" s="491" t="s">
        <v>5949</v>
      </c>
      <c r="L4" s="491" t="s">
        <v>5946</v>
      </c>
      <c r="M4" s="491" t="s">
        <v>5958</v>
      </c>
      <c r="N4" s="491" t="s">
        <v>5957</v>
      </c>
      <c r="O4" s="491" t="s">
        <v>5946</v>
      </c>
      <c r="P4" s="476"/>
      <c r="Q4" s="476"/>
      <c r="R4" s="476"/>
      <c r="S4" s="476"/>
      <c r="T4" s="476"/>
      <c r="U4" s="476"/>
      <c r="V4" s="476"/>
      <c r="W4" s="476"/>
      <c r="X4" s="476"/>
      <c r="Y4" s="476"/>
    </row>
    <row r="5" spans="1:25" s="508" customFormat="1" hidden="1" x14ac:dyDescent="0.3">
      <c r="B5" s="730" t="s">
        <v>5950</v>
      </c>
      <c r="C5" s="730" t="str">
        <f>IF(ISBLANK(I5),"",INDEX(TAB_Offres[Company],MATCH(I5,TAB_Offres[Reference],0)))</f>
        <v>TALAN</v>
      </c>
      <c r="D5" s="743">
        <v>1</v>
      </c>
      <c r="E5" s="509">
        <f>IF(ISBLANK(I5),"",INDEX(TAB_Offres[ID],MATCH(I5,TAB_Offres[Reference],0)))</f>
        <v>29</v>
      </c>
      <c r="F5" s="509" t="str">
        <f>IF(ISBLANK(I5),"",INDEX(TAB_Offres[Lot],MATCH(I5,TAB_Offres[Reference],0)))</f>
        <v>Lot 2</v>
      </c>
      <c r="G5" s="509" t="str">
        <f>IF(ISBLANK(I5),"",INDEX(TAB_Offres[Institution/agency],MATCH(I5,TAB_Offres[Reference],0)))</f>
        <v>EC</v>
      </c>
      <c r="H5" s="509" t="str">
        <f>IF(ISBLANK(I5),"",INDEX(TAB_Offres[DG],MATCH(I5,TAB_Offres[Reference],0)))</f>
        <v>REGIO</v>
      </c>
      <c r="I5" s="510" t="s">
        <v>260</v>
      </c>
      <c r="J5" s="511">
        <f>SUMIF(TAB_CS[Reference],'Suivi PO Global'!I5,TAB_CS[Commited amount])*0.985</f>
        <v>49437.63265</v>
      </c>
      <c r="K5" s="511">
        <f>SUMIF(TAB_CS[Reference],'Suivi PO Global'!I5,TAB_CS[Producted amounts])*0.985</f>
        <v>49437.63265</v>
      </c>
      <c r="L5" s="511">
        <f t="shared" ref="L5:L6" si="0">J5-K5</f>
        <v>0</v>
      </c>
      <c r="M5" s="748">
        <v>137910.22</v>
      </c>
      <c r="N5" s="748">
        <f>M5-O5</f>
        <v>137910.22</v>
      </c>
      <c r="O5" s="748">
        <v>0</v>
      </c>
    </row>
    <row r="6" spans="1:25" s="508" customFormat="1" hidden="1" x14ac:dyDescent="0.3">
      <c r="B6" s="731"/>
      <c r="C6" s="731"/>
      <c r="D6" s="734"/>
      <c r="E6" s="512">
        <f>IF(ISBLANK(I6),"",INDEX(TAB_Offres[ID],MATCH(I6,TAB_Offres[Reference],0)))</f>
        <v>12</v>
      </c>
      <c r="F6" s="512" t="str">
        <f>IF(ISBLANK(I6),"",INDEX(TAB_Offres[Lot],MATCH(I6,TAB_Offres[Reference],0)))</f>
        <v>Lot 1</v>
      </c>
      <c r="G6" s="512" t="str">
        <f>IF(ISBLANK(I6),"",INDEX(TAB_Offres[Institution/agency],MATCH(I6,TAB_Offres[Reference],0)))</f>
        <v>EC</v>
      </c>
      <c r="H6" s="512" t="str">
        <f>IF(ISBLANK(I6),"",INDEX(TAB_Offres[DG],MATCH(I6,TAB_Offres[Reference],0)))</f>
        <v>DIGIT.D.1</v>
      </c>
      <c r="I6" s="513" t="s">
        <v>281</v>
      </c>
      <c r="J6" s="514">
        <f>SUMIF(TAB_CS[Reference],'Suivi PO Global'!I6,TAB_CS[Commited amount])*0.985</f>
        <v>87880.591874999998</v>
      </c>
      <c r="K6" s="514">
        <f>SUMIF(TAB_CS[Reference],'Suivi PO Global'!I6,TAB_CS[Producted amounts])*0.985</f>
        <v>87708.216874999998</v>
      </c>
      <c r="L6" s="514">
        <f t="shared" si="0"/>
        <v>172.375</v>
      </c>
      <c r="M6" s="737"/>
      <c r="N6" s="737"/>
      <c r="O6" s="737"/>
    </row>
    <row r="7" spans="1:25" s="508" customFormat="1" hidden="1" x14ac:dyDescent="0.3">
      <c r="B7" s="730" t="s">
        <v>5927</v>
      </c>
      <c r="C7" s="730" t="s">
        <v>86</v>
      </c>
      <c r="D7" s="733">
        <v>4</v>
      </c>
      <c r="E7" s="515">
        <f>IF(ISBLANK(I7),"",INDEX(TAB_Offres[ID],MATCH(I7,TAB_Offres[Reference],0)))</f>
        <v>11</v>
      </c>
      <c r="F7" s="515" t="str">
        <f>IF(ISBLANK(I7),"",INDEX(TAB_Offres[Lot],MATCH(I7,TAB_Offres[Reference],0)))</f>
        <v>Lot 3</v>
      </c>
      <c r="G7" s="515" t="str">
        <f>IF(ISBLANK(I7),"",INDEX(TAB_Offres[Institution/agency],MATCH(I7,TAB_Offres[Reference],0)))</f>
        <v>EC</v>
      </c>
      <c r="H7" s="515" t="str">
        <f>IF(ISBLANK(I7),"",INDEX(TAB_Offres[DG],MATCH(I7,TAB_Offres[Reference],0)))</f>
        <v>EMPL</v>
      </c>
      <c r="I7" s="516" t="s">
        <v>278</v>
      </c>
      <c r="J7" s="547">
        <f>SUMIF(TAB_CS[Reference],'Suivi PO Global'!I7,TAB_CS[Commited amount])*0.985</f>
        <v>51153.413999999997</v>
      </c>
      <c r="K7" s="547">
        <f>SUMIF(TAB_CS[Reference],'Suivi PO Global'!I7,TAB_CS[Producted amounts])*0.985</f>
        <v>51153.413999999997</v>
      </c>
      <c r="L7" s="547">
        <f t="shared" ref="L7:L31" si="1">J7-K7</f>
        <v>0</v>
      </c>
      <c r="M7" s="736">
        <v>327066.40000000002</v>
      </c>
      <c r="N7" s="736">
        <f>M7-O7</f>
        <v>327066.40000000002</v>
      </c>
      <c r="O7" s="736">
        <v>0</v>
      </c>
      <c r="P7" s="518"/>
    </row>
    <row r="8" spans="1:25" s="508" customFormat="1" hidden="1" x14ac:dyDescent="0.3">
      <c r="B8" s="730"/>
      <c r="C8" s="730"/>
      <c r="D8" s="733"/>
      <c r="E8" s="519">
        <f>IF(ISBLANK(I8),"",INDEX(TAB_Offres[ID],MATCH(I8,TAB_Offres[Reference],0)))</f>
        <v>13</v>
      </c>
      <c r="F8" s="519" t="str">
        <f>IF(ISBLANK(I8),"",INDEX(TAB_Offres[Lot],MATCH(I8,TAB_Offres[Reference],0)))</f>
        <v>Lot 2</v>
      </c>
      <c r="G8" s="519" t="str">
        <f>IF(ISBLANK(I8),"",INDEX(TAB_Offres[Institution/agency],MATCH(I8,TAB_Offres[Reference],0)))</f>
        <v>EC</v>
      </c>
      <c r="H8" s="519" t="str">
        <f>IF(ISBLANK(I8),"",INDEX(TAB_Offres[DG],MATCH(I8,TAB_Offres[Reference],0)))</f>
        <v>DIGIT.B.4</v>
      </c>
      <c r="I8" s="520" t="s">
        <v>283</v>
      </c>
      <c r="J8" s="544">
        <f>SUMIF(TAB_CS[Reference],'Suivi PO Global'!I8,TAB_CS[Commited amount])*0.985</f>
        <v>81670.979500000001</v>
      </c>
      <c r="K8" s="544">
        <f>SUMIF(TAB_CS[Reference],'Suivi PO Global'!I8,TAB_CS[Producted amounts])*0.985</f>
        <v>81670.979500000001</v>
      </c>
      <c r="L8" s="544">
        <f t="shared" si="1"/>
        <v>0</v>
      </c>
      <c r="M8" s="736"/>
      <c r="N8" s="736"/>
      <c r="O8" s="736"/>
    </row>
    <row r="9" spans="1:25" s="508" customFormat="1" hidden="1" x14ac:dyDescent="0.3">
      <c r="B9" s="730"/>
      <c r="C9" s="730"/>
      <c r="D9" s="733"/>
      <c r="E9" s="519">
        <f>IF(ISBLANK(I9),"",INDEX(TAB_Offres[ID],MATCH(I9,TAB_Offres[Reference],0)))</f>
        <v>14</v>
      </c>
      <c r="F9" s="519" t="str">
        <f>IF(ISBLANK(I9),"",INDEX(TAB_Offres[Lot],MATCH(I9,TAB_Offres[Reference],0)))</f>
        <v>Lot 3</v>
      </c>
      <c r="G9" s="519" t="str">
        <f>IF(ISBLANK(I9),"",INDEX(TAB_Offres[Institution/agency],MATCH(I9,TAB_Offres[Reference],0)))</f>
        <v>EC</v>
      </c>
      <c r="H9" s="519" t="str">
        <f>IF(ISBLANK(I9),"",INDEX(TAB_Offres[DG],MATCH(I9,TAB_Offres[Reference],0)))</f>
        <v>EMPL</v>
      </c>
      <c r="I9" s="520" t="s">
        <v>285</v>
      </c>
      <c r="J9" s="544">
        <f>SUMIF(TAB_CS[Reference],'Suivi PO Global'!I9,TAB_CS[Commited amount])*0.985</f>
        <v>34102.275999999998</v>
      </c>
      <c r="K9" s="544">
        <f>SUMIF(TAB_CS[Reference],'Suivi PO Global'!I9,TAB_CS[Producted amounts])*0.985</f>
        <v>34102.275999999998</v>
      </c>
      <c r="L9" s="544">
        <f t="shared" si="1"/>
        <v>0</v>
      </c>
      <c r="M9" s="736"/>
      <c r="N9" s="736"/>
      <c r="O9" s="736"/>
    </row>
    <row r="10" spans="1:25" s="508" customFormat="1" hidden="1" x14ac:dyDescent="0.3">
      <c r="B10" s="730"/>
      <c r="C10" s="730"/>
      <c r="D10" s="733"/>
      <c r="E10" s="519">
        <f>IF(ISBLANK(I10),"",INDEX(TAB_Offres[ID],MATCH(I10,TAB_Offres[Reference],0)))</f>
        <v>17</v>
      </c>
      <c r="F10" s="519" t="str">
        <f>IF(ISBLANK(I10),"",INDEX(TAB_Offres[Lot],MATCH(I10,TAB_Offres[Reference],0)))</f>
        <v>Lot 1</v>
      </c>
      <c r="G10" s="519" t="str">
        <f>IF(ISBLANK(I10),"",INDEX(TAB_Offres[Institution/agency],MATCH(I10,TAB_Offres[Reference],0)))</f>
        <v>EC</v>
      </c>
      <c r="H10" s="519" t="str">
        <f>IF(ISBLANK(I10),"",INDEX(TAB_Offres[DG],MATCH(I10,TAB_Offres[Reference],0)))</f>
        <v>DIGIT.D.1</v>
      </c>
      <c r="I10" s="520" t="s">
        <v>287</v>
      </c>
      <c r="J10" s="544">
        <f>SUMIF(TAB_CS[Reference],'Suivi PO Global'!I10,TAB_CS[Commited amount])*0.985</f>
        <v>51482.600999999995</v>
      </c>
      <c r="K10" s="544">
        <f>SUMIF(TAB_CS[Reference],'Suivi PO Global'!I10,TAB_CS[Producted amounts])*0.985</f>
        <v>51482.600999999995</v>
      </c>
      <c r="L10" s="544">
        <f t="shared" si="1"/>
        <v>0</v>
      </c>
      <c r="M10" s="736"/>
      <c r="N10" s="736"/>
      <c r="O10" s="736"/>
      <c r="P10" s="518"/>
    </row>
    <row r="11" spans="1:25" s="508" customFormat="1" hidden="1" x14ac:dyDescent="0.3">
      <c r="B11" s="730"/>
      <c r="C11" s="730"/>
      <c r="D11" s="733"/>
      <c r="E11" s="519">
        <f>IF(ISBLANK(I11),"",INDEX(TAB_Offres[ID],MATCH(I11,TAB_Offres[Reference],0)))</f>
        <v>20</v>
      </c>
      <c r="F11" s="519" t="str">
        <f>IF(ISBLANK(I11),"",INDEX(TAB_Offres[Lot],MATCH(I11,TAB_Offres[Reference],0)))</f>
        <v>Lot 2</v>
      </c>
      <c r="G11" s="519" t="str">
        <f>IF(ISBLANK(I11),"",INDEX(TAB_Offres[Institution/agency],MATCH(I11,TAB_Offres[Reference],0)))</f>
        <v>EC</v>
      </c>
      <c r="H11" s="519" t="str">
        <f>IF(ISBLANK(I11),"",INDEX(TAB_Offres[DG],MATCH(I11,TAB_Offres[Reference],0)))</f>
        <v>DIGIT.B.4</v>
      </c>
      <c r="I11" s="520" t="s">
        <v>289</v>
      </c>
      <c r="J11" s="544">
        <f>SUMIF(TAB_CS[Reference],'Suivi PO Global'!I11,TAB_CS[Commited amount])*0.985</f>
        <v>50860.573500000006</v>
      </c>
      <c r="K11" s="544">
        <f>SUMIF(TAB_CS[Reference],'Suivi PO Global'!I11,TAB_CS[Producted amounts])*0.985</f>
        <v>50860.573500000006</v>
      </c>
      <c r="L11" s="544">
        <f t="shared" si="1"/>
        <v>0</v>
      </c>
      <c r="M11" s="736"/>
      <c r="N11" s="736"/>
      <c r="O11" s="736"/>
      <c r="P11" s="518"/>
    </row>
    <row r="12" spans="1:25" s="508" customFormat="1" hidden="1" x14ac:dyDescent="0.3">
      <c r="B12" s="731"/>
      <c r="C12" s="731"/>
      <c r="D12" s="734"/>
      <c r="E12" s="512">
        <f>IF(ISBLANK(I12),"",INDEX(TAB_Offres[ID],MATCH(I12,TAB_Offres[Reference],0)))</f>
        <v>21</v>
      </c>
      <c r="F12" s="512" t="str">
        <f>IF(ISBLANK(I12),"",INDEX(TAB_Offres[Lot],MATCH(I12,TAB_Offres[Reference],0)))</f>
        <v>Lot 2</v>
      </c>
      <c r="G12" s="512" t="str">
        <f>IF(ISBLANK(I12),"",INDEX(TAB_Offres[Institution/agency],MATCH(I12,TAB_Offres[Reference],0)))</f>
        <v>EC</v>
      </c>
      <c r="H12" s="512" t="str">
        <f>IF(ISBLANK(I12),"",INDEX(TAB_Offres[DG],MATCH(I12,TAB_Offres[Reference],0)))</f>
        <v>DIGIT.D.1</v>
      </c>
      <c r="I12" s="513" t="s">
        <v>291</v>
      </c>
      <c r="J12" s="545">
        <f>SUMIF(TAB_CS[Reference],'Suivi PO Global'!I12,TAB_CS[Commited amount])*0.985</f>
        <v>52890.559999999998</v>
      </c>
      <c r="K12" s="545">
        <f>SUMIF(TAB_CS[Reference],'Suivi PO Global'!I12,TAB_CS[Producted amounts])*0.985</f>
        <v>52890.559999999998</v>
      </c>
      <c r="L12" s="545">
        <f t="shared" si="1"/>
        <v>0</v>
      </c>
      <c r="M12" s="737"/>
      <c r="N12" s="737"/>
      <c r="O12" s="737"/>
    </row>
    <row r="13" spans="1:25" s="508" customFormat="1" hidden="1" x14ac:dyDescent="0.3">
      <c r="B13" s="729" t="s">
        <v>5928</v>
      </c>
      <c r="C13" s="729" t="s">
        <v>86</v>
      </c>
      <c r="D13" s="732">
        <v>5</v>
      </c>
      <c r="E13" s="515">
        <f>IF(ISBLANK(I13),"",INDEX(TAB_Offres[ID],MATCH(I13,TAB_Offres[Reference],0)))</f>
        <v>22</v>
      </c>
      <c r="F13" s="515" t="str">
        <f>IF(ISBLANK(I13),"",INDEX(TAB_Offres[Lot],MATCH(I13,TAB_Offres[Reference],0)))</f>
        <v>Lot 3</v>
      </c>
      <c r="G13" s="515" t="str">
        <f>IF(ISBLANK(I13),"",INDEX(TAB_Offres[Institution/agency],MATCH(I13,TAB_Offres[Reference],0)))</f>
        <v>EC</v>
      </c>
      <c r="H13" s="515" t="str">
        <f>IF(ISBLANK(I13),"",INDEX(TAB_Offres[DG],MATCH(I13,TAB_Offres[Reference],0)))</f>
        <v>TRAD A.2.</v>
      </c>
      <c r="I13" s="516" t="s">
        <v>293</v>
      </c>
      <c r="J13" s="517">
        <f>SUMIF(TAB_CS[Reference],'Suivi PO Global'!I13,TAB_CS[Commited amount])*0.985</f>
        <v>72434.929999999993</v>
      </c>
      <c r="K13" s="517">
        <f>SUMIF(TAB_CS[Reference],'Suivi PO Global'!I13,TAB_CS[Producted amounts])*0.985</f>
        <v>72434.929999999993</v>
      </c>
      <c r="L13" s="517">
        <f t="shared" si="1"/>
        <v>0</v>
      </c>
      <c r="M13" s="740">
        <v>270089.2</v>
      </c>
      <c r="N13" s="740">
        <f>M13-O13</f>
        <v>270089.2</v>
      </c>
      <c r="O13" s="740">
        <v>0</v>
      </c>
      <c r="P13" s="518"/>
    </row>
    <row r="14" spans="1:25" s="508" customFormat="1" hidden="1" x14ac:dyDescent="0.3">
      <c r="B14" s="730"/>
      <c r="C14" s="730"/>
      <c r="D14" s="733"/>
      <c r="E14" s="519">
        <f>IF(ISBLANK(I14),"",INDEX(TAB_Offres[ID],MATCH(I14,TAB_Offres[Reference],0)))</f>
        <v>23</v>
      </c>
      <c r="F14" s="519" t="str">
        <f>IF(ISBLANK(I14),"",INDEX(TAB_Offres[Lot],MATCH(I14,TAB_Offres[Reference],0)))</f>
        <v>Lot 3</v>
      </c>
      <c r="G14" s="519" t="str">
        <f>IF(ISBLANK(I14),"",INDEX(TAB_Offres[Institution/agency],MATCH(I14,TAB_Offres[Reference],0)))</f>
        <v>EC</v>
      </c>
      <c r="H14" s="519" t="str">
        <f>IF(ISBLANK(I14),"",INDEX(TAB_Offres[DG],MATCH(I14,TAB_Offres[Reference],0)))</f>
        <v>RTD.I.3</v>
      </c>
      <c r="I14" s="520" t="s">
        <v>295</v>
      </c>
      <c r="J14" s="521">
        <f>SUMIF(TAB_CS[Reference],'Suivi PO Global'!I14,TAB_CS[Commited amount])*0.985</f>
        <v>73925.432000000001</v>
      </c>
      <c r="K14" s="521">
        <f>SUMIF(TAB_CS[Reference],'Suivi PO Global'!I14,TAB_CS[Producted amounts])*0.985</f>
        <v>73925.432000000001</v>
      </c>
      <c r="L14" s="521">
        <f t="shared" si="1"/>
        <v>0</v>
      </c>
      <c r="M14" s="745"/>
      <c r="N14" s="745"/>
      <c r="O14" s="745"/>
    </row>
    <row r="15" spans="1:25" s="508" customFormat="1" hidden="1" x14ac:dyDescent="0.3">
      <c r="B15" s="730"/>
      <c r="C15" s="730"/>
      <c r="D15" s="733"/>
      <c r="E15" s="519">
        <f>IF(ISBLANK(I15),"",INDEX(TAB_Offres[ID],MATCH(I15,TAB_Offres[Reference],0)))</f>
        <v>25</v>
      </c>
      <c r="F15" s="519" t="str">
        <f>IF(ISBLANK(I15),"",INDEX(TAB_Offres[Lot],MATCH(I15,TAB_Offres[Reference],0)))</f>
        <v>Lot 1</v>
      </c>
      <c r="G15" s="519" t="str">
        <f>IF(ISBLANK(I15),"",INDEX(TAB_Offres[Institution/agency],MATCH(I15,TAB_Offres[Reference],0)))</f>
        <v>EC</v>
      </c>
      <c r="H15" s="519" t="str">
        <f>IF(ISBLANK(I15),"",INDEX(TAB_Offres[DG],MATCH(I15,TAB_Offres[Reference],0)))</f>
        <v>DIGIT.D.3</v>
      </c>
      <c r="I15" s="520" t="s">
        <v>297</v>
      </c>
      <c r="J15" s="521">
        <f>SUMIF(TAB_CS[Reference],'Suivi PO Global'!I15,TAB_CS[Commited amount])*0.985</f>
        <v>78552.764999999999</v>
      </c>
      <c r="K15" s="521">
        <f>SUMIF(TAB_CS[Reference],'Suivi PO Global'!I15,TAB_CS[Producted amounts])*0.985</f>
        <v>78552.764999999999</v>
      </c>
      <c r="L15" s="521">
        <f t="shared" si="1"/>
        <v>0</v>
      </c>
      <c r="M15" s="745"/>
      <c r="N15" s="745"/>
      <c r="O15" s="745"/>
    </row>
    <row r="16" spans="1:25" s="508" customFormat="1" hidden="1" x14ac:dyDescent="0.3">
      <c r="B16" s="731"/>
      <c r="C16" s="731"/>
      <c r="D16" s="734"/>
      <c r="E16" s="512">
        <f>IF(ISBLANK(I16),"",INDEX(TAB_Offres[ID],MATCH(I16,TAB_Offres[Reference],0)))</f>
        <v>26</v>
      </c>
      <c r="F16" s="512" t="str">
        <f>IF(ISBLANK(I16),"",INDEX(TAB_Offres[Lot],MATCH(I16,TAB_Offres[Reference],0)))</f>
        <v>Lot 1</v>
      </c>
      <c r="G16" s="512" t="str">
        <f>IF(ISBLANK(I16),"",INDEX(TAB_Offres[Institution/agency],MATCH(I16,TAB_Offres[Reference],0)))</f>
        <v>EC</v>
      </c>
      <c r="H16" s="512" t="str">
        <f>IF(ISBLANK(I16),"",INDEX(TAB_Offres[DG],MATCH(I16,TAB_Offres[Reference],0)))</f>
        <v>DIGIT.B.3</v>
      </c>
      <c r="I16" s="513" t="s">
        <v>301</v>
      </c>
      <c r="J16" s="522">
        <f>SUMIF(TAB_CS[Reference],'Suivi PO Global'!I16,TAB_CS[Commited amount])*0.985</f>
        <v>41124.735000000001</v>
      </c>
      <c r="K16" s="522">
        <f>SUMIF(TAB_CS[Reference],'Suivi PO Global'!I16,TAB_CS[Producted amounts])*0.985</f>
        <v>41124.735000000001</v>
      </c>
      <c r="L16" s="522">
        <f t="shared" si="1"/>
        <v>0</v>
      </c>
      <c r="M16" s="741"/>
      <c r="N16" s="741"/>
      <c r="O16" s="741"/>
    </row>
    <row r="17" spans="2:16" s="508" customFormat="1" hidden="1" x14ac:dyDescent="0.3">
      <c r="B17" s="729" t="s">
        <v>5925</v>
      </c>
      <c r="C17" s="729" t="s">
        <v>86</v>
      </c>
      <c r="D17" s="732">
        <v>2</v>
      </c>
      <c r="E17" s="523">
        <f>IF(ISBLANK(I17),"",INDEX(TAB_Offres[ID],MATCH(I17,TAB_Offres[Reference],0)))</f>
        <v>6</v>
      </c>
      <c r="F17" s="523" t="str">
        <f>IF(ISBLANK(I17),"",INDEX(TAB_Offres[Lot],MATCH(I17,TAB_Offres[Reference],0)))</f>
        <v>Lot 3</v>
      </c>
      <c r="G17" s="523" t="str">
        <f>IF(ISBLANK(I17),"",INDEX(TAB_Offres[Institution/agency],MATCH(I17,TAB_Offres[Reference],0)))</f>
        <v>REA</v>
      </c>
      <c r="H17" s="523" t="str">
        <f>IF(ISBLANK(I17),"",INDEX(TAB_Offres[DG],MATCH(I17,TAB_Offres[Reference],0)))</f>
        <v>REA</v>
      </c>
      <c r="I17" s="524" t="s">
        <v>267</v>
      </c>
      <c r="J17" s="543">
        <f>SUMIF(TAB_CS[Reference],'Suivi PO Global'!I17,TAB_CS[Commited amount])*0.985</f>
        <v>81236.495999999999</v>
      </c>
      <c r="K17" s="543">
        <f>SUMIF(TAB_CS[Reference],'Suivi PO Global'!I17,TAB_CS[Producted amounts])*0.985</f>
        <v>81236.495999999999</v>
      </c>
      <c r="L17" s="543">
        <f t="shared" si="1"/>
        <v>0</v>
      </c>
      <c r="M17" s="735">
        <v>296697.19</v>
      </c>
      <c r="N17" s="735">
        <f>M17-O17</f>
        <v>296697.19</v>
      </c>
      <c r="O17" s="735">
        <v>0</v>
      </c>
      <c r="P17" s="518"/>
    </row>
    <row r="18" spans="2:16" s="508" customFormat="1" hidden="1" x14ac:dyDescent="0.3">
      <c r="B18" s="730"/>
      <c r="C18" s="730"/>
      <c r="D18" s="733"/>
      <c r="E18" s="519">
        <f>IF(ISBLANK(I18),"",INDEX(TAB_Offres[ID],MATCH(I18,TAB_Offres[Reference],0)))</f>
        <v>7</v>
      </c>
      <c r="F18" s="519" t="str">
        <f>IF(ISBLANK(I18),"",INDEX(TAB_Offres[Lot],MATCH(I18,TAB_Offres[Reference],0)))</f>
        <v>Lot 1</v>
      </c>
      <c r="G18" s="519" t="str">
        <f>IF(ISBLANK(I18),"",INDEX(TAB_Offres[Institution/agency],MATCH(I18,TAB_Offres[Reference],0)))</f>
        <v>REA</v>
      </c>
      <c r="H18" s="519" t="str">
        <f>IF(ISBLANK(I18),"",INDEX(TAB_Offres[DG],MATCH(I18,TAB_Offres[Reference],0)))</f>
        <v>REA</v>
      </c>
      <c r="I18" s="520" t="s">
        <v>269</v>
      </c>
      <c r="J18" s="544">
        <f>SUMIF(TAB_CS[Reference],'Suivi PO Global'!I18,TAB_CS[Commited amount])*0.985</f>
        <v>68643.468000000008</v>
      </c>
      <c r="K18" s="544">
        <f>SUMIF(TAB_CS[Reference],'Suivi PO Global'!I18,TAB_CS[Producted amounts])*0.985</f>
        <v>68643.468000000008</v>
      </c>
      <c r="L18" s="544">
        <f t="shared" si="1"/>
        <v>0</v>
      </c>
      <c r="M18" s="736"/>
      <c r="N18" s="736"/>
      <c r="O18" s="736"/>
    </row>
    <row r="19" spans="2:16" s="508" customFormat="1" hidden="1" x14ac:dyDescent="0.3">
      <c r="B19" s="730"/>
      <c r="C19" s="730"/>
      <c r="D19" s="733"/>
      <c r="E19" s="519">
        <f>IF(ISBLANK(I19),"",INDEX(TAB_Offres[ID],MATCH(I19,TAB_Offres[Reference],0)))</f>
        <v>8</v>
      </c>
      <c r="F19" s="519" t="str">
        <f>IF(ISBLANK(I19),"",INDEX(TAB_Offres[Lot],MATCH(I19,TAB_Offres[Reference],0)))</f>
        <v>Lot 1</v>
      </c>
      <c r="G19" s="519" t="str">
        <f>IF(ISBLANK(I19),"",INDEX(TAB_Offres[Institution/agency],MATCH(I19,TAB_Offres[Reference],0)))</f>
        <v>REA</v>
      </c>
      <c r="H19" s="519" t="str">
        <f>IF(ISBLANK(I19),"",INDEX(TAB_Offres[DG],MATCH(I19,TAB_Offres[Reference],0)))</f>
        <v>REA</v>
      </c>
      <c r="I19" s="520" t="s">
        <v>271</v>
      </c>
      <c r="J19" s="544">
        <f>SUMIF(TAB_CS[Reference],'Suivi PO Global'!I19,TAB_CS[Commited amount])*0.985</f>
        <v>62923.179000000004</v>
      </c>
      <c r="K19" s="544">
        <f>SUMIF(TAB_CS[Reference],'Suivi PO Global'!I19,TAB_CS[Producted amounts])*0.985</f>
        <v>62923.179000000004</v>
      </c>
      <c r="L19" s="544">
        <f t="shared" si="1"/>
        <v>0</v>
      </c>
      <c r="M19" s="736"/>
      <c r="N19" s="736"/>
      <c r="O19" s="736"/>
      <c r="P19" s="518"/>
    </row>
    <row r="20" spans="2:16" s="508" customFormat="1" hidden="1" x14ac:dyDescent="0.3">
      <c r="B20" s="731"/>
      <c r="C20" s="731"/>
      <c r="D20" s="734"/>
      <c r="E20" s="512">
        <f>IF(ISBLANK(I20),"",INDEX(TAB_Offres[ID],MATCH(I20,TAB_Offres[Reference],0)))</f>
        <v>31</v>
      </c>
      <c r="F20" s="512" t="str">
        <f>IF(ISBLANK(I20),"",INDEX(TAB_Offres[Lot],MATCH(I20,TAB_Offres[Reference],0)))</f>
        <v>Lot 2</v>
      </c>
      <c r="G20" s="512" t="str">
        <f>IF(ISBLANK(I20),"",INDEX(TAB_Offres[Institution/agency],MATCH(I20,TAB_Offres[Reference],0)))</f>
        <v>EC</v>
      </c>
      <c r="H20" s="512" t="str">
        <f>IF(ISBLANK(I20),"",INDEX(TAB_Offres[DG],MATCH(I20,TAB_Offres[Reference],0)))</f>
        <v>DIGIT.B.4</v>
      </c>
      <c r="I20" s="513" t="s">
        <v>262</v>
      </c>
      <c r="J20" s="545">
        <f>SUMIF(TAB_CS[Reference],'Suivi PO Global'!I20,TAB_CS[Commited amount])*0.985</f>
        <v>79443.58915</v>
      </c>
      <c r="K20" s="545">
        <f>SUMIF(TAB_CS[Reference],'Suivi PO Global'!I20,TAB_CS[Producted amounts])*0.985</f>
        <v>79443.58915</v>
      </c>
      <c r="L20" s="545">
        <f t="shared" si="1"/>
        <v>0</v>
      </c>
      <c r="M20" s="737"/>
      <c r="N20" s="737"/>
      <c r="O20" s="737"/>
      <c r="P20" s="518"/>
    </row>
    <row r="21" spans="2:16" s="508" customFormat="1" hidden="1" x14ac:dyDescent="0.3">
      <c r="B21" s="742" t="s">
        <v>5931</v>
      </c>
      <c r="C21" s="742" t="s">
        <v>86</v>
      </c>
      <c r="D21" s="743">
        <v>8</v>
      </c>
      <c r="E21" s="519">
        <f>IF(ISBLANK(I21),"",INDEX(TAB_Offres[ID],MATCH(I21,TAB_Offres[Reference],0)))</f>
        <v>15</v>
      </c>
      <c r="F21" s="519" t="str">
        <f>IF(ISBLANK(I21),"",INDEX(TAB_Offres[Lot],MATCH(I21,TAB_Offres[Reference],0)))</f>
        <v>Lot 2</v>
      </c>
      <c r="G21" s="519" t="str">
        <f>IF(ISBLANK(I21),"",INDEX(TAB_Offres[Institution/agency],MATCH(I21,TAB_Offres[Reference],0)))</f>
        <v>EC</v>
      </c>
      <c r="H21" s="519" t="str">
        <f>IF(ISBLANK(I21),"",INDEX(TAB_Offres[DG],MATCH(I21,TAB_Offres[Reference],0)))</f>
        <v>HR</v>
      </c>
      <c r="I21" s="520" t="s">
        <v>324</v>
      </c>
      <c r="J21" s="521">
        <f>SUMIF(TAB_CS[Reference],'Suivi PO Global'!I21,TAB_CS[Commited amount])*0.985</f>
        <v>152656.48200000002</v>
      </c>
      <c r="K21" s="521">
        <f>SUMIF(TAB_CS[Reference],'Suivi PO Global'!I21,TAB_CS[Producted amounts])*0.985</f>
        <v>152656.48200000002</v>
      </c>
      <c r="L21" s="521">
        <f t="shared" si="1"/>
        <v>0</v>
      </c>
      <c r="M21" s="744">
        <v>342693.72</v>
      </c>
      <c r="N21" s="744">
        <f>M21-O21</f>
        <v>342693.72</v>
      </c>
      <c r="O21" s="744">
        <v>0</v>
      </c>
      <c r="P21" s="518"/>
    </row>
    <row r="22" spans="2:16" s="508" customFormat="1" hidden="1" x14ac:dyDescent="0.3">
      <c r="B22" s="730" t="s">
        <v>5931</v>
      </c>
      <c r="C22" s="730"/>
      <c r="D22" s="733">
        <v>8</v>
      </c>
      <c r="E22" s="519">
        <f>IF(ISBLANK(I22),"",INDEX(TAB_Offres[ID],MATCH(I22,TAB_Offres[Reference],0)))</f>
        <v>19</v>
      </c>
      <c r="F22" s="519" t="str">
        <f>IF(ISBLANK(I22),"",INDEX(TAB_Offres[Lot],MATCH(I22,TAB_Offres[Reference],0)))</f>
        <v>Lot 1</v>
      </c>
      <c r="G22" s="519" t="str">
        <f>IF(ISBLANK(I22),"",INDEX(TAB_Offres[Institution/agency],MATCH(I22,TAB_Offres[Reference],0)))</f>
        <v>EC</v>
      </c>
      <c r="H22" s="519" t="str">
        <f>IF(ISBLANK(I22),"",INDEX(TAB_Offres[DG],MATCH(I22,TAB_Offres[Reference],0)))</f>
        <v>ENV</v>
      </c>
      <c r="I22" s="520" t="s">
        <v>319</v>
      </c>
      <c r="J22" s="521">
        <f>SUMIF(TAB_CS[Reference],'Suivi PO Global'!I22,TAB_CS[Commited amount])*0.985</f>
        <v>94690.729200000002</v>
      </c>
      <c r="K22" s="521">
        <f>SUMIF(TAB_CS[Reference],'Suivi PO Global'!I22,TAB_CS[Producted amounts])*0.985</f>
        <v>94690.729200000002</v>
      </c>
      <c r="L22" s="521">
        <f t="shared" si="1"/>
        <v>0</v>
      </c>
      <c r="M22" s="745"/>
      <c r="N22" s="745"/>
      <c r="O22" s="745"/>
    </row>
    <row r="23" spans="2:16" s="508" customFormat="1" hidden="1" x14ac:dyDescent="0.3">
      <c r="B23" s="731" t="s">
        <v>5931</v>
      </c>
      <c r="C23" s="731"/>
      <c r="D23" s="734">
        <v>8</v>
      </c>
      <c r="E23" s="512">
        <f>IF(ISBLANK(I23),"",INDEX(TAB_Offres[ID],MATCH(I23,TAB_Offres[Reference],0)))</f>
        <v>37</v>
      </c>
      <c r="F23" s="512" t="str">
        <f>IF(ISBLANK(I23),"",INDEX(TAB_Offres[Lot],MATCH(I23,TAB_Offres[Reference],0)))</f>
        <v>Lot 2</v>
      </c>
      <c r="G23" s="512" t="str">
        <f>IF(ISBLANK(I23),"",INDEX(TAB_Offres[Institution/agency],MATCH(I23,TAB_Offres[Reference],0)))</f>
        <v>EC</v>
      </c>
      <c r="H23" s="512" t="str">
        <f>IF(ISBLANK(I23),"",INDEX(TAB_Offres[DG],MATCH(I23,TAB_Offres[Reference],0)))</f>
        <v>DIGIT.B.4</v>
      </c>
      <c r="I23" s="513" t="s">
        <v>321</v>
      </c>
      <c r="J23" s="522">
        <f>SUMIF(TAB_CS[Reference],'Suivi PO Global'!I23,TAB_CS[Commited amount])*0.985</f>
        <v>38164.120500000005</v>
      </c>
      <c r="K23" s="522">
        <f>SUMIF(TAB_CS[Reference],'Suivi PO Global'!I23,TAB_CS[Producted amounts])*0.985</f>
        <v>38164.120500000005</v>
      </c>
      <c r="L23" s="522">
        <f t="shared" si="1"/>
        <v>0</v>
      </c>
      <c r="M23" s="741"/>
      <c r="N23" s="741"/>
      <c r="O23" s="741"/>
    </row>
    <row r="24" spans="2:16" s="508" customFormat="1" hidden="1" x14ac:dyDescent="0.3">
      <c r="B24" s="729" t="s">
        <v>5926</v>
      </c>
      <c r="C24" s="729" t="s">
        <v>86</v>
      </c>
      <c r="D24" s="732">
        <v>3</v>
      </c>
      <c r="E24" s="523">
        <f>IF(ISBLANK(I24),"",INDEX(TAB_Offres[ID],MATCH(I24,TAB_Offres[Reference],0)))</f>
        <v>9</v>
      </c>
      <c r="F24" s="523" t="str">
        <f>IF(ISBLANK(I24),"",INDEX(TAB_Offres[Lot],MATCH(I24,TAB_Offres[Reference],0)))</f>
        <v>Lot 2</v>
      </c>
      <c r="G24" s="523" t="str">
        <f>IF(ISBLANK(I24),"",INDEX(TAB_Offres[Institution/agency],MATCH(I24,TAB_Offres[Reference],0)))</f>
        <v>EC</v>
      </c>
      <c r="H24" s="523" t="str">
        <f>IF(ISBLANK(I24),"",INDEX(TAB_Offres[DG],MATCH(I24,TAB_Offres[Reference],0)))</f>
        <v>SANTE.R.1</v>
      </c>
      <c r="I24" s="524" t="s">
        <v>274</v>
      </c>
      <c r="J24" s="543">
        <f>SUMIF(TAB_CS[Reference],'Suivi PO Global'!I24,TAB_CS[Commited amount])*0.985</f>
        <v>109858.23199999999</v>
      </c>
      <c r="K24" s="543">
        <f>SUMIF(TAB_CS[Reference],'Suivi PO Global'!I24,TAB_CS[Producted amounts])*0.985</f>
        <v>109858.23199999999</v>
      </c>
      <c r="L24" s="543">
        <f t="shared" si="1"/>
        <v>0</v>
      </c>
      <c r="M24" s="735">
        <v>288967.8</v>
      </c>
      <c r="N24" s="735">
        <f>M24-O24</f>
        <v>288967.8</v>
      </c>
      <c r="O24" s="735">
        <v>0</v>
      </c>
      <c r="P24" s="518"/>
    </row>
    <row r="25" spans="2:16" s="508" customFormat="1" hidden="1" x14ac:dyDescent="0.3">
      <c r="B25" s="731"/>
      <c r="C25" s="731"/>
      <c r="D25" s="734"/>
      <c r="E25" s="512">
        <f>IF(ISBLANK(I25),"",INDEX(TAB_Offres[ID],MATCH(I25,TAB_Offres[Reference],0)))</f>
        <v>10</v>
      </c>
      <c r="F25" s="512" t="str">
        <f>IF(ISBLANK(I25),"",INDEX(TAB_Offres[Lot],MATCH(I25,TAB_Offres[Reference],0)))</f>
        <v>Lot 2</v>
      </c>
      <c r="G25" s="512" t="str">
        <f>IF(ISBLANK(I25),"",INDEX(TAB_Offres[Institution/agency],MATCH(I25,TAB_Offres[Reference],0)))</f>
        <v>EC</v>
      </c>
      <c r="H25" s="512" t="str">
        <f>IF(ISBLANK(I25),"",INDEX(TAB_Offres[DG],MATCH(I25,TAB_Offres[Reference],0)))</f>
        <v>JUST B.3</v>
      </c>
      <c r="I25" s="513" t="s">
        <v>276</v>
      </c>
      <c r="J25" s="545">
        <f>SUMIF(TAB_CS[Reference],'Suivi PO Global'!I25,TAB_CS[Commited amount])*0.985</f>
        <v>174775.05100000001</v>
      </c>
      <c r="K25" s="545">
        <f>SUMIF(TAB_CS[Reference],'Suivi PO Global'!I25,TAB_CS[Producted amounts])*0.985</f>
        <v>174775.05100000001</v>
      </c>
      <c r="L25" s="545">
        <f t="shared" si="1"/>
        <v>0</v>
      </c>
      <c r="M25" s="737"/>
      <c r="N25" s="737"/>
      <c r="O25" s="737"/>
      <c r="P25" s="518"/>
    </row>
    <row r="26" spans="2:16" s="508" customFormat="1" hidden="1" x14ac:dyDescent="0.3">
      <c r="B26" s="742" t="s">
        <v>5929</v>
      </c>
      <c r="C26" s="742" t="s">
        <v>86</v>
      </c>
      <c r="D26" s="743">
        <v>6</v>
      </c>
      <c r="E26" s="519">
        <f>IF(ISBLANK(I26),"",INDEX(TAB_Offres[ID],MATCH(I26,TAB_Offres[Reference],0)))</f>
        <v>27</v>
      </c>
      <c r="F26" s="519" t="str">
        <f>IF(ISBLANK(I26),"",INDEX(TAB_Offres[Lot],MATCH(I26,TAB_Offres[Reference],0)))</f>
        <v>Lot 3</v>
      </c>
      <c r="G26" s="519" t="str">
        <f>IF(ISBLANK(I26),"",INDEX(TAB_Offres[Institution/agency],MATCH(I26,TAB_Offres[Reference],0)))</f>
        <v>EC</v>
      </c>
      <c r="H26" s="519" t="str">
        <f>IF(ISBLANK(I26),"",INDEX(TAB_Offres[DG],MATCH(I26,TAB_Offres[Reference],0)))</f>
        <v>RTD.I.3</v>
      </c>
      <c r="I26" s="520" t="s">
        <v>303</v>
      </c>
      <c r="J26" s="544">
        <f>SUMIF(TAB_CS[Reference],'Suivi PO Global'!I26,TAB_CS[Commited amount])*0.985</f>
        <v>82632.832000000009</v>
      </c>
      <c r="K26" s="544">
        <f>SUMIF(TAB_CS[Reference],'Suivi PO Global'!I26,TAB_CS[Producted amounts])*0.985</f>
        <v>82632.832000000009</v>
      </c>
      <c r="L26" s="544">
        <f t="shared" si="1"/>
        <v>0</v>
      </c>
      <c r="M26" s="748">
        <v>256429.29</v>
      </c>
      <c r="N26" s="748">
        <f>M26-O26</f>
        <v>256429.29</v>
      </c>
      <c r="O26" s="748">
        <v>0</v>
      </c>
      <c r="P26" s="518"/>
    </row>
    <row r="27" spans="2:16" s="508" customFormat="1" hidden="1" x14ac:dyDescent="0.3">
      <c r="B27" s="730"/>
      <c r="C27" s="730"/>
      <c r="D27" s="733"/>
      <c r="E27" s="519">
        <f>IF(ISBLANK(I27),"",INDEX(TAB_Offres[ID],MATCH(I27,TAB_Offres[Reference],0)))</f>
        <v>28</v>
      </c>
      <c r="F27" s="519" t="str">
        <f>IF(ISBLANK(I27),"",INDEX(TAB_Offres[Lot],MATCH(I27,TAB_Offres[Reference],0)))</f>
        <v>Lot 1</v>
      </c>
      <c r="G27" s="519" t="str">
        <f>IF(ISBLANK(I27),"",INDEX(TAB_Offres[Institution/agency],MATCH(I27,TAB_Offres[Reference],0)))</f>
        <v>EC</v>
      </c>
      <c r="H27" s="519" t="str">
        <f>IF(ISBLANK(I27),"",INDEX(TAB_Offres[DG],MATCH(I27,TAB_Offres[Reference],0)))</f>
        <v>RTD.I.3</v>
      </c>
      <c r="I27" s="520" t="s">
        <v>305</v>
      </c>
      <c r="J27" s="544">
        <f>SUMIF(TAB_CS[Reference],'Suivi PO Global'!I27,TAB_CS[Commited amount])*0.985</f>
        <v>97931.063999999998</v>
      </c>
      <c r="K27" s="544">
        <f>SUMIF(TAB_CS[Reference],'Suivi PO Global'!I27,TAB_CS[Producted amounts])*0.985</f>
        <v>97931.063999999998</v>
      </c>
      <c r="L27" s="544">
        <f t="shared" si="1"/>
        <v>0</v>
      </c>
      <c r="M27" s="736"/>
      <c r="N27" s="736"/>
      <c r="O27" s="736"/>
    </row>
    <row r="28" spans="2:16" s="508" customFormat="1" hidden="1" x14ac:dyDescent="0.3">
      <c r="B28" s="731"/>
      <c r="C28" s="731"/>
      <c r="D28" s="734"/>
      <c r="E28" s="512">
        <f>IF(ISBLANK(I28),"",INDEX(TAB_Offres[ID],MATCH(I28,TAB_Offres[Reference],0)))</f>
        <v>30</v>
      </c>
      <c r="F28" s="512" t="str">
        <f>IF(ISBLANK(I28),"",INDEX(TAB_Offres[Lot],MATCH(I28,TAB_Offres[Reference],0)))</f>
        <v>Lot 2</v>
      </c>
      <c r="G28" s="512" t="str">
        <f>IF(ISBLANK(I28),"",INDEX(TAB_Offres[Institution/agency],MATCH(I28,TAB_Offres[Reference],0)))</f>
        <v>EC</v>
      </c>
      <c r="H28" s="512" t="str">
        <f>IF(ISBLANK(I28),"",INDEX(TAB_Offres[DG],MATCH(I28,TAB_Offres[Reference],0)))</f>
        <v>DIGIT.B.4</v>
      </c>
      <c r="I28" s="513" t="s">
        <v>307</v>
      </c>
      <c r="J28" s="545">
        <f>SUMIF(TAB_CS[Reference],'Suivi PO Global'!I28,TAB_CS[Commited amount])*0.985</f>
        <v>72018.95465</v>
      </c>
      <c r="K28" s="545">
        <f>SUMIF(TAB_CS[Reference],'Suivi PO Global'!I28,TAB_CS[Producted amounts])*0.985</f>
        <v>72018.95465</v>
      </c>
      <c r="L28" s="545">
        <f t="shared" si="1"/>
        <v>0</v>
      </c>
      <c r="M28" s="737"/>
      <c r="N28" s="737"/>
      <c r="O28" s="737"/>
      <c r="P28" s="518"/>
    </row>
    <row r="29" spans="2:16" s="508" customFormat="1" hidden="1" x14ac:dyDescent="0.3">
      <c r="B29" s="729" t="s">
        <v>5930</v>
      </c>
      <c r="C29" s="729" t="s">
        <v>86</v>
      </c>
      <c r="D29" s="732">
        <v>7</v>
      </c>
      <c r="E29" s="523">
        <f>IF(ISBLANK(I29),"",INDEX(TAB_Offres[ID],MATCH(I29,TAB_Offres[Reference],0)))</f>
        <v>34</v>
      </c>
      <c r="F29" s="523" t="str">
        <f>IF(ISBLANK(I29),"",INDEX(TAB_Offres[Lot],MATCH(I29,TAB_Offres[Reference],0)))</f>
        <v>Lot 2</v>
      </c>
      <c r="G29" s="523" t="str">
        <f>IF(ISBLANK(I29),"",INDEX(TAB_Offres[Institution/agency],MATCH(I29,TAB_Offres[Reference],0)))</f>
        <v>EC</v>
      </c>
      <c r="H29" s="523" t="str">
        <f>IF(ISBLANK(I29),"",INDEX(TAB_Offres[DG],MATCH(I29,TAB_Offres[Reference],0)))</f>
        <v>DIGIT.D.3</v>
      </c>
      <c r="I29" s="524" t="s">
        <v>309</v>
      </c>
      <c r="J29" s="525">
        <f>SUMIF(TAB_CS[Reference],'Suivi PO Global'!I29,TAB_CS[Commited amount])*0.985</f>
        <v>146969.92924999999</v>
      </c>
      <c r="K29" s="525">
        <f>SUMIF(TAB_CS[Reference],'Suivi PO Global'!I29,TAB_CS[Producted amounts])*0.985</f>
        <v>146969.92924999999</v>
      </c>
      <c r="L29" s="525">
        <f t="shared" si="1"/>
        <v>0</v>
      </c>
      <c r="M29" s="740">
        <v>298858.25</v>
      </c>
      <c r="N29" s="740">
        <f>M29-O29</f>
        <v>298858.25</v>
      </c>
      <c r="O29" s="740">
        <v>0</v>
      </c>
      <c r="P29" s="518"/>
    </row>
    <row r="30" spans="2:16" s="508" customFormat="1" hidden="1" x14ac:dyDescent="0.3">
      <c r="B30" s="731" t="s">
        <v>5930</v>
      </c>
      <c r="C30" s="731"/>
      <c r="D30" s="734">
        <v>7</v>
      </c>
      <c r="E30" s="512">
        <f>IF(ISBLANK(I30),"",INDEX(TAB_Offres[ID],MATCH(I30,TAB_Offres[Reference],0)))</f>
        <v>35</v>
      </c>
      <c r="F30" s="512" t="str">
        <f>IF(ISBLANK(I30),"",INDEX(TAB_Offres[Lot],MATCH(I30,TAB_Offres[Reference],0)))</f>
        <v>Lot 3</v>
      </c>
      <c r="G30" s="512" t="str">
        <f>IF(ISBLANK(I30),"",INDEX(TAB_Offres[Institution/agency],MATCH(I30,TAB_Offres[Reference],0)))</f>
        <v>EC</v>
      </c>
      <c r="H30" s="512" t="str">
        <f>IF(ISBLANK(I30),"",INDEX(TAB_Offres[DG],MATCH(I30,TAB_Offres[Reference],0)))</f>
        <v>DIGIT.D.3</v>
      </c>
      <c r="I30" s="513" t="s">
        <v>312</v>
      </c>
      <c r="J30" s="522">
        <f>SUMIF(TAB_CS[Reference],'Suivi PO Global'!I30,TAB_CS[Commited amount])*0.985</f>
        <v>147405.44699999999</v>
      </c>
      <c r="K30" s="522">
        <f>SUMIF(TAB_CS[Reference],'Suivi PO Global'!I30,TAB_CS[Producted amounts])*0.985</f>
        <v>147405.44699999999</v>
      </c>
      <c r="L30" s="522">
        <f t="shared" si="1"/>
        <v>0</v>
      </c>
      <c r="M30" s="741"/>
      <c r="N30" s="741"/>
      <c r="O30" s="741"/>
    </row>
    <row r="31" spans="2:16" s="508" customFormat="1" hidden="1" x14ac:dyDescent="0.3">
      <c r="B31" s="742" t="s">
        <v>5924</v>
      </c>
      <c r="C31" s="742" t="s">
        <v>86</v>
      </c>
      <c r="D31" s="743">
        <v>1</v>
      </c>
      <c r="E31" s="519">
        <f>IF(ISBLANK(I31),"",INDEX(TAB_Offres[ID],MATCH(I31,TAB_Offres[Reference],0)))</f>
        <v>4</v>
      </c>
      <c r="F31" s="519" t="str">
        <f>IF(ISBLANK(I31),"",INDEX(TAB_Offres[Lot],MATCH(I31,TAB_Offres[Reference],0)))</f>
        <v>Lot 1</v>
      </c>
      <c r="G31" s="519" t="str">
        <f>IF(ISBLANK(I31),"",INDEX(TAB_Offres[Institution/agency],MATCH(I31,TAB_Offres[Reference],0)))</f>
        <v>REA</v>
      </c>
      <c r="H31" s="519" t="str">
        <f>IF(ISBLANK(I31),"",INDEX(TAB_Offres[DG],MATCH(I31,TAB_Offres[Reference],0)))</f>
        <v>REA D.2.003</v>
      </c>
      <c r="I31" s="520" t="s">
        <v>242</v>
      </c>
      <c r="J31" s="544">
        <f>SUMIF(TAB_CS[Reference],'Suivi PO Global'!I31,TAB_CS[Commited amount])*0.985</f>
        <v>68035.92</v>
      </c>
      <c r="K31" s="544">
        <f>SUMIF(TAB_CS[Reference],'Suivi PO Global'!I31,TAB_CS[Producted amounts])*0.985</f>
        <v>68035.92</v>
      </c>
      <c r="L31" s="544">
        <f t="shared" si="1"/>
        <v>0</v>
      </c>
      <c r="M31" s="748">
        <v>325588.59999999998</v>
      </c>
      <c r="N31" s="748">
        <f>M31-O31</f>
        <v>325588.59999999998</v>
      </c>
      <c r="O31" s="748">
        <v>0</v>
      </c>
    </row>
    <row r="32" spans="2:16" s="508" customFormat="1" hidden="1" x14ac:dyDescent="0.3">
      <c r="B32" s="730"/>
      <c r="C32" s="730"/>
      <c r="D32" s="733"/>
      <c r="E32" s="519">
        <f>IF(ISBLANK(I32),"",INDEX(TAB_Offres[ID],MATCH(I32,TAB_Offres[Reference],0)))</f>
        <v>16</v>
      </c>
      <c r="F32" s="519" t="str">
        <f>IF(ISBLANK(I32),"",INDEX(TAB_Offres[Lot],MATCH(I32,TAB_Offres[Reference],0)))</f>
        <v>Lot 2</v>
      </c>
      <c r="G32" s="519" t="str">
        <f>IF(ISBLANK(I32),"",INDEX(TAB_Offres[Institution/agency],MATCH(I32,TAB_Offres[Reference],0)))</f>
        <v>EC</v>
      </c>
      <c r="H32" s="519" t="str">
        <f>IF(ISBLANK(I32),"",INDEX(TAB_Offres[DG],MATCH(I32,TAB_Offres[Reference],0)))</f>
        <v>JUST CRIM</v>
      </c>
      <c r="I32" s="520" t="s">
        <v>256</v>
      </c>
      <c r="J32" s="544">
        <f>SUMIF(TAB_CS[Reference],'Suivi PO Global'!I32,TAB_CS[Commited amount])*0.985</f>
        <v>174775.05100000001</v>
      </c>
      <c r="K32" s="544">
        <f>SUMIF(TAB_CS[Reference],'Suivi PO Global'!I32,TAB_CS[Producted amounts])*0.985</f>
        <v>174775.05100000001</v>
      </c>
      <c r="L32" s="544">
        <f t="shared" ref="L32:L33" si="2">J32-K32</f>
        <v>0</v>
      </c>
      <c r="M32" s="736"/>
      <c r="N32" s="736"/>
      <c r="O32" s="736"/>
    </row>
    <row r="33" spans="2:16" s="508" customFormat="1" hidden="1" x14ac:dyDescent="0.3">
      <c r="B33" s="731"/>
      <c r="C33" s="731"/>
      <c r="D33" s="734"/>
      <c r="E33" s="512">
        <f>IF(ISBLANK(I33),"",INDEX(TAB_Offres[ID],MATCH(I33,TAB_Offres[Reference],0)))</f>
        <v>18</v>
      </c>
      <c r="F33" s="512" t="str">
        <f>IF(ISBLANK(I33),"",INDEX(TAB_Offres[Lot],MATCH(I33,TAB_Offres[Reference],0)))</f>
        <v>Lot 1</v>
      </c>
      <c r="G33" s="512" t="str">
        <f>IF(ISBLANK(I33),"",INDEX(TAB_Offres[Institution/agency],MATCH(I33,TAB_Offres[Reference],0)))</f>
        <v>EC</v>
      </c>
      <c r="H33" s="512" t="str">
        <f>IF(ISBLANK(I33),"",INDEX(TAB_Offres[DG],MATCH(I33,TAB_Offres[Reference],0)))</f>
        <v>DIGIT.B.4</v>
      </c>
      <c r="I33" s="513" t="s">
        <v>258</v>
      </c>
      <c r="J33" s="545">
        <f>SUMIF(TAB_CS[Reference],'Suivi PO Global'!I33,TAB_CS[Commited amount])*0.985</f>
        <v>77893.8</v>
      </c>
      <c r="K33" s="545">
        <f>SUMIF(TAB_CS[Reference],'Suivi PO Global'!I33,TAB_CS[Producted amounts])*0.985</f>
        <v>77893.8</v>
      </c>
      <c r="L33" s="545">
        <f t="shared" si="2"/>
        <v>0</v>
      </c>
      <c r="M33" s="737"/>
      <c r="N33" s="737"/>
      <c r="O33" s="737"/>
      <c r="P33" s="518"/>
    </row>
    <row r="34" spans="2:16" s="508" customFormat="1" hidden="1" x14ac:dyDescent="0.3">
      <c r="B34" s="729" t="s">
        <v>5951</v>
      </c>
      <c r="C34" s="729" t="str">
        <f>IF(ISBLANK(I34),"",INDEX(TAB_Offres[Company],MATCH(I34,TAB_Offres[Reference],0)))</f>
        <v>TALAN</v>
      </c>
      <c r="D34" s="732">
        <v>2</v>
      </c>
      <c r="E34" s="523">
        <f>IF(ISBLANK(I34),"",INDEX(TAB_Offres[ID],MATCH(I34,TAB_Offres[Reference],0)))</f>
        <v>53</v>
      </c>
      <c r="F34" s="523" t="str">
        <f>IF(ISBLANK(I34),"",INDEX(TAB_Offres[Lot],MATCH(I34,TAB_Offres[Reference],0)))</f>
        <v>Lot 2</v>
      </c>
      <c r="G34" s="523" t="str">
        <f>IF(ISBLANK(I34),"",INDEX(TAB_Offres[Institution/agency],MATCH(I34,TAB_Offres[Reference],0)))</f>
        <v>EC</v>
      </c>
      <c r="H34" s="523" t="str">
        <f>IF(ISBLANK(I34),"",INDEX(TAB_Offres[DG],MATCH(I34,TAB_Offres[Reference],0)))</f>
        <v>REGIO</v>
      </c>
      <c r="I34" s="581" t="s">
        <v>556</v>
      </c>
      <c r="J34" s="582">
        <f>SUMIF(TAB_CS[Reference],'Suivi PO Global'!I34,TAB_CS[Commited amount])*0.985</f>
        <v>99799.333199999994</v>
      </c>
      <c r="K34" s="582">
        <f>SUMIF(TAB_CS[Reference],'Suivi PO Global'!I34,TAB_CS[Producted amounts])*0.985</f>
        <v>99799.333199999994</v>
      </c>
      <c r="L34" s="582">
        <f>J34-K34</f>
        <v>0</v>
      </c>
      <c r="M34" s="735">
        <v>137909.22</v>
      </c>
      <c r="N34" s="735">
        <f>M34-O34</f>
        <v>137909.22</v>
      </c>
      <c r="O34" s="735">
        <v>0</v>
      </c>
      <c r="P34" s="518"/>
    </row>
    <row r="35" spans="2:16" s="508" customFormat="1" hidden="1" x14ac:dyDescent="0.3">
      <c r="B35" s="730"/>
      <c r="C35" s="730"/>
      <c r="D35" s="733"/>
      <c r="E35" s="519">
        <f>IF(ISBLANK(I35),"",INDEX(TAB_Offres[ID],MATCH(I35,TAB_Offres[Reference],0)))</f>
        <v>55</v>
      </c>
      <c r="F35" s="519" t="str">
        <f>IF(ISBLANK(I35),"",INDEX(TAB_Offres[Lot],MATCH(I35,TAB_Offres[Reference],0)))</f>
        <v>Lot 1</v>
      </c>
      <c r="G35" s="519" t="str">
        <f>IF(ISBLANK(I35),"",INDEX(TAB_Offres[Institution/agency],MATCH(I35,TAB_Offres[Reference],0)))</f>
        <v>EC</v>
      </c>
      <c r="H35" s="519" t="str">
        <f>IF(ISBLANK(I35),"",INDEX(TAB_Offres[DG],MATCH(I35,TAB_Offres[Reference],0)))</f>
        <v>DIGIT.B.1</v>
      </c>
      <c r="I35" s="510" t="s">
        <v>563</v>
      </c>
      <c r="J35" s="583">
        <f>SUMIF(TAB_CS[Reference],'Suivi PO Global'!I35,TAB_CS[Commited amount])*0.985</f>
        <v>95920.285000000003</v>
      </c>
      <c r="K35" s="583">
        <f>SUMIF(TAB_CS[Reference],'Suivi PO Global'!I35,TAB_CS[Producted amounts])*0.985</f>
        <v>95920.285000000003</v>
      </c>
      <c r="L35" s="583">
        <f t="shared" ref="L35:L37" si="3">J35-K35</f>
        <v>0</v>
      </c>
      <c r="M35" s="736"/>
      <c r="N35" s="736"/>
      <c r="O35" s="736"/>
    </row>
    <row r="36" spans="2:16" s="508" customFormat="1" hidden="1" x14ac:dyDescent="0.3">
      <c r="B36" s="730"/>
      <c r="C36" s="730"/>
      <c r="D36" s="733"/>
      <c r="E36" s="519">
        <f>IF(ISBLANK(I36),"",INDEX(TAB_Offres[ID],MATCH(I36,TAB_Offres[Reference],0)))</f>
        <v>32</v>
      </c>
      <c r="F36" s="519" t="str">
        <f>IF(ISBLANK(I36),"",INDEX(TAB_Offres[Lot],MATCH(I36,TAB_Offres[Reference],0)))</f>
        <v>Lot 3</v>
      </c>
      <c r="G36" s="519" t="str">
        <f>IF(ISBLANK(I36),"",INDEX(TAB_Offres[Institution/agency],MATCH(I36,TAB_Offres[Reference],0)))</f>
        <v>EC</v>
      </c>
      <c r="H36" s="519" t="str">
        <f>IF(ISBLANK(I36),"",INDEX(TAB_Offres[DG],MATCH(I36,TAB_Offres[Reference],0)))</f>
        <v>DIGIT.B.3</v>
      </c>
      <c r="I36" s="510" t="s">
        <v>595</v>
      </c>
      <c r="J36" s="583">
        <f>SUMIF(TAB_CS[Reference],'Suivi PO Global'!I36,TAB_CS[Commited amount])*0.985</f>
        <v>69594.19</v>
      </c>
      <c r="K36" s="583">
        <f>SUMIF(TAB_CS[Reference],'Suivi PO Global'!I36,TAB_CS[Producted amounts])*0.985</f>
        <v>69594.19</v>
      </c>
      <c r="L36" s="583">
        <f t="shared" si="3"/>
        <v>0</v>
      </c>
      <c r="M36" s="736"/>
      <c r="N36" s="736"/>
      <c r="O36" s="736"/>
    </row>
    <row r="37" spans="2:16" s="508" customFormat="1" hidden="1" x14ac:dyDescent="0.3">
      <c r="B37" s="731"/>
      <c r="C37" s="731"/>
      <c r="D37" s="734"/>
      <c r="E37" s="512">
        <f>IF(ISBLANK(I37),"",INDEX(TAB_Offres[ID],MATCH(I37,TAB_Offres[Reference],0)))</f>
        <v>48</v>
      </c>
      <c r="F37" s="512" t="str">
        <f>IF(ISBLANK(I37),"",INDEX(TAB_Offres[Lot],MATCH(I37,TAB_Offres[Reference],0)))</f>
        <v>Lot 1</v>
      </c>
      <c r="G37" s="512" t="str">
        <f>IF(ISBLANK(I37),"",INDEX(TAB_Offres[Institution/agency],MATCH(I37,TAB_Offres[Reference],0)))</f>
        <v>EC</v>
      </c>
      <c r="H37" s="512" t="str">
        <f>IF(ISBLANK(I37),"",INDEX(TAB_Offres[DG],MATCH(I37,TAB_Offres[Reference],0)))</f>
        <v>ESTAT</v>
      </c>
      <c r="I37" s="513" t="s">
        <v>602</v>
      </c>
      <c r="J37" s="584">
        <f>SUMIF(TAB_CS[Reference],'Suivi PO Global'!I37,TAB_CS[Commited amount])*0.985</f>
        <v>31928.972000000002</v>
      </c>
      <c r="K37" s="584">
        <f>SUMIF(TAB_CS[Reference],'Suivi PO Global'!I37,TAB_CS[Producted amounts])*0.985</f>
        <v>31928.972000000002</v>
      </c>
      <c r="L37" s="584">
        <f t="shared" si="3"/>
        <v>0</v>
      </c>
      <c r="M37" s="737"/>
      <c r="N37" s="737"/>
      <c r="O37" s="737"/>
      <c r="P37" s="518"/>
    </row>
    <row r="38" spans="2:16" s="508" customFormat="1" hidden="1" x14ac:dyDescent="0.3">
      <c r="B38" s="742" t="s">
        <v>5932</v>
      </c>
      <c r="C38" s="742" t="s">
        <v>86</v>
      </c>
      <c r="D38" s="743">
        <v>9</v>
      </c>
      <c r="E38" s="519">
        <f>IF(ISBLANK(I38),"",INDEX(TAB_Offres[ID],MATCH(I38,TAB_Offres[Reference],0)))</f>
        <v>41</v>
      </c>
      <c r="F38" s="519" t="str">
        <f>IF(ISBLANK(I38),"",INDEX(TAB_Offres[Lot],MATCH(I38,TAB_Offres[Reference],0)))</f>
        <v>Lot 2</v>
      </c>
      <c r="G38" s="519" t="str">
        <f>IF(ISBLANK(I38),"",INDEX(TAB_Offres[Institution/agency],MATCH(I38,TAB_Offres[Reference],0)))</f>
        <v>EC</v>
      </c>
      <c r="H38" s="519" t="str">
        <f>IF(ISBLANK(I38),"",INDEX(TAB_Offres[DG],MATCH(I38,TAB_Offres[Reference],0)))</f>
        <v>HR</v>
      </c>
      <c r="I38" s="520" t="s">
        <v>533</v>
      </c>
      <c r="J38" s="544">
        <f>SUMIF(TAB_CS[Reference],'Suivi PO Global'!I38,TAB_CS[Commited amount])*0.985</f>
        <v>95952.593000000008</v>
      </c>
      <c r="K38" s="544">
        <f>SUMIF(TAB_CS[Reference],'Suivi PO Global'!I38,TAB_CS[Producted amounts])*0.985</f>
        <v>95952.593000000008</v>
      </c>
      <c r="L38" s="544">
        <f t="shared" ref="L38:L89" si="4">J38-K38</f>
        <v>0</v>
      </c>
      <c r="M38" s="748">
        <v>343500.6</v>
      </c>
      <c r="N38" s="748">
        <f>M38-O38</f>
        <v>343500.6</v>
      </c>
      <c r="O38" s="748">
        <v>0</v>
      </c>
      <c r="P38" s="518"/>
    </row>
    <row r="39" spans="2:16" s="508" customFormat="1" hidden="1" x14ac:dyDescent="0.3">
      <c r="B39" s="730" t="s">
        <v>5932</v>
      </c>
      <c r="C39" s="730"/>
      <c r="D39" s="733">
        <v>9</v>
      </c>
      <c r="E39" s="519">
        <f>IF(ISBLANK(I39),"",INDEX(TAB_Offres[ID],MATCH(I39,TAB_Offres[Reference],0)))</f>
        <v>42</v>
      </c>
      <c r="F39" s="519" t="str">
        <f>IF(ISBLANK(I39),"",INDEX(TAB_Offres[Lot],MATCH(I39,TAB_Offres[Reference],0)))</f>
        <v>Lot 3</v>
      </c>
      <c r="G39" s="519" t="str">
        <f>IF(ISBLANK(I39),"",INDEX(TAB_Offres[Institution/agency],MATCH(I39,TAB_Offres[Reference],0)))</f>
        <v>EC</v>
      </c>
      <c r="H39" s="519" t="str">
        <f>IF(ISBLANK(I39),"",INDEX(TAB_Offres[DG],MATCH(I39,TAB_Offres[Reference],0)))</f>
        <v>EMPL</v>
      </c>
      <c r="I39" s="520" t="s">
        <v>538</v>
      </c>
      <c r="J39" s="544">
        <f>SUMIF(TAB_CS[Reference],'Suivi PO Global'!I39,TAB_CS[Commited amount])*0.985</f>
        <v>187562.51799999998</v>
      </c>
      <c r="K39" s="544">
        <f>SUMIF(TAB_CS[Reference],'Suivi PO Global'!I39,TAB_CS[Producted amounts])*0.985</f>
        <v>187562.51799999998</v>
      </c>
      <c r="L39" s="544">
        <f t="shared" si="4"/>
        <v>0</v>
      </c>
      <c r="M39" s="736"/>
      <c r="N39" s="736"/>
      <c r="O39" s="736"/>
    </row>
    <row r="40" spans="2:16" s="508" customFormat="1" hidden="1" x14ac:dyDescent="0.3">
      <c r="B40" s="731" t="s">
        <v>5932</v>
      </c>
      <c r="C40" s="731"/>
      <c r="D40" s="734">
        <v>9</v>
      </c>
      <c r="E40" s="512">
        <f>IF(ISBLANK(I40),"",INDEX(TAB_Offres[ID],MATCH(I40,TAB_Offres[Reference],0)))</f>
        <v>43</v>
      </c>
      <c r="F40" s="512" t="str">
        <f>IF(ISBLANK(I40),"",INDEX(TAB_Offres[Lot],MATCH(I40,TAB_Offres[Reference],0)))</f>
        <v>Lot 1</v>
      </c>
      <c r="G40" s="512" t="str">
        <f>IF(ISBLANK(I40),"",INDEX(TAB_Offres[Institution/agency],MATCH(I40,TAB_Offres[Reference],0)))</f>
        <v>EC</v>
      </c>
      <c r="H40" s="512" t="str">
        <f>IF(ISBLANK(I40),"",INDEX(TAB_Offres[DG],MATCH(I40,TAB_Offres[Reference],0)))</f>
        <v>DIGIT.B.3</v>
      </c>
      <c r="I40" s="513" t="s">
        <v>540</v>
      </c>
      <c r="J40" s="545">
        <f>SUMIF(TAB_CS[Reference],'Suivi PO Global'!I40,TAB_CS[Commited amount])*0.985</f>
        <v>54832.979999999996</v>
      </c>
      <c r="K40" s="545">
        <f>SUMIF(TAB_CS[Reference],'Suivi PO Global'!I40,TAB_CS[Producted amounts])*0.985</f>
        <v>54832.979999999996</v>
      </c>
      <c r="L40" s="545">
        <f t="shared" si="4"/>
        <v>0</v>
      </c>
      <c r="M40" s="737"/>
      <c r="N40" s="737"/>
      <c r="O40" s="737"/>
    </row>
    <row r="41" spans="2:16" s="508" customFormat="1" hidden="1" x14ac:dyDescent="0.3">
      <c r="B41" s="742" t="s">
        <v>5934</v>
      </c>
      <c r="C41" s="742" t="s">
        <v>86</v>
      </c>
      <c r="D41" s="743">
        <v>11</v>
      </c>
      <c r="E41" s="519">
        <f>IF(ISBLANK(I41),"",INDEX(TAB_Offres[ID],MATCH(I41,TAB_Offres[Reference],0)))</f>
        <v>46</v>
      </c>
      <c r="F41" s="519" t="str">
        <f>IF(ISBLANK(I41),"",INDEX(TAB_Offres[Lot],MATCH(I41,TAB_Offres[Reference],0)))</f>
        <v>Lot 1</v>
      </c>
      <c r="G41" s="519" t="str">
        <f>IF(ISBLANK(I41),"",INDEX(TAB_Offres[Institution/agency],MATCH(I41,TAB_Offres[Reference],0)))</f>
        <v>REA</v>
      </c>
      <c r="H41" s="519" t="str">
        <f>IF(ISBLANK(I41),"",INDEX(TAB_Offres[DG],MATCH(I41,TAB_Offres[Reference],0)))</f>
        <v>REA</v>
      </c>
      <c r="I41" s="520" t="s">
        <v>551</v>
      </c>
      <c r="J41" s="544">
        <f>SUMIF(TAB_CS[Reference],'Suivi PO Global'!I41,TAB_CS[Commited amount])*0.985</f>
        <v>125846.35800000001</v>
      </c>
      <c r="K41" s="544">
        <f>SUMIF(TAB_CS[Reference],'Suivi PO Global'!I41,TAB_CS[Producted amounts])*0.985</f>
        <v>125846.35800000001</v>
      </c>
      <c r="L41" s="544">
        <f t="shared" si="4"/>
        <v>0</v>
      </c>
      <c r="M41" s="748">
        <v>294884.8</v>
      </c>
      <c r="N41" s="748">
        <f>M41-O41</f>
        <v>294884.8</v>
      </c>
      <c r="O41" s="748">
        <v>0</v>
      </c>
      <c r="P41" s="518"/>
    </row>
    <row r="42" spans="2:16" s="508" customFormat="1" hidden="1" x14ac:dyDescent="0.3">
      <c r="B42" s="730" t="s">
        <v>5934</v>
      </c>
      <c r="C42" s="730"/>
      <c r="D42" s="733">
        <v>11</v>
      </c>
      <c r="E42" s="519">
        <f>IF(ISBLANK(I42),"",INDEX(TAB_Offres[ID],MATCH(I42,TAB_Offres[Reference],0)))</f>
        <v>49</v>
      </c>
      <c r="F42" s="519" t="str">
        <f>IF(ISBLANK(I42),"",INDEX(TAB_Offres[Lot],MATCH(I42,TAB_Offres[Reference],0)))</f>
        <v>Lot 2</v>
      </c>
      <c r="G42" s="519" t="str">
        <f>IF(ISBLANK(I42),"",INDEX(TAB_Offres[Institution/agency],MATCH(I42,TAB_Offres[Reference],0)))</f>
        <v>EC</v>
      </c>
      <c r="H42" s="519" t="str">
        <f>IF(ISBLANK(I42),"",INDEX(TAB_Offres[DG],MATCH(I42,TAB_Offres[Reference],0)))</f>
        <v>DIGIT.A.5</v>
      </c>
      <c r="I42" s="520" t="s">
        <v>553</v>
      </c>
      <c r="J42" s="544">
        <f>SUMIF(TAB_CS[Reference],'Suivi PO Global'!I42,TAB_CS[Commited amount])*0.985</f>
        <v>81670.979500000001</v>
      </c>
      <c r="K42" s="544">
        <f>SUMIF(TAB_CS[Reference],'Suivi PO Global'!I42,TAB_CS[Producted amounts])*0.985</f>
        <v>81670.979500000001</v>
      </c>
      <c r="L42" s="544">
        <f t="shared" si="4"/>
        <v>0</v>
      </c>
      <c r="M42" s="736"/>
      <c r="N42" s="736"/>
      <c r="O42" s="736"/>
    </row>
    <row r="43" spans="2:16" s="508" customFormat="1" hidden="1" x14ac:dyDescent="0.3">
      <c r="B43" s="731" t="s">
        <v>5934</v>
      </c>
      <c r="C43" s="731"/>
      <c r="D43" s="734">
        <v>11</v>
      </c>
      <c r="E43" s="512">
        <f>IF(ISBLANK(I43),"",INDEX(TAB_Offres[ID],MATCH(I43,TAB_Offres[Reference],0)))</f>
        <v>54</v>
      </c>
      <c r="F43" s="512" t="str">
        <f>IF(ISBLANK(I43),"",INDEX(TAB_Offres[Lot],MATCH(I43,TAB_Offres[Reference],0)))</f>
        <v>Lot 1</v>
      </c>
      <c r="G43" s="512" t="str">
        <f>IF(ISBLANK(I43),"",INDEX(TAB_Offres[Institution/agency],MATCH(I43,TAB_Offres[Reference],0)))</f>
        <v>EC</v>
      </c>
      <c r="H43" s="512" t="str">
        <f>IF(ISBLANK(I43),"",INDEX(TAB_Offres[DG],MATCH(I43,TAB_Offres[Reference],0)))</f>
        <v>DIGIT.B.1</v>
      </c>
      <c r="I43" s="513" t="s">
        <v>560</v>
      </c>
      <c r="J43" s="545">
        <f>SUMIF(TAB_CS[Reference],'Suivi PO Global'!I43,TAB_CS[Commited amount])*0.985</f>
        <v>82944.190499999997</v>
      </c>
      <c r="K43" s="545">
        <f>SUMIF(TAB_CS[Reference],'Suivi PO Global'!I43,TAB_CS[Producted amounts])*0.985</f>
        <v>82944.190499999997</v>
      </c>
      <c r="L43" s="545">
        <f t="shared" si="4"/>
        <v>0</v>
      </c>
      <c r="M43" s="737"/>
      <c r="N43" s="737"/>
      <c r="O43" s="737"/>
      <c r="P43" s="518"/>
    </row>
    <row r="44" spans="2:16" s="508" customFormat="1" hidden="1" x14ac:dyDescent="0.3">
      <c r="B44" s="729" t="s">
        <v>5936</v>
      </c>
      <c r="C44" s="729" t="s">
        <v>86</v>
      </c>
      <c r="D44" s="732">
        <v>13</v>
      </c>
      <c r="E44" s="523">
        <f>IF(ISBLANK(I44),"",INDEX(TAB_Offres[ID],MATCH(I44,TAB_Offres[Reference],0)))</f>
        <v>59</v>
      </c>
      <c r="F44" s="523" t="str">
        <f>IF(ISBLANK(I44),"",INDEX(TAB_Offres[Lot],MATCH(I44,TAB_Offres[Reference],0)))</f>
        <v>Lot 1</v>
      </c>
      <c r="G44" s="523" t="str">
        <f>IF(ISBLANK(I44),"",INDEX(TAB_Offres[Institution/agency],MATCH(I44,TAB_Offres[Reference],0)))</f>
        <v>REA</v>
      </c>
      <c r="H44" s="523" t="str">
        <f>IF(ISBLANK(I44),"",INDEX(TAB_Offres[DG],MATCH(I44,TAB_Offres[Reference],0)))</f>
        <v>REA</v>
      </c>
      <c r="I44" s="526" t="s">
        <v>575</v>
      </c>
      <c r="J44" s="525">
        <f>SUMIF(TAB_CS[Reference],'Suivi PO Global'!I44,TAB_CS[Commited amount])*0.985</f>
        <v>125846.35800000001</v>
      </c>
      <c r="K44" s="525">
        <f>SUMIF(TAB_CS[Reference],'Suivi PO Global'!I44,TAB_CS[Producted amounts])*0.985</f>
        <v>125846.35800000001</v>
      </c>
      <c r="L44" s="525">
        <f t="shared" si="4"/>
        <v>0</v>
      </c>
      <c r="M44" s="740">
        <v>355635.7</v>
      </c>
      <c r="N44" s="740">
        <f>M44-O44</f>
        <v>355635.7</v>
      </c>
      <c r="O44" s="740">
        <v>0</v>
      </c>
      <c r="P44" s="518"/>
    </row>
    <row r="45" spans="2:16" s="508" customFormat="1" hidden="1" x14ac:dyDescent="0.3">
      <c r="B45" s="730"/>
      <c r="C45" s="730"/>
      <c r="D45" s="733"/>
      <c r="E45" s="519">
        <f>IF(ISBLANK(I45),"",INDEX(TAB_Offres[ID],MATCH(I45,TAB_Offres[Reference],0)))</f>
        <v>60</v>
      </c>
      <c r="F45" s="519" t="str">
        <f>IF(ISBLANK(I45),"",INDEX(TAB_Offres[Lot],MATCH(I45,TAB_Offres[Reference],0)))</f>
        <v>Lot 2</v>
      </c>
      <c r="G45" s="519" t="str">
        <f>IF(ISBLANK(I45),"",INDEX(TAB_Offres[Institution/agency],MATCH(I45,TAB_Offres[Reference],0)))</f>
        <v>EC</v>
      </c>
      <c r="H45" s="519" t="str">
        <f>IF(ISBLANK(I45),"",INDEX(TAB_Offres[DG],MATCH(I45,TAB_Offres[Reference],0)))</f>
        <v>DIGIT.A.5</v>
      </c>
      <c r="I45" s="520" t="s">
        <v>581</v>
      </c>
      <c r="J45" s="521">
        <f>SUMIF(TAB_CS[Reference],'Suivi PO Global'!I45,TAB_CS[Commited amount])*0.985</f>
        <v>50860.573500000006</v>
      </c>
      <c r="K45" s="521">
        <f>SUMIF(TAB_CS[Reference],'Suivi PO Global'!I45,TAB_CS[Producted amounts])*0.985</f>
        <v>50860.573500000006</v>
      </c>
      <c r="L45" s="521">
        <f t="shared" si="4"/>
        <v>0</v>
      </c>
      <c r="M45" s="745"/>
      <c r="N45" s="745"/>
      <c r="O45" s="745"/>
    </row>
    <row r="46" spans="2:16" s="508" customFormat="1" hidden="1" x14ac:dyDescent="0.3">
      <c r="B46" s="730"/>
      <c r="C46" s="730"/>
      <c r="D46" s="733"/>
      <c r="E46" s="519">
        <f>IF(ISBLANK(I46),"",INDEX(TAB_Offres[ID],MATCH(I46,TAB_Offres[Reference],0)))</f>
        <v>62</v>
      </c>
      <c r="F46" s="519" t="str">
        <f>IF(ISBLANK(I46),"",INDEX(TAB_Offres[Lot],MATCH(I46,TAB_Offres[Reference],0)))</f>
        <v>Lot 1</v>
      </c>
      <c r="G46" s="519" t="str">
        <f>IF(ISBLANK(I46),"",INDEX(TAB_Offres[Institution/agency],MATCH(I46,TAB_Offres[Reference],0)))</f>
        <v>EC</v>
      </c>
      <c r="H46" s="519" t="str">
        <f>IF(ISBLANK(I46),"",INDEX(TAB_Offres[DG],MATCH(I46,TAB_Offres[Reference],0)))</f>
        <v>DIGIT.A.5</v>
      </c>
      <c r="I46" s="527" t="s">
        <v>583</v>
      </c>
      <c r="J46" s="521">
        <f>SUMIF(TAB_CS[Reference],'Suivi PO Global'!I46,TAB_CS[Commited amount])*0.985</f>
        <v>58420.35</v>
      </c>
      <c r="K46" s="521">
        <f>SUMIF(TAB_CS[Reference],'Suivi PO Global'!I46,TAB_CS[Producted amounts])*0.985</f>
        <v>58420.35</v>
      </c>
      <c r="L46" s="521">
        <f t="shared" si="4"/>
        <v>0</v>
      </c>
      <c r="M46" s="745"/>
      <c r="N46" s="745"/>
      <c r="O46" s="745"/>
    </row>
    <row r="47" spans="2:16" s="508" customFormat="1" hidden="1" x14ac:dyDescent="0.3">
      <c r="B47" s="730"/>
      <c r="C47" s="730"/>
      <c r="D47" s="733"/>
      <c r="E47" s="519">
        <f>IF(ISBLANK(I47),"",INDEX(TAB_Offres[ID],MATCH(I47,TAB_Offres[Reference],0)))</f>
        <v>63</v>
      </c>
      <c r="F47" s="519" t="str">
        <f>IF(ISBLANK(I47),"",INDEX(TAB_Offres[Lot],MATCH(I47,TAB_Offres[Reference],0)))</f>
        <v>Lot 2</v>
      </c>
      <c r="G47" s="519" t="str">
        <f>IF(ISBLANK(I47),"",INDEX(TAB_Offres[Institution/agency],MATCH(I47,TAB_Offres[Reference],0)))</f>
        <v>EC</v>
      </c>
      <c r="H47" s="519" t="str">
        <f>IF(ISBLANK(I47),"",INDEX(TAB_Offres[DG],MATCH(I47,TAB_Offres[Reference],0)))</f>
        <v>SANTE</v>
      </c>
      <c r="I47" s="527" t="s">
        <v>590</v>
      </c>
      <c r="J47" s="521">
        <f>SUMIF(TAB_CS[Reference],'Suivi PO Global'!I47,TAB_CS[Commited amount])*0.985</f>
        <v>26277.829999999994</v>
      </c>
      <c r="K47" s="521">
        <f>SUMIF(TAB_CS[Reference],'Suivi PO Global'!I47,TAB_CS[Producted amounts])*0.985</f>
        <v>26277.829999999994</v>
      </c>
      <c r="L47" s="521">
        <f t="shared" si="4"/>
        <v>0</v>
      </c>
      <c r="M47" s="745"/>
      <c r="N47" s="745"/>
      <c r="O47" s="745"/>
    </row>
    <row r="48" spans="2:16" s="508" customFormat="1" hidden="1" x14ac:dyDescent="0.3">
      <c r="B48" s="731"/>
      <c r="C48" s="731"/>
      <c r="D48" s="734"/>
      <c r="E48" s="512">
        <f>IF(ISBLANK(I48),"",INDEX(TAB_Offres[ID],MATCH(I48,TAB_Offres[Reference],0)))</f>
        <v>65</v>
      </c>
      <c r="F48" s="512" t="str">
        <f>IF(ISBLANK(I48),"",INDEX(TAB_Offres[Lot],MATCH(I48,TAB_Offres[Reference],0)))</f>
        <v>Lot 2</v>
      </c>
      <c r="G48" s="512" t="str">
        <f>IF(ISBLANK(I48),"",INDEX(TAB_Offres[Institution/agency],MATCH(I48,TAB_Offres[Reference],0)))</f>
        <v>EC</v>
      </c>
      <c r="H48" s="512" t="str">
        <f>IF(ISBLANK(I48),"",INDEX(TAB_Offres[DG],MATCH(I48,TAB_Offres[Reference],0)))</f>
        <v>DIGIT.A.5</v>
      </c>
      <c r="I48" s="528" t="s">
        <v>588</v>
      </c>
      <c r="J48" s="522">
        <f>SUMIF(TAB_CS[Reference],'Suivi PO Global'!I48,TAB_CS[Commited amount])*0.985</f>
        <v>90206.103000000003</v>
      </c>
      <c r="K48" s="522">
        <f>SUMIF(TAB_CS[Reference],'Suivi PO Global'!I48,TAB_CS[Producted amounts])*0.985</f>
        <v>52041.982499999998</v>
      </c>
      <c r="L48" s="522">
        <f t="shared" si="4"/>
        <v>38164.120500000005</v>
      </c>
      <c r="M48" s="741"/>
      <c r="N48" s="741"/>
      <c r="O48" s="741"/>
    </row>
    <row r="49" spans="2:17" s="508" customFormat="1" hidden="1" x14ac:dyDescent="0.3">
      <c r="B49" s="742" t="s">
        <v>5933</v>
      </c>
      <c r="C49" s="742" t="s">
        <v>86</v>
      </c>
      <c r="D49" s="743">
        <v>10</v>
      </c>
      <c r="E49" s="519">
        <f>IF(ISBLANK(I49),"",INDEX(TAB_Offres[ID],MATCH(I49,TAB_Offres[Reference],0)))</f>
        <v>44</v>
      </c>
      <c r="F49" s="519" t="str">
        <f>IF(ISBLANK(I49),"",INDEX(TAB_Offres[Lot],MATCH(I49,TAB_Offres[Reference],0)))</f>
        <v>Lot 3</v>
      </c>
      <c r="G49" s="519" t="str">
        <f>IF(ISBLANK(I49),"",INDEX(TAB_Offres[Institution/agency],MATCH(I49,TAB_Offres[Reference],0)))</f>
        <v>EC</v>
      </c>
      <c r="H49" s="519" t="str">
        <f>IF(ISBLANK(I49),"",INDEX(TAB_Offres[DG],MATCH(I49,TAB_Offres[Reference],0)))</f>
        <v>EMPL</v>
      </c>
      <c r="I49" s="520" t="s">
        <v>544</v>
      </c>
      <c r="J49" s="521">
        <f>SUMIF(TAB_CS[Reference],'Suivi PO Global'!I49,TAB_CS[Commited amount])*0.985</f>
        <v>187562.51799999998</v>
      </c>
      <c r="K49" s="521">
        <f>SUMIF(TAB_CS[Reference],'Suivi PO Global'!I49,TAB_CS[Producted amounts])*0.985</f>
        <v>187562.51799999998</v>
      </c>
      <c r="L49" s="521">
        <f t="shared" si="4"/>
        <v>0</v>
      </c>
      <c r="M49" s="744">
        <v>348510</v>
      </c>
      <c r="N49" s="744">
        <f>M49-O49</f>
        <v>348510</v>
      </c>
      <c r="O49" s="744">
        <v>0</v>
      </c>
      <c r="P49" s="518"/>
    </row>
    <row r="50" spans="2:17" s="508" customFormat="1" hidden="1" x14ac:dyDescent="0.3">
      <c r="B50" s="730" t="s">
        <v>5933</v>
      </c>
      <c r="C50" s="730"/>
      <c r="D50" s="733">
        <v>10</v>
      </c>
      <c r="E50" s="519">
        <f>IF(ISBLANK(I50),"",INDEX(TAB_Offres[ID],MATCH(I50,TAB_Offres[Reference],0)))</f>
        <v>45</v>
      </c>
      <c r="F50" s="519" t="str">
        <f>IF(ISBLANK(I50),"",INDEX(TAB_Offres[Lot],MATCH(I50,TAB_Offres[Reference],0)))</f>
        <v>Lot 1</v>
      </c>
      <c r="G50" s="519" t="str">
        <f>IF(ISBLANK(I50),"",INDEX(TAB_Offres[Institution/agency],MATCH(I50,TAB_Offres[Reference],0)))</f>
        <v>REA</v>
      </c>
      <c r="H50" s="519" t="str">
        <f>IF(ISBLANK(I50),"",INDEX(TAB_Offres[DG],MATCH(I50,TAB_Offres[Reference],0)))</f>
        <v>REA</v>
      </c>
      <c r="I50" s="520" t="s">
        <v>546</v>
      </c>
      <c r="J50" s="521">
        <f>SUMIF(TAB_CS[Reference],'Suivi PO Global'!I50,TAB_CS[Commited amount])*0.985</f>
        <v>124732.52</v>
      </c>
      <c r="K50" s="521">
        <f>SUMIF(TAB_CS[Reference],'Suivi PO Global'!I50,TAB_CS[Producted amounts])*0.985</f>
        <v>124732.52</v>
      </c>
      <c r="L50" s="521">
        <f t="shared" si="4"/>
        <v>0</v>
      </c>
      <c r="M50" s="745"/>
      <c r="N50" s="745"/>
      <c r="O50" s="745"/>
    </row>
    <row r="51" spans="2:17" s="508" customFormat="1" hidden="1" x14ac:dyDescent="0.3">
      <c r="B51" s="731" t="s">
        <v>5933</v>
      </c>
      <c r="C51" s="731"/>
      <c r="D51" s="734">
        <v>10</v>
      </c>
      <c r="E51" s="512">
        <f>IF(ISBLANK(I51),"",INDEX(TAB_Offres[ID],MATCH(I51,TAB_Offres[Reference],0)))</f>
        <v>47</v>
      </c>
      <c r="F51" s="512" t="str">
        <f>IF(ISBLANK(I51),"",INDEX(TAB_Offres[Lot],MATCH(I51,TAB_Offres[Reference],0)))</f>
        <v>Lot 3</v>
      </c>
      <c r="G51" s="512" t="str">
        <f>IF(ISBLANK(I51),"",INDEX(TAB_Offres[Institution/agency],MATCH(I51,TAB_Offres[Reference],0)))</f>
        <v>EC</v>
      </c>
      <c r="H51" s="512" t="str">
        <f>IF(ISBLANK(I51),"",INDEX(TAB_Offres[DG],MATCH(I51,TAB_Offres[Reference],0)))</f>
        <v>RTD</v>
      </c>
      <c r="I51" s="513" t="s">
        <v>549</v>
      </c>
      <c r="J51" s="522">
        <f>SUMIF(TAB_CS[Reference],'Suivi PO Global'!I51,TAB_CS[Commited amount])*0.985</f>
        <v>30987.312000000005</v>
      </c>
      <c r="K51" s="522">
        <f>SUMIF(TAB_CS[Reference],'Suivi PO Global'!I51,TAB_CS[Producted amounts])*0.985</f>
        <v>30987.312000000005</v>
      </c>
      <c r="L51" s="522">
        <f t="shared" si="4"/>
        <v>0</v>
      </c>
      <c r="M51" s="741"/>
      <c r="N51" s="741"/>
      <c r="O51" s="741"/>
    </row>
    <row r="52" spans="2:17" s="508" customFormat="1" hidden="1" x14ac:dyDescent="0.3">
      <c r="B52" s="730" t="s">
        <v>5935</v>
      </c>
      <c r="C52" s="730" t="s">
        <v>86</v>
      </c>
      <c r="D52" s="733">
        <v>12</v>
      </c>
      <c r="E52" s="515">
        <f>IF(ISBLANK(I52),"",INDEX(TAB_Offres[ID],MATCH(I52,TAB_Offres[Reference],0)))</f>
        <v>56</v>
      </c>
      <c r="F52" s="515" t="str">
        <f>IF(ISBLANK(I52),"",INDEX(TAB_Offres[Lot],MATCH(I52,TAB_Offres[Reference],0)))</f>
        <v>Lot 2</v>
      </c>
      <c r="G52" s="515" t="str">
        <f>IF(ISBLANK(I52),"",INDEX(TAB_Offres[Institution/agency],MATCH(I52,TAB_Offres[Reference],0)))</f>
        <v>EC</v>
      </c>
      <c r="H52" s="515" t="str">
        <f>IF(ISBLANK(I52),"",INDEX(TAB_Offres[DG],MATCH(I52,TAB_Offres[Reference],0)))</f>
        <v>DIGIT.B.1</v>
      </c>
      <c r="I52" s="516" t="s">
        <v>566</v>
      </c>
      <c r="J52" s="517">
        <f>SUMIF(TAB_CS[Reference],'Suivi PO Global'!I52,TAB_CS[Commited amount])*0.985</f>
        <v>63997.577600000004</v>
      </c>
      <c r="K52" s="517">
        <f>SUMIF(TAB_CS[Reference],'Suivi PO Global'!I52,TAB_CS[Producted amounts])*0.985</f>
        <v>63997.577600000004</v>
      </c>
      <c r="L52" s="517">
        <f t="shared" si="4"/>
        <v>0</v>
      </c>
      <c r="M52" s="745">
        <v>336665.06</v>
      </c>
      <c r="N52" s="745">
        <f>M52-O52</f>
        <v>336665.06</v>
      </c>
      <c r="O52" s="745">
        <v>0</v>
      </c>
      <c r="P52" s="518"/>
    </row>
    <row r="53" spans="2:17" s="508" customFormat="1" hidden="1" x14ac:dyDescent="0.3">
      <c r="B53" s="730" t="s">
        <v>5935</v>
      </c>
      <c r="C53" s="730"/>
      <c r="D53" s="733">
        <v>12</v>
      </c>
      <c r="E53" s="519">
        <f>IF(ISBLANK(I53),"",INDEX(TAB_Offres[ID],MATCH(I53,TAB_Offres[Reference],0)))</f>
        <v>57</v>
      </c>
      <c r="F53" s="519" t="str">
        <f>IF(ISBLANK(I53),"",INDEX(TAB_Offres[Lot],MATCH(I53,TAB_Offres[Reference],0)))</f>
        <v>Lot 2</v>
      </c>
      <c r="G53" s="519" t="str">
        <f>IF(ISBLANK(I53),"",INDEX(TAB_Offres[Institution/agency],MATCH(I53,TAB_Offres[Reference],0)))</f>
        <v>EC</v>
      </c>
      <c r="H53" s="519" t="str">
        <f>IF(ISBLANK(I53),"",INDEX(TAB_Offres[DG],MATCH(I53,TAB_Offres[Reference],0)))</f>
        <v>DIGIT.A.5</v>
      </c>
      <c r="I53" s="520" t="s">
        <v>569</v>
      </c>
      <c r="J53" s="521">
        <f>SUMIF(TAB_CS[Reference],'Suivi PO Global'!I53,TAB_CS[Commited amount])*0.985</f>
        <v>89095.613999999987</v>
      </c>
      <c r="K53" s="521">
        <f>SUMIF(TAB_CS[Reference],'Suivi PO Global'!I53,TAB_CS[Producted amounts])*0.985</f>
        <v>89095.613999999987</v>
      </c>
      <c r="L53" s="521">
        <f t="shared" si="4"/>
        <v>0</v>
      </c>
      <c r="M53" s="745"/>
      <c r="N53" s="745"/>
      <c r="O53" s="745"/>
    </row>
    <row r="54" spans="2:17" s="508" customFormat="1" hidden="1" x14ac:dyDescent="0.3">
      <c r="B54" s="730" t="s">
        <v>5935</v>
      </c>
      <c r="C54" s="730"/>
      <c r="D54" s="733">
        <v>12</v>
      </c>
      <c r="E54" s="519">
        <f>IF(ISBLANK(I54),"",INDEX(TAB_Offres[ID],MATCH(I54,TAB_Offres[Reference],0)))</f>
        <v>58</v>
      </c>
      <c r="F54" s="519" t="str">
        <f>IF(ISBLANK(I54),"",INDEX(TAB_Offres[Lot],MATCH(I54,TAB_Offres[Reference],0)))</f>
        <v>Lot 3</v>
      </c>
      <c r="G54" s="519" t="str">
        <f>IF(ISBLANK(I54),"",INDEX(TAB_Offres[Institution/agency],MATCH(I54,TAB_Offres[Reference],0)))</f>
        <v>REA</v>
      </c>
      <c r="H54" s="519" t="str">
        <f>IF(ISBLANK(I54),"",INDEX(TAB_Offres[DG],MATCH(I54,TAB_Offres[Reference],0)))</f>
        <v>REA</v>
      </c>
      <c r="I54" s="520" t="s">
        <v>572</v>
      </c>
      <c r="J54" s="521">
        <f>SUMIF(TAB_CS[Reference],'Suivi PO Global'!I54,TAB_CS[Commited amount])*0.985</f>
        <v>111700.18200000002</v>
      </c>
      <c r="K54" s="521">
        <f>SUMIF(TAB_CS[Reference],'Suivi PO Global'!I54,TAB_CS[Producted amounts])*0.985</f>
        <v>111700.18200000002</v>
      </c>
      <c r="L54" s="521">
        <f t="shared" si="4"/>
        <v>0</v>
      </c>
      <c r="M54" s="745"/>
      <c r="N54" s="745"/>
      <c r="O54" s="745"/>
    </row>
    <row r="55" spans="2:17" s="508" customFormat="1" hidden="1" x14ac:dyDescent="0.3">
      <c r="B55" s="731" t="s">
        <v>5935</v>
      </c>
      <c r="C55" s="731"/>
      <c r="D55" s="734">
        <v>12</v>
      </c>
      <c r="E55" s="512">
        <f>IF(ISBLANK(I55),"",INDEX(TAB_Offres[ID],MATCH(I55,TAB_Offres[Reference],0)))</f>
        <v>61</v>
      </c>
      <c r="F55" s="512" t="str">
        <f>IF(ISBLANK(I55),"",INDEX(TAB_Offres[Lot],MATCH(I55,TAB_Offres[Reference],0)))</f>
        <v>Lot 2</v>
      </c>
      <c r="G55" s="512" t="str">
        <f>IF(ISBLANK(I55),"",INDEX(TAB_Offres[Institution/agency],MATCH(I55,TAB_Offres[Reference],0)))</f>
        <v>EC</v>
      </c>
      <c r="H55" s="512" t="str">
        <f>IF(ISBLANK(I55),"",INDEX(TAB_Offres[DG],MATCH(I55,TAB_Offres[Reference],0)))</f>
        <v>DIGIT.A.4</v>
      </c>
      <c r="I55" s="513" t="s">
        <v>579</v>
      </c>
      <c r="J55" s="522">
        <f>SUMIF(TAB_CS[Reference],'Suivi PO Global'!I55,TAB_CS[Commited amount])*0.985</f>
        <v>66821.710500000001</v>
      </c>
      <c r="K55" s="522">
        <f>SUMIF(TAB_CS[Reference],'Suivi PO Global'!I55,TAB_CS[Producted amounts])*0.985</f>
        <v>66821.710500000001</v>
      </c>
      <c r="L55" s="522">
        <f t="shared" si="4"/>
        <v>0</v>
      </c>
      <c r="M55" s="741"/>
      <c r="N55" s="741"/>
      <c r="O55" s="741"/>
    </row>
    <row r="56" spans="2:17" s="474" customFormat="1" x14ac:dyDescent="0.3">
      <c r="B56" s="720" t="s">
        <v>5953</v>
      </c>
      <c r="C56" s="722" t="str">
        <f>IF(ISBLANK(I56),"",INDEX(TAB_Offres[Company],MATCH(I56,TAB_Offres[Reference],0)))</f>
        <v>TREMEND</v>
      </c>
      <c r="D56" s="723">
        <v>2</v>
      </c>
      <c r="E56" s="496">
        <f>IF(ISBLANK(I56),"",INDEX(TAB_Offres[ID],MATCH(I56,TAB_Offres[Reference],0)))</f>
        <v>33</v>
      </c>
      <c r="F56" s="496" t="str">
        <f>IF(ISBLANK(I56),"",INDEX(TAB_Offres[Lot],MATCH(I56,TAB_Offres[Reference],0)))</f>
        <v>Lot 1</v>
      </c>
      <c r="G56" s="496" t="str">
        <f>IF(ISBLANK(I56),"",INDEX(TAB_Offres[Institution/agency],MATCH(I56,TAB_Offres[Reference],0)))</f>
        <v>EC</v>
      </c>
      <c r="H56" s="496" t="str">
        <f>IF(ISBLANK(I56),"",INDEX(TAB_Offres[DG],MATCH(I56,TAB_Offres[Reference],0)))</f>
        <v>RTD</v>
      </c>
      <c r="I56" s="488" t="s">
        <v>525</v>
      </c>
      <c r="J56" s="501">
        <f>SUMIF(TAB_CS[Reference],'Suivi PO Global'!I56,TAB_CS[Commited amount])*0.985</f>
        <v>102694.13</v>
      </c>
      <c r="K56" s="501">
        <f>SUMIF(TAB_CS[Reference],'Suivi PO Global'!I56,TAB_CS[Producted amounts])*0.985</f>
        <v>102694.13</v>
      </c>
      <c r="L56" s="501">
        <f t="shared" si="4"/>
        <v>0</v>
      </c>
      <c r="M56" s="718">
        <v>270087.40000000002</v>
      </c>
      <c r="N56" s="718">
        <f>M56-O56</f>
        <v>268397.07</v>
      </c>
      <c r="O56" s="718">
        <v>1690.33</v>
      </c>
      <c r="P56" s="608"/>
    </row>
    <row r="57" spans="2:17" s="474" customFormat="1" x14ac:dyDescent="0.3">
      <c r="B57" s="721"/>
      <c r="C57" s="721" t="str">
        <f>IF(ISBLANK(I57),"",INDEX(TAB_Offres[Company],MATCH(I57,TAB_Offres[Reference],0)))</f>
        <v>TREMEND</v>
      </c>
      <c r="D57" s="724"/>
      <c r="E57" s="493">
        <f>IF(ISBLANK(I57),"",INDEX(TAB_Offres[ID],MATCH(I57,TAB_Offres[Reference],0)))</f>
        <v>1</v>
      </c>
      <c r="F57" s="493" t="str">
        <f>IF(ISBLANK(I57),"",INDEX(TAB_Offres[Lot],MATCH(I57,TAB_Offres[Reference],0)))</f>
        <v>Lot 2</v>
      </c>
      <c r="G57" s="493" t="str">
        <f>IF(ISBLANK(I57),"",INDEX(TAB_Offres[Institution/agency],MATCH(I57,TAB_Offres[Reference],0)))</f>
        <v>EC</v>
      </c>
      <c r="H57" s="493" t="str">
        <f>IF(ISBLANK(I57),"",INDEX(TAB_Offres[DG],MATCH(I57,TAB_Offres[Reference],0)))</f>
        <v>DIGIT.R.2</v>
      </c>
      <c r="I57" s="488" t="s">
        <v>592</v>
      </c>
      <c r="J57" s="498">
        <f>SUMIF(TAB_CS[Reference],'Suivi PO Global'!I57,TAB_CS[Commited amount])*0.985</f>
        <v>163341.959</v>
      </c>
      <c r="K57" s="498">
        <f>SUMIF(TAB_CS[Reference],'Suivi PO Global'!I57,TAB_CS[Producted amounts])*0.985</f>
        <v>163341.959</v>
      </c>
      <c r="L57" s="498">
        <f t="shared" si="4"/>
        <v>0</v>
      </c>
      <c r="M57" s="705"/>
      <c r="N57" s="705"/>
      <c r="O57" s="705"/>
    </row>
    <row r="58" spans="2:17" s="474" customFormat="1" x14ac:dyDescent="0.3">
      <c r="B58" s="725" t="s">
        <v>5959</v>
      </c>
      <c r="C58" s="727" t="str">
        <f>IF(ISBLANK(I58),"",INDEX(TAB_Offres[Company],MATCH(I58,TAB_Offres[Reference],0)))</f>
        <v>Wavestone</v>
      </c>
      <c r="D58" s="728">
        <v>1</v>
      </c>
      <c r="E58" s="495">
        <f>IF(ISBLANK(I58),"",INDEX(TAB_Offres[ID],MATCH(I58,TAB_Offres[Reference],0)))</f>
        <v>5</v>
      </c>
      <c r="F58" s="495" t="str">
        <f>IF(ISBLANK(I58),"",INDEX(TAB_Offres[Lot],MATCH(I58,TAB_Offres[Reference],0)))</f>
        <v>Lot 3</v>
      </c>
      <c r="G58" s="495" t="str">
        <f>IF(ISBLANK(I58),"",INDEX(TAB_Offres[Institution/agency],MATCH(I58,TAB_Offres[Reference],0)))</f>
        <v>EC</v>
      </c>
      <c r="H58" s="495" t="str">
        <f>IF(ISBLANK(I58),"",INDEX(TAB_Offres[DG],MATCH(I58,TAB_Offres[Reference],0)))</f>
        <v>DIGIT.D.3</v>
      </c>
      <c r="I58" s="489" t="s">
        <v>264</v>
      </c>
      <c r="J58" s="500">
        <f>SUMIF(TAB_CS[Reference],'Suivi PO Global'!I58,TAB_CS[Commited amount])*0.985</f>
        <v>117336.5687</v>
      </c>
      <c r="K58" s="500">
        <f>SUMIF(TAB_CS[Reference],'Suivi PO Global'!I58,TAB_CS[Producted amounts])*0.985</f>
        <v>117336.5687</v>
      </c>
      <c r="L58" s="500">
        <f>J58-K58</f>
        <v>0</v>
      </c>
      <c r="M58" s="704">
        <v>209123.42</v>
      </c>
      <c r="N58" s="704">
        <f>M58-O58</f>
        <v>148262.16</v>
      </c>
      <c r="O58" s="704">
        <v>60861.26</v>
      </c>
      <c r="P58" s="608"/>
    </row>
    <row r="59" spans="2:17" s="474" customFormat="1" x14ac:dyDescent="0.3">
      <c r="B59" s="726"/>
      <c r="C59" s="721" t="str">
        <f>IF(ISBLANK(I59),"",INDEX(TAB_Offres[Company],MATCH(I59,TAB_Offres[Reference],0)))</f>
        <v>Wavestone</v>
      </c>
      <c r="D59" s="724"/>
      <c r="E59" s="494">
        <f>IF(ISBLANK(I59),"",INDEX(TAB_Offres[ID],MATCH(I59,TAB_Offres[Reference],0)))</f>
        <v>39</v>
      </c>
      <c r="F59" s="494" t="str">
        <f>IF(ISBLANK(I59),"",INDEX(TAB_Offres[Lot],MATCH(I59,TAB_Offres[Reference],0)))</f>
        <v>Lot 3</v>
      </c>
      <c r="G59" s="494" t="str">
        <f>IF(ISBLANK(I59),"",INDEX(TAB_Offres[Institution/agency],MATCH(I59,TAB_Offres[Reference],0)))</f>
        <v>EC</v>
      </c>
      <c r="H59" s="494" t="str">
        <f>IF(ISBLANK(I59),"",INDEX(TAB_Offres[DG],MATCH(I59,TAB_Offres[Reference],0)))</f>
        <v>DIGIT.D.2</v>
      </c>
      <c r="I59" s="487" t="s">
        <v>516</v>
      </c>
      <c r="J59" s="499">
        <f>SUMIF(TAB_CS[Reference],'Suivi PO Global'!I59,TAB_CS[Commited amount])*0.985</f>
        <v>88650</v>
      </c>
      <c r="K59" s="499">
        <f>SUMIF(TAB_CS[Reference],'Suivi PO Global'!I59,TAB_CS[Producted amounts])*0.985</f>
        <v>22162.5</v>
      </c>
      <c r="L59" s="499">
        <f t="shared" ref="L59" si="5">J59-K59</f>
        <v>66487.5</v>
      </c>
      <c r="M59" s="705"/>
      <c r="N59" s="705"/>
      <c r="O59" s="705"/>
      <c r="P59" s="546"/>
    </row>
    <row r="60" spans="2:17" s="474" customFormat="1" x14ac:dyDescent="0.3">
      <c r="B60" s="749" t="s">
        <v>5952</v>
      </c>
      <c r="C60" s="727" t="str">
        <f>IF(ISBLANK(I60),"",INDEX(TAB_Offres[Company],MATCH(I60,TAB_Offres[Reference],0)))</f>
        <v>TREMEND</v>
      </c>
      <c r="D60" s="728">
        <v>1</v>
      </c>
      <c r="E60" s="495">
        <f>IF(ISBLANK(I60),"",INDEX(TAB_Offres[ID],MATCH(I60,TAB_Offres[Reference],0)))</f>
        <v>24</v>
      </c>
      <c r="F60" s="495" t="str">
        <f>IF(ISBLANK(I60),"",INDEX(TAB_Offres[Lot],MATCH(I60,TAB_Offres[Reference],0)))</f>
        <v>Lot 2</v>
      </c>
      <c r="G60" s="495" t="str">
        <f>IF(ISBLANK(I60),"",INDEX(TAB_Offres[Institution/agency],MATCH(I60,TAB_Offres[Reference],0)))</f>
        <v>EC</v>
      </c>
      <c r="H60" s="495" t="str">
        <f>IF(ISBLANK(I60),"",INDEX(TAB_Offres[DG],MATCH(I60,TAB_Offres[Reference],0)))</f>
        <v>JUST</v>
      </c>
      <c r="I60" s="505" t="s">
        <v>326</v>
      </c>
      <c r="J60" s="500">
        <f>SUMIF(TAB_CS[Reference],'Suivi PO Global'!I60,TAB_CS[Commited amount])*0.985</f>
        <v>152656.48200000002</v>
      </c>
      <c r="K60" s="500">
        <f>SUMIF(TAB_CS[Reference],'Suivi PO Global'!I60,TAB_CS[Producted amounts])*0.985</f>
        <v>152656.48200000002</v>
      </c>
      <c r="L60" s="500">
        <f t="shared" si="4"/>
        <v>0</v>
      </c>
      <c r="M60" s="704">
        <v>320810.59999999998</v>
      </c>
      <c r="N60" s="704">
        <f>M60-O60</f>
        <v>291408.64999999997</v>
      </c>
      <c r="O60" s="704">
        <v>29401.95</v>
      </c>
      <c r="P60" s="507">
        <f>11901.6+3694.24</f>
        <v>15595.84</v>
      </c>
      <c r="Q60" s="507"/>
    </row>
    <row r="61" spans="2:17" s="474" customFormat="1" x14ac:dyDescent="0.3">
      <c r="B61" s="721"/>
      <c r="C61" s="721"/>
      <c r="D61" s="724"/>
      <c r="E61" s="494">
        <f>IF(ISBLANK(I61),"",INDEX(TAB_Offres[ID],MATCH(I61,TAB_Offres[Reference],0)))</f>
        <v>36</v>
      </c>
      <c r="F61" s="494" t="str">
        <f>IF(ISBLANK(I61),"",INDEX(TAB_Offres[Lot],MATCH(I61,TAB_Offres[Reference],0)))</f>
        <v>Lot 2</v>
      </c>
      <c r="G61" s="494" t="str">
        <f>IF(ISBLANK(I61),"",INDEX(TAB_Offres[Institution/agency],MATCH(I61,TAB_Offres[Reference],0)))</f>
        <v>EC</v>
      </c>
      <c r="H61" s="494" t="str">
        <f>IF(ISBLANK(I61),"",INDEX(TAB_Offres[DG],MATCH(I61,TAB_Offres[Reference],0)))</f>
        <v>JUST B.1</v>
      </c>
      <c r="I61" s="506" t="s">
        <v>329</v>
      </c>
      <c r="J61" s="499">
        <f>SUMIF(TAB_CS[Reference],'Suivi PO Global'!I61,TAB_CS[Commited amount])*0.985</f>
        <v>163341.959</v>
      </c>
      <c r="K61" s="499">
        <f>SUMIF(TAB_CS[Reference],'Suivi PO Global'!I61,TAB_CS[Producted amounts])*0.985</f>
        <v>163341.959</v>
      </c>
      <c r="L61" s="499">
        <f t="shared" si="4"/>
        <v>0</v>
      </c>
      <c r="M61" s="705"/>
      <c r="N61" s="705"/>
      <c r="O61" s="705"/>
    </row>
    <row r="62" spans="2:17" s="574" customFormat="1" hidden="1" x14ac:dyDescent="0.3">
      <c r="B62" s="739" t="s">
        <v>6021</v>
      </c>
      <c r="C62" s="739" t="str">
        <f>IF(ISBLANK(I62),"",INDEX(TAB_Offres[Company],MATCH(I62,TAB_Offres[Reference],0)))</f>
        <v>TALAN</v>
      </c>
      <c r="D62" s="750">
        <v>1</v>
      </c>
      <c r="E62" s="575">
        <f>IF(ISBLANK(I62),"",INDEX(TAB_Offres[ID],MATCH(I62,TAB_Offres[Reference],0)))</f>
        <v>29</v>
      </c>
      <c r="F62" s="575" t="str">
        <f>IF(ISBLANK(I62),"",INDEX(TAB_Offres[Lot],MATCH(I62,TAB_Offres[Reference],0)))</f>
        <v>Lot 2</v>
      </c>
      <c r="G62" s="575" t="str">
        <f>IF(ISBLANK(I62),"",INDEX(TAB_Offres[Institution/agency],MATCH(I62,TAB_Offres[Reference],0)))</f>
        <v>EC</v>
      </c>
      <c r="H62" s="575" t="str">
        <f>IF(ISBLANK(I62),"",INDEX(TAB_Offres[DG],MATCH(I62,TAB_Offres[Reference],0)))</f>
        <v>REGIO</v>
      </c>
      <c r="I62" s="576" t="s">
        <v>260</v>
      </c>
      <c r="J62" s="577">
        <f>SUMIF(TAB_CS[Reference],'Suivi PO Global'!I62,TAB_CS[Commited amount])*0.985</f>
        <v>49437.63265</v>
      </c>
      <c r="K62" s="577">
        <f>SUMIF(TAB_CS[Reference],'Suivi PO Global'!I62,TAB_CS[Producted amounts])*0.985</f>
        <v>49437.63265</v>
      </c>
      <c r="L62" s="577">
        <f t="shared" si="4"/>
        <v>0</v>
      </c>
      <c r="M62" s="752">
        <v>482769.32</v>
      </c>
      <c r="N62" s="752">
        <f>M62-O62</f>
        <v>421386.7</v>
      </c>
      <c r="O62" s="752">
        <v>61382.62</v>
      </c>
      <c r="P62" s="574">
        <f>34321.8+1217.02+12018.88+16402.07+23940+12452.33+4193</f>
        <v>104545.09999999999</v>
      </c>
    </row>
    <row r="63" spans="2:17" s="574" customFormat="1" hidden="1" x14ac:dyDescent="0.3">
      <c r="B63" s="726"/>
      <c r="C63" s="726"/>
      <c r="D63" s="751"/>
      <c r="E63" s="578">
        <f>IF(ISBLANK(I63),"",INDEX(TAB_Offres[ID],MATCH(I63,TAB_Offres[Reference],0)))</f>
        <v>12</v>
      </c>
      <c r="F63" s="578" t="str">
        <f>IF(ISBLANK(I63),"",INDEX(TAB_Offres[Lot],MATCH(I63,TAB_Offres[Reference],0)))</f>
        <v>Lot 1</v>
      </c>
      <c r="G63" s="578" t="str">
        <f>IF(ISBLANK(I63),"",INDEX(TAB_Offres[Institution/agency],MATCH(I63,TAB_Offres[Reference],0)))</f>
        <v>EC</v>
      </c>
      <c r="H63" s="578" t="str">
        <f>IF(ISBLANK(I63),"",INDEX(TAB_Offres[DG],MATCH(I63,TAB_Offres[Reference],0)))</f>
        <v>DIGIT.D.1</v>
      </c>
      <c r="I63" s="579" t="s">
        <v>281</v>
      </c>
      <c r="J63" s="580">
        <f>SUMIF(TAB_CS[Reference],'Suivi PO Global'!I63,TAB_CS[Commited amount])*0.985</f>
        <v>87880.591874999998</v>
      </c>
      <c r="K63" s="580">
        <f>SUMIF(TAB_CS[Reference],'Suivi PO Global'!I63,TAB_CS[Producted amounts])*0.985</f>
        <v>87708.216874999998</v>
      </c>
      <c r="L63" s="580">
        <f t="shared" si="4"/>
        <v>172.375</v>
      </c>
      <c r="M63" s="705"/>
      <c r="N63" s="705"/>
      <c r="O63" s="705"/>
    </row>
    <row r="64" spans="2:17" s="508" customFormat="1" hidden="1" x14ac:dyDescent="0.3">
      <c r="B64" s="729" t="s">
        <v>5940</v>
      </c>
      <c r="C64" s="729" t="s">
        <v>86</v>
      </c>
      <c r="D64" s="732">
        <v>17</v>
      </c>
      <c r="E64" s="515">
        <f>IF(ISBLANK(I64),"",INDEX(TAB_Offres[ID],MATCH(I64,TAB_Offres[Reference],0)))</f>
        <v>64</v>
      </c>
      <c r="F64" s="515" t="str">
        <f>IF(ISBLANK(I64),"",INDEX(TAB_Offres[Lot],MATCH(I64,TAB_Offres[Reference],0)))</f>
        <v>Lot 1</v>
      </c>
      <c r="G64" s="515" t="str">
        <f>IF(ISBLANK(I64),"",INDEX(TAB_Offres[Institution/agency],MATCH(I64,TAB_Offres[Reference],0)))</f>
        <v>EC</v>
      </c>
      <c r="H64" s="515" t="str">
        <f>IF(ISBLANK(I64),"",INDEX(TAB_Offres[DG],MATCH(I64,TAB_Offres[Reference],0)))</f>
        <v>SANTE</v>
      </c>
      <c r="I64" s="516" t="s">
        <v>5472</v>
      </c>
      <c r="J64" s="547">
        <f>SUMIF(TAB_CS[Reference],'Suivi PO Global'!I64,TAB_CS[Commited amount])*0.985</f>
        <v>142805.29999999999</v>
      </c>
      <c r="K64" s="547">
        <f>SUMIF(TAB_CS[Reference],'Suivi PO Global'!I64,TAB_CS[Producted amounts])*0.985</f>
        <v>142805.29999999999</v>
      </c>
      <c r="L64" s="547">
        <f t="shared" si="4"/>
        <v>0</v>
      </c>
      <c r="M64" s="735">
        <v>308997.5</v>
      </c>
      <c r="N64" s="735">
        <f>M64-O64</f>
        <v>308997.5</v>
      </c>
      <c r="O64" s="735">
        <v>0</v>
      </c>
      <c r="P64" s="518"/>
    </row>
    <row r="65" spans="2:17" s="508" customFormat="1" hidden="1" x14ac:dyDescent="0.3">
      <c r="B65" s="730" t="s">
        <v>5940</v>
      </c>
      <c r="C65" s="730"/>
      <c r="D65" s="733">
        <v>17</v>
      </c>
      <c r="E65" s="519">
        <f>IF(ISBLANK(I65),"",INDEX(TAB_Offres[ID],MATCH(I65,TAB_Offres[Reference],0)))</f>
        <v>79</v>
      </c>
      <c r="F65" s="519" t="str">
        <f>IF(ISBLANK(I65),"",INDEX(TAB_Offres[Lot],MATCH(I65,TAB_Offres[Reference],0)))</f>
        <v>Lot 1</v>
      </c>
      <c r="G65" s="519" t="str">
        <f>IF(ISBLANK(I65),"",INDEX(TAB_Offres[Institution/agency],MATCH(I65,TAB_Offres[Reference],0)))</f>
        <v>EC</v>
      </c>
      <c r="H65" s="519" t="str">
        <f>IF(ISBLANK(I65),"",INDEX(TAB_Offres[DG],MATCH(I65,TAB_Offres[Reference],0)))</f>
        <v>DIGIT.A.4</v>
      </c>
      <c r="I65" s="520" t="s">
        <v>5566</v>
      </c>
      <c r="J65" s="544">
        <f>SUMIF(TAB_CS[Reference],'Suivi PO Global'!I65,TAB_CS[Commited amount])*0.985</f>
        <v>52548.272499999999</v>
      </c>
      <c r="K65" s="544">
        <f>SUMIF(TAB_CS[Reference],'Suivi PO Global'!I65,TAB_CS[Producted amounts])*0.985</f>
        <v>52548.272499999999</v>
      </c>
      <c r="L65" s="544">
        <f t="shared" si="4"/>
        <v>0</v>
      </c>
      <c r="M65" s="736"/>
      <c r="N65" s="736"/>
      <c r="O65" s="736"/>
    </row>
    <row r="66" spans="2:17" s="508" customFormat="1" hidden="1" x14ac:dyDescent="0.3">
      <c r="B66" s="730" t="s">
        <v>5940</v>
      </c>
      <c r="C66" s="730"/>
      <c r="D66" s="733">
        <v>17</v>
      </c>
      <c r="E66" s="519">
        <f>IF(ISBLANK(I66),"",INDEX(TAB_Offres[ID],MATCH(I66,TAB_Offres[Reference],0)))</f>
        <v>81</v>
      </c>
      <c r="F66" s="519" t="str">
        <f>IF(ISBLANK(I66),"",INDEX(TAB_Offres[Lot],MATCH(I66,TAB_Offres[Reference],0)))</f>
        <v>Lot 2</v>
      </c>
      <c r="G66" s="519" t="str">
        <f>IF(ISBLANK(I66),"",INDEX(TAB_Offres[Institution/agency],MATCH(I66,TAB_Offres[Reference],0)))</f>
        <v>EC</v>
      </c>
      <c r="H66" s="519">
        <f>IF(ISBLANK(I66),"",INDEX(TAB_Offres[DG],MATCH(I66,TAB_Offres[Reference],0)))</f>
        <v>0</v>
      </c>
      <c r="I66" s="520" t="s">
        <v>5567</v>
      </c>
      <c r="J66" s="548">
        <v>4925</v>
      </c>
      <c r="K66" s="544">
        <f>SUMIF(TAB_CS[Reference],'Suivi PO Global'!I66,TAB_CS[Producted amounts])*0.985</f>
        <v>0</v>
      </c>
      <c r="L66" s="544">
        <f t="shared" si="4"/>
        <v>4925</v>
      </c>
      <c r="M66" s="736"/>
      <c r="N66" s="736"/>
      <c r="O66" s="736"/>
    </row>
    <row r="67" spans="2:17" s="508" customFormat="1" hidden="1" x14ac:dyDescent="0.3">
      <c r="B67" s="731" t="s">
        <v>5940</v>
      </c>
      <c r="C67" s="731"/>
      <c r="D67" s="734">
        <v>17</v>
      </c>
      <c r="E67" s="512">
        <f>IF(ISBLANK(I67),"",INDEX(TAB_Offres[ID],MATCH(I67,TAB_Offres[Reference],0)))</f>
        <v>83</v>
      </c>
      <c r="F67" s="512" t="str">
        <f>IF(ISBLANK(I67),"",INDEX(TAB_Offres[Lot],MATCH(I67,TAB_Offres[Reference],0)))</f>
        <v>Lot 2</v>
      </c>
      <c r="G67" s="512" t="str">
        <f>IF(ISBLANK(I67),"",INDEX(TAB_Offres[Institution/agency],MATCH(I67,TAB_Offres[Reference],0)))</f>
        <v>EC</v>
      </c>
      <c r="H67" s="512" t="str">
        <f>IF(ISBLANK(I67),"",INDEX(TAB_Offres[DG],MATCH(I67,TAB_Offres[Reference],0)))</f>
        <v>DIGIT.A.5</v>
      </c>
      <c r="I67" s="513" t="s">
        <v>5477</v>
      </c>
      <c r="J67" s="545">
        <f>SUMIF(TAB_CS[Reference],'Suivi PO Global'!I67,TAB_CS[Commited amount])*0.985</f>
        <v>104083.965</v>
      </c>
      <c r="K67" s="545">
        <f>SUMIF(TAB_CS[Reference],'Suivi PO Global'!I67,TAB_CS[Producted amounts])*0.985</f>
        <v>104083.965</v>
      </c>
      <c r="L67" s="545">
        <f t="shared" si="4"/>
        <v>0</v>
      </c>
      <c r="M67" s="737"/>
      <c r="N67" s="737"/>
      <c r="O67" s="737"/>
      <c r="P67" s="518"/>
    </row>
    <row r="68" spans="2:17" s="508" customFormat="1" hidden="1" x14ac:dyDescent="0.3">
      <c r="B68" s="742" t="s">
        <v>5938</v>
      </c>
      <c r="C68" s="742" t="s">
        <v>86</v>
      </c>
      <c r="D68" s="743">
        <v>15</v>
      </c>
      <c r="E68" s="519">
        <f>IF(ISBLANK(I68),"",INDEX(TAB_Offres[ID],MATCH(I68,TAB_Offres[Reference],0)))</f>
        <v>50</v>
      </c>
      <c r="F68" s="519" t="str">
        <f>IF(ISBLANK(I68),"",INDEX(TAB_Offres[Lot],MATCH(I68,TAB_Offres[Reference],0)))</f>
        <v>Lot 1</v>
      </c>
      <c r="G68" s="519" t="str">
        <f>IF(ISBLANK(I68),"",INDEX(TAB_Offres[Institution/agency],MATCH(I68,TAB_Offres[Reference],0)))</f>
        <v>EC</v>
      </c>
      <c r="H68" s="519" t="str">
        <f>IF(ISBLANK(I68),"",INDEX(TAB_Offres[DG],MATCH(I68,TAB_Offres[Reference],0)))</f>
        <v>EMPL</v>
      </c>
      <c r="I68" s="520" t="s">
        <v>5433</v>
      </c>
      <c r="J68" s="521">
        <f>SUMIF(TAB_CS[Reference],'Suivi PO Global'!I68,TAB_CS[Commited amount])*0.985</f>
        <v>45762.311999999998</v>
      </c>
      <c r="K68" s="521">
        <f>SUMIF(TAB_CS[Reference],'Suivi PO Global'!I68,TAB_CS[Producted amounts])*0.985</f>
        <v>45762.311999999998</v>
      </c>
      <c r="L68" s="521">
        <f t="shared" si="4"/>
        <v>0</v>
      </c>
      <c r="M68" s="744">
        <v>275163.5</v>
      </c>
      <c r="N68" s="744">
        <f>M68-O68</f>
        <v>275163.5</v>
      </c>
      <c r="O68" s="744">
        <v>0</v>
      </c>
      <c r="P68" s="518"/>
    </row>
    <row r="69" spans="2:17" s="508" customFormat="1" hidden="1" x14ac:dyDescent="0.3">
      <c r="B69" s="730" t="s">
        <v>5938</v>
      </c>
      <c r="C69" s="730"/>
      <c r="D69" s="733">
        <v>15</v>
      </c>
      <c r="E69" s="519">
        <f>IF(ISBLANK(I69),"",INDEX(TAB_Offres[ID],MATCH(I69,TAB_Offres[Reference],0)))</f>
        <v>66</v>
      </c>
      <c r="F69" s="519" t="str">
        <f>IF(ISBLANK(I69),"",INDEX(TAB_Offres[Lot],MATCH(I69,TAB_Offres[Reference],0)))</f>
        <v>Lot 1</v>
      </c>
      <c r="G69" s="519" t="str">
        <f>IF(ISBLANK(I69),"",INDEX(TAB_Offres[Institution/agency],MATCH(I69,TAB_Offres[Reference],0)))</f>
        <v>EC</v>
      </c>
      <c r="H69" s="519" t="str">
        <f>IF(ISBLANK(I69),"",INDEX(TAB_Offres[DG],MATCH(I69,TAB_Offres[Reference],0)))</f>
        <v>SANTE</v>
      </c>
      <c r="I69" s="520" t="s">
        <v>5435</v>
      </c>
      <c r="J69" s="521">
        <f>SUMIF(TAB_CS[Reference],'Suivi PO Global'!I69,TAB_CS[Commited amount])*0.985</f>
        <v>133463.36299999998</v>
      </c>
      <c r="K69" s="521">
        <f>SUMIF(TAB_CS[Reference],'Suivi PO Global'!I69,TAB_CS[Producted amounts])*0.985</f>
        <v>133463.36299999998</v>
      </c>
      <c r="L69" s="521">
        <f t="shared" si="4"/>
        <v>0</v>
      </c>
      <c r="M69" s="745"/>
      <c r="N69" s="745"/>
      <c r="O69" s="745"/>
    </row>
    <row r="70" spans="2:17" s="508" customFormat="1" hidden="1" x14ac:dyDescent="0.3">
      <c r="B70" s="731" t="s">
        <v>5938</v>
      </c>
      <c r="C70" s="731"/>
      <c r="D70" s="734">
        <v>15</v>
      </c>
      <c r="E70" s="512">
        <f>IF(ISBLANK(I70),"",INDEX(TAB_Offres[ID],MATCH(I70,TAB_Offres[Reference],0)))</f>
        <v>68</v>
      </c>
      <c r="F70" s="512" t="str">
        <f>IF(ISBLANK(I70),"",INDEX(TAB_Offres[Lot],MATCH(I70,TAB_Offres[Reference],0)))</f>
        <v>Lot 1</v>
      </c>
      <c r="G70" s="512" t="str">
        <f>IF(ISBLANK(I70),"",INDEX(TAB_Offres[Institution/agency],MATCH(I70,TAB_Offres[Reference],0)))</f>
        <v>EC</v>
      </c>
      <c r="H70" s="512" t="str">
        <f>IF(ISBLANK(I70),"",INDEX(TAB_Offres[DG],MATCH(I70,TAB_Offres[Reference],0)))</f>
        <v>RTD</v>
      </c>
      <c r="I70" s="513" t="s">
        <v>5368</v>
      </c>
      <c r="J70" s="522">
        <f>SUMIF(TAB_CS[Reference],'Suivi PO Global'!I70,TAB_CS[Commited amount])*0.985</f>
        <v>91810.372499999998</v>
      </c>
      <c r="K70" s="522">
        <f>SUMIF(TAB_CS[Reference],'Suivi PO Global'!I70,TAB_CS[Producted amounts])*0.985</f>
        <v>91810.372499999998</v>
      </c>
      <c r="L70" s="522">
        <f t="shared" si="4"/>
        <v>0</v>
      </c>
      <c r="M70" s="741"/>
      <c r="N70" s="741"/>
      <c r="O70" s="741"/>
    </row>
    <row r="71" spans="2:17" s="508" customFormat="1" hidden="1" x14ac:dyDescent="0.3">
      <c r="B71" s="618" t="s">
        <v>5941</v>
      </c>
      <c r="C71" s="619" t="s">
        <v>86</v>
      </c>
      <c r="D71" s="620">
        <v>18</v>
      </c>
      <c r="E71" s="621">
        <f>IF(ISBLANK(I71),"",INDEX(TAB_Offres[ID],MATCH(I71,TAB_Offres[Reference],0)))</f>
        <v>73</v>
      </c>
      <c r="F71" s="621" t="str">
        <f>IF(ISBLANK(I71),"",INDEX(TAB_Offres[Lot],MATCH(I71,TAB_Offres[Reference],0)))</f>
        <v>Lot 2</v>
      </c>
      <c r="G71" s="497" t="str">
        <f>IF(ISBLANK(I71),"",INDEX(TAB_Offres[Institution/agency],MATCH(I71,TAB_Offres[Reference],0)))</f>
        <v>EC</v>
      </c>
      <c r="H71" s="621" t="str">
        <f>IF(ISBLANK(I71),"",INDEX(TAB_Offres[DG],MATCH(I71,TAB_Offres[Reference],0)))</f>
        <v>JUST</v>
      </c>
      <c r="I71" s="622" t="s">
        <v>5473</v>
      </c>
      <c r="J71" s="623">
        <f>SUMIF(TAB_CS[Reference],'Suivi PO Global'!I71,TAB_CS[Commited amount])*0.985</f>
        <v>349550.10200000001</v>
      </c>
      <c r="K71" s="504">
        <f>SUMIF(TAB_CS[Reference],'Suivi PO Global'!I71,TAB_CS[Producted amounts])*0.985</f>
        <v>197416.36442499998</v>
      </c>
      <c r="L71" s="504">
        <f t="shared" si="4"/>
        <v>152133.73757500004</v>
      </c>
      <c r="M71" s="624">
        <v>354873.2</v>
      </c>
      <c r="N71" s="624">
        <f>M71-O71</f>
        <v>354873.2</v>
      </c>
      <c r="O71" s="624">
        <v>0</v>
      </c>
      <c r="P71" s="518"/>
      <c r="Q71" s="518"/>
    </row>
    <row r="72" spans="2:17" s="508" customFormat="1" hidden="1" x14ac:dyDescent="0.3">
      <c r="B72" s="742" t="s">
        <v>5939</v>
      </c>
      <c r="C72" s="742" t="s">
        <v>86</v>
      </c>
      <c r="D72" s="743">
        <v>16</v>
      </c>
      <c r="E72" s="519">
        <f>IF(ISBLANK(I72),"",INDEX(TAB_Offres[ID],MATCH(I72,TAB_Offres[Reference],0)))</f>
        <v>2</v>
      </c>
      <c r="F72" s="519" t="str">
        <f>IF(ISBLANK(I72),"",INDEX(TAB_Offres[Lot],MATCH(I72,TAB_Offres[Reference],0)))</f>
        <v>Lot 1</v>
      </c>
      <c r="G72" s="519" t="str">
        <f>IF(ISBLANK(I72),"",INDEX(TAB_Offres[Institution/agency],MATCH(I72,TAB_Offres[Reference],0)))</f>
        <v>EC</v>
      </c>
      <c r="H72" s="519" t="str">
        <f>IF(ISBLANK(I72),"",INDEX(TAB_Offres[DG],MATCH(I72,TAB_Offres[Reference],0)))</f>
        <v>DIGIT.A.4</v>
      </c>
      <c r="I72" s="520" t="s">
        <v>5470</v>
      </c>
      <c r="J72" s="544">
        <f>SUMIF(TAB_CS[Reference],'Suivi PO Global'!I72,TAB_CS[Commited amount])*0.985</f>
        <v>0</v>
      </c>
      <c r="K72" s="544">
        <f>SUMIF(TAB_CS[Reference],'Suivi PO Global'!I72,TAB_CS[Producted amounts])*0.985</f>
        <v>0</v>
      </c>
      <c r="L72" s="544">
        <f t="shared" si="4"/>
        <v>0</v>
      </c>
      <c r="M72" s="748">
        <v>303098.59999999998</v>
      </c>
      <c r="N72" s="748">
        <f>M72-O72</f>
        <v>303098.59999999998</v>
      </c>
      <c r="O72" s="748">
        <v>0</v>
      </c>
      <c r="P72" s="518"/>
    </row>
    <row r="73" spans="2:17" s="508" customFormat="1" hidden="1" x14ac:dyDescent="0.3">
      <c r="B73" s="730" t="s">
        <v>5939</v>
      </c>
      <c r="C73" s="730"/>
      <c r="D73" s="733">
        <v>16</v>
      </c>
      <c r="E73" s="519">
        <f>IF(ISBLANK(I73),"",INDEX(TAB_Offres[ID],MATCH(I73,TAB_Offres[Reference],0)))</f>
        <v>51</v>
      </c>
      <c r="F73" s="519" t="str">
        <f>IF(ISBLANK(I73),"",INDEX(TAB_Offres[Lot],MATCH(I73,TAB_Offres[Reference],0)))</f>
        <v>Lot 2</v>
      </c>
      <c r="G73" s="519" t="str">
        <f>IF(ISBLANK(I73),"",INDEX(TAB_Offres[Institution/agency],MATCH(I73,TAB_Offres[Reference],0)))</f>
        <v>EC</v>
      </c>
      <c r="H73" s="519" t="str">
        <f>IF(ISBLANK(I73),"",INDEX(TAB_Offres[DG],MATCH(I73,TAB_Offres[Reference],0)))</f>
        <v>GROW</v>
      </c>
      <c r="I73" s="520" t="s">
        <v>5448</v>
      </c>
      <c r="J73" s="544">
        <f>SUMIF(TAB_CS[Reference],'Suivi PO Global'!I73,TAB_CS[Commited amount])*0.985</f>
        <v>89674.793999999994</v>
      </c>
      <c r="K73" s="544">
        <f>SUMIF(TAB_CS[Reference],'Suivi PO Global'!I73,TAB_CS[Producted amounts])*0.985</f>
        <v>89674.793999999994</v>
      </c>
      <c r="L73" s="544">
        <f t="shared" si="4"/>
        <v>0</v>
      </c>
      <c r="M73" s="736"/>
      <c r="N73" s="736"/>
      <c r="O73" s="736"/>
    </row>
    <row r="74" spans="2:17" s="508" customFormat="1" hidden="1" x14ac:dyDescent="0.3">
      <c r="B74" s="731" t="s">
        <v>5939</v>
      </c>
      <c r="C74" s="731"/>
      <c r="D74" s="734">
        <v>16</v>
      </c>
      <c r="E74" s="512">
        <f>IF(ISBLANK(I74),"",INDEX(TAB_Offres[ID],MATCH(I74,TAB_Offres[Reference],0)))</f>
        <v>72</v>
      </c>
      <c r="F74" s="512" t="str">
        <f>IF(ISBLANK(I74),"",INDEX(TAB_Offres[Lot],MATCH(I74,TAB_Offres[Reference],0)))</f>
        <v>Lot 2</v>
      </c>
      <c r="G74" s="512" t="str">
        <f>IF(ISBLANK(I74),"",INDEX(TAB_Offres[Institution/agency],MATCH(I74,TAB_Offres[Reference],0)))</f>
        <v>EC</v>
      </c>
      <c r="H74" s="512" t="str">
        <f>IF(ISBLANK(I74),"",INDEX(TAB_Offres[DG],MATCH(I74,TAB_Offres[Reference],0)))</f>
        <v>JUST</v>
      </c>
      <c r="I74" s="513" t="s">
        <v>5466</v>
      </c>
      <c r="J74" s="545">
        <f>SUMIF(TAB_CS[Reference],'Suivi PO Global'!I74,TAB_CS[Commited amount])*0.985</f>
        <v>174775.05100000001</v>
      </c>
      <c r="K74" s="545">
        <f>SUMIF(TAB_CS[Reference],'Suivi PO Global'!I74,TAB_CS[Producted amounts])*0.985</f>
        <v>174775.05100000001</v>
      </c>
      <c r="L74" s="545">
        <f t="shared" si="4"/>
        <v>0</v>
      </c>
      <c r="M74" s="737"/>
      <c r="N74" s="737"/>
      <c r="O74" s="737"/>
      <c r="P74" s="518"/>
    </row>
    <row r="75" spans="2:17" s="508" customFormat="1" hidden="1" x14ac:dyDescent="0.3">
      <c r="B75" s="729" t="s">
        <v>5944</v>
      </c>
      <c r="C75" s="729" t="s">
        <v>86</v>
      </c>
      <c r="D75" s="732">
        <v>22</v>
      </c>
      <c r="E75" s="523">
        <f>IF(ISBLANK(I75),"",INDEX(TAB_Offres[ID],MATCH(I75,TAB_Offres[Reference],0)))</f>
        <v>99</v>
      </c>
      <c r="F75" s="523" t="str">
        <f>IF(ISBLANK(I75),"",INDEX(TAB_Offres[Lot],MATCH(I75,TAB_Offres[Reference],0)))</f>
        <v>Lot 1</v>
      </c>
      <c r="G75" s="523" t="str">
        <f>IF(ISBLANK(I75),"",INDEX(TAB_Offres[Institution/agency],MATCH(I75,TAB_Offres[Reference],0)))</f>
        <v>EC</v>
      </c>
      <c r="H75" s="523" t="str">
        <f>IF(ISBLANK(I75),"",INDEX(TAB_Offres[DG],MATCH(I75,TAB_Offres[Reference],0)))</f>
        <v>DIGIT.A.3</v>
      </c>
      <c r="I75" s="524" t="s">
        <v>5575</v>
      </c>
      <c r="J75" s="525">
        <f>SUMIF(TAB_CS[Reference],'Suivi PO Global'!I75,TAB_CS[Commited amount])*0.985</f>
        <v>98016.365000000005</v>
      </c>
      <c r="K75" s="525">
        <f>SUMIF(TAB_CS[Reference],'Suivi PO Global'!I75,TAB_CS[Producted amounts])*0.985</f>
        <v>98016.365000000005</v>
      </c>
      <c r="L75" s="525">
        <f t="shared" si="4"/>
        <v>0</v>
      </c>
      <c r="M75" s="740">
        <v>192715</v>
      </c>
      <c r="N75" s="740">
        <f>M75-O75</f>
        <v>192715</v>
      </c>
      <c r="O75" s="740">
        <v>0</v>
      </c>
      <c r="P75" s="518"/>
    </row>
    <row r="76" spans="2:17" s="508" customFormat="1" hidden="1" x14ac:dyDescent="0.3">
      <c r="B76" s="731" t="s">
        <v>5944</v>
      </c>
      <c r="C76" s="731"/>
      <c r="D76" s="734">
        <v>22</v>
      </c>
      <c r="E76" s="512">
        <f>IF(ISBLANK(I76),"",INDEX(TAB_Offres[ID],MATCH(I76,TAB_Offres[Reference],0)))</f>
        <v>100</v>
      </c>
      <c r="F76" s="512" t="str">
        <f>IF(ISBLANK(I76),"",INDEX(TAB_Offres[Lot],MATCH(I76,TAB_Offres[Reference],0)))</f>
        <v>Lot 2</v>
      </c>
      <c r="G76" s="512" t="str">
        <f>IF(ISBLANK(I76),"",INDEX(TAB_Offres[Institution/agency],MATCH(I76,TAB_Offres[Reference],0)))</f>
        <v>EC</v>
      </c>
      <c r="H76" s="512" t="str">
        <f>IF(ISBLANK(I76),"",INDEX(TAB_Offres[DG],MATCH(I76,TAB_Offres[Reference],0)))</f>
        <v>HR.DS</v>
      </c>
      <c r="I76" s="513" t="s">
        <v>5576</v>
      </c>
      <c r="J76" s="522">
        <f>SUMIF(TAB_CS[Reference],'Suivi PO Global'!I76,TAB_CS[Commited amount])*0.985</f>
        <v>91807.91</v>
      </c>
      <c r="K76" s="522">
        <f>SUMIF(TAB_CS[Reference],'Suivi PO Global'!I76,TAB_CS[Producted amounts])*0.985</f>
        <v>81250.000350000002</v>
      </c>
      <c r="L76" s="522">
        <f t="shared" si="4"/>
        <v>10557.909650000001</v>
      </c>
      <c r="M76" s="741"/>
      <c r="N76" s="741"/>
      <c r="O76" s="741"/>
    </row>
    <row r="77" spans="2:17" s="508" customFormat="1" hidden="1" x14ac:dyDescent="0.3">
      <c r="B77" s="729" t="s">
        <v>5937</v>
      </c>
      <c r="C77" s="729" t="s">
        <v>86</v>
      </c>
      <c r="D77" s="732">
        <v>14</v>
      </c>
      <c r="E77" s="523">
        <f>IF(ISBLANK(I77),"",INDEX(TAB_Offres[ID],MATCH(I77,TAB_Offres[Reference],0)))</f>
        <v>38</v>
      </c>
      <c r="F77" s="523" t="str">
        <f>IF(ISBLANK(I77),"",INDEX(TAB_Offres[Lot],MATCH(I77,TAB_Offres[Reference],0)))</f>
        <v>Lot 3</v>
      </c>
      <c r="G77" s="495" t="str">
        <f>IF(ISBLANK(I77),"",INDEX(TAB_Offres[Institution/agency],MATCH(I77,TAB_Offres[Reference],0)))</f>
        <v>EC</v>
      </c>
      <c r="H77" s="523" t="str">
        <f>IF(ISBLANK(I77),"",INDEX(TAB_Offres[DG],MATCH(I77,TAB_Offres[Reference],0)))</f>
        <v>RTD.I.3</v>
      </c>
      <c r="I77" s="526" t="s">
        <v>510</v>
      </c>
      <c r="J77" s="614">
        <v>1970</v>
      </c>
      <c r="K77" s="500">
        <f>SUMIF(TAB_CS[Reference],'Suivi PO Global'!I77,TAB_CS[Producted amounts])*0.985</f>
        <v>0</v>
      </c>
      <c r="L77" s="502">
        <v>0</v>
      </c>
      <c r="M77" s="735">
        <v>255085.3</v>
      </c>
      <c r="N77" s="735">
        <f>M77-O77</f>
        <v>255085.3</v>
      </c>
      <c r="O77" s="735">
        <v>0</v>
      </c>
      <c r="P77" s="518"/>
    </row>
    <row r="78" spans="2:17" s="508" customFormat="1" hidden="1" x14ac:dyDescent="0.3">
      <c r="B78" s="730" t="s">
        <v>5937</v>
      </c>
      <c r="C78" s="730"/>
      <c r="D78" s="733">
        <v>14</v>
      </c>
      <c r="E78" s="519">
        <f>IF(ISBLANK(I78),"",INDEX(TAB_Offres[ID],MATCH(I78,TAB_Offres[Reference],0)))</f>
        <v>40</v>
      </c>
      <c r="F78" s="519" t="str">
        <f>IF(ISBLANK(I78),"",INDEX(TAB_Offres[Lot],MATCH(I78,TAB_Offres[Reference],0)))</f>
        <v>Lot 2</v>
      </c>
      <c r="G78" s="493" t="str">
        <f>IF(ISBLANK(I78),"",INDEX(TAB_Offres[Institution/agency],MATCH(I78,TAB_Offres[Reference],0)))</f>
        <v>EC</v>
      </c>
      <c r="H78" s="519" t="str">
        <f>IF(ISBLANK(I78),"",INDEX(TAB_Offres[DG],MATCH(I78,TAB_Offres[Reference],0)))</f>
        <v>DIGIT.B.4</v>
      </c>
      <c r="I78" s="520" t="s">
        <v>513</v>
      </c>
      <c r="J78" s="548">
        <v>4925</v>
      </c>
      <c r="K78" s="498">
        <f>SUMIF(TAB_CS[Reference],'Suivi PO Global'!I78,TAB_CS[Producted amounts])*0.985</f>
        <v>0</v>
      </c>
      <c r="L78" s="503">
        <v>0</v>
      </c>
      <c r="M78" s="736"/>
      <c r="N78" s="736"/>
      <c r="O78" s="736"/>
      <c r="P78" s="518"/>
    </row>
    <row r="79" spans="2:17" s="508" customFormat="1" hidden="1" x14ac:dyDescent="0.3">
      <c r="B79" s="730" t="s">
        <v>5937</v>
      </c>
      <c r="C79" s="730"/>
      <c r="D79" s="733">
        <v>14</v>
      </c>
      <c r="E79" s="519">
        <f>IF(ISBLANK(I79),"",INDEX(TAB_Offres[ID],MATCH(I79,TAB_Offres[Reference],0)))</f>
        <v>67</v>
      </c>
      <c r="F79" s="519" t="str">
        <f>IF(ISBLANK(I79),"",INDEX(TAB_Offres[Lot],MATCH(I79,TAB_Offres[Reference],0)))</f>
        <v>Lot 3</v>
      </c>
      <c r="G79" s="493" t="str">
        <f>IF(ISBLANK(I79),"",INDEX(TAB_Offres[Institution/agency],MATCH(I79,TAB_Offres[Reference],0)))</f>
        <v>EC</v>
      </c>
      <c r="H79" s="519" t="str">
        <f>IF(ISBLANK(I79),"",INDEX(TAB_Offres[DG],MATCH(I79,TAB_Offres[Reference],0)))</f>
        <v>RTD</v>
      </c>
      <c r="I79" s="527" t="s">
        <v>5366</v>
      </c>
      <c r="J79" s="615">
        <f>SUMIF(TAB_CS[Reference],'Suivi PO Global'!I79,TAB_CS[Commited amount])*0.985</f>
        <v>83166.111000000004</v>
      </c>
      <c r="K79" s="498">
        <f>SUMIF(TAB_CS[Reference],'Suivi PO Global'!I79,TAB_CS[Producted amounts])*0.985</f>
        <v>83166.111000000004</v>
      </c>
      <c r="L79" s="498">
        <f t="shared" si="4"/>
        <v>0</v>
      </c>
      <c r="M79" s="736"/>
      <c r="N79" s="736"/>
      <c r="O79" s="736"/>
    </row>
    <row r="80" spans="2:17" s="508" customFormat="1" hidden="1" x14ac:dyDescent="0.3">
      <c r="B80" s="730" t="s">
        <v>5937</v>
      </c>
      <c r="C80" s="730"/>
      <c r="D80" s="733">
        <v>14</v>
      </c>
      <c r="E80" s="519">
        <f>IF(ISBLANK(I80),"",INDEX(TAB_Offres[ID],MATCH(I80,TAB_Offres[Reference],0)))</f>
        <v>69</v>
      </c>
      <c r="F80" s="519" t="str">
        <f>IF(ISBLANK(I80),"",INDEX(TAB_Offres[Lot],MATCH(I80,TAB_Offres[Reference],0)))</f>
        <v>Lot 3</v>
      </c>
      <c r="G80" s="493" t="str">
        <f>IF(ISBLANK(I80),"",INDEX(TAB_Offres[Institution/agency],MATCH(I80,TAB_Offres[Reference],0)))</f>
        <v>EC</v>
      </c>
      <c r="H80" s="519" t="str">
        <f>IF(ISBLANK(I80),"",INDEX(TAB_Offres[DG],MATCH(I80,TAB_Offres[Reference],0)))</f>
        <v>RTD</v>
      </c>
      <c r="I80" s="527" t="s">
        <v>5370</v>
      </c>
      <c r="J80" s="615">
        <f>SUMIF(TAB_CS[Reference],'Suivi PO Global'!I80,TAB_CS[Commited amount])*0.985</f>
        <v>66312.563999999998</v>
      </c>
      <c r="K80" s="498">
        <f>SUMIF(TAB_CS[Reference],'Suivi PO Global'!I80,TAB_CS[Producted amounts])*0.985</f>
        <v>66312.563999999998</v>
      </c>
      <c r="L80" s="498">
        <f t="shared" si="4"/>
        <v>0</v>
      </c>
      <c r="M80" s="736"/>
      <c r="N80" s="736"/>
      <c r="O80" s="736"/>
    </row>
    <row r="81" spans="2:16" s="508" customFormat="1" hidden="1" x14ac:dyDescent="0.3">
      <c r="B81" s="731" t="s">
        <v>5937</v>
      </c>
      <c r="C81" s="731"/>
      <c r="D81" s="734">
        <v>14</v>
      </c>
      <c r="E81" s="512">
        <f>IF(ISBLANK(I81),"",INDEX(TAB_Offres[ID],MATCH(I81,TAB_Offres[Reference],0)))</f>
        <v>70</v>
      </c>
      <c r="F81" s="512" t="str">
        <f>IF(ISBLANK(I81),"",INDEX(TAB_Offres[Lot],MATCH(I81,TAB_Offres[Reference],0)))</f>
        <v>Lot 1</v>
      </c>
      <c r="G81" s="494" t="str">
        <f>IF(ISBLANK(I81),"",INDEX(TAB_Offres[Institution/agency],MATCH(I81,TAB_Offres[Reference],0)))</f>
        <v>EC</v>
      </c>
      <c r="H81" s="512" t="str">
        <f>IF(ISBLANK(I81),"",INDEX(TAB_Offres[DG],MATCH(I81,TAB_Offres[Reference],0)))</f>
        <v>DIGIT.B.3</v>
      </c>
      <c r="I81" s="528" t="s">
        <v>5373</v>
      </c>
      <c r="J81" s="616">
        <f>SUMIF(TAB_CS[Reference],'Suivi PO Global'!I81,TAB_CS[Commited amount])*0.985</f>
        <v>65460.637499999997</v>
      </c>
      <c r="K81" s="499">
        <f>SUMIF(TAB_CS[Reference],'Suivi PO Global'!I81,TAB_CS[Producted amounts])*0.985</f>
        <v>65460.637499999997</v>
      </c>
      <c r="L81" s="499">
        <f t="shared" si="4"/>
        <v>0</v>
      </c>
      <c r="M81" s="737"/>
      <c r="N81" s="737"/>
      <c r="O81" s="737"/>
    </row>
    <row r="82" spans="2:16" s="508" customFormat="1" hidden="1" x14ac:dyDescent="0.3">
      <c r="B82" s="729" t="s">
        <v>5943</v>
      </c>
      <c r="C82" s="729" t="s">
        <v>86</v>
      </c>
      <c r="D82" s="732">
        <v>20</v>
      </c>
      <c r="E82" s="515">
        <f>IF(ISBLANK(I82),"",INDEX(TAB_Offres[ID],MATCH(I82,TAB_Offres[Reference],0)))</f>
        <v>87</v>
      </c>
      <c r="F82" s="515" t="str">
        <f>IF(ISBLANK(I82),"",INDEX(TAB_Offres[Lot],MATCH(I82,TAB_Offres[Reference],0)))</f>
        <v>Lot 2</v>
      </c>
      <c r="G82" s="496" t="str">
        <f>IF(ISBLANK(I82),"",INDEX(TAB_Offres[Institution/agency],MATCH(I82,TAB_Offres[Reference],0)))</f>
        <v>EC</v>
      </c>
      <c r="H82" s="515" t="str">
        <f>IF(ISBLANK(I82),"",INDEX(TAB_Offres[DG],MATCH(I82,TAB_Offres[Reference],0)))</f>
        <v>DIGIT.A.5</v>
      </c>
      <c r="I82" s="516" t="s">
        <v>5515</v>
      </c>
      <c r="J82" s="617">
        <f>SUMIF(TAB_CS[Reference],'Suivi PO Global'!I82,TAB_CS[Commited amount])*0.985</f>
        <v>89095.613999999987</v>
      </c>
      <c r="K82" s="501">
        <f>SUMIF(TAB_CS[Reference],'Suivi PO Global'!I82,TAB_CS[Producted amounts])*0.985</f>
        <v>89095.613999999987</v>
      </c>
      <c r="L82" s="501">
        <f t="shared" si="4"/>
        <v>0</v>
      </c>
      <c r="M82" s="735">
        <v>331077.40000000002</v>
      </c>
      <c r="N82" s="735">
        <f>M82-O82</f>
        <v>331077.40000000002</v>
      </c>
      <c r="O82" s="735">
        <v>0</v>
      </c>
      <c r="P82" s="518"/>
    </row>
    <row r="83" spans="2:16" s="508" customFormat="1" hidden="1" x14ac:dyDescent="0.3">
      <c r="B83" s="730" t="s">
        <v>5943</v>
      </c>
      <c r="C83" s="730"/>
      <c r="D83" s="733">
        <v>20</v>
      </c>
      <c r="E83" s="519">
        <f>IF(ISBLANK(I83),"",INDEX(TAB_Offres[ID],MATCH(I83,TAB_Offres[Reference],0)))</f>
        <v>88</v>
      </c>
      <c r="F83" s="519" t="str">
        <f>IF(ISBLANK(I83),"",INDEX(TAB_Offres[Lot],MATCH(I83,TAB_Offres[Reference],0)))</f>
        <v>Lot 1</v>
      </c>
      <c r="G83" s="493" t="str">
        <f>IF(ISBLANK(I83),"",INDEX(TAB_Offres[Institution/agency],MATCH(I83,TAB_Offres[Reference],0)))</f>
        <v>EC</v>
      </c>
      <c r="H83" s="519" t="str">
        <f>IF(ISBLANK(I83),"",INDEX(TAB_Offres[DG],MATCH(I83,TAB_Offres[Reference],0)))</f>
        <v>DIGIT.A.5</v>
      </c>
      <c r="I83" s="520" t="s">
        <v>5518</v>
      </c>
      <c r="J83" s="615">
        <f>SUMIF(TAB_CS[Reference],'Suivi PO Global'!I83,TAB_CS[Commited amount])*0.985</f>
        <v>77893.8</v>
      </c>
      <c r="K83" s="498">
        <f>SUMIF(TAB_CS[Reference],'Suivi PO Global'!I83,TAB_CS[Producted amounts])*0.985</f>
        <v>21420.794999999998</v>
      </c>
      <c r="L83" s="498">
        <f t="shared" si="4"/>
        <v>56473.005000000005</v>
      </c>
      <c r="M83" s="736"/>
      <c r="N83" s="736"/>
      <c r="O83" s="736"/>
    </row>
    <row r="84" spans="2:16" s="508" customFormat="1" hidden="1" x14ac:dyDescent="0.3">
      <c r="B84" s="730" t="s">
        <v>5943</v>
      </c>
      <c r="C84" s="730"/>
      <c r="D84" s="733">
        <v>20</v>
      </c>
      <c r="E84" s="519">
        <f>IF(ISBLANK(I84),"",INDEX(TAB_Offres[ID],MATCH(I84,TAB_Offres[Reference],0)))</f>
        <v>89</v>
      </c>
      <c r="F84" s="519" t="str">
        <f>IF(ISBLANK(I84),"",INDEX(TAB_Offres[Lot],MATCH(I84,TAB_Offres[Reference],0)))</f>
        <v>Lot 3</v>
      </c>
      <c r="G84" s="493" t="str">
        <f>IF(ISBLANK(I84),"",INDEX(TAB_Offres[Institution/agency],MATCH(I84,TAB_Offres[Reference],0)))</f>
        <v>EC</v>
      </c>
      <c r="H84" s="519" t="str">
        <f>IF(ISBLANK(I84),"",INDEX(TAB_Offres[DG],MATCH(I84,TAB_Offres[Reference],0)))</f>
        <v>DIGIT.B.3</v>
      </c>
      <c r="I84" s="520" t="s">
        <v>5516</v>
      </c>
      <c r="J84" s="548">
        <f>SUMIF(TAB_CS[Reference],'Suivi PO Global'!I84,TAB_CS[Commited amount])*0.985</f>
        <v>79678.62</v>
      </c>
      <c r="K84" s="498">
        <f>SUMIF(TAB_CS[Reference],'Suivi PO Global'!I84,TAB_CS[Producted amounts])*0.985</f>
        <v>79678.62</v>
      </c>
      <c r="L84" s="498">
        <f t="shared" si="4"/>
        <v>0</v>
      </c>
      <c r="M84" s="736"/>
      <c r="N84" s="736"/>
      <c r="O84" s="736"/>
    </row>
    <row r="85" spans="2:16" s="508" customFormat="1" hidden="1" x14ac:dyDescent="0.3">
      <c r="B85" s="731" t="s">
        <v>5943</v>
      </c>
      <c r="C85" s="731"/>
      <c r="D85" s="734">
        <v>20</v>
      </c>
      <c r="E85" s="512">
        <f>IF(ISBLANK(I85),"",INDEX(TAB_Offres[ID],MATCH(I85,TAB_Offres[Reference],0)))</f>
        <v>90</v>
      </c>
      <c r="F85" s="512" t="str">
        <f>IF(ISBLANK(I85),"",INDEX(TAB_Offres[Lot],MATCH(I85,TAB_Offres[Reference],0)))</f>
        <v>Lot 2</v>
      </c>
      <c r="G85" s="494" t="str">
        <f>IF(ISBLANK(I85),"",INDEX(TAB_Offres[Institution/agency],MATCH(I85,TAB_Offres[Reference],0)))</f>
        <v>EC</v>
      </c>
      <c r="H85" s="512" t="str">
        <f>IF(ISBLANK(I85),"",INDEX(TAB_Offres[DG],MATCH(I85,TAB_Offres[Reference],0)))</f>
        <v>DIGIT.B.3</v>
      </c>
      <c r="I85" s="513" t="s">
        <v>5517</v>
      </c>
      <c r="J85" s="616">
        <f>SUMIF(TAB_CS[Reference],'Suivi PO Global'!I85,TAB_CS[Commited amount])*0.985</f>
        <v>79443.205000000002</v>
      </c>
      <c r="K85" s="499">
        <f>SUMIF(TAB_CS[Reference],'Suivi PO Global'!I85,TAB_CS[Producted amounts])*0.985</f>
        <v>79443.205000000002</v>
      </c>
      <c r="L85" s="499">
        <f t="shared" si="4"/>
        <v>0</v>
      </c>
      <c r="M85" s="737"/>
      <c r="N85" s="737"/>
      <c r="O85" s="737"/>
    </row>
    <row r="86" spans="2:16" s="508" customFormat="1" hidden="1" x14ac:dyDescent="0.3">
      <c r="B86" s="730" t="s">
        <v>5942</v>
      </c>
      <c r="C86" s="730" t="s">
        <v>86</v>
      </c>
      <c r="D86" s="733">
        <v>19</v>
      </c>
      <c r="E86" s="515">
        <f>IF(ISBLANK(I86),"",INDEX(TAB_Offres[ID],MATCH(I86,TAB_Offres[Reference],0)))</f>
        <v>80</v>
      </c>
      <c r="F86" s="515" t="str">
        <f>IF(ISBLANK(I86),"",INDEX(TAB_Offres[Lot],MATCH(I86,TAB_Offres[Reference],0)))</f>
        <v>Lot 1</v>
      </c>
      <c r="G86" s="496" t="str">
        <f>IF(ISBLANK(I86),"",INDEX(TAB_Offres[Institution/agency],MATCH(I86,TAB_Offres[Reference],0)))</f>
        <v>EC</v>
      </c>
      <c r="H86" s="515" t="str">
        <f>IF(ISBLANK(I86),"",INDEX(TAB_Offres[DG],MATCH(I86,TAB_Offres[Reference],0)))</f>
        <v>ENV</v>
      </c>
      <c r="I86" s="516" t="s">
        <v>5507</v>
      </c>
      <c r="J86" s="625">
        <f>SUMIF(TAB_CS[Reference],'Suivi PO Global'!I86,TAB_CS[Commited amount])*0.985</f>
        <v>115093.704</v>
      </c>
      <c r="K86" s="501">
        <f>SUMIF(TAB_CS[Reference],'Suivi PO Global'!I86,TAB_CS[Producted amounts])*0.985</f>
        <v>115093.704</v>
      </c>
      <c r="L86" s="501">
        <f t="shared" si="4"/>
        <v>0</v>
      </c>
      <c r="M86" s="736">
        <v>297751.2</v>
      </c>
      <c r="N86" s="736">
        <f>M86-O86</f>
        <v>297751.2</v>
      </c>
      <c r="O86" s="736">
        <v>0</v>
      </c>
      <c r="P86" s="518"/>
    </row>
    <row r="87" spans="2:16" s="508" customFormat="1" hidden="1" x14ac:dyDescent="0.3">
      <c r="B87" s="730" t="s">
        <v>5942</v>
      </c>
      <c r="C87" s="730"/>
      <c r="D87" s="733">
        <v>19</v>
      </c>
      <c r="E87" s="519">
        <f>IF(ISBLANK(I87),"",INDEX(TAB_Offres[ID],MATCH(I87,TAB_Offres[Reference],0)))</f>
        <v>85</v>
      </c>
      <c r="F87" s="519" t="str">
        <f>IF(ISBLANK(I87),"",INDEX(TAB_Offres[Lot],MATCH(I87,TAB_Offres[Reference],0)))</f>
        <v>Lot 2</v>
      </c>
      <c r="G87" s="493" t="str">
        <f>IF(ISBLANK(I87),"",INDEX(TAB_Offres[Institution/agency],MATCH(I87,TAB_Offres[Reference],0)))</f>
        <v>EC</v>
      </c>
      <c r="H87" s="519" t="str">
        <f>IF(ISBLANK(I87),"",INDEX(TAB_Offres[DG],MATCH(I87,TAB_Offres[Reference],0)))</f>
        <v>DIGIT.A.5</v>
      </c>
      <c r="I87" s="520" t="s">
        <v>5478</v>
      </c>
      <c r="J87" s="626">
        <f>SUMIF(TAB_CS[Reference],'Suivi PO Global'!I87,TAB_CS[Commited amount])*0.985</f>
        <v>89095.613999999987</v>
      </c>
      <c r="K87" s="498">
        <f>SUMIF(TAB_CS[Reference],'Suivi PO Global'!I87,TAB_CS[Producted amounts])*0.985</f>
        <v>89095.613999999987</v>
      </c>
      <c r="L87" s="498">
        <f t="shared" si="4"/>
        <v>0</v>
      </c>
      <c r="M87" s="736"/>
      <c r="N87" s="736"/>
      <c r="O87" s="736"/>
    </row>
    <row r="88" spans="2:16" s="508" customFormat="1" hidden="1" x14ac:dyDescent="0.3">
      <c r="B88" s="731" t="s">
        <v>5942</v>
      </c>
      <c r="C88" s="731"/>
      <c r="D88" s="734">
        <v>19</v>
      </c>
      <c r="E88" s="512">
        <f>IF(ISBLANK(I88),"",INDEX(TAB_Offres[ID],MATCH(I88,TAB_Offres[Reference],0)))</f>
        <v>86</v>
      </c>
      <c r="F88" s="512" t="str">
        <f>IF(ISBLANK(I88),"",INDEX(TAB_Offres[Lot],MATCH(I88,TAB_Offres[Reference],0)))</f>
        <v>Lot 2</v>
      </c>
      <c r="G88" s="494" t="str">
        <f>IF(ISBLANK(I88),"",INDEX(TAB_Offres[Institution/agency],MATCH(I88,TAB_Offres[Reference],0)))</f>
        <v>EC</v>
      </c>
      <c r="H88" s="512" t="str">
        <f>IF(ISBLANK(I88),"",INDEX(TAB_Offres[DG],MATCH(I88,TAB_Offres[Reference],0)))</f>
        <v>DIGIT.A.5</v>
      </c>
      <c r="I88" s="513" t="s">
        <v>5508</v>
      </c>
      <c r="J88" s="627">
        <f>SUMIF(TAB_CS[Reference],'Suivi PO Global'!I88,TAB_CS[Commited amount])*0.985</f>
        <v>89095.613999999987</v>
      </c>
      <c r="K88" s="499">
        <f>SUMIF(TAB_CS[Reference],'Suivi PO Global'!I88,TAB_CS[Producted amounts])*0.985</f>
        <v>89095.613999999987</v>
      </c>
      <c r="L88" s="499">
        <f t="shared" si="4"/>
        <v>0</v>
      </c>
      <c r="M88" s="737"/>
      <c r="N88" s="737"/>
      <c r="O88" s="737"/>
    </row>
    <row r="89" spans="2:16" s="474" customFormat="1" x14ac:dyDescent="0.3">
      <c r="B89" s="738" t="s">
        <v>6032</v>
      </c>
      <c r="C89" s="727" t="str">
        <f>IF(ISBLANK(I89),"",INDEX(TAB_Offres[Company],MATCH(I89,TAB_Offres[Reference],0)))</f>
        <v>TALAN</v>
      </c>
      <c r="D89" s="728">
        <v>3</v>
      </c>
      <c r="E89" s="493">
        <f>IF(ISBLANK(I89),"",INDEX(TAB_Offres[ID],MATCH(I89,TAB_Offres[Reference],0)))</f>
        <v>52</v>
      </c>
      <c r="F89" s="493" t="str">
        <f>IF(ISBLANK(I89),"",INDEX(TAB_Offres[Lot],MATCH(I89,TAB_Offres[Reference],0)))</f>
        <v>Lot 1</v>
      </c>
      <c r="G89" s="493" t="str">
        <f>IF(ISBLANK(I89),"",INDEX(TAB_Offres[Institution/agency],MATCH(I89,TAB_Offres[Reference],0)))</f>
        <v>EC</v>
      </c>
      <c r="H89" s="493" t="str">
        <f>IF(ISBLANK(I89),"",INDEX(TAB_Offres[DG],MATCH(I89,TAB_Offres[Reference],0)))</f>
        <v>SG</v>
      </c>
      <c r="I89" s="490" t="s">
        <v>5474</v>
      </c>
      <c r="J89" s="501">
        <f>SUMIF(TAB_CS[Reference],'Suivi PO Global'!I89,TAB_CS[Commited amount])*0.985</f>
        <v>19985.255999999998</v>
      </c>
      <c r="K89" s="501">
        <f>SUMIF(TAB_CS[Reference],'Suivi PO Global'!I89,TAB_CS[Producted amounts])*0.985</f>
        <v>19985.255999999998</v>
      </c>
      <c r="L89" s="501">
        <f t="shared" si="4"/>
        <v>0</v>
      </c>
      <c r="M89" s="704">
        <v>290378.46999999997</v>
      </c>
      <c r="N89" s="704">
        <f>M89-O89</f>
        <v>98193.319999999978</v>
      </c>
      <c r="O89" s="704">
        <v>192185.15</v>
      </c>
      <c r="P89" s="507"/>
    </row>
    <row r="90" spans="2:16" s="474" customFormat="1" x14ac:dyDescent="0.3">
      <c r="B90" s="746"/>
      <c r="C90" s="722"/>
      <c r="D90" s="723"/>
      <c r="E90" s="493">
        <f>IF(ISBLANK(I90),"",INDEX(TAB_Offres[ID],MATCH(I90,TAB_Offres[Reference],0)))</f>
        <v>71</v>
      </c>
      <c r="F90" s="493" t="str">
        <f>IF(ISBLANK(I90),"",INDEX(TAB_Offres[Lot],MATCH(I90,TAB_Offres[Reference],0)))</f>
        <v>Lot 1</v>
      </c>
      <c r="G90" s="493" t="str">
        <f>IF(ISBLANK(I90),"",INDEX(TAB_Offres[Institution/agency],MATCH(I90,TAB_Offres[Reference],0)))</f>
        <v>EC</v>
      </c>
      <c r="H90" s="493" t="str">
        <f>IF(ISBLANK(I90),"",INDEX(TAB_Offres[DG],MATCH(I90,TAB_Offres[Reference],0)))</f>
        <v>DIGIT.B.1</v>
      </c>
      <c r="I90" s="490" t="s">
        <v>5475</v>
      </c>
      <c r="J90" s="498">
        <f>SUMIF(TAB_CS[Reference],'Suivi PO Global'!I90,TAB_CS[Commited amount])*0.985</f>
        <v>85804.334999999992</v>
      </c>
      <c r="K90" s="498">
        <f>SUMIF(TAB_CS[Reference],'Suivi PO Global'!I90,TAB_CS[Producted amounts])*0.985</f>
        <v>85804.334999999992</v>
      </c>
      <c r="L90" s="498">
        <f t="shared" ref="L90:L92" si="6">J90-K90</f>
        <v>0</v>
      </c>
      <c r="M90" s="718"/>
      <c r="N90" s="718"/>
      <c r="O90" s="718"/>
    </row>
    <row r="91" spans="2:16" s="474" customFormat="1" x14ac:dyDescent="0.3">
      <c r="B91" s="746"/>
      <c r="C91" s="722"/>
      <c r="D91" s="723"/>
      <c r="E91" s="493">
        <f>IF(ISBLANK(I91),"",INDEX(TAB_Offres[ID],MATCH(I91,TAB_Offres[Reference],0)))</f>
        <v>77</v>
      </c>
      <c r="F91" s="493" t="str">
        <f>IF(ISBLANK(I91),"",INDEX(TAB_Offres[Lot],MATCH(I91,TAB_Offres[Reference],0)))</f>
        <v>Lot 1</v>
      </c>
      <c r="G91" s="493" t="str">
        <f>IF(ISBLANK(I91),"",INDEX(TAB_Offres[Institution/agency],MATCH(I91,TAB_Offres[Reference],0)))</f>
        <v>EC</v>
      </c>
      <c r="H91" s="493" t="str">
        <f>IF(ISBLANK(I91),"",INDEX(TAB_Offres[DG],MATCH(I91,TAB_Offres[Reference],0)))</f>
        <v xml:space="preserve">DIGIT.B.1	</v>
      </c>
      <c r="I91" s="490" t="s">
        <v>5505</v>
      </c>
      <c r="J91" s="498">
        <f>SUMIF(TAB_CS[Reference],'Suivi PO Global'!I91,TAB_CS[Commited amount])*0.985</f>
        <v>0</v>
      </c>
      <c r="K91" s="498">
        <f>SUMIF(TAB_CS[Reference],'Suivi PO Global'!I91,TAB_CS[Producted amounts])*0.985</f>
        <v>0</v>
      </c>
      <c r="L91" s="498">
        <f t="shared" si="6"/>
        <v>0</v>
      </c>
      <c r="M91" s="718"/>
      <c r="N91" s="718"/>
      <c r="O91" s="718"/>
    </row>
    <row r="92" spans="2:16" s="474" customFormat="1" x14ac:dyDescent="0.3">
      <c r="B92" s="747"/>
      <c r="C92" s="721"/>
      <c r="D92" s="724"/>
      <c r="E92" s="494">
        <f>IF(ISBLANK(I92),"",INDEX(TAB_Offres[ID],MATCH(I92,TAB_Offres[Reference],0)))</f>
        <v>84</v>
      </c>
      <c r="F92" s="494" t="str">
        <f>IF(ISBLANK(I92),"",INDEX(TAB_Offres[Lot],MATCH(I92,TAB_Offres[Reference],0)))</f>
        <v>Lot 1</v>
      </c>
      <c r="G92" s="494" t="str">
        <f>IF(ISBLANK(I92),"",INDEX(TAB_Offres[Institution/agency],MATCH(I92,TAB_Offres[Reference],0)))</f>
        <v>EC</v>
      </c>
      <c r="H92" s="494" t="str">
        <f>IF(ISBLANK(I92),"",INDEX(TAB_Offres[DG],MATCH(I92,TAB_Offres[Reference],0)))</f>
        <v>DIGIT.B.1</v>
      </c>
      <c r="I92" s="487" t="s">
        <v>5570</v>
      </c>
      <c r="J92" s="499">
        <f>SUMIF(TAB_CS[Reference],'Suivi PO Global'!I92,TAB_CS[Commited amount])*0.985</f>
        <v>0</v>
      </c>
      <c r="K92" s="499">
        <f>SUMIF(TAB_CS[Reference],'Suivi PO Global'!I92,TAB_CS[Producted amounts])*0.985</f>
        <v>0</v>
      </c>
      <c r="L92" s="499">
        <f t="shared" si="6"/>
        <v>0</v>
      </c>
      <c r="M92" s="705"/>
      <c r="N92" s="705"/>
      <c r="O92" s="705"/>
    </row>
    <row r="93" spans="2:16" s="474" customFormat="1" x14ac:dyDescent="0.3">
      <c r="B93" s="725" t="s">
        <v>5954</v>
      </c>
      <c r="C93" s="727" t="str">
        <f>IF(ISBLANK(I93),"",INDEX(TAB_Offres[Company],MATCH(I93,TAB_Offres[Reference],0)))</f>
        <v>TREMEND</v>
      </c>
      <c r="D93" s="728">
        <v>3</v>
      </c>
      <c r="E93" s="495">
        <f>IF(ISBLANK(I93),"",INDEX(TAB_Offres[ID],MATCH(I93,TAB_Offres[Reference],0)))</f>
        <v>75</v>
      </c>
      <c r="F93" s="495" t="str">
        <f>IF(ISBLANK(I93),"",INDEX(TAB_Offres[Lot],MATCH(I93,TAB_Offres[Reference],0)))</f>
        <v>Lot 2</v>
      </c>
      <c r="G93" s="495" t="str">
        <f>IF(ISBLANK(I93),"",INDEX(TAB_Offres[Institution/agency],MATCH(I93,TAB_Offres[Reference],0)))</f>
        <v>EC</v>
      </c>
      <c r="H93" s="495" t="str">
        <f>IF(ISBLANK(I93),"",INDEX(TAB_Offres[DG],MATCH(I93,TAB_Offres[Reference],0)))</f>
        <v>JUST</v>
      </c>
      <c r="I93" s="505" t="s">
        <v>5569</v>
      </c>
      <c r="J93" s="500">
        <f>SUMIF(TAB_CS[Reference],'Suivi PO Global'!I93,TAB_CS[Commited amount])*0.985</f>
        <v>160670.04800000001</v>
      </c>
      <c r="K93" s="500">
        <f>SUMIF(TAB_CS[Reference],'Suivi PO Global'!I93,TAB_CS[Producted amounts])*0.985</f>
        <v>160670.04800000001</v>
      </c>
      <c r="L93" s="500">
        <f>J93-K93</f>
        <v>0</v>
      </c>
      <c r="M93" s="704">
        <v>223531</v>
      </c>
      <c r="N93" s="704">
        <f>M93-O93</f>
        <v>173594.3</v>
      </c>
      <c r="O93" s="704">
        <v>49936.7</v>
      </c>
      <c r="P93" s="507"/>
    </row>
    <row r="94" spans="2:16" s="474" customFormat="1" x14ac:dyDescent="0.3">
      <c r="B94" s="726"/>
      <c r="C94" s="721" t="str">
        <f>IF(ISBLANK(I94),"",INDEX(TAB_Offres[Company],MATCH(I94,TAB_Offres[Reference],0)))</f>
        <v>TREMEND</v>
      </c>
      <c r="D94" s="724"/>
      <c r="E94" s="494">
        <f>IF(ISBLANK(I94),"",INDEX(TAB_Offres[ID],MATCH(I94,TAB_Offres[Reference],0)))</f>
        <v>78</v>
      </c>
      <c r="F94" s="494" t="str">
        <f>IF(ISBLANK(I94),"",INDEX(TAB_Offres[Lot],MATCH(I94,TAB_Offres[Reference],0)))</f>
        <v>Lot 1</v>
      </c>
      <c r="G94" s="494" t="str">
        <f>IF(ISBLANK(I94),"",INDEX(TAB_Offres[Institution/agency],MATCH(I94,TAB_Offres[Reference],0)))</f>
        <v>EC</v>
      </c>
      <c r="H94" s="494" t="str">
        <f>IF(ISBLANK(I94),"",INDEX(TAB_Offres[DG],MATCH(I94,TAB_Offres[Reference],0)))</f>
        <v>RTD</v>
      </c>
      <c r="I94" s="506" t="s">
        <v>5476</v>
      </c>
      <c r="J94" s="499">
        <f>SUMIF(TAB_CS[Reference],'Suivi PO Global'!I94,TAB_CS[Commited amount])*0.985</f>
        <v>58155.532749999998</v>
      </c>
      <c r="K94" s="499">
        <f>SUMIF(TAB_CS[Reference],'Suivi PO Global'!I94,TAB_CS[Producted amounts])*0.985</f>
        <v>58155.532749999998</v>
      </c>
      <c r="L94" s="499">
        <f>J94-K94</f>
        <v>0</v>
      </c>
      <c r="M94" s="705"/>
      <c r="N94" s="705"/>
      <c r="O94" s="705"/>
    </row>
    <row r="95" spans="2:16" s="474" customFormat="1" ht="14.4" customHeight="1" x14ac:dyDescent="0.3">
      <c r="B95" s="738" t="s">
        <v>6033</v>
      </c>
      <c r="C95" s="727" t="str">
        <f>IF(ISBLANK(I95),"",INDEX(TAB_Offres[Company],MATCH(I95,TAB_Offres[Reference],0)))</f>
        <v>TALAN</v>
      </c>
      <c r="D95" s="728">
        <v>4</v>
      </c>
      <c r="E95" s="493">
        <f>IF(ISBLANK(I95),"",INDEX(TAB_Offres[ID],MATCH(I95,TAB_Offres[Reference],0)))</f>
        <v>91</v>
      </c>
      <c r="F95" s="493" t="str">
        <f>IF(ISBLANK(I95),"",INDEX(TAB_Offres[Lot],MATCH(I95,TAB_Offres[Reference],0)))</f>
        <v>Lot 1</v>
      </c>
      <c r="G95" s="493" t="str">
        <f>IF(ISBLANK(I95),"",INDEX(TAB_Offres[Institution/agency],MATCH(I95,TAB_Offres[Reference],0)))</f>
        <v>EC</v>
      </c>
      <c r="H95" s="493" t="str">
        <f>IF(ISBLANK(I95),"",INDEX(TAB_Offres[DG],MATCH(I95,TAB_Offres[Reference],0)))</f>
        <v>ESTAT.A.5</v>
      </c>
      <c r="I95" s="488" t="s">
        <v>5573</v>
      </c>
      <c r="J95" s="501">
        <f>SUMIF(TAB_CS[Reference],'Suivi PO Global'!I95,TAB_CS[Commited amount])*0.985</f>
        <v>103769.159</v>
      </c>
      <c r="K95" s="501">
        <f>SUMIF(TAB_CS[Reference],'Suivi PO Global'!I95,TAB_CS[Producted amounts])*0.985</f>
        <v>103370.04685</v>
      </c>
      <c r="L95" s="501">
        <f>J95-K95</f>
        <v>399.11215000000084</v>
      </c>
      <c r="M95" s="704">
        <v>275090.59999999998</v>
      </c>
      <c r="N95" s="704">
        <f>M95-O95</f>
        <v>273805.96999999997</v>
      </c>
      <c r="O95" s="704">
        <v>1284.6300000000001</v>
      </c>
      <c r="P95" s="507"/>
    </row>
    <row r="96" spans="2:16" s="474" customFormat="1" x14ac:dyDescent="0.3">
      <c r="B96" s="746"/>
      <c r="C96" s="722"/>
      <c r="D96" s="723"/>
      <c r="E96" s="493">
        <f>IF(ISBLANK(I96),"",INDEX(TAB_Offres[ID],MATCH(I96,TAB_Offres[Reference],0)))</f>
        <v>95</v>
      </c>
      <c r="F96" s="493" t="str">
        <f>IF(ISBLANK(I96),"",INDEX(TAB_Offres[Lot],MATCH(I96,TAB_Offres[Reference],0)))</f>
        <v>Lot 1</v>
      </c>
      <c r="G96" s="493" t="str">
        <f>IF(ISBLANK(I96),"",INDEX(TAB_Offres[Institution/agency],MATCH(I96,TAB_Offres[Reference],0)))</f>
        <v>EC</v>
      </c>
      <c r="H96" s="493" t="str">
        <f>IF(ISBLANK(I96),"",INDEX(TAB_Offres[DG],MATCH(I96,TAB_Offres[Reference],0)))</f>
        <v>SG</v>
      </c>
      <c r="I96" s="490" t="s">
        <v>5553</v>
      </c>
      <c r="J96" s="498">
        <f>SUMIF(TAB_CS[Reference],'Suivi PO Global'!I96,TAB_CS[Commited amount])*0.985</f>
        <v>74944.709999999992</v>
      </c>
      <c r="K96" s="498">
        <f>SUMIF(TAB_CS[Reference],'Suivi PO Global'!I96,TAB_CS[Producted amounts])*0.985</f>
        <v>74944.709999999992</v>
      </c>
      <c r="L96" s="498">
        <f t="shared" ref="L96:L98" si="7">J96-K96</f>
        <v>0</v>
      </c>
      <c r="M96" s="718"/>
      <c r="N96" s="718"/>
      <c r="O96" s="718"/>
    </row>
    <row r="97" spans="2:17" s="474" customFormat="1" x14ac:dyDescent="0.3">
      <c r="B97" s="746"/>
      <c r="C97" s="722"/>
      <c r="D97" s="723"/>
      <c r="E97" s="493">
        <f>IF(ISBLANK(I97),"",INDEX(TAB_Offres[ID],MATCH(I97,TAB_Offres[Reference],0)))</f>
        <v>97</v>
      </c>
      <c r="F97" s="493" t="str">
        <f>IF(ISBLANK(I97),"",INDEX(TAB_Offres[Lot],MATCH(I97,TAB_Offres[Reference],0)))</f>
        <v>Lot 1</v>
      </c>
      <c r="G97" s="493" t="str">
        <f>IF(ISBLANK(I97),"",INDEX(TAB_Offres[Institution/agency],MATCH(I97,TAB_Offres[Reference],0)))</f>
        <v>EC</v>
      </c>
      <c r="H97" s="493" t="str">
        <f>IF(ISBLANK(I97),"",INDEX(TAB_Offres[DG],MATCH(I97,TAB_Offres[Reference],0)))</f>
        <v>DIGIT.B.1</v>
      </c>
      <c r="I97" s="490" t="s">
        <v>5554</v>
      </c>
      <c r="J97" s="498">
        <f>SUMIF(TAB_CS[Reference],'Suivi PO Global'!I97,TAB_CS[Commited amount])*0.985</f>
        <v>52427.61</v>
      </c>
      <c r="K97" s="498">
        <f>SUMIF(TAB_CS[Reference],'Suivi PO Global'!I97,TAB_CS[Producted amounts])*0.985</f>
        <v>52427.61</v>
      </c>
      <c r="L97" s="498">
        <f t="shared" si="7"/>
        <v>0</v>
      </c>
      <c r="M97" s="718"/>
      <c r="N97" s="718"/>
      <c r="O97" s="718"/>
    </row>
    <row r="98" spans="2:17" s="474" customFormat="1" x14ac:dyDescent="0.3">
      <c r="B98" s="747"/>
      <c r="C98" s="721"/>
      <c r="D98" s="724"/>
      <c r="E98" s="494">
        <f>IF(ISBLANK(I98),"",INDEX(TAB_Offres[ID],MATCH(I98,TAB_Offres[Reference],0)))</f>
        <v>98</v>
      </c>
      <c r="F98" s="494" t="str">
        <f>IF(ISBLANK(I98),"",INDEX(TAB_Offres[Lot],MATCH(I98,TAB_Offres[Reference],0)))</f>
        <v>Lot 3</v>
      </c>
      <c r="G98" s="494" t="str">
        <f>IF(ISBLANK(I98),"",INDEX(TAB_Offres[Institution/agency],MATCH(I98,TAB_Offres[Reference],0)))</f>
        <v>EC</v>
      </c>
      <c r="H98" s="494" t="str">
        <f>IF(ISBLANK(I98),"",INDEX(TAB_Offres[DG],MATCH(I98,TAB_Offres[Reference],0)))</f>
        <v>DIGIT.B.3</v>
      </c>
      <c r="I98" s="487" t="s">
        <v>5572</v>
      </c>
      <c r="J98" s="499">
        <f>SUMIF(TAB_CS[Reference],'Suivi PO Global'!I98,TAB_CS[Commited amount])*0.985</f>
        <v>43949.124000000003</v>
      </c>
      <c r="K98" s="499">
        <f>SUMIF(TAB_CS[Reference],'Suivi PO Global'!I98,TAB_CS[Producted amounts])*0.985</f>
        <v>43949.124000000003</v>
      </c>
      <c r="L98" s="499">
        <f t="shared" si="7"/>
        <v>0</v>
      </c>
      <c r="M98" s="705"/>
      <c r="N98" s="705"/>
      <c r="O98" s="705"/>
    </row>
    <row r="99" spans="2:17" s="474" customFormat="1" x14ac:dyDescent="0.3">
      <c r="B99" s="725" t="s">
        <v>5955</v>
      </c>
      <c r="C99" s="727" t="str">
        <f>IF(ISBLANK(I99),"",INDEX(TAB_Offres[Company],MATCH(I99,TAB_Offres[Reference],0)))</f>
        <v>TREMEND</v>
      </c>
      <c r="D99" s="728">
        <v>4</v>
      </c>
      <c r="E99" s="495">
        <f>IF(ISBLANK(I99),"",INDEX(TAB_Offres[ID],MATCH(I99,TAB_Offres[Reference],0)))</f>
        <v>82</v>
      </c>
      <c r="F99" s="495" t="str">
        <f>IF(ISBLANK(I99),"",INDEX(TAB_Offres[Lot],MATCH(I99,TAB_Offres[Reference],0)))</f>
        <v>Lot 2</v>
      </c>
      <c r="G99" s="495" t="str">
        <f>IF(ISBLANK(I99),"",INDEX(TAB_Offres[Institution/agency],MATCH(I99,TAB_Offres[Reference],0)))</f>
        <v>EC</v>
      </c>
      <c r="H99" s="495" t="str">
        <f>IF(ISBLANK(I99),"",INDEX(TAB_Offres[DG],MATCH(I99,TAB_Offres[Reference],0)))</f>
        <v>JUST</v>
      </c>
      <c r="I99" s="505" t="s">
        <v>5514</v>
      </c>
      <c r="J99" s="500">
        <f>SUMIF(TAB_CS[Reference],'Suivi PO Global'!I99,TAB_CS[Commited amount])*0.985</f>
        <v>183950.12899999999</v>
      </c>
      <c r="K99" s="500">
        <f>SUMIF(TAB_CS[Reference],'Suivi PO Global'!I99,TAB_CS[Producted amounts])*0.985</f>
        <v>147996.24015</v>
      </c>
      <c r="L99" s="500">
        <f t="shared" ref="L99" si="8">J99-K99</f>
        <v>35953.888849999988</v>
      </c>
      <c r="M99" s="704">
        <v>303886</v>
      </c>
      <c r="N99" s="704">
        <f>M99-O99</f>
        <v>23674.400000000023</v>
      </c>
      <c r="O99" s="704">
        <v>280211.59999999998</v>
      </c>
      <c r="P99" s="507"/>
    </row>
    <row r="100" spans="2:17" s="474" customFormat="1" x14ac:dyDescent="0.3">
      <c r="B100" s="726"/>
      <c r="C100" s="721" t="str">
        <f>IF(ISBLANK(I100),"",INDEX(TAB_Offres[Company],MATCH(I100,TAB_Offres[Reference],0)))</f>
        <v>TREMEND</v>
      </c>
      <c r="D100" s="724"/>
      <c r="E100" s="494">
        <f>IF(ISBLANK(I100),"",INDEX(TAB_Offres[ID],MATCH(I100,TAB_Offres[Reference],0)))</f>
        <v>101</v>
      </c>
      <c r="F100" s="494" t="str">
        <f>IF(ISBLANK(I100),"",INDEX(TAB_Offres[Lot],MATCH(I100,TAB_Offres[Reference],0)))</f>
        <v>Lot 1</v>
      </c>
      <c r="G100" s="494" t="str">
        <f>IF(ISBLANK(I100),"",INDEX(TAB_Offres[Institution/agency],MATCH(I100,TAB_Offres[Reference],0)))</f>
        <v>EC</v>
      </c>
      <c r="H100" s="494" t="str">
        <f>IF(ISBLANK(I100),"",INDEX(TAB_Offres[DG],MATCH(I100,TAB_Offres[Reference],0)))</f>
        <v>RTD</v>
      </c>
      <c r="I100" s="506" t="s">
        <v>5577</v>
      </c>
      <c r="J100" s="499">
        <f>SUMIF(TAB_CS[Reference],'Suivi PO Global'!I100,TAB_CS[Commited amount])*0.985</f>
        <v>113804.25034999999</v>
      </c>
      <c r="K100" s="499">
        <f>SUMIF(TAB_CS[Reference],'Suivi PO Global'!I100,TAB_CS[Producted amounts])*0.985</f>
        <v>97022.056749999989</v>
      </c>
      <c r="L100" s="499">
        <f>J100-K100</f>
        <v>16782.193599999999</v>
      </c>
      <c r="M100" s="705"/>
      <c r="N100" s="705"/>
      <c r="O100" s="705"/>
    </row>
    <row r="101" spans="2:17" s="474" customFormat="1" x14ac:dyDescent="0.3">
      <c r="B101" s="738" t="s">
        <v>6053</v>
      </c>
      <c r="C101" s="727" t="s">
        <v>86</v>
      </c>
      <c r="D101" s="728">
        <v>21</v>
      </c>
      <c r="E101" s="495">
        <f>IF(ISBLANK(I101),"",INDEX(TAB_Offres[ID],MATCH(I101,TAB_Offres[Reference],0)))</f>
        <v>92</v>
      </c>
      <c r="F101" s="495" t="str">
        <f>IF(ISBLANK(I101),"",INDEX(TAB_Offres[Lot],MATCH(I101,TAB_Offres[Reference],0)))</f>
        <v>Lot 3</v>
      </c>
      <c r="G101" s="495" t="str">
        <f>IF(ISBLANK(I101),"",INDEX(TAB_Offres[Institution/agency],MATCH(I101,TAB_Offres[Reference],0)))</f>
        <v>EC</v>
      </c>
      <c r="H101" s="495" t="str">
        <f>IF(ISBLANK(I101),"",INDEX(TAB_Offres[DG],MATCH(I101,TAB_Offres[Reference],0)))</f>
        <v>DIGIT.B.3</v>
      </c>
      <c r="I101" s="595" t="s">
        <v>5548</v>
      </c>
      <c r="J101" s="597">
        <f>SUMIF(TAB_CS[Reference],'Suivi PO Global'!I101,TAB_CS[Commited amount])*0.985</f>
        <v>9850</v>
      </c>
      <c r="K101" s="500">
        <f>SUMIF(TAB_CS[Reference],'Suivi PO Global'!I101,TAB_CS[Producted amounts])*0.985</f>
        <v>0</v>
      </c>
      <c r="L101" s="500">
        <f t="shared" ref="L101:L106" si="9">J101-K101</f>
        <v>9850</v>
      </c>
      <c r="M101" s="704">
        <v>249925.02</v>
      </c>
      <c r="N101" s="704">
        <f>M101-O101</f>
        <v>0</v>
      </c>
      <c r="O101" s="704">
        <v>249925.02</v>
      </c>
      <c r="P101" s="507">
        <f>30219.51+16353.07+29634.56+20496.18+32191.27+16722.74+8973.25+36400.7+33415.51+15615.52+749.48+279.9+4076.13+2754.24+596.73</f>
        <v>248478.79000000004</v>
      </c>
      <c r="Q101" s="507"/>
    </row>
    <row r="102" spans="2:17" s="474" customFormat="1" x14ac:dyDescent="0.3">
      <c r="B102" s="739"/>
      <c r="C102" s="722"/>
      <c r="D102" s="723"/>
      <c r="E102" s="496">
        <f>IF(ISBLANK(I102),"",INDEX(TAB_Offres[ID],MATCH(I102,TAB_Offres[Reference],0)))</f>
        <v>93</v>
      </c>
      <c r="F102" s="496" t="str">
        <f>IF(ISBLANK(I102),"",INDEX(TAB_Offres[Lot],MATCH(I102,TAB_Offres[Reference],0)))</f>
        <v>Lot 2</v>
      </c>
      <c r="G102" s="496" t="str">
        <f>IF(ISBLANK(I102),"",INDEX(TAB_Offres[Institution/agency],MATCH(I102,TAB_Offres[Reference],0)))</f>
        <v>EC</v>
      </c>
      <c r="H102" s="496" t="str">
        <f>IF(ISBLANK(I102),"",INDEX(TAB_Offres[DG],MATCH(I102,TAB_Offres[Reference],0)))</f>
        <v>DIGIT.A.5</v>
      </c>
      <c r="I102" s="596" t="s">
        <v>5550</v>
      </c>
      <c r="J102" s="598">
        <f>SUMIF(TAB_CS[Reference],'Suivi PO Global'!I102,TAB_CS[Commited amount])*0.985</f>
        <v>46930.438275000008</v>
      </c>
      <c r="K102" s="501">
        <f>SUMIF(TAB_CS[Reference],'Suivi PO Global'!I102,TAB_CS[Producted amounts])*0.985</f>
        <v>46930.438275000008</v>
      </c>
      <c r="L102" s="501">
        <f t="shared" ref="L102" si="10">J102-K102</f>
        <v>0</v>
      </c>
      <c r="M102" s="718"/>
      <c r="N102" s="718"/>
      <c r="O102" s="718"/>
      <c r="P102" s="507"/>
    </row>
    <row r="103" spans="2:17" s="474" customFormat="1" x14ac:dyDescent="0.3">
      <c r="B103" s="739" t="s">
        <v>5937</v>
      </c>
      <c r="C103" s="722"/>
      <c r="D103" s="723">
        <v>14</v>
      </c>
      <c r="E103" s="493">
        <f>IF(ISBLANK(I103),"",INDEX(TAB_Offres[ID],MATCH(I103,TAB_Offres[Reference],0)))</f>
        <v>94</v>
      </c>
      <c r="F103" s="493" t="str">
        <f>IF(ISBLANK(I103),"",INDEX(TAB_Offres[Lot],MATCH(I103,TAB_Offres[Reference],0)))</f>
        <v>Lot 2</v>
      </c>
      <c r="G103" s="493" t="str">
        <f>IF(ISBLANK(I103),"",INDEX(TAB_Offres[Institution/agency],MATCH(I103,TAB_Offres[Reference],0)))</f>
        <v>EC</v>
      </c>
      <c r="H103" s="493" t="str">
        <f>IF(ISBLANK(I103),"",INDEX(TAB_Offres[DG],MATCH(I103,TAB_Offres[Reference],0)))</f>
        <v>HR.DS</v>
      </c>
      <c r="I103" s="599" t="s">
        <v>5552</v>
      </c>
      <c r="J103" s="585">
        <f>SUMIF(TAB_CS[Reference],'Suivi PO Global'!I103,TAB_CS[Commited amount])*0.985</f>
        <v>34694.654999999999</v>
      </c>
      <c r="K103" s="498">
        <f>SUMIF(TAB_CS[Reference],'Suivi PO Global'!I103,TAB_CS[Producted amounts])*0.985</f>
        <v>34694.654999999999</v>
      </c>
      <c r="L103" s="498">
        <f t="shared" si="9"/>
        <v>0</v>
      </c>
      <c r="M103" s="718"/>
      <c r="N103" s="718"/>
      <c r="O103" s="718"/>
      <c r="P103" s="507"/>
    </row>
    <row r="104" spans="2:17" s="474" customFormat="1" x14ac:dyDescent="0.3">
      <c r="B104" s="739" t="s">
        <v>5937</v>
      </c>
      <c r="C104" s="722"/>
      <c r="D104" s="723">
        <v>14</v>
      </c>
      <c r="E104" s="493">
        <f>IF(ISBLANK(I104),"",INDEX(TAB_Offres[ID],MATCH(I104,TAB_Offres[Reference],0)))</f>
        <v>3</v>
      </c>
      <c r="F104" s="493" t="str">
        <f>IF(ISBLANK(I104),"",INDEX(TAB_Offres[Lot],MATCH(I104,TAB_Offres[Reference],0)))</f>
        <v>Lot 1</v>
      </c>
      <c r="G104" s="493" t="str">
        <f>IF(ISBLANK(I104),"",INDEX(TAB_Offres[Institution/agency],MATCH(I104,TAB_Offres[Reference],0)))</f>
        <v>EC</v>
      </c>
      <c r="H104" s="493" t="str">
        <f>IF(ISBLANK(I104),"",INDEX(TAB_Offres[DG],MATCH(I104,TAB_Offres[Reference],0)))</f>
        <v>DIGIT.A.3</v>
      </c>
      <c r="I104" s="600" t="s">
        <v>6052</v>
      </c>
      <c r="J104" s="503">
        <v>21420.799999999999</v>
      </c>
      <c r="K104" s="498">
        <f>SUMIF(TAB_CS[Reference],'Suivi PO Global'!I104,TAB_CS[Producted amounts])*0.985</f>
        <v>0</v>
      </c>
      <c r="L104" s="503">
        <v>0</v>
      </c>
      <c r="M104" s="718"/>
      <c r="N104" s="718"/>
      <c r="O104" s="718"/>
    </row>
    <row r="105" spans="2:17" s="474" customFormat="1" x14ac:dyDescent="0.3">
      <c r="B105" s="739" t="s">
        <v>5937</v>
      </c>
      <c r="C105" s="722"/>
      <c r="D105" s="723">
        <v>14</v>
      </c>
      <c r="E105" s="493">
        <f>IF(ISBLANK(I105),"",INDEX(TAB_Offres[ID],MATCH(I105,TAB_Offres[Reference],0)))</f>
        <v>96</v>
      </c>
      <c r="F105" s="493" t="str">
        <f>IF(ISBLANK(I105),"",INDEX(TAB_Offres[Lot],MATCH(I105,TAB_Offres[Reference],0)))</f>
        <v>Lot 1</v>
      </c>
      <c r="G105" s="493" t="str">
        <f>IF(ISBLANK(I105),"",INDEX(TAB_Offres[Institution/agency],MATCH(I105,TAB_Offres[Reference],0)))</f>
        <v>EC</v>
      </c>
      <c r="H105" s="493" t="str">
        <f>IF(ISBLANK(I105),"",INDEX(TAB_Offres[DG],MATCH(I105,TAB_Offres[Reference],0)))</f>
        <v>EMPL</v>
      </c>
      <c r="I105" s="600" t="s">
        <v>5571</v>
      </c>
      <c r="J105" s="498">
        <f>SUMIF(TAB_CS[Reference],'Suivi PO Global'!I105,TAB_CS[Commited amount])*0.985</f>
        <v>88505.943750000006</v>
      </c>
      <c r="K105" s="498">
        <f>SUMIF(TAB_CS[Reference],'Suivi PO Global'!I105,TAB_CS[Producted amounts])*0.985</f>
        <v>88505.943750000006</v>
      </c>
      <c r="L105" s="498">
        <f t="shared" si="9"/>
        <v>0</v>
      </c>
      <c r="M105" s="718"/>
      <c r="N105" s="718"/>
      <c r="O105" s="718"/>
    </row>
    <row r="106" spans="2:17" s="474" customFormat="1" x14ac:dyDescent="0.3">
      <c r="B106" s="726" t="s">
        <v>5937</v>
      </c>
      <c r="C106" s="721"/>
      <c r="D106" s="724">
        <v>14</v>
      </c>
      <c r="E106" s="494">
        <f>IF(ISBLANK(I106),"",INDEX(TAB_Offres[ID],MATCH(I106,TAB_Offres[Reference],0)))</f>
        <v>74</v>
      </c>
      <c r="F106" s="494" t="str">
        <f>IF(ISBLANK(I106),"",INDEX(TAB_Offres[Lot],MATCH(I106,TAB_Offres[Reference],0)))</f>
        <v>Lot 3</v>
      </c>
      <c r="G106" s="494" t="str">
        <f>IF(ISBLANK(I106),"",INDEX(TAB_Offres[Institution/agency],MATCH(I106,TAB_Offres[Reference],0)))</f>
        <v>EC</v>
      </c>
      <c r="H106" s="494" t="str">
        <f>IF(ISBLANK(I106),"",INDEX(TAB_Offres[DG],MATCH(I106,TAB_Offres[Reference],0)))</f>
        <v>DIGIT.A.4</v>
      </c>
      <c r="I106" s="601" t="s">
        <v>5574</v>
      </c>
      <c r="J106" s="499">
        <f>SUMIF(TAB_CS[Reference],'Suivi PO Global'!I106,TAB_CS[Commited amount])*0.985</f>
        <v>42968.063999999991</v>
      </c>
      <c r="K106" s="499">
        <f>SUMIF(TAB_CS[Reference],'Suivi PO Global'!I106,TAB_CS[Producted amounts])*0.985</f>
        <v>42968.063999999991</v>
      </c>
      <c r="L106" s="499">
        <f t="shared" si="9"/>
        <v>0</v>
      </c>
      <c r="M106" s="705"/>
      <c r="N106" s="705"/>
      <c r="O106" s="705"/>
    </row>
    <row r="107" spans="2:17" s="474" customFormat="1" x14ac:dyDescent="0.3">
      <c r="B107" s="712" t="s">
        <v>6100</v>
      </c>
      <c r="C107" s="714" t="s">
        <v>86</v>
      </c>
      <c r="D107" s="710">
        <v>23</v>
      </c>
      <c r="E107" s="495">
        <f>IF(ISBLANK(I107),"",INDEX(TAB_Offres[ID],MATCH(I107,TAB_Offres[Reference],0)))</f>
        <v>99</v>
      </c>
      <c r="F107" s="495" t="str">
        <f>IF(ISBLANK(I107),"",INDEX(TAB_Offres[Lot],MATCH(I107,TAB_Offres[Reference],0)))</f>
        <v>Lot 1</v>
      </c>
      <c r="G107" s="495" t="str">
        <f>IF(ISBLANK(I107),"",INDEX(TAB_Offres[Institution/agency],MATCH(I107,TAB_Offres[Reference],0)))</f>
        <v>EC</v>
      </c>
      <c r="H107" s="495" t="str">
        <f>IF(ISBLANK(I107),"",INDEX(TAB_Offres[DG],MATCH(I107,TAB_Offres[Reference],0)))</f>
        <v>DIGIT.A.3</v>
      </c>
      <c r="I107" s="595" t="s">
        <v>5575</v>
      </c>
      <c r="J107" s="597">
        <f>SUMIF(TAB_CS[Reference],'Suivi PO Global'!I107,TAB_CS[Commited amount])*0.985</f>
        <v>98016.365000000005</v>
      </c>
      <c r="K107" s="500">
        <f>SUMIF(TAB_CS[Reference],'Suivi PO Global'!I107,TAB_CS[Producted amounts])*0.985</f>
        <v>98016.365000000005</v>
      </c>
      <c r="L107" s="500">
        <f t="shared" ref="L107:L109" si="11">J107-K107</f>
        <v>0</v>
      </c>
      <c r="M107" s="704">
        <f>SUM(J107:J111)</f>
        <v>614518.35250000004</v>
      </c>
      <c r="N107" s="704">
        <f>M107-O107</f>
        <v>2.5000000605359674E-3</v>
      </c>
      <c r="O107" s="704">
        <v>614518.35</v>
      </c>
      <c r="P107" s="507">
        <f>35823.84+28822.25-20496.3+9768+8205.12+13675.2+3907.2+17497.84+16067+11705.92+7056.41+16600.52+22380.49</f>
        <v>171013.48999999996</v>
      </c>
    </row>
    <row r="108" spans="2:17" s="474" customFormat="1" x14ac:dyDescent="0.3">
      <c r="B108" s="713"/>
      <c r="C108" s="715"/>
      <c r="D108" s="717"/>
      <c r="E108" s="496">
        <f>IF(ISBLANK(I108),"",INDEX(TAB_Offres[ID],MATCH(I108,TAB_Offres[Reference],0)))</f>
        <v>100</v>
      </c>
      <c r="F108" s="496" t="str">
        <f>IF(ISBLANK(I108),"",INDEX(TAB_Offres[Lot],MATCH(I108,TAB_Offres[Reference],0)))</f>
        <v>Lot 2</v>
      </c>
      <c r="G108" s="496" t="str">
        <f>IF(ISBLANK(I108),"",INDEX(TAB_Offres[Institution/agency],MATCH(I108,TAB_Offres[Reference],0)))</f>
        <v>EC</v>
      </c>
      <c r="H108" s="496" t="str">
        <f>IF(ISBLANK(I108),"",INDEX(TAB_Offres[DG],MATCH(I108,TAB_Offres[Reference],0)))</f>
        <v>HR.DS</v>
      </c>
      <c r="I108" s="596" t="s">
        <v>5576</v>
      </c>
      <c r="J108" s="598">
        <f>SUMIF(TAB_CS[Reference],'Suivi PO Global'!I108,TAB_CS[Commited amount])*0.985</f>
        <v>91807.91</v>
      </c>
      <c r="K108" s="501">
        <f>SUMIF(TAB_CS[Reference],'Suivi PO Global'!I108,TAB_CS[Producted amounts])*0.985</f>
        <v>81250.000350000002</v>
      </c>
      <c r="L108" s="501">
        <f t="shared" si="11"/>
        <v>10557.909650000001</v>
      </c>
      <c r="M108" s="718"/>
      <c r="N108" s="718"/>
      <c r="O108" s="718"/>
    </row>
    <row r="109" spans="2:17" s="474" customFormat="1" x14ac:dyDescent="0.3">
      <c r="B109" s="713"/>
      <c r="C109" s="715"/>
      <c r="D109" s="717"/>
      <c r="E109" s="493">
        <f>IF(ISBLANK(I109),"",INDEX(TAB_Offres[ID],MATCH(I109,TAB_Offres[Reference],0)))</f>
        <v>102</v>
      </c>
      <c r="F109" s="493" t="str">
        <f>IF(ISBLANK(I109),"",INDEX(TAB_Offres[Lot],MATCH(I109,TAB_Offres[Reference],0)))</f>
        <v>Lot 1</v>
      </c>
      <c r="G109" s="493" t="str">
        <f>IF(ISBLANK(I109),"",INDEX(TAB_Offres[Institution/agency],MATCH(I109,TAB_Offres[Reference],0)))</f>
        <v>EC</v>
      </c>
      <c r="H109" s="493" t="str">
        <f>IF(ISBLANK(I109),"",INDEX(TAB_Offres[DG],MATCH(I109,TAB_Offres[Reference],0)))</f>
        <v>DIGIT.C.2</v>
      </c>
      <c r="I109" s="599" t="s">
        <v>5680</v>
      </c>
      <c r="J109" s="585">
        <f>SUMIF(TAB_CS[Reference],'Suivi PO Global'!I109,TAB_CS[Commited amount])*0.985</f>
        <v>90192.115999999995</v>
      </c>
      <c r="K109" s="498">
        <f>SUMIF(TAB_CS[Reference],'Suivi PO Global'!I109,TAB_CS[Producted amounts])*0.985</f>
        <v>81495.01909999999</v>
      </c>
      <c r="L109" s="498">
        <f t="shared" si="11"/>
        <v>8697.0969000000041</v>
      </c>
      <c r="M109" s="718"/>
      <c r="N109" s="718"/>
      <c r="O109" s="718"/>
    </row>
    <row r="110" spans="2:17" s="474" customFormat="1" x14ac:dyDescent="0.3">
      <c r="B110" s="713"/>
      <c r="C110" s="715"/>
      <c r="D110" s="717"/>
      <c r="E110" s="493">
        <f>IF(ISBLANK(I110),"",INDEX(TAB_Offres[ID],MATCH(I110,TAB_Offres[Reference],0)))</f>
        <v>104</v>
      </c>
      <c r="F110" s="493" t="str">
        <f>IF(ISBLANK(I110),"",INDEX(TAB_Offres[Lot],MATCH(I110,TAB_Offres[Reference],0)))</f>
        <v>Lot 2</v>
      </c>
      <c r="G110" s="493" t="str">
        <f>IF(ISBLANK(I110),"",INDEX(TAB_Offres[Institution/agency],MATCH(I110,TAB_Offres[Reference],0)))</f>
        <v>EC</v>
      </c>
      <c r="H110" s="493" t="str">
        <f>IF(ISBLANK(I110),"",INDEX(TAB_Offres[DG],MATCH(I110,TAB_Offres[Reference],0)))</f>
        <v>HR.DS</v>
      </c>
      <c r="I110" s="600" t="s">
        <v>5767</v>
      </c>
      <c r="J110" s="585">
        <f>SUMIF(TAB_CS[Reference],'Suivi PO Global'!I110,TAB_CS[Commited amount])*0.985</f>
        <v>146063.67999999999</v>
      </c>
      <c r="K110" s="498">
        <f>SUMIF(TAB_CS[Reference],'Suivi PO Global'!I110,TAB_CS[Producted amounts])*0.985</f>
        <v>129996.6752</v>
      </c>
      <c r="L110" s="503">
        <v>0</v>
      </c>
      <c r="M110" s="718"/>
      <c r="N110" s="718"/>
      <c r="O110" s="718"/>
    </row>
    <row r="111" spans="2:17" s="474" customFormat="1" x14ac:dyDescent="0.3">
      <c r="B111" s="707"/>
      <c r="C111" s="716"/>
      <c r="D111" s="711"/>
      <c r="E111" s="494">
        <f>IF(ISBLANK(I111),"",INDEX(TAB_Offres[ID],MATCH(I111,TAB_Offres[Reference],0)))</f>
        <v>106</v>
      </c>
      <c r="F111" s="494" t="str">
        <f>IF(ISBLANK(I111),"",INDEX(TAB_Offres[Lot],MATCH(I111,TAB_Offres[Reference],0)))</f>
        <v>Lot 3</v>
      </c>
      <c r="G111" s="494" t="str">
        <f>IF(ISBLANK(I111),"",INDEX(TAB_Offres[Institution/agency],MATCH(I111,TAB_Offres[Reference],0)))</f>
        <v>EC</v>
      </c>
      <c r="H111" s="494" t="str">
        <f>IF(ISBLANK(I111),"",INDEX(TAB_Offres[DG],MATCH(I111,TAB_Offres[Reference],0)))</f>
        <v>EMPL</v>
      </c>
      <c r="I111" s="601" t="s">
        <v>5769</v>
      </c>
      <c r="J111" s="499">
        <f>SUMIF(TAB_CS[Reference],'Suivi PO Global'!I111,TAB_CS[Commited amount])*0.985</f>
        <v>188438.28149999998</v>
      </c>
      <c r="K111" s="499">
        <f>SUMIF(TAB_CS[Reference],'Suivi PO Global'!I111,TAB_CS[Producted amounts])*0.985</f>
        <v>135047.43507499999</v>
      </c>
      <c r="L111" s="499">
        <f t="shared" ref="L111:L115" si="12">J111-K111</f>
        <v>53390.846424999996</v>
      </c>
      <c r="M111" s="705"/>
      <c r="N111" s="705"/>
      <c r="O111" s="705"/>
    </row>
    <row r="112" spans="2:17" s="474" customFormat="1" x14ac:dyDescent="0.3">
      <c r="B112" s="712" t="s">
        <v>6101</v>
      </c>
      <c r="C112" s="714" t="s">
        <v>86</v>
      </c>
      <c r="D112" s="710">
        <v>24</v>
      </c>
      <c r="E112" s="495">
        <f>IF(ISBLANK(I112),"",INDEX(TAB_Offres[ID],MATCH(I112,TAB_Offres[Reference],0)))</f>
        <v>107</v>
      </c>
      <c r="F112" s="495" t="str">
        <f>IF(ISBLANK(I112),"",INDEX(TAB_Offres[Lot],MATCH(I112,TAB_Offres[Reference],0)))</f>
        <v>Lot 3</v>
      </c>
      <c r="G112" s="495" t="str">
        <f>IF(ISBLANK(I112),"",INDEX(TAB_Offres[Institution/agency],MATCH(I112,TAB_Offres[Reference],0)))</f>
        <v>EC</v>
      </c>
      <c r="H112" s="495" t="str">
        <f>IF(ISBLANK(I112),"",INDEX(TAB_Offres[DG],MATCH(I112,TAB_Offres[Reference],0)))</f>
        <v>DIGIT.A.4</v>
      </c>
      <c r="I112" s="595" t="s">
        <v>5785</v>
      </c>
      <c r="J112" s="597">
        <f>SUMIF(TAB_CS[Reference],'Suivi PO Global'!I112,TAB_CS[Commited amount])*0.985</f>
        <v>45225.684000000001</v>
      </c>
      <c r="K112" s="500">
        <f>SUMIF(TAB_CS[Reference],'Suivi PO Global'!I112,TAB_CS[Producted amounts])*0.985</f>
        <v>45225.684000000001</v>
      </c>
      <c r="L112" s="500">
        <f t="shared" si="12"/>
        <v>0</v>
      </c>
      <c r="M112" s="704">
        <f>SUM(J112:J116)</f>
        <v>503401.38899999997</v>
      </c>
      <c r="N112" s="704">
        <f>M112-O112</f>
        <v>-1.0000000474974513E-3</v>
      </c>
      <c r="O112" s="704">
        <v>503401.39</v>
      </c>
    </row>
    <row r="113" spans="2:15" s="474" customFormat="1" x14ac:dyDescent="0.3">
      <c r="B113" s="713"/>
      <c r="C113" s="715"/>
      <c r="D113" s="717"/>
      <c r="E113" s="496">
        <f>IF(ISBLANK(I113),"",INDEX(TAB_Offres[ID],MATCH(I113,TAB_Offres[Reference],0)))</f>
        <v>108</v>
      </c>
      <c r="F113" s="496" t="str">
        <f>IF(ISBLANK(I113),"",INDEX(TAB_Offres[Lot],MATCH(I113,TAB_Offres[Reference],0)))</f>
        <v>Lot 2</v>
      </c>
      <c r="G113" s="496" t="str">
        <f>IF(ISBLANK(I113),"",INDEX(TAB_Offres[Institution/agency],MATCH(I113,TAB_Offres[Reference],0)))</f>
        <v>EC</v>
      </c>
      <c r="H113" s="496" t="str">
        <f>IF(ISBLANK(I113),"",INDEX(TAB_Offres[DG],MATCH(I113,TAB_Offres[Reference],0)))</f>
        <v>SANTE</v>
      </c>
      <c r="I113" s="596" t="s">
        <v>5795</v>
      </c>
      <c r="J113" s="598">
        <f>SUMIF(TAB_CS[Reference],'Suivi PO Global'!I113,TAB_CS[Commited amount])*0.985</f>
        <v>115622.45199999998</v>
      </c>
      <c r="K113" s="501">
        <f>SUMIF(TAB_CS[Reference],'Suivi PO Global'!I113,TAB_CS[Producted amounts])*0.985</f>
        <v>80147.381499999989</v>
      </c>
      <c r="L113" s="501">
        <f t="shared" si="12"/>
        <v>35475.070499999987</v>
      </c>
      <c r="M113" s="718"/>
      <c r="N113" s="718"/>
      <c r="O113" s="718"/>
    </row>
    <row r="114" spans="2:15" s="474" customFormat="1" x14ac:dyDescent="0.3">
      <c r="B114" s="713"/>
      <c r="C114" s="715"/>
      <c r="D114" s="717"/>
      <c r="E114" s="493">
        <f>IF(ISBLANK(I114),"",INDEX(TAB_Offres[ID],MATCH(I114,TAB_Offres[Reference],0)))</f>
        <v>109</v>
      </c>
      <c r="F114" s="493" t="str">
        <f>IF(ISBLANK(I114),"",INDEX(TAB_Offres[Lot],MATCH(I114,TAB_Offres[Reference],0)))</f>
        <v>Lot 1</v>
      </c>
      <c r="G114" s="493" t="str">
        <f>IF(ISBLANK(I114),"",INDEX(TAB_Offres[Institution/agency],MATCH(I114,TAB_Offres[Reference],0)))</f>
        <v>REA</v>
      </c>
      <c r="H114" s="493" t="str">
        <f>IF(ISBLANK(I114),"",INDEX(TAB_Offres[DG],MATCH(I114,TAB_Offres[Reference],0)))</f>
        <v>REA</v>
      </c>
      <c r="I114" s="599" t="s">
        <v>5801</v>
      </c>
      <c r="J114" s="585">
        <f>SUMIF(TAB_CS[Reference],'Suivi PO Global'!I114,TAB_CS[Commited amount])*0.985</f>
        <v>132457.875</v>
      </c>
      <c r="K114" s="498">
        <f>SUMIF(TAB_CS[Reference],'Suivi PO Global'!I114,TAB_CS[Producted amounts])*0.985</f>
        <v>100246.528125</v>
      </c>
      <c r="L114" s="498">
        <f t="shared" ref="L114" si="13">J114-K114</f>
        <v>32211.346875000003</v>
      </c>
      <c r="M114" s="718"/>
      <c r="N114" s="718"/>
      <c r="O114" s="718"/>
    </row>
    <row r="115" spans="2:15" s="474" customFormat="1" x14ac:dyDescent="0.3">
      <c r="B115" s="713"/>
      <c r="C115" s="715"/>
      <c r="D115" s="717"/>
      <c r="E115" s="493">
        <f>IF(ISBLANK(I115),"",INDEX(TAB_Offres[ID],MATCH(I115,TAB_Offres[Reference],0)))</f>
        <v>111</v>
      </c>
      <c r="F115" s="493" t="str">
        <f>IF(ISBLANK(I115),"",INDEX(TAB_Offres[Lot],MATCH(I115,TAB_Offres[Reference],0)))</f>
        <v>Lot 2</v>
      </c>
      <c r="G115" s="493" t="str">
        <f>IF(ISBLANK(I115),"",INDEX(TAB_Offres[Institution/agency],MATCH(I115,TAB_Offres[Reference],0)))</f>
        <v>EC</v>
      </c>
      <c r="H115" s="493" t="str">
        <f>IF(ISBLANK(I115),"",INDEX(TAB_Offres[DG],MATCH(I115,TAB_Offres[Reference],0)))</f>
        <v>DIGIT.A.2</v>
      </c>
      <c r="I115" s="599" t="s">
        <v>5804</v>
      </c>
      <c r="J115" s="585">
        <f>SUMIF(TAB_CS[Reference],'Suivi PO Global'!I115,TAB_CS[Commited amount])*0.985</f>
        <v>93772.788</v>
      </c>
      <c r="K115" s="498">
        <f>SUMIF(TAB_CS[Reference],'Suivi PO Global'!I115,TAB_CS[Producted amounts])*0.985</f>
        <v>93772.788</v>
      </c>
      <c r="L115" s="498">
        <f t="shared" si="12"/>
        <v>0</v>
      </c>
      <c r="M115" s="718"/>
      <c r="N115" s="718"/>
      <c r="O115" s="718"/>
    </row>
    <row r="116" spans="2:15" s="474" customFormat="1" x14ac:dyDescent="0.3">
      <c r="B116" s="707"/>
      <c r="C116" s="716"/>
      <c r="D116" s="711"/>
      <c r="E116" s="494">
        <f>IF(ISBLANK(I116),"",INDEX(TAB_Offres[ID],MATCH(I116,TAB_Offres[Reference],0)))</f>
        <v>112</v>
      </c>
      <c r="F116" s="494" t="str">
        <f>IF(ISBLANK(I116),"",INDEX(TAB_Offres[Lot],MATCH(I116,TAB_Offres[Reference],0)))</f>
        <v>Lot 3</v>
      </c>
      <c r="G116" s="494" t="str">
        <f>IF(ISBLANK(I116),"",INDEX(TAB_Offres[Institution/agency],MATCH(I116,TAB_Offres[Reference],0)))</f>
        <v>EC</v>
      </c>
      <c r="H116" s="494" t="str">
        <f>IF(ISBLANK(I116),"",INDEX(TAB_Offres[DG],MATCH(I116,TAB_Offres[Reference],0)))</f>
        <v>RTD</v>
      </c>
      <c r="I116" s="601" t="s">
        <v>5805</v>
      </c>
      <c r="J116" s="499">
        <f>SUMIF(TAB_CS[Reference],'Suivi PO Global'!I116,TAB_CS[Commited amount])*0.985</f>
        <v>116322.59</v>
      </c>
      <c r="K116" s="499">
        <f>SUMIF(TAB_CS[Reference],'Suivi PO Global'!I116,TAB_CS[Producted amounts])*0.985</f>
        <v>61360.166225000008</v>
      </c>
      <c r="L116" s="499">
        <f t="shared" ref="L116:L120" si="14">J116-K116</f>
        <v>54962.423774999988</v>
      </c>
      <c r="M116" s="705"/>
      <c r="N116" s="705"/>
      <c r="O116" s="705"/>
    </row>
    <row r="117" spans="2:15" s="474" customFormat="1" x14ac:dyDescent="0.3">
      <c r="B117" s="712" t="s">
        <v>6102</v>
      </c>
      <c r="C117" s="714" t="s">
        <v>85</v>
      </c>
      <c r="D117" s="710">
        <v>5</v>
      </c>
      <c r="E117" s="495">
        <f>IF(ISBLANK(I117),"",INDEX(TAB_Offres[ID],MATCH(I117,TAB_Offres[Reference],0)))</f>
        <v>103</v>
      </c>
      <c r="F117" s="495" t="str">
        <f>IF(ISBLANK(I117),"",INDEX(TAB_Offres[Lot],MATCH(I117,TAB_Offres[Reference],0)))</f>
        <v>Lot 1</v>
      </c>
      <c r="G117" s="495" t="str">
        <f>IF(ISBLANK(I117),"",INDEX(TAB_Offres[Institution/agency],MATCH(I117,TAB_Offres[Reference],0)))</f>
        <v>EC</v>
      </c>
      <c r="H117" s="495" t="str">
        <f>IF(ISBLANK(I117),"",INDEX(TAB_Offres[DG],MATCH(I117,TAB_Offres[Reference],0)))</f>
        <v>MOVE</v>
      </c>
      <c r="I117" s="595" t="s">
        <v>5766</v>
      </c>
      <c r="J117" s="597">
        <f>SUMIF(TAB_CS[Reference],'Suivi PO Global'!I117,TAB_CS[Commited amount])*0.985</f>
        <v>79961.433200000014</v>
      </c>
      <c r="K117" s="500">
        <f>SUMIF(TAB_CS[Reference],'Suivi PO Global'!I117,TAB_CS[Producted amounts])*0.985</f>
        <v>79961.433200000014</v>
      </c>
      <c r="L117" s="500">
        <f t="shared" si="14"/>
        <v>0</v>
      </c>
      <c r="M117" s="704">
        <f>SUM(J117:J121)</f>
        <v>474025.95070000004</v>
      </c>
      <c r="N117" s="704">
        <f>M117-O117</f>
        <v>7.0000003324821591E-4</v>
      </c>
      <c r="O117" s="704">
        <v>474025.95</v>
      </c>
    </row>
    <row r="118" spans="2:15" s="474" customFormat="1" x14ac:dyDescent="0.3">
      <c r="B118" s="713"/>
      <c r="C118" s="715"/>
      <c r="D118" s="717"/>
      <c r="E118" s="496">
        <f>IF(ISBLANK(I118),"",INDEX(TAB_Offres[ID],MATCH(I118,TAB_Offres[Reference],0)))</f>
        <v>110</v>
      </c>
      <c r="F118" s="496" t="str">
        <f>IF(ISBLANK(I118),"",INDEX(TAB_Offres[Lot],MATCH(I118,TAB_Offres[Reference],0)))</f>
        <v>Lot 2</v>
      </c>
      <c r="G118" s="496" t="str">
        <f>IF(ISBLANK(I118),"",INDEX(TAB_Offres[Institution/agency],MATCH(I118,TAB_Offres[Reference],0)))</f>
        <v>EC</v>
      </c>
      <c r="H118" s="496" t="str">
        <f>IF(ISBLANK(I118),"",INDEX(TAB_Offres[DG],MATCH(I118,TAB_Offres[Reference],0)))</f>
        <v>REGIO</v>
      </c>
      <c r="I118" s="596" t="s">
        <v>5803</v>
      </c>
      <c r="J118" s="598">
        <f>SUMIF(TAB_CS[Reference],'Suivi PO Global'!I118,TAB_CS[Commited amount])*0.985</f>
        <v>106980.45600000001</v>
      </c>
      <c r="K118" s="501">
        <f>SUMIF(TAB_CS[Reference],'Suivi PO Global'!I118,TAB_CS[Producted amounts])*0.985</f>
        <v>61027.487400000005</v>
      </c>
      <c r="L118" s="501">
        <f t="shared" si="14"/>
        <v>45952.9686</v>
      </c>
      <c r="M118" s="718"/>
      <c r="N118" s="718"/>
      <c r="O118" s="718"/>
    </row>
    <row r="119" spans="2:15" s="474" customFormat="1" x14ac:dyDescent="0.3">
      <c r="B119" s="713"/>
      <c r="C119" s="715"/>
      <c r="D119" s="717"/>
      <c r="E119" s="493">
        <f>IF(ISBLANK(I119),"",INDEX(TAB_Offres[ID],MATCH(I119,TAB_Offres[Reference],0)))</f>
        <v>116</v>
      </c>
      <c r="F119" s="493" t="str">
        <f>IF(ISBLANK(I119),"",INDEX(TAB_Offres[Lot],MATCH(I119,TAB_Offres[Reference],0)))</f>
        <v>Lot 3</v>
      </c>
      <c r="G119" s="493" t="str">
        <f>IF(ISBLANK(I119),"",INDEX(TAB_Offres[Institution/agency],MATCH(I119,TAB_Offres[Reference],0)))</f>
        <v>EC</v>
      </c>
      <c r="H119" s="493" t="str">
        <f>IF(ISBLANK(I119),"",INDEX(TAB_Offres[DG],MATCH(I119,TAB_Offres[Reference],0)))</f>
        <v>DIGIT.B.3</v>
      </c>
      <c r="I119" s="599" t="s">
        <v>5813</v>
      </c>
      <c r="J119" s="585">
        <f>SUMIF(TAB_CS[Reference],'Suivi PO Global'!I119,TAB_CS[Commited amount])*0.985</f>
        <v>131847.372</v>
      </c>
      <c r="K119" s="498">
        <f>SUMIF(TAB_CS[Reference],'Suivi PO Global'!I119,TAB_CS[Producted amounts])*0.985</f>
        <v>117930.14939999999</v>
      </c>
      <c r="L119" s="498">
        <f t="shared" si="14"/>
        <v>13917.222600000008</v>
      </c>
      <c r="M119" s="718"/>
      <c r="N119" s="718"/>
      <c r="O119" s="718"/>
    </row>
    <row r="120" spans="2:15" s="474" customFormat="1" x14ac:dyDescent="0.3">
      <c r="B120" s="713"/>
      <c r="C120" s="715"/>
      <c r="D120" s="717"/>
      <c r="E120" s="493">
        <f>IF(ISBLANK(I120),"",INDEX(TAB_Offres[ID],MATCH(I120,TAB_Offres[Reference],0)))</f>
        <v>124</v>
      </c>
      <c r="F120" s="493" t="str">
        <f>IF(ISBLANK(I120),"",INDEX(TAB_Offres[Lot],MATCH(I120,TAB_Offres[Reference],0)))</f>
        <v>Lot 1</v>
      </c>
      <c r="G120" s="493" t="str">
        <f>IF(ISBLANK(I120),"",INDEX(TAB_Offres[Institution/agency],MATCH(I120,TAB_Offres[Reference],0)))</f>
        <v>EC</v>
      </c>
      <c r="H120" s="493" t="str">
        <f>IF(ISBLANK(I120),"",INDEX(TAB_Offres[DG],MATCH(I120,TAB_Offres[Reference],0)))</f>
        <v>DIGIT.A.4</v>
      </c>
      <c r="I120" s="611" t="s">
        <v>5827</v>
      </c>
      <c r="J120" s="585">
        <f>SUMIF(TAB_CS[Reference],'Suivi PO Global'!I120,TAB_CS[Commited amount])*0.985</f>
        <v>54187.3125</v>
      </c>
      <c r="K120" s="498">
        <f>SUMIF(TAB_CS[Reference],'Suivi PO Global'!I120,TAB_CS[Producted amounts])*0.985</f>
        <v>54187.3125</v>
      </c>
      <c r="L120" s="498">
        <f t="shared" si="14"/>
        <v>0</v>
      </c>
      <c r="M120" s="718"/>
      <c r="N120" s="718"/>
      <c r="O120" s="718"/>
    </row>
    <row r="121" spans="2:15" s="474" customFormat="1" x14ac:dyDescent="0.3">
      <c r="B121" s="707"/>
      <c r="C121" s="716"/>
      <c r="D121" s="711"/>
      <c r="E121" s="494">
        <f>IF(ISBLANK(I121),"",INDEX(TAB_Offres[ID],MATCH(I121,TAB_Offres[Reference],0)))</f>
        <v>125</v>
      </c>
      <c r="F121" s="494" t="str">
        <f>IF(ISBLANK(I121),"",INDEX(TAB_Offres[Lot],MATCH(I121,TAB_Offres[Reference],0)))</f>
        <v>Lot 1</v>
      </c>
      <c r="G121" s="494" t="str">
        <f>IF(ISBLANK(I121),"",INDEX(TAB_Offres[Institution/agency],MATCH(I121,TAB_Offres[Reference],0)))</f>
        <v>EC</v>
      </c>
      <c r="H121" s="494" t="str">
        <f>IF(ISBLANK(I121),"",INDEX(TAB_Offres[DG],MATCH(I121,TAB_Offres[Reference],0)))</f>
        <v>DIGIT.B.1</v>
      </c>
      <c r="I121" s="601" t="s">
        <v>5828</v>
      </c>
      <c r="J121" s="499">
        <f>SUMIF(TAB_CS[Reference],'Suivi PO Global'!I121,TAB_CS[Commited amount])*0.985</f>
        <v>101049.37699999999</v>
      </c>
      <c r="K121" s="499">
        <f>SUMIF(TAB_CS[Reference],'Suivi PO Global'!I121,TAB_CS[Producted amounts])*0.985</f>
        <v>51902.634549999995</v>
      </c>
      <c r="L121" s="499">
        <f t="shared" ref="L121:L124" si="15">J121-K121</f>
        <v>49146.742449999998</v>
      </c>
      <c r="M121" s="705"/>
      <c r="N121" s="705"/>
      <c r="O121" s="705"/>
    </row>
    <row r="122" spans="2:15" s="474" customFormat="1" x14ac:dyDescent="0.3">
      <c r="B122" s="712" t="s">
        <v>6100</v>
      </c>
      <c r="C122" s="719" t="s">
        <v>87</v>
      </c>
      <c r="D122" s="710">
        <v>5</v>
      </c>
      <c r="E122" s="495">
        <f>IF(ISBLANK(I122),"",INDEX(TAB_Offres[ID],MATCH(I122,TAB_Offres[Reference],0)))</f>
        <v>129</v>
      </c>
      <c r="F122" s="495" t="str">
        <f>IF(ISBLANK(I122),"",INDEX(TAB_Offres[Lot],MATCH(I122,TAB_Offres[Reference],0)))</f>
        <v>Lot 3</v>
      </c>
      <c r="G122" s="495" t="str">
        <f>IF(ISBLANK(I122),"",INDEX(TAB_Offres[Institution/agency],MATCH(I122,TAB_Offres[Reference],0)))</f>
        <v>EC</v>
      </c>
      <c r="H122" s="495" t="str">
        <f>IF(ISBLANK(I122),"",INDEX(TAB_Offres[DG],MATCH(I122,TAB_Offres[Reference],0)))</f>
        <v>DIGIT.A.3</v>
      </c>
      <c r="I122" s="595" t="s">
        <v>5888</v>
      </c>
      <c r="J122" s="597">
        <f>SUMIF(TAB_CS[Reference],'Suivi PO Global'!I122,TAB_CS[Commited amount])*0.985</f>
        <v>31218.984</v>
      </c>
      <c r="K122" s="500">
        <f>SUMIF(TAB_CS[Reference],'Suivi PO Global'!I122,TAB_CS[Producted amounts])*0.985</f>
        <v>31218.984</v>
      </c>
      <c r="L122" s="500">
        <f t="shared" si="15"/>
        <v>0</v>
      </c>
      <c r="M122" s="704">
        <f>SUM(J122:J125)</f>
        <v>245785.671</v>
      </c>
      <c r="N122" s="704">
        <f>M122-O122</f>
        <v>9.9999998928979039E-4</v>
      </c>
      <c r="O122" s="704">
        <v>245785.67</v>
      </c>
    </row>
    <row r="123" spans="2:15" s="474" customFormat="1" x14ac:dyDescent="0.3">
      <c r="B123" s="713"/>
      <c r="C123" s="715"/>
      <c r="D123" s="717"/>
      <c r="E123" s="496">
        <f>IF(ISBLANK(I123),"",INDEX(TAB_Offres[ID],MATCH(I123,TAB_Offres[Reference],0)))</f>
        <v>130</v>
      </c>
      <c r="F123" s="496" t="str">
        <f>IF(ISBLANK(I123),"",INDEX(TAB_Offres[Lot],MATCH(I123,TAB_Offres[Reference],0)))</f>
        <v>Lot 2</v>
      </c>
      <c r="G123" s="496" t="str">
        <f>IF(ISBLANK(I123),"",INDEX(TAB_Offres[Institution/agency],MATCH(I123,TAB_Offres[Reference],0)))</f>
        <v>EC</v>
      </c>
      <c r="H123" s="496" t="str">
        <f>IF(ISBLANK(I123),"",INDEX(TAB_Offres[DG],MATCH(I123,TAB_Offres[Reference],0)))</f>
        <v>DIGIT.R.2</v>
      </c>
      <c r="I123" s="596" t="s">
        <v>5889</v>
      </c>
      <c r="J123" s="598">
        <f>SUMIF(TAB_CS[Reference],'Suivi PO Global'!I123,TAB_CS[Commited amount])*0.985</f>
        <v>171916.77800000002</v>
      </c>
      <c r="K123" s="501">
        <f>SUMIF(TAB_CS[Reference],'Suivi PO Global'!I123,TAB_CS[Producted amounts])*0.985</f>
        <v>70720.310949999999</v>
      </c>
      <c r="L123" s="501">
        <f t="shared" si="15"/>
        <v>101196.46705000002</v>
      </c>
      <c r="M123" s="718"/>
      <c r="N123" s="718"/>
      <c r="O123" s="718"/>
    </row>
    <row r="124" spans="2:15" s="474" customFormat="1" x14ac:dyDescent="0.3">
      <c r="B124" s="713"/>
      <c r="C124" s="715"/>
      <c r="D124" s="717"/>
      <c r="E124" s="493">
        <f>IF(ISBLANK(I124),"",INDEX(TAB_Offres[ID],MATCH(I124,TAB_Offres[Reference],0)))</f>
        <v>144</v>
      </c>
      <c r="F124" s="493" t="str">
        <f>IF(ISBLANK(I124),"",INDEX(TAB_Offres[Lot],MATCH(I124,TAB_Offres[Reference],0)))</f>
        <v>Lot 3</v>
      </c>
      <c r="G124" s="493" t="str">
        <f>IF(ISBLANK(I124),"",INDEX(TAB_Offres[Institution/agency],MATCH(I124,TAB_Offres[Reference],0)))</f>
        <v>EC</v>
      </c>
      <c r="H124" s="493" t="str">
        <f>IF(ISBLANK(I124),"",INDEX(TAB_Offres[DG],MATCH(I124,TAB_Offres[Reference],0)))</f>
        <v>DIGIT.A.4</v>
      </c>
      <c r="I124" s="599" t="s">
        <v>6014</v>
      </c>
      <c r="J124" s="585">
        <f>SUMIF(TAB_CS[Reference],'Suivi PO Global'!I124,TAB_CS[Commited amount])*0.985</f>
        <v>18211.074000000001</v>
      </c>
      <c r="K124" s="498">
        <f>SUMIF(TAB_CS[Reference],'Suivi PO Global'!I124,TAB_CS[Producted amounts])*0.985</f>
        <v>18211.074000000001</v>
      </c>
      <c r="L124" s="498">
        <f t="shared" si="15"/>
        <v>0</v>
      </c>
      <c r="M124" s="718"/>
      <c r="N124" s="718"/>
      <c r="O124" s="718"/>
    </row>
    <row r="125" spans="2:15" s="474" customFormat="1" x14ac:dyDescent="0.3">
      <c r="B125" s="707"/>
      <c r="C125" s="716"/>
      <c r="D125" s="711"/>
      <c r="E125" s="494">
        <f>IF(ISBLANK(I125),"",INDEX(TAB_Offres[ID],MATCH(I125,TAB_Offres[Reference],0)))</f>
        <v>154</v>
      </c>
      <c r="F125" s="494" t="str">
        <f>IF(ISBLANK(I125),"",INDEX(TAB_Offres[Lot],MATCH(I125,TAB_Offres[Reference],0)))</f>
        <v>Lot 1</v>
      </c>
      <c r="G125" s="494" t="str">
        <f>IF(ISBLANK(I125),"",INDEX(TAB_Offres[Institution/agency],MATCH(I125,TAB_Offres[Reference],0)))</f>
        <v>EC</v>
      </c>
      <c r="H125" s="494" t="str">
        <f>IF(ISBLANK(I125),"",INDEX(TAB_Offres[DG],MATCH(I125,TAB_Offres[Reference],0)))</f>
        <v>RTD</v>
      </c>
      <c r="I125" s="612" t="s">
        <v>6045</v>
      </c>
      <c r="J125" s="499">
        <f>SUMIF(TAB_CS[Reference],'Suivi PO Global'!I125,TAB_CS[Commited amount])*0.985</f>
        <v>24438.834999999999</v>
      </c>
      <c r="K125" s="499">
        <f>SUMIF(TAB_CS[Reference],'Suivi PO Global'!I125,TAB_CS[Producted amounts])*0.985</f>
        <v>19892.075000000001</v>
      </c>
      <c r="L125" s="499">
        <f t="shared" ref="L125:L127" si="16">J125-K125</f>
        <v>4546.7599999999984</v>
      </c>
      <c r="M125" s="705"/>
      <c r="N125" s="705"/>
      <c r="O125" s="705"/>
    </row>
    <row r="126" spans="2:15" s="474" customFormat="1" x14ac:dyDescent="0.3">
      <c r="B126" s="706" t="s">
        <v>6099</v>
      </c>
      <c r="C126" s="708" t="s">
        <v>88</v>
      </c>
      <c r="D126" s="710">
        <v>2</v>
      </c>
      <c r="E126" s="495">
        <f>IF(ISBLANK(I126),"",INDEX(TAB_Offres[ID],MATCH(I126,TAB_Offres[Reference],0)))</f>
        <v>76</v>
      </c>
      <c r="F126" s="495" t="str">
        <f>IF(ISBLANK(I126),"",INDEX(TAB_Offres[Lot],MATCH(I126,TAB_Offres[Reference],0)))</f>
        <v>Lot 3</v>
      </c>
      <c r="G126" s="495" t="str">
        <f>IF(ISBLANK(I126),"",INDEX(TAB_Offres[Institution/agency],MATCH(I126,TAB_Offres[Reference],0)))</f>
        <v>EC</v>
      </c>
      <c r="H126" s="495" t="str">
        <f>IF(ISBLANK(I126),"",INDEX(TAB_Offres[DG],MATCH(I126,TAB_Offres[Reference],0)))</f>
        <v>DIGIT.B.3</v>
      </c>
      <c r="I126" s="595" t="s">
        <v>5437</v>
      </c>
      <c r="J126" s="597">
        <f>SUMIF(TAB_CS[Reference],'Suivi PO Global'!I126,TAB_CS[Commited amount])*0.985</f>
        <v>125549.82375</v>
      </c>
      <c r="K126" s="500">
        <f>SUMIF(TAB_CS[Reference],'Suivi PO Global'!I126,TAB_CS[Producted amounts])*0.985</f>
        <v>121573.13249999999</v>
      </c>
      <c r="L126" s="500">
        <f t="shared" si="16"/>
        <v>3976.6912500000035</v>
      </c>
      <c r="M126" s="704">
        <f>SUM(J126:J127)</f>
        <v>193443.21425000002</v>
      </c>
      <c r="N126" s="704">
        <f>M126-O126</f>
        <v>4.2500000272411853E-3</v>
      </c>
      <c r="O126" s="704">
        <v>193443.21</v>
      </c>
    </row>
    <row r="127" spans="2:15" s="474" customFormat="1" x14ac:dyDescent="0.3">
      <c r="B127" s="707"/>
      <c r="C127" s="709"/>
      <c r="D127" s="711"/>
      <c r="E127" s="494">
        <f>IF(ISBLANK(I127),"",INDEX(TAB_Offres[ID],MATCH(I127,TAB_Offres[Reference],0)))</f>
        <v>143</v>
      </c>
      <c r="F127" s="494" t="str">
        <f>IF(ISBLANK(I127),"",INDEX(TAB_Offres[Lot],MATCH(I127,TAB_Offres[Reference],0)))</f>
        <v>Lot 3</v>
      </c>
      <c r="G127" s="494" t="str">
        <f>IF(ISBLANK(I127),"",INDEX(TAB_Offres[Institution/agency],MATCH(I127,TAB_Offres[Reference],0)))</f>
        <v>EC</v>
      </c>
      <c r="H127" s="494" t="str">
        <f>IF(ISBLANK(I127),"",INDEX(TAB_Offres[DG],MATCH(I127,TAB_Offres[Reference],0)))</f>
        <v>DIGIT.B.3</v>
      </c>
      <c r="I127" s="601" t="s">
        <v>6012</v>
      </c>
      <c r="J127" s="499">
        <f>SUMIF(TAB_CS[Reference],'Suivi PO Global'!I127,TAB_CS[Commited amount])*0.985</f>
        <v>67893.390500000009</v>
      </c>
      <c r="K127" s="499">
        <f>SUMIF(TAB_CS[Reference],'Suivi PO Global'!I127,TAB_CS[Producted amounts])*0.985</f>
        <v>24546.071950000001</v>
      </c>
      <c r="L127" s="499">
        <f t="shared" si="16"/>
        <v>43347.318550000011</v>
      </c>
      <c r="M127" s="705"/>
      <c r="N127" s="705"/>
      <c r="O127" s="705"/>
    </row>
    <row r="128" spans="2:15" s="474" customFormat="1" x14ac:dyDescent="0.3">
      <c r="B128" s="483"/>
      <c r="C128" s="483"/>
      <c r="D128" s="482"/>
      <c r="E128" s="492"/>
      <c r="F128" s="483"/>
      <c r="G128" s="483"/>
      <c r="H128" s="483"/>
      <c r="I128" s="481"/>
      <c r="J128" s="484"/>
      <c r="K128" s="485"/>
      <c r="L128" s="485"/>
    </row>
    <row r="129" spans="2:13" s="474" customFormat="1" x14ac:dyDescent="0.3">
      <c r="B129" s="483"/>
      <c r="C129" s="483"/>
      <c r="D129" s="482"/>
      <c r="E129" s="492"/>
      <c r="F129" s="495" t="s">
        <v>6017</v>
      </c>
      <c r="G129" s="495"/>
      <c r="H129" s="630"/>
      <c r="I129" s="597"/>
      <c r="J129" s="613">
        <f>SUM(J122:J125)</f>
        <v>245785.671</v>
      </c>
      <c r="K129" s="495"/>
      <c r="L129" s="595"/>
      <c r="M129" s="597"/>
    </row>
    <row r="130" spans="2:13" s="474" customFormat="1" x14ac:dyDescent="0.3">
      <c r="B130" s="483"/>
      <c r="C130" s="483"/>
      <c r="D130" s="482"/>
      <c r="E130" s="492"/>
      <c r="F130" s="483"/>
      <c r="G130" s="483"/>
      <c r="H130" s="483"/>
      <c r="I130" s="481"/>
      <c r="J130" s="484"/>
      <c r="K130" s="485"/>
      <c r="L130" s="485"/>
    </row>
    <row r="131" spans="2:13" s="474" customFormat="1" x14ac:dyDescent="0.3">
      <c r="B131" s="483"/>
      <c r="C131" s="483"/>
      <c r="D131" s="482"/>
      <c r="E131" s="492"/>
      <c r="F131" s="483"/>
      <c r="G131" s="483"/>
      <c r="H131" s="483"/>
      <c r="I131" s="481"/>
      <c r="J131" s="484"/>
      <c r="K131" s="485"/>
      <c r="L131" s="485"/>
    </row>
    <row r="132" spans="2:13" s="474" customFormat="1" x14ac:dyDescent="0.3">
      <c r="B132" s="551" t="s">
        <v>6006</v>
      </c>
      <c r="C132" s="483"/>
      <c r="D132" s="572" t="s">
        <v>6018</v>
      </c>
      <c r="E132" s="492"/>
      <c r="F132" s="483"/>
      <c r="G132" s="483"/>
      <c r="H132" s="483"/>
      <c r="I132" s="481"/>
      <c r="J132" s="484"/>
      <c r="K132" s="485"/>
      <c r="L132" s="485"/>
    </row>
    <row r="133" spans="2:13" s="474" customFormat="1" x14ac:dyDescent="0.3">
      <c r="B133" s="552" t="s">
        <v>86</v>
      </c>
      <c r="C133" s="553">
        <f>O71-P71+O77-P77+O82-P82+O86-P86+O101-P101+O107-P107+O112-P112</f>
        <v>948352.48</v>
      </c>
      <c r="D133" s="482"/>
      <c r="E133" s="492"/>
      <c r="F133" s="483"/>
      <c r="G133" s="483"/>
      <c r="H133" s="483"/>
      <c r="I133" s="481"/>
      <c r="J133" s="484"/>
      <c r="K133" s="485"/>
      <c r="L133" s="485"/>
    </row>
    <row r="134" spans="2:13" s="474" customFormat="1" x14ac:dyDescent="0.3">
      <c r="B134" s="552" t="s">
        <v>85</v>
      </c>
      <c r="C134" s="555">
        <f>O34-P34+O89-P89+O95-P95+O117-P117</f>
        <v>667495.73</v>
      </c>
      <c r="D134" s="554"/>
      <c r="E134" s="492"/>
      <c r="F134" s="483"/>
      <c r="G134" s="483"/>
      <c r="H134" s="483"/>
      <c r="I134" s="481"/>
      <c r="J134" s="484"/>
      <c r="K134" s="485"/>
      <c r="L134" s="485"/>
    </row>
    <row r="135" spans="2:13" s="474" customFormat="1" x14ac:dyDescent="0.3">
      <c r="B135" s="552" t="s">
        <v>87</v>
      </c>
      <c r="C135" s="553">
        <f>O56-P56+O93-P93+O99-P99+O122-P122</f>
        <v>577624.30000000005</v>
      </c>
      <c r="D135" s="482"/>
      <c r="E135" s="492"/>
      <c r="F135" s="483"/>
      <c r="G135" s="483"/>
      <c r="H135" s="483"/>
      <c r="I135" s="481"/>
      <c r="J135" s="484"/>
      <c r="K135" s="485"/>
      <c r="L135" s="485"/>
    </row>
    <row r="136" spans="2:13" s="474" customFormat="1" x14ac:dyDescent="0.3">
      <c r="B136" s="552" t="s">
        <v>6007</v>
      </c>
      <c r="C136" s="555">
        <f>O58-P58+O126-P126</f>
        <v>254304.47</v>
      </c>
      <c r="D136" s="482"/>
      <c r="E136" s="492"/>
      <c r="F136" s="483"/>
      <c r="G136" s="483"/>
      <c r="H136" s="483"/>
      <c r="I136" s="481"/>
      <c r="J136" s="484"/>
      <c r="K136" s="485"/>
      <c r="L136" s="485"/>
    </row>
    <row r="137" spans="2:13" s="474" customFormat="1" x14ac:dyDescent="0.3">
      <c r="B137" s="483"/>
      <c r="C137" s="483"/>
      <c r="D137" s="482"/>
      <c r="E137" s="492"/>
      <c r="F137" s="483"/>
      <c r="G137" s="483"/>
      <c r="H137" s="483"/>
      <c r="I137" s="481"/>
      <c r="J137" s="484"/>
      <c r="K137" s="485"/>
      <c r="L137" s="485"/>
    </row>
    <row r="138" spans="2:13" s="474" customFormat="1" x14ac:dyDescent="0.3">
      <c r="B138" s="483"/>
      <c r="C138" s="483"/>
      <c r="D138" s="482"/>
      <c r="E138" s="492"/>
      <c r="F138" s="483"/>
      <c r="G138" s="483"/>
      <c r="H138" s="483"/>
      <c r="I138" s="481"/>
      <c r="J138" s="484"/>
      <c r="K138" s="485"/>
      <c r="L138" s="485"/>
    </row>
    <row r="139" spans="2:13" s="474" customFormat="1" x14ac:dyDescent="0.3">
      <c r="B139" s="483"/>
      <c r="C139" s="483"/>
      <c r="D139" s="482"/>
      <c r="E139" s="492"/>
      <c r="F139" s="483"/>
      <c r="G139" s="483"/>
      <c r="H139" s="483"/>
      <c r="I139" s="481"/>
      <c r="J139" s="484"/>
      <c r="K139" s="485"/>
      <c r="L139" s="485"/>
    </row>
    <row r="140" spans="2:13" s="474" customFormat="1" x14ac:dyDescent="0.3">
      <c r="B140" s="483"/>
      <c r="C140" s="483"/>
      <c r="D140" s="482"/>
      <c r="E140" s="492"/>
      <c r="F140" s="483"/>
      <c r="G140" s="483"/>
      <c r="H140" s="483"/>
      <c r="I140" s="481"/>
      <c r="J140" s="484"/>
      <c r="K140" s="485"/>
      <c r="L140" s="485"/>
    </row>
    <row r="141" spans="2:13" s="474" customFormat="1" x14ac:dyDescent="0.3">
      <c r="B141" s="483"/>
      <c r="C141" s="483"/>
      <c r="D141" s="482"/>
      <c r="E141" s="492"/>
      <c r="F141" s="483"/>
      <c r="G141" s="483"/>
      <c r="H141" s="483"/>
      <c r="I141" s="481"/>
      <c r="J141" s="484"/>
      <c r="K141" s="485"/>
      <c r="L141" s="485"/>
    </row>
    <row r="142" spans="2:13" s="474" customFormat="1" x14ac:dyDescent="0.3">
      <c r="B142" s="483"/>
      <c r="C142" s="483"/>
      <c r="D142" s="482"/>
      <c r="E142" s="492"/>
      <c r="F142" s="483"/>
      <c r="G142" s="483"/>
      <c r="H142" s="483"/>
      <c r="I142" s="481"/>
      <c r="J142" s="484"/>
      <c r="K142" s="485"/>
      <c r="L142" s="485"/>
    </row>
    <row r="143" spans="2:13" s="474" customFormat="1" x14ac:dyDescent="0.3">
      <c r="B143" s="483"/>
      <c r="C143" s="483"/>
      <c r="D143" s="482"/>
      <c r="E143" s="492"/>
      <c r="F143" s="483"/>
      <c r="G143" s="483"/>
      <c r="H143" s="483"/>
      <c r="I143" s="481"/>
      <c r="J143" s="484"/>
      <c r="K143" s="485"/>
      <c r="L143" s="485"/>
    </row>
    <row r="144" spans="2:13" s="474" customFormat="1" x14ac:dyDescent="0.3">
      <c r="B144" s="483"/>
      <c r="C144" s="483"/>
      <c r="D144" s="482"/>
      <c r="E144" s="492"/>
      <c r="F144" s="483"/>
      <c r="G144" s="483"/>
      <c r="H144" s="483"/>
      <c r="I144" s="481"/>
      <c r="J144" s="484"/>
      <c r="K144" s="485"/>
      <c r="L144" s="485"/>
    </row>
    <row r="145" spans="2:12" s="474" customFormat="1" x14ac:dyDescent="0.3">
      <c r="B145" s="483"/>
      <c r="C145" s="483"/>
      <c r="D145" s="482"/>
      <c r="E145" s="492"/>
      <c r="F145" s="483"/>
      <c r="G145" s="483"/>
      <c r="H145" s="483"/>
      <c r="I145" s="481"/>
      <c r="J145" s="484"/>
      <c r="K145" s="485"/>
      <c r="L145" s="485"/>
    </row>
    <row r="146" spans="2:12" s="474" customFormat="1" x14ac:dyDescent="0.3">
      <c r="B146" s="483"/>
      <c r="C146" s="483"/>
      <c r="D146" s="482"/>
      <c r="E146" s="492"/>
      <c r="F146" s="483"/>
      <c r="G146" s="483"/>
      <c r="H146" s="483"/>
      <c r="I146" s="481"/>
      <c r="J146" s="484"/>
      <c r="K146" s="485"/>
      <c r="L146" s="485"/>
    </row>
    <row r="147" spans="2:12" s="474" customFormat="1" x14ac:dyDescent="0.3">
      <c r="B147" s="483"/>
      <c r="C147" s="483"/>
      <c r="D147" s="482"/>
      <c r="E147" s="492"/>
      <c r="F147" s="483"/>
      <c r="G147" s="483"/>
      <c r="H147" s="483"/>
      <c r="I147" s="481"/>
      <c r="J147" s="484"/>
      <c r="K147" s="485"/>
      <c r="L147" s="485"/>
    </row>
    <row r="148" spans="2:12" s="474" customFormat="1" x14ac:dyDescent="0.3">
      <c r="B148" s="483"/>
      <c r="C148" s="483"/>
      <c r="D148" s="482"/>
      <c r="E148" s="492"/>
      <c r="F148" s="483"/>
      <c r="G148" s="483"/>
      <c r="H148" s="483"/>
      <c r="I148" s="481"/>
      <c r="J148" s="484"/>
      <c r="K148" s="485"/>
      <c r="L148" s="485"/>
    </row>
    <row r="149" spans="2:12" s="474" customFormat="1" x14ac:dyDescent="0.3">
      <c r="B149" s="483"/>
      <c r="C149" s="483"/>
      <c r="D149" s="482"/>
      <c r="E149" s="492"/>
      <c r="F149" s="483"/>
      <c r="G149" s="483"/>
      <c r="H149" s="483"/>
      <c r="I149" s="481"/>
      <c r="J149" s="484"/>
      <c r="K149" s="485"/>
      <c r="L149" s="485"/>
    </row>
    <row r="150" spans="2:12" s="474" customFormat="1" x14ac:dyDescent="0.3">
      <c r="B150" s="483"/>
      <c r="C150" s="483"/>
      <c r="D150" s="482"/>
      <c r="E150" s="492"/>
      <c r="F150" s="483"/>
      <c r="G150" s="483"/>
      <c r="H150" s="483"/>
      <c r="I150" s="481"/>
      <c r="J150" s="484"/>
      <c r="K150" s="485"/>
      <c r="L150" s="485"/>
    </row>
    <row r="151" spans="2:12" s="474" customFormat="1" x14ac:dyDescent="0.3">
      <c r="B151" s="483"/>
      <c r="C151" s="483"/>
      <c r="D151" s="482"/>
      <c r="E151" s="492"/>
      <c r="F151" s="483"/>
      <c r="G151" s="483"/>
      <c r="H151" s="483"/>
      <c r="I151" s="481"/>
      <c r="J151" s="484"/>
      <c r="K151" s="485"/>
      <c r="L151" s="485"/>
    </row>
    <row r="152" spans="2:12" s="474" customFormat="1" x14ac:dyDescent="0.3">
      <c r="B152" s="483"/>
      <c r="C152" s="483"/>
      <c r="D152" s="482"/>
      <c r="E152" s="492"/>
      <c r="F152" s="483"/>
      <c r="G152" s="483"/>
      <c r="H152" s="483"/>
      <c r="I152" s="481"/>
      <c r="J152" s="484"/>
      <c r="K152" s="485"/>
      <c r="L152" s="485"/>
    </row>
    <row r="153" spans="2:12" s="474" customFormat="1" x14ac:dyDescent="0.3">
      <c r="B153" s="483"/>
      <c r="C153" s="483"/>
      <c r="D153" s="482"/>
      <c r="E153" s="492"/>
      <c r="F153" s="483"/>
      <c r="G153" s="483"/>
      <c r="H153" s="483"/>
      <c r="I153" s="481"/>
      <c r="J153" s="484"/>
      <c r="K153" s="485"/>
      <c r="L153" s="485"/>
    </row>
    <row r="154" spans="2:12" s="474" customFormat="1" x14ac:dyDescent="0.3">
      <c r="B154" s="483"/>
      <c r="C154" s="483"/>
      <c r="D154" s="482"/>
      <c r="E154" s="492"/>
      <c r="F154" s="483"/>
      <c r="G154" s="483"/>
      <c r="H154" s="483"/>
      <c r="I154" s="481"/>
      <c r="J154" s="484"/>
      <c r="K154" s="485"/>
      <c r="L154" s="485"/>
    </row>
    <row r="155" spans="2:12" s="474" customFormat="1" x14ac:dyDescent="0.3">
      <c r="B155" s="483"/>
      <c r="C155" s="483"/>
      <c r="D155" s="482"/>
      <c r="E155" s="492"/>
      <c r="F155" s="483"/>
      <c r="G155" s="483"/>
      <c r="H155" s="483"/>
      <c r="I155" s="481"/>
      <c r="J155" s="484"/>
      <c r="K155" s="485"/>
      <c r="L155" s="485"/>
    </row>
    <row r="156" spans="2:12" s="474" customFormat="1" x14ac:dyDescent="0.3">
      <c r="B156" s="483"/>
      <c r="C156" s="483"/>
      <c r="D156" s="482"/>
      <c r="E156" s="492"/>
      <c r="F156" s="483"/>
      <c r="G156" s="483"/>
      <c r="H156" s="483"/>
      <c r="I156" s="481"/>
      <c r="J156" s="484"/>
      <c r="K156" s="485"/>
      <c r="L156" s="485"/>
    </row>
    <row r="157" spans="2:12" s="474" customFormat="1" x14ac:dyDescent="0.3">
      <c r="B157" s="483"/>
      <c r="C157" s="483"/>
      <c r="D157" s="482"/>
      <c r="E157" s="492"/>
      <c r="F157" s="483"/>
      <c r="G157" s="483"/>
      <c r="H157" s="483"/>
      <c r="I157" s="481"/>
      <c r="J157" s="484"/>
      <c r="K157" s="485"/>
      <c r="L157" s="485"/>
    </row>
    <row r="158" spans="2:12" s="474" customFormat="1" x14ac:dyDescent="0.3">
      <c r="B158" s="483"/>
      <c r="C158" s="483"/>
      <c r="D158" s="482"/>
      <c r="E158" s="492"/>
      <c r="F158" s="483"/>
      <c r="G158" s="483"/>
      <c r="H158" s="483"/>
      <c r="I158" s="481"/>
      <c r="J158" s="484"/>
      <c r="K158" s="485"/>
      <c r="L158" s="485"/>
    </row>
    <row r="159" spans="2:12" s="474" customFormat="1" x14ac:dyDescent="0.3">
      <c r="B159" s="483"/>
      <c r="C159" s="483"/>
      <c r="D159" s="482"/>
      <c r="E159" s="492"/>
      <c r="F159" s="483"/>
      <c r="G159" s="483"/>
      <c r="H159" s="483"/>
      <c r="I159" s="481"/>
      <c r="J159" s="484"/>
      <c r="K159" s="485"/>
      <c r="L159" s="485"/>
    </row>
    <row r="160" spans="2:12" s="474" customFormat="1" x14ac:dyDescent="0.3">
      <c r="B160" s="483"/>
      <c r="C160" s="483"/>
      <c r="D160" s="482"/>
      <c r="E160" s="492"/>
      <c r="F160" s="483"/>
      <c r="G160" s="483"/>
      <c r="H160" s="483"/>
      <c r="I160" s="481"/>
      <c r="J160" s="484"/>
      <c r="K160" s="485"/>
      <c r="L160" s="485"/>
    </row>
    <row r="161" spans="2:12" s="474" customFormat="1" x14ac:dyDescent="0.3">
      <c r="B161" s="483"/>
      <c r="C161" s="483"/>
      <c r="D161" s="482"/>
      <c r="E161" s="492"/>
      <c r="F161" s="483"/>
      <c r="G161" s="483"/>
      <c r="H161" s="483"/>
      <c r="I161" s="481"/>
      <c r="J161" s="484"/>
      <c r="K161" s="485"/>
      <c r="L161" s="485"/>
    </row>
    <row r="162" spans="2:12" s="474" customFormat="1" x14ac:dyDescent="0.3">
      <c r="B162" s="483"/>
      <c r="C162" s="483"/>
      <c r="D162" s="482"/>
      <c r="E162" s="492"/>
      <c r="F162" s="483"/>
      <c r="G162" s="483"/>
      <c r="H162" s="483"/>
      <c r="I162" s="481"/>
      <c r="J162" s="484"/>
      <c r="K162" s="485"/>
      <c r="L162" s="485"/>
    </row>
    <row r="163" spans="2:12" s="474" customFormat="1" x14ac:dyDescent="0.3">
      <c r="B163" s="483"/>
      <c r="C163" s="483"/>
      <c r="D163" s="482"/>
      <c r="E163" s="492"/>
      <c r="F163" s="483"/>
      <c r="G163" s="483"/>
      <c r="H163" s="483"/>
      <c r="I163" s="481"/>
      <c r="J163" s="484"/>
      <c r="K163" s="485"/>
      <c r="L163" s="485"/>
    </row>
    <row r="164" spans="2:12" s="474" customFormat="1" x14ac:dyDescent="0.3">
      <c r="B164" s="483"/>
      <c r="C164" s="483"/>
      <c r="D164" s="482"/>
      <c r="E164" s="492"/>
      <c r="F164" s="483"/>
      <c r="G164" s="483"/>
      <c r="H164" s="483"/>
      <c r="I164" s="481"/>
      <c r="J164" s="484"/>
      <c r="K164" s="485"/>
      <c r="L164" s="485"/>
    </row>
    <row r="165" spans="2:12" s="474" customFormat="1" x14ac:dyDescent="0.3">
      <c r="B165" s="483"/>
      <c r="C165" s="483"/>
      <c r="D165" s="482"/>
      <c r="E165" s="492"/>
      <c r="F165" s="483"/>
      <c r="G165" s="483"/>
      <c r="H165" s="483"/>
      <c r="I165" s="481"/>
      <c r="J165" s="484"/>
      <c r="K165" s="485"/>
      <c r="L165" s="485"/>
    </row>
    <row r="166" spans="2:12" s="474" customFormat="1" x14ac:dyDescent="0.3">
      <c r="B166" s="483"/>
      <c r="C166" s="483"/>
      <c r="D166" s="482"/>
      <c r="E166" s="492"/>
      <c r="F166" s="483"/>
      <c r="G166" s="483"/>
      <c r="H166" s="483"/>
      <c r="I166" s="481"/>
      <c r="J166" s="484"/>
      <c r="K166" s="485"/>
      <c r="L166" s="485"/>
    </row>
    <row r="167" spans="2:12" s="474" customFormat="1" x14ac:dyDescent="0.3">
      <c r="B167" s="483"/>
      <c r="C167" s="483"/>
      <c r="D167" s="482"/>
      <c r="E167" s="492"/>
      <c r="F167" s="483"/>
      <c r="G167" s="483"/>
      <c r="H167" s="483"/>
      <c r="I167" s="481"/>
      <c r="J167" s="484"/>
      <c r="K167" s="485"/>
      <c r="L167" s="485"/>
    </row>
    <row r="168" spans="2:12" s="474" customFormat="1" x14ac:dyDescent="0.3">
      <c r="B168" s="483"/>
      <c r="C168" s="483"/>
      <c r="D168" s="482"/>
      <c r="E168" s="492"/>
      <c r="F168" s="483"/>
      <c r="G168" s="483"/>
      <c r="H168" s="483"/>
      <c r="I168" s="481"/>
      <c r="J168" s="484"/>
      <c r="K168" s="485"/>
      <c r="L168" s="485"/>
    </row>
    <row r="169" spans="2:12" s="474" customFormat="1" x14ac:dyDescent="0.3">
      <c r="B169" s="483"/>
      <c r="C169" s="483"/>
      <c r="D169" s="482"/>
      <c r="E169" s="492"/>
      <c r="F169" s="483"/>
      <c r="G169" s="483"/>
      <c r="H169" s="483"/>
      <c r="I169" s="481"/>
      <c r="J169" s="484"/>
      <c r="K169" s="485"/>
      <c r="L169" s="485"/>
    </row>
    <row r="170" spans="2:12" s="474" customFormat="1" x14ac:dyDescent="0.3">
      <c r="B170" s="483"/>
      <c r="C170" s="483"/>
      <c r="D170" s="482"/>
      <c r="E170" s="492"/>
      <c r="F170" s="483"/>
      <c r="G170" s="483"/>
      <c r="H170" s="483"/>
      <c r="I170" s="481"/>
      <c r="J170" s="484"/>
      <c r="K170" s="485"/>
      <c r="L170" s="485"/>
    </row>
    <row r="171" spans="2:12" s="474" customFormat="1" x14ac:dyDescent="0.3">
      <c r="B171" s="483"/>
      <c r="C171" s="483"/>
      <c r="D171" s="482"/>
      <c r="E171" s="492"/>
      <c r="F171" s="483"/>
      <c r="G171" s="483"/>
      <c r="H171" s="483"/>
      <c r="I171" s="481"/>
      <c r="J171" s="484"/>
      <c r="K171" s="485"/>
      <c r="L171" s="485"/>
    </row>
    <row r="172" spans="2:12" s="474" customFormat="1" x14ac:dyDescent="0.3">
      <c r="B172" s="483"/>
      <c r="C172" s="483"/>
      <c r="D172" s="482"/>
      <c r="E172" s="492"/>
      <c r="F172" s="483"/>
      <c r="G172" s="483"/>
      <c r="H172" s="483"/>
      <c r="I172" s="481"/>
      <c r="J172" s="484"/>
      <c r="K172" s="485"/>
      <c r="L172" s="485"/>
    </row>
    <row r="173" spans="2:12" s="474" customFormat="1" x14ac:dyDescent="0.3">
      <c r="B173" s="483"/>
      <c r="C173" s="483"/>
      <c r="D173" s="482"/>
      <c r="E173" s="492"/>
      <c r="F173" s="483"/>
      <c r="G173" s="483"/>
      <c r="H173" s="483"/>
      <c r="I173" s="481"/>
      <c r="J173" s="484"/>
      <c r="K173" s="485"/>
      <c r="L173" s="485"/>
    </row>
    <row r="174" spans="2:12" s="474" customFormat="1" x14ac:dyDescent="0.3">
      <c r="B174" s="483"/>
      <c r="C174" s="483"/>
      <c r="D174" s="482"/>
      <c r="E174" s="492"/>
      <c r="F174" s="483"/>
      <c r="G174" s="483"/>
      <c r="H174" s="483"/>
      <c r="I174" s="481"/>
      <c r="J174" s="484"/>
      <c r="K174" s="485"/>
      <c r="L174" s="485"/>
    </row>
    <row r="175" spans="2:12" s="474" customFormat="1" x14ac:dyDescent="0.3">
      <c r="B175" s="483"/>
      <c r="C175" s="483"/>
      <c r="D175" s="482"/>
      <c r="E175" s="492"/>
      <c r="F175" s="483"/>
      <c r="G175" s="483"/>
      <c r="H175" s="483"/>
      <c r="I175" s="481"/>
      <c r="J175" s="484"/>
      <c r="K175" s="485"/>
      <c r="L175" s="485"/>
    </row>
    <row r="176" spans="2:12" s="474" customFormat="1" x14ac:dyDescent="0.3">
      <c r="B176" s="483"/>
      <c r="C176" s="483"/>
      <c r="D176" s="482"/>
      <c r="E176" s="492"/>
      <c r="F176" s="483"/>
      <c r="G176" s="483"/>
      <c r="H176" s="483"/>
      <c r="I176" s="481"/>
      <c r="J176" s="484"/>
      <c r="K176" s="485"/>
      <c r="L176" s="485"/>
    </row>
    <row r="177" spans="2:12" s="474" customFormat="1" x14ac:dyDescent="0.3">
      <c r="B177" s="483"/>
      <c r="C177" s="483"/>
      <c r="D177" s="482"/>
      <c r="E177" s="492"/>
      <c r="F177" s="483"/>
      <c r="G177" s="483"/>
      <c r="H177" s="483"/>
      <c r="I177" s="481"/>
      <c r="J177" s="484"/>
      <c r="K177" s="485"/>
      <c r="L177" s="485"/>
    </row>
    <row r="178" spans="2:12" s="474" customFormat="1" x14ac:dyDescent="0.3">
      <c r="B178" s="483"/>
      <c r="C178" s="483"/>
      <c r="D178" s="482"/>
      <c r="E178" s="492"/>
      <c r="F178" s="483"/>
      <c r="G178" s="483"/>
      <c r="H178" s="483"/>
      <c r="I178" s="481"/>
      <c r="J178" s="484"/>
      <c r="K178" s="485"/>
      <c r="L178" s="485"/>
    </row>
    <row r="179" spans="2:12" s="474" customFormat="1" x14ac:dyDescent="0.3">
      <c r="B179" s="483"/>
      <c r="C179" s="483"/>
      <c r="D179" s="482"/>
      <c r="E179" s="492"/>
      <c r="F179" s="483"/>
      <c r="G179" s="483"/>
      <c r="H179" s="483"/>
      <c r="I179" s="481"/>
      <c r="J179" s="484"/>
      <c r="K179" s="485"/>
      <c r="L179" s="485"/>
    </row>
    <row r="180" spans="2:12" s="474" customFormat="1" x14ac:dyDescent="0.3">
      <c r="B180" s="483"/>
      <c r="C180" s="483"/>
      <c r="D180" s="482"/>
      <c r="E180" s="492"/>
      <c r="F180" s="483"/>
      <c r="G180" s="483"/>
      <c r="H180" s="483"/>
      <c r="I180" s="481"/>
      <c r="J180" s="484"/>
      <c r="K180" s="485"/>
      <c r="L180" s="485"/>
    </row>
    <row r="181" spans="2:12" s="474" customFormat="1" x14ac:dyDescent="0.3">
      <c r="B181" s="483"/>
      <c r="C181" s="483"/>
      <c r="D181" s="482"/>
      <c r="E181" s="492"/>
      <c r="F181" s="483"/>
      <c r="G181" s="483"/>
      <c r="H181" s="483"/>
      <c r="I181" s="481"/>
      <c r="J181" s="484"/>
      <c r="K181" s="485"/>
      <c r="L181" s="485"/>
    </row>
    <row r="182" spans="2:12" s="474" customFormat="1" x14ac:dyDescent="0.3">
      <c r="B182" s="483"/>
      <c r="C182" s="483"/>
      <c r="D182" s="482"/>
      <c r="E182" s="492"/>
      <c r="F182" s="483"/>
      <c r="G182" s="483"/>
      <c r="H182" s="483"/>
      <c r="I182" s="481"/>
      <c r="J182" s="484"/>
      <c r="K182" s="485"/>
      <c r="L182" s="485"/>
    </row>
    <row r="183" spans="2:12" s="474" customFormat="1" x14ac:dyDescent="0.3">
      <c r="B183" s="483"/>
      <c r="C183" s="483"/>
      <c r="D183" s="482"/>
      <c r="E183" s="492"/>
      <c r="F183" s="483"/>
      <c r="G183" s="483"/>
      <c r="H183" s="483"/>
      <c r="I183" s="481"/>
      <c r="J183" s="484"/>
      <c r="K183" s="485"/>
      <c r="L183" s="485"/>
    </row>
    <row r="184" spans="2:12" s="474" customFormat="1" x14ac:dyDescent="0.3">
      <c r="B184" s="483"/>
      <c r="C184" s="483"/>
      <c r="D184" s="482"/>
      <c r="E184" s="492"/>
      <c r="F184" s="483"/>
      <c r="G184" s="483"/>
      <c r="H184" s="483"/>
      <c r="I184" s="481"/>
      <c r="J184" s="484"/>
      <c r="K184" s="485"/>
      <c r="L184" s="485"/>
    </row>
    <row r="185" spans="2:12" s="474" customFormat="1" x14ac:dyDescent="0.3">
      <c r="B185" s="483"/>
      <c r="C185" s="483"/>
      <c r="D185" s="482"/>
      <c r="E185" s="492"/>
      <c r="F185" s="483"/>
      <c r="G185" s="483"/>
      <c r="H185" s="483"/>
      <c r="I185" s="481"/>
      <c r="J185" s="484"/>
      <c r="K185" s="485"/>
      <c r="L185" s="485"/>
    </row>
    <row r="186" spans="2:12" s="474" customFormat="1" x14ac:dyDescent="0.3">
      <c r="B186" s="483"/>
      <c r="C186" s="483"/>
      <c r="D186" s="482"/>
      <c r="E186" s="492"/>
      <c r="F186" s="483"/>
      <c r="G186" s="483"/>
      <c r="H186" s="483"/>
      <c r="I186" s="481"/>
      <c r="J186" s="484"/>
      <c r="K186" s="485"/>
      <c r="L186" s="485"/>
    </row>
    <row r="187" spans="2:12" s="474" customFormat="1" x14ac:dyDescent="0.3">
      <c r="B187" s="483"/>
      <c r="C187" s="483"/>
      <c r="D187" s="482"/>
      <c r="E187" s="492"/>
      <c r="F187" s="483"/>
      <c r="G187" s="483"/>
      <c r="H187" s="483"/>
      <c r="I187" s="481"/>
      <c r="J187" s="484"/>
      <c r="K187" s="485"/>
      <c r="L187" s="485"/>
    </row>
    <row r="188" spans="2:12" s="474" customFormat="1" x14ac:dyDescent="0.3">
      <c r="B188" s="483"/>
      <c r="C188" s="483"/>
      <c r="D188" s="482"/>
      <c r="E188" s="492"/>
      <c r="F188" s="483"/>
      <c r="G188" s="483"/>
      <c r="H188" s="483"/>
      <c r="I188" s="481"/>
      <c r="J188" s="484"/>
      <c r="K188" s="485"/>
      <c r="L188" s="485"/>
    </row>
    <row r="189" spans="2:12" s="474" customFormat="1" x14ac:dyDescent="0.3">
      <c r="B189" s="483"/>
      <c r="C189" s="483"/>
      <c r="D189" s="482"/>
      <c r="E189" s="492"/>
      <c r="F189" s="483"/>
      <c r="G189" s="483"/>
      <c r="H189" s="483"/>
      <c r="I189" s="481"/>
      <c r="J189" s="484"/>
      <c r="K189" s="485"/>
      <c r="L189" s="485"/>
    </row>
    <row r="190" spans="2:12" s="474" customFormat="1" x14ac:dyDescent="0.3">
      <c r="B190" s="483"/>
      <c r="C190" s="483"/>
      <c r="D190" s="482"/>
      <c r="E190" s="492"/>
      <c r="F190" s="483"/>
      <c r="G190" s="483"/>
      <c r="H190" s="483"/>
      <c r="I190" s="481"/>
      <c r="J190" s="484"/>
      <c r="K190" s="485"/>
      <c r="L190" s="485"/>
    </row>
    <row r="191" spans="2:12" s="474" customFormat="1" x14ac:dyDescent="0.3">
      <c r="B191" s="483"/>
      <c r="C191" s="483"/>
      <c r="D191" s="482"/>
      <c r="E191" s="492"/>
      <c r="F191" s="483"/>
      <c r="G191" s="483"/>
      <c r="H191" s="483"/>
      <c r="I191" s="481"/>
      <c r="J191" s="484"/>
      <c r="K191" s="485"/>
      <c r="L191" s="485"/>
    </row>
    <row r="192" spans="2:12" s="474" customFormat="1" x14ac:dyDescent="0.3">
      <c r="B192" s="483"/>
      <c r="C192" s="483"/>
      <c r="D192" s="482"/>
      <c r="E192" s="492"/>
      <c r="F192" s="483"/>
      <c r="G192" s="483"/>
      <c r="H192" s="483"/>
      <c r="I192" s="481"/>
      <c r="J192" s="484"/>
      <c r="K192" s="485"/>
      <c r="L192" s="485"/>
    </row>
    <row r="193" spans="2:12" s="474" customFormat="1" x14ac:dyDescent="0.3">
      <c r="B193" s="483"/>
      <c r="C193" s="483"/>
      <c r="D193" s="482"/>
      <c r="E193" s="492"/>
      <c r="F193" s="483"/>
      <c r="G193" s="483"/>
      <c r="H193" s="483"/>
      <c r="I193" s="481"/>
      <c r="J193" s="484"/>
      <c r="K193" s="485"/>
      <c r="L193" s="485"/>
    </row>
    <row r="194" spans="2:12" s="474" customFormat="1" x14ac:dyDescent="0.3">
      <c r="B194" s="483"/>
      <c r="C194" s="483"/>
      <c r="D194" s="482"/>
      <c r="E194" s="492"/>
      <c r="F194" s="483"/>
      <c r="G194" s="483"/>
      <c r="H194" s="483"/>
      <c r="I194" s="481"/>
      <c r="J194" s="484"/>
      <c r="K194" s="485"/>
      <c r="L194" s="485"/>
    </row>
    <row r="195" spans="2:12" s="474" customFormat="1" x14ac:dyDescent="0.3">
      <c r="B195" s="483"/>
      <c r="C195" s="483"/>
      <c r="D195" s="482"/>
      <c r="E195" s="492"/>
      <c r="F195" s="483"/>
      <c r="G195" s="483"/>
      <c r="H195" s="483"/>
      <c r="I195" s="481"/>
      <c r="J195" s="484"/>
      <c r="K195" s="485"/>
      <c r="L195" s="485"/>
    </row>
    <row r="196" spans="2:12" s="474" customFormat="1" x14ac:dyDescent="0.3">
      <c r="B196" s="483"/>
      <c r="C196" s="483"/>
      <c r="D196" s="482"/>
      <c r="E196" s="492"/>
      <c r="F196" s="483"/>
      <c r="G196" s="483"/>
      <c r="H196" s="483"/>
      <c r="I196" s="481"/>
      <c r="J196" s="484"/>
      <c r="K196" s="485"/>
      <c r="L196" s="485"/>
    </row>
    <row r="197" spans="2:12" s="474" customFormat="1" x14ac:dyDescent="0.3">
      <c r="B197" s="483"/>
      <c r="C197" s="483"/>
      <c r="D197" s="482"/>
      <c r="E197" s="492"/>
      <c r="F197" s="483"/>
      <c r="G197" s="483"/>
      <c r="H197" s="483"/>
      <c r="I197" s="481"/>
      <c r="J197" s="484"/>
      <c r="K197" s="485"/>
      <c r="L197" s="485"/>
    </row>
    <row r="198" spans="2:12" s="474" customFormat="1" x14ac:dyDescent="0.3">
      <c r="B198" s="483"/>
      <c r="C198" s="483"/>
      <c r="D198" s="482"/>
      <c r="E198" s="492"/>
      <c r="F198" s="483"/>
      <c r="G198" s="483"/>
      <c r="H198" s="483"/>
      <c r="I198" s="481"/>
      <c r="J198" s="484"/>
      <c r="K198" s="485"/>
      <c r="L198" s="485"/>
    </row>
    <row r="199" spans="2:12" s="474" customFormat="1" x14ac:dyDescent="0.3">
      <c r="B199" s="483"/>
      <c r="C199" s="483"/>
      <c r="D199" s="482"/>
      <c r="E199" s="492"/>
      <c r="F199" s="483"/>
      <c r="G199" s="483"/>
      <c r="H199" s="483"/>
      <c r="I199" s="481"/>
      <c r="J199" s="484"/>
      <c r="K199" s="485"/>
      <c r="L199" s="485"/>
    </row>
    <row r="200" spans="2:12" s="474" customFormat="1" x14ac:dyDescent="0.3">
      <c r="B200" s="483"/>
      <c r="C200" s="483"/>
      <c r="D200" s="482"/>
      <c r="E200" s="492"/>
      <c r="F200" s="483"/>
      <c r="G200" s="483"/>
      <c r="H200" s="483"/>
      <c r="I200" s="481"/>
      <c r="J200" s="484"/>
      <c r="K200" s="485"/>
      <c r="L200" s="485"/>
    </row>
    <row r="201" spans="2:12" s="474" customFormat="1" x14ac:dyDescent="0.3">
      <c r="B201" s="483"/>
      <c r="C201" s="483"/>
      <c r="D201" s="482"/>
      <c r="E201" s="492"/>
      <c r="F201" s="483"/>
      <c r="G201" s="483"/>
      <c r="H201" s="483"/>
      <c r="I201" s="481"/>
      <c r="J201" s="484"/>
      <c r="K201" s="485"/>
      <c r="L201" s="485"/>
    </row>
    <row r="202" spans="2:12" s="474" customFormat="1" x14ac:dyDescent="0.3">
      <c r="B202" s="483"/>
      <c r="C202" s="483"/>
      <c r="D202" s="482"/>
      <c r="E202" s="492"/>
      <c r="F202" s="483"/>
      <c r="G202" s="483"/>
      <c r="H202" s="483"/>
      <c r="I202" s="481"/>
      <c r="J202" s="484"/>
      <c r="K202" s="485"/>
      <c r="L202" s="485"/>
    </row>
    <row r="203" spans="2:12" s="474" customFormat="1" x14ac:dyDescent="0.3">
      <c r="B203" s="483"/>
      <c r="C203" s="483"/>
      <c r="D203" s="482"/>
      <c r="E203" s="492"/>
      <c r="F203" s="483"/>
      <c r="G203" s="483"/>
      <c r="H203" s="483"/>
      <c r="I203" s="481"/>
      <c r="J203" s="484"/>
      <c r="K203" s="485"/>
      <c r="L203" s="485"/>
    </row>
    <row r="204" spans="2:12" s="474" customFormat="1" x14ac:dyDescent="0.3">
      <c r="B204" s="483"/>
      <c r="C204" s="483"/>
      <c r="D204" s="482"/>
      <c r="E204" s="492"/>
      <c r="F204" s="483"/>
      <c r="G204" s="483"/>
      <c r="H204" s="483"/>
      <c r="I204" s="481"/>
      <c r="J204" s="484"/>
      <c r="K204" s="485"/>
      <c r="L204" s="485"/>
    </row>
    <row r="205" spans="2:12" s="474" customFormat="1" x14ac:dyDescent="0.3">
      <c r="B205" s="483"/>
      <c r="C205" s="483"/>
      <c r="D205" s="482"/>
      <c r="E205" s="492"/>
      <c r="F205" s="483"/>
      <c r="G205" s="483"/>
      <c r="H205" s="483"/>
      <c r="I205" s="481"/>
      <c r="J205" s="484"/>
      <c r="K205" s="485"/>
      <c r="L205" s="485"/>
    </row>
    <row r="206" spans="2:12" s="474" customFormat="1" x14ac:dyDescent="0.3">
      <c r="B206" s="483"/>
      <c r="C206" s="483"/>
      <c r="D206" s="482"/>
      <c r="E206" s="492"/>
      <c r="F206" s="483"/>
      <c r="G206" s="483"/>
      <c r="H206" s="483"/>
      <c r="I206" s="481"/>
      <c r="J206" s="484"/>
      <c r="K206" s="485"/>
      <c r="L206" s="485"/>
    </row>
    <row r="207" spans="2:12" s="474" customFormat="1" x14ac:dyDescent="0.3">
      <c r="B207" s="483"/>
      <c r="C207" s="483"/>
      <c r="D207" s="482"/>
      <c r="E207" s="492"/>
      <c r="F207" s="483"/>
      <c r="G207" s="483"/>
      <c r="H207" s="483"/>
      <c r="I207" s="481"/>
      <c r="J207" s="484"/>
      <c r="K207" s="485"/>
      <c r="L207" s="485"/>
    </row>
    <row r="208" spans="2:12" s="474" customFormat="1" x14ac:dyDescent="0.3">
      <c r="B208" s="483"/>
      <c r="C208" s="483"/>
      <c r="D208" s="482"/>
      <c r="E208" s="492"/>
      <c r="F208" s="483"/>
      <c r="G208" s="483"/>
      <c r="H208" s="483"/>
      <c r="I208" s="481"/>
      <c r="J208" s="484"/>
      <c r="K208" s="485"/>
      <c r="L208" s="485"/>
    </row>
    <row r="209" spans="2:12" s="474" customFormat="1" x14ac:dyDescent="0.3">
      <c r="B209" s="483"/>
      <c r="C209" s="483"/>
      <c r="D209" s="482"/>
      <c r="E209" s="492"/>
      <c r="F209" s="483"/>
      <c r="G209" s="483"/>
      <c r="H209" s="483"/>
      <c r="I209" s="481"/>
      <c r="J209" s="484"/>
      <c r="K209" s="485"/>
      <c r="L209" s="485"/>
    </row>
    <row r="210" spans="2:12" s="474" customFormat="1" x14ac:dyDescent="0.3">
      <c r="B210" s="483"/>
      <c r="C210" s="483"/>
      <c r="D210" s="482"/>
      <c r="E210" s="492"/>
      <c r="F210" s="483"/>
      <c r="G210" s="483"/>
      <c r="H210" s="483"/>
      <c r="I210" s="481"/>
      <c r="J210" s="484"/>
      <c r="K210" s="485"/>
      <c r="L210" s="485"/>
    </row>
    <row r="211" spans="2:12" s="474" customFormat="1" x14ac:dyDescent="0.3">
      <c r="B211" s="483"/>
      <c r="C211" s="483"/>
      <c r="D211" s="482"/>
      <c r="E211" s="492"/>
      <c r="F211" s="483"/>
      <c r="G211" s="483"/>
      <c r="H211" s="483"/>
      <c r="I211" s="481"/>
      <c r="J211" s="484"/>
      <c r="K211" s="485"/>
      <c r="L211" s="485"/>
    </row>
    <row r="212" spans="2:12" s="474" customFormat="1" x14ac:dyDescent="0.3">
      <c r="B212" s="483"/>
      <c r="C212" s="483"/>
      <c r="D212" s="482"/>
      <c r="E212" s="492"/>
      <c r="F212" s="483"/>
      <c r="G212" s="483"/>
      <c r="H212" s="483"/>
      <c r="I212" s="481"/>
      <c r="J212" s="484"/>
      <c r="K212" s="485"/>
      <c r="L212" s="485"/>
    </row>
    <row r="213" spans="2:12" s="474" customFormat="1" x14ac:dyDescent="0.3">
      <c r="B213" s="483"/>
      <c r="C213" s="483"/>
      <c r="D213" s="482"/>
      <c r="E213" s="492"/>
      <c r="F213" s="483"/>
      <c r="G213" s="483"/>
      <c r="H213" s="483"/>
      <c r="I213" s="481"/>
      <c r="J213" s="484"/>
      <c r="K213" s="485"/>
      <c r="L213" s="485"/>
    </row>
    <row r="214" spans="2:12" s="474" customFormat="1" x14ac:dyDescent="0.3">
      <c r="B214" s="483"/>
      <c r="C214" s="483"/>
      <c r="D214" s="482"/>
      <c r="E214" s="492"/>
      <c r="F214" s="483"/>
      <c r="G214" s="483"/>
      <c r="H214" s="483"/>
      <c r="I214" s="481"/>
      <c r="J214" s="484"/>
      <c r="K214" s="485"/>
      <c r="L214" s="485"/>
    </row>
    <row r="215" spans="2:12" s="474" customFormat="1" x14ac:dyDescent="0.3">
      <c r="B215" s="483"/>
      <c r="C215" s="483"/>
      <c r="D215" s="482"/>
      <c r="E215" s="492"/>
      <c r="F215" s="483"/>
      <c r="G215" s="483"/>
      <c r="H215" s="483"/>
      <c r="I215" s="481"/>
      <c r="J215" s="484"/>
      <c r="K215" s="485"/>
      <c r="L215" s="485"/>
    </row>
    <row r="216" spans="2:12" s="474" customFormat="1" x14ac:dyDescent="0.3">
      <c r="B216" s="483"/>
      <c r="C216" s="483"/>
      <c r="D216" s="482"/>
      <c r="E216" s="492"/>
      <c r="F216" s="483"/>
      <c r="G216" s="483"/>
      <c r="H216" s="483"/>
      <c r="I216" s="481"/>
      <c r="J216" s="484"/>
      <c r="K216" s="485"/>
      <c r="L216" s="485"/>
    </row>
    <row r="217" spans="2:12" s="474" customFormat="1" x14ac:dyDescent="0.3">
      <c r="B217" s="483"/>
      <c r="C217" s="483"/>
      <c r="D217" s="482"/>
      <c r="E217" s="492"/>
      <c r="F217" s="483"/>
      <c r="G217" s="483"/>
      <c r="H217" s="483"/>
      <c r="I217" s="481"/>
      <c r="J217" s="484"/>
      <c r="K217" s="485"/>
      <c r="L217" s="485"/>
    </row>
    <row r="218" spans="2:12" s="474" customFormat="1" x14ac:dyDescent="0.3">
      <c r="B218" s="483"/>
      <c r="C218" s="483"/>
      <c r="D218" s="482"/>
      <c r="E218" s="492"/>
      <c r="F218" s="483"/>
      <c r="G218" s="483"/>
      <c r="H218" s="483"/>
      <c r="I218" s="481"/>
      <c r="J218" s="484"/>
      <c r="K218" s="485"/>
      <c r="L218" s="485"/>
    </row>
    <row r="219" spans="2:12" s="474" customFormat="1" x14ac:dyDescent="0.3">
      <c r="B219" s="483"/>
      <c r="C219" s="483"/>
      <c r="D219" s="482"/>
      <c r="E219" s="492"/>
      <c r="F219" s="483"/>
      <c r="G219" s="483"/>
      <c r="H219" s="483"/>
      <c r="I219" s="481"/>
      <c r="J219" s="484"/>
      <c r="K219" s="485"/>
      <c r="L219" s="485"/>
    </row>
    <row r="220" spans="2:12" s="474" customFormat="1" x14ac:dyDescent="0.3">
      <c r="B220" s="483"/>
      <c r="C220" s="483"/>
      <c r="D220" s="482"/>
      <c r="E220" s="492"/>
      <c r="F220" s="483"/>
      <c r="G220" s="483"/>
      <c r="H220" s="483"/>
      <c r="I220" s="481"/>
      <c r="J220" s="484"/>
      <c r="K220" s="485"/>
      <c r="L220" s="485"/>
    </row>
    <row r="221" spans="2:12" s="474" customFormat="1" x14ac:dyDescent="0.3">
      <c r="B221" s="483"/>
      <c r="C221" s="483"/>
      <c r="D221" s="482"/>
      <c r="E221" s="492"/>
      <c r="F221" s="483"/>
      <c r="G221" s="483"/>
      <c r="H221" s="483"/>
      <c r="I221" s="481"/>
      <c r="J221" s="484"/>
      <c r="K221" s="485"/>
      <c r="L221" s="485"/>
    </row>
    <row r="222" spans="2:12" s="474" customFormat="1" x14ac:dyDescent="0.3">
      <c r="B222" s="483"/>
      <c r="C222" s="483"/>
      <c r="D222" s="482"/>
      <c r="E222" s="492"/>
      <c r="F222" s="483"/>
      <c r="G222" s="483"/>
      <c r="H222" s="483"/>
      <c r="I222" s="481"/>
      <c r="J222" s="484"/>
      <c r="K222" s="485"/>
      <c r="L222" s="485"/>
    </row>
    <row r="223" spans="2:12" s="474" customFormat="1" x14ac:dyDescent="0.3">
      <c r="B223" s="483"/>
      <c r="C223" s="483"/>
      <c r="D223" s="482"/>
      <c r="E223" s="492"/>
      <c r="F223" s="483"/>
      <c r="G223" s="483"/>
      <c r="H223" s="483"/>
      <c r="I223" s="481"/>
      <c r="J223" s="484"/>
      <c r="K223" s="485"/>
      <c r="L223" s="485"/>
    </row>
    <row r="224" spans="2:12" s="474" customFormat="1" x14ac:dyDescent="0.3">
      <c r="B224" s="483"/>
      <c r="C224" s="483"/>
      <c r="D224" s="482"/>
      <c r="E224" s="492"/>
      <c r="F224" s="483"/>
      <c r="G224" s="483"/>
      <c r="H224" s="483"/>
      <c r="I224" s="481"/>
      <c r="J224" s="484"/>
      <c r="K224" s="485"/>
      <c r="L224" s="485"/>
    </row>
    <row r="225" spans="2:12" s="474" customFormat="1" x14ac:dyDescent="0.3">
      <c r="B225" s="483"/>
      <c r="C225" s="483"/>
      <c r="D225" s="482"/>
      <c r="E225" s="492"/>
      <c r="F225" s="483"/>
      <c r="G225" s="483"/>
      <c r="H225" s="483"/>
      <c r="I225" s="481"/>
      <c r="J225" s="484"/>
      <c r="K225" s="485"/>
      <c r="L225" s="485"/>
    </row>
    <row r="226" spans="2:12" s="474" customFormat="1" x14ac:dyDescent="0.3">
      <c r="B226" s="483"/>
      <c r="C226" s="483"/>
      <c r="D226" s="482"/>
      <c r="E226" s="492"/>
      <c r="F226" s="483"/>
      <c r="G226" s="483"/>
      <c r="H226" s="483"/>
      <c r="I226" s="481"/>
      <c r="J226" s="484"/>
      <c r="K226" s="485"/>
      <c r="L226" s="485"/>
    </row>
    <row r="227" spans="2:12" s="474" customFormat="1" x14ac:dyDescent="0.3">
      <c r="B227" s="483"/>
      <c r="C227" s="483"/>
      <c r="D227" s="482"/>
      <c r="E227" s="492"/>
      <c r="F227" s="483"/>
      <c r="G227" s="483"/>
      <c r="H227" s="483"/>
      <c r="I227" s="481"/>
      <c r="J227" s="484"/>
      <c r="K227" s="485"/>
      <c r="L227" s="485"/>
    </row>
    <row r="228" spans="2:12" s="474" customFormat="1" x14ac:dyDescent="0.3">
      <c r="B228" s="483"/>
      <c r="C228" s="483"/>
      <c r="D228" s="482"/>
      <c r="E228" s="492"/>
      <c r="F228" s="483"/>
      <c r="G228" s="483"/>
      <c r="H228" s="483"/>
      <c r="I228" s="481"/>
      <c r="J228" s="484"/>
      <c r="K228" s="485"/>
      <c r="L228" s="485"/>
    </row>
    <row r="229" spans="2:12" s="474" customFormat="1" x14ac:dyDescent="0.3">
      <c r="B229" s="483"/>
      <c r="C229" s="483"/>
      <c r="D229" s="482"/>
      <c r="E229" s="492"/>
      <c r="F229" s="483"/>
      <c r="G229" s="483"/>
      <c r="H229" s="483"/>
      <c r="I229" s="481"/>
      <c r="J229" s="484"/>
      <c r="K229" s="485"/>
      <c r="L229" s="485"/>
    </row>
    <row r="230" spans="2:12" s="474" customFormat="1" x14ac:dyDescent="0.3">
      <c r="B230" s="483"/>
      <c r="C230" s="483"/>
      <c r="D230" s="482"/>
      <c r="E230" s="492"/>
      <c r="F230" s="483"/>
      <c r="G230" s="483"/>
      <c r="H230" s="483"/>
      <c r="I230" s="481"/>
      <c r="J230" s="484"/>
      <c r="K230" s="485"/>
      <c r="L230" s="485"/>
    </row>
    <row r="231" spans="2:12" s="474" customFormat="1" x14ac:dyDescent="0.3">
      <c r="B231" s="483"/>
      <c r="C231" s="483"/>
      <c r="D231" s="482"/>
      <c r="E231" s="492"/>
      <c r="F231" s="483"/>
      <c r="G231" s="483"/>
      <c r="H231" s="483"/>
      <c r="I231" s="481"/>
      <c r="J231" s="484"/>
      <c r="K231" s="485"/>
      <c r="L231" s="485"/>
    </row>
    <row r="232" spans="2:12" s="474" customFormat="1" x14ac:dyDescent="0.3">
      <c r="B232" s="483"/>
      <c r="C232" s="483"/>
      <c r="D232" s="482"/>
      <c r="E232" s="492"/>
      <c r="F232" s="483"/>
      <c r="G232" s="483"/>
      <c r="H232" s="483"/>
      <c r="I232" s="481"/>
      <c r="J232" s="484"/>
      <c r="K232" s="485"/>
      <c r="L232" s="485"/>
    </row>
    <row r="233" spans="2:12" s="474" customFormat="1" x14ac:dyDescent="0.3">
      <c r="B233" s="483"/>
      <c r="C233" s="483"/>
      <c r="D233" s="482"/>
      <c r="E233" s="492"/>
      <c r="F233" s="483"/>
      <c r="G233" s="483"/>
      <c r="H233" s="483"/>
      <c r="I233" s="481"/>
      <c r="J233" s="484"/>
      <c r="K233" s="485"/>
      <c r="L233" s="485"/>
    </row>
    <row r="234" spans="2:12" s="474" customFormat="1" x14ac:dyDescent="0.3">
      <c r="B234" s="483"/>
      <c r="C234" s="483"/>
      <c r="D234" s="482"/>
      <c r="E234" s="492"/>
      <c r="F234" s="483"/>
      <c r="G234" s="483"/>
      <c r="H234" s="483"/>
      <c r="I234" s="481"/>
      <c r="J234" s="484"/>
      <c r="K234" s="485"/>
      <c r="L234" s="485"/>
    </row>
    <row r="235" spans="2:12" s="474" customFormat="1" x14ac:dyDescent="0.3">
      <c r="B235" s="483"/>
      <c r="C235" s="483"/>
      <c r="D235" s="482"/>
      <c r="E235" s="492"/>
      <c r="F235" s="483"/>
      <c r="G235" s="483"/>
      <c r="H235" s="483"/>
      <c r="I235" s="481"/>
      <c r="J235" s="484"/>
      <c r="K235" s="485"/>
      <c r="L235" s="485"/>
    </row>
    <row r="236" spans="2:12" s="474" customFormat="1" x14ac:dyDescent="0.3">
      <c r="B236" s="483"/>
      <c r="C236" s="483"/>
      <c r="D236" s="482"/>
      <c r="E236" s="492"/>
      <c r="F236" s="483"/>
      <c r="G236" s="483"/>
      <c r="H236" s="483"/>
      <c r="I236" s="481"/>
      <c r="J236" s="484"/>
      <c r="K236" s="485"/>
      <c r="L236" s="485"/>
    </row>
    <row r="237" spans="2:12" s="474" customFormat="1" x14ac:dyDescent="0.3">
      <c r="B237" s="483"/>
      <c r="C237" s="483"/>
      <c r="D237" s="482"/>
      <c r="E237" s="492"/>
      <c r="F237" s="483"/>
      <c r="G237" s="483"/>
      <c r="H237" s="483"/>
      <c r="I237" s="481"/>
      <c r="J237" s="484"/>
      <c r="K237" s="485"/>
      <c r="L237" s="485"/>
    </row>
    <row r="238" spans="2:12" s="474" customFormat="1" x14ac:dyDescent="0.3">
      <c r="B238" s="483"/>
      <c r="C238" s="483"/>
      <c r="D238" s="482"/>
      <c r="E238" s="492"/>
      <c r="F238" s="483"/>
      <c r="G238" s="483"/>
      <c r="H238" s="483"/>
      <c r="I238" s="481"/>
      <c r="J238" s="484"/>
      <c r="K238" s="485"/>
      <c r="L238" s="485"/>
    </row>
    <row r="239" spans="2:12" s="474" customFormat="1" x14ac:dyDescent="0.3">
      <c r="B239" s="483"/>
      <c r="C239" s="483"/>
      <c r="D239" s="482"/>
      <c r="E239" s="492"/>
      <c r="F239" s="483"/>
      <c r="G239" s="483"/>
      <c r="H239" s="483"/>
      <c r="I239" s="481"/>
      <c r="J239" s="484"/>
      <c r="K239" s="485"/>
      <c r="L239" s="485"/>
    </row>
    <row r="240" spans="2:12" s="474" customFormat="1" x14ac:dyDescent="0.3">
      <c r="B240" s="483"/>
      <c r="C240" s="483"/>
      <c r="D240" s="482"/>
      <c r="E240" s="492"/>
      <c r="F240" s="483"/>
      <c r="G240" s="483"/>
      <c r="H240" s="483"/>
      <c r="I240" s="481"/>
      <c r="J240" s="484"/>
      <c r="K240" s="485"/>
      <c r="L240" s="485"/>
    </row>
    <row r="241" spans="2:12" s="474" customFormat="1" x14ac:dyDescent="0.3">
      <c r="B241" s="483"/>
      <c r="C241" s="483"/>
      <c r="D241" s="482"/>
      <c r="E241" s="492"/>
      <c r="F241" s="483"/>
      <c r="G241" s="483"/>
      <c r="H241" s="483"/>
      <c r="I241" s="481"/>
      <c r="J241" s="484"/>
      <c r="K241" s="485"/>
      <c r="L241" s="485"/>
    </row>
    <row r="242" spans="2:12" s="474" customFormat="1" x14ac:dyDescent="0.3">
      <c r="B242" s="483"/>
      <c r="C242" s="483"/>
      <c r="D242" s="482"/>
      <c r="E242" s="492"/>
      <c r="F242" s="483"/>
      <c r="G242" s="483"/>
      <c r="H242" s="483"/>
      <c r="I242" s="481"/>
      <c r="J242" s="484"/>
      <c r="K242" s="485"/>
      <c r="L242" s="485"/>
    </row>
    <row r="243" spans="2:12" s="474" customFormat="1" x14ac:dyDescent="0.3">
      <c r="B243" s="483"/>
      <c r="C243" s="483"/>
      <c r="D243" s="482"/>
      <c r="E243" s="492"/>
      <c r="F243" s="483"/>
      <c r="G243" s="483"/>
      <c r="H243" s="483"/>
      <c r="I243" s="481"/>
      <c r="J243" s="484"/>
      <c r="K243" s="485"/>
      <c r="L243" s="485"/>
    </row>
    <row r="244" spans="2:12" s="474" customFormat="1" x14ac:dyDescent="0.3">
      <c r="B244" s="483"/>
      <c r="C244" s="483"/>
      <c r="D244" s="482"/>
      <c r="E244" s="492"/>
      <c r="F244" s="483"/>
      <c r="G244" s="483"/>
      <c r="H244" s="483"/>
      <c r="I244" s="481"/>
      <c r="J244" s="484"/>
      <c r="K244" s="485"/>
      <c r="L244" s="485"/>
    </row>
    <row r="245" spans="2:12" s="474" customFormat="1" x14ac:dyDescent="0.3">
      <c r="B245" s="483"/>
      <c r="C245" s="483"/>
      <c r="D245" s="482"/>
      <c r="E245" s="492"/>
      <c r="F245" s="483"/>
      <c r="G245" s="483"/>
      <c r="H245" s="483"/>
      <c r="I245" s="481"/>
      <c r="J245" s="484"/>
      <c r="K245" s="485"/>
      <c r="L245" s="485"/>
    </row>
    <row r="246" spans="2:12" s="474" customFormat="1" x14ac:dyDescent="0.3">
      <c r="B246" s="483"/>
      <c r="C246" s="483"/>
      <c r="D246" s="482"/>
      <c r="E246" s="492"/>
      <c r="F246" s="483"/>
      <c r="G246" s="483"/>
      <c r="H246" s="483"/>
      <c r="I246" s="481"/>
      <c r="J246" s="484"/>
      <c r="K246" s="485"/>
      <c r="L246" s="485"/>
    </row>
    <row r="247" spans="2:12" s="474" customFormat="1" x14ac:dyDescent="0.3">
      <c r="B247" s="483"/>
      <c r="C247" s="483"/>
      <c r="D247" s="482"/>
      <c r="E247" s="492"/>
      <c r="F247" s="483"/>
      <c r="G247" s="483"/>
      <c r="H247" s="483"/>
      <c r="I247" s="481"/>
      <c r="J247" s="484"/>
      <c r="K247" s="485"/>
      <c r="L247" s="485"/>
    </row>
    <row r="248" spans="2:12" s="474" customFormat="1" x14ac:dyDescent="0.3">
      <c r="B248" s="483"/>
      <c r="C248" s="483"/>
      <c r="D248" s="482"/>
      <c r="E248" s="492"/>
      <c r="F248" s="483"/>
      <c r="G248" s="483"/>
      <c r="H248" s="483"/>
      <c r="I248" s="481"/>
      <c r="J248" s="484"/>
      <c r="K248" s="485"/>
      <c r="L248" s="485"/>
    </row>
    <row r="249" spans="2:12" s="474" customFormat="1" x14ac:dyDescent="0.3">
      <c r="B249" s="483"/>
      <c r="C249" s="483"/>
      <c r="D249" s="482"/>
      <c r="E249" s="492"/>
      <c r="F249" s="483"/>
      <c r="G249" s="483"/>
      <c r="H249" s="483"/>
      <c r="I249" s="481"/>
      <c r="J249" s="484"/>
      <c r="K249" s="485"/>
      <c r="L249" s="485"/>
    </row>
    <row r="250" spans="2:12" s="474" customFormat="1" x14ac:dyDescent="0.3">
      <c r="B250" s="483"/>
      <c r="C250" s="483"/>
      <c r="D250" s="482"/>
      <c r="E250" s="492"/>
      <c r="F250" s="483"/>
      <c r="G250" s="483"/>
      <c r="H250" s="483"/>
      <c r="I250" s="481"/>
      <c r="J250" s="484"/>
      <c r="K250" s="485"/>
      <c r="L250" s="485"/>
    </row>
    <row r="251" spans="2:12" s="474" customFormat="1" x14ac:dyDescent="0.3">
      <c r="B251" s="483"/>
      <c r="C251" s="483"/>
      <c r="D251" s="482"/>
      <c r="E251" s="492"/>
      <c r="F251" s="483"/>
      <c r="G251" s="483"/>
      <c r="H251" s="483"/>
      <c r="I251" s="481"/>
      <c r="J251" s="484"/>
      <c r="K251" s="485"/>
      <c r="L251" s="485"/>
    </row>
    <row r="252" spans="2:12" s="474" customFormat="1" x14ac:dyDescent="0.3">
      <c r="B252" s="483"/>
      <c r="C252" s="483"/>
      <c r="D252" s="482"/>
      <c r="E252" s="492"/>
      <c r="F252" s="483"/>
      <c r="G252" s="483"/>
      <c r="H252" s="483"/>
      <c r="I252" s="481"/>
      <c r="J252" s="484"/>
      <c r="K252" s="485"/>
      <c r="L252" s="485"/>
    </row>
    <row r="253" spans="2:12" s="474" customFormat="1" x14ac:dyDescent="0.3">
      <c r="B253" s="483"/>
      <c r="C253" s="483"/>
      <c r="D253" s="482"/>
      <c r="E253" s="492"/>
      <c r="F253" s="483"/>
      <c r="G253" s="483"/>
      <c r="H253" s="483"/>
      <c r="I253" s="481"/>
      <c r="J253" s="484"/>
      <c r="K253" s="485"/>
      <c r="L253" s="485"/>
    </row>
    <row r="254" spans="2:12" s="474" customFormat="1" x14ac:dyDescent="0.3">
      <c r="B254" s="483"/>
      <c r="C254" s="483"/>
      <c r="D254" s="482"/>
      <c r="E254" s="492"/>
      <c r="F254" s="483"/>
      <c r="G254" s="483"/>
      <c r="H254" s="483"/>
      <c r="I254" s="481"/>
      <c r="J254" s="484"/>
      <c r="K254" s="485"/>
      <c r="L254" s="485"/>
    </row>
    <row r="255" spans="2:12" s="474" customFormat="1" x14ac:dyDescent="0.3">
      <c r="B255" s="483"/>
      <c r="C255" s="483"/>
      <c r="D255" s="482"/>
      <c r="E255" s="492"/>
      <c r="F255" s="483"/>
      <c r="G255" s="483"/>
      <c r="H255" s="483"/>
      <c r="I255" s="481"/>
      <c r="J255" s="484"/>
      <c r="K255" s="485"/>
      <c r="L255" s="485"/>
    </row>
    <row r="256" spans="2:12" s="474" customFormat="1" x14ac:dyDescent="0.3">
      <c r="B256" s="483"/>
      <c r="C256" s="483"/>
      <c r="D256" s="482"/>
      <c r="E256" s="492"/>
      <c r="F256" s="483"/>
      <c r="G256" s="483"/>
      <c r="H256" s="483"/>
      <c r="I256" s="481"/>
      <c r="J256" s="484"/>
      <c r="K256" s="485"/>
      <c r="L256" s="485"/>
    </row>
    <row r="257" spans="2:12" s="474" customFormat="1" x14ac:dyDescent="0.3">
      <c r="B257" s="483"/>
      <c r="C257" s="483"/>
      <c r="D257" s="482"/>
      <c r="E257" s="492"/>
      <c r="F257" s="483"/>
      <c r="G257" s="483"/>
      <c r="H257" s="483"/>
      <c r="I257" s="481"/>
      <c r="J257" s="484"/>
      <c r="K257" s="485"/>
      <c r="L257" s="485"/>
    </row>
    <row r="258" spans="2:12" s="474" customFormat="1" x14ac:dyDescent="0.3">
      <c r="B258" s="483"/>
      <c r="C258" s="483"/>
      <c r="D258" s="482"/>
      <c r="E258" s="492"/>
      <c r="F258" s="483"/>
      <c r="G258" s="483"/>
      <c r="H258" s="483"/>
      <c r="I258" s="481"/>
      <c r="J258" s="484"/>
      <c r="K258" s="485"/>
      <c r="L258" s="485"/>
    </row>
    <row r="259" spans="2:12" s="474" customFormat="1" x14ac:dyDescent="0.3">
      <c r="B259" s="483"/>
      <c r="C259" s="483"/>
      <c r="D259" s="482"/>
      <c r="E259" s="492"/>
      <c r="F259" s="483"/>
      <c r="G259" s="483"/>
      <c r="H259" s="483"/>
      <c r="I259" s="481"/>
      <c r="J259" s="484"/>
      <c r="K259" s="485"/>
      <c r="L259" s="485"/>
    </row>
    <row r="260" spans="2:12" s="474" customFormat="1" x14ac:dyDescent="0.3">
      <c r="B260" s="483"/>
      <c r="C260" s="483"/>
      <c r="D260" s="482"/>
      <c r="E260" s="492"/>
      <c r="F260" s="483"/>
      <c r="G260" s="483"/>
      <c r="H260" s="483"/>
      <c r="I260" s="481"/>
      <c r="J260" s="484"/>
      <c r="K260" s="485"/>
      <c r="L260" s="485"/>
    </row>
    <row r="261" spans="2:12" s="474" customFormat="1" x14ac:dyDescent="0.3">
      <c r="B261" s="483"/>
      <c r="C261" s="483"/>
      <c r="D261" s="482"/>
      <c r="E261" s="492"/>
      <c r="F261" s="483"/>
      <c r="G261" s="483"/>
      <c r="H261" s="483"/>
      <c r="I261" s="481"/>
      <c r="J261" s="484"/>
      <c r="K261" s="485"/>
      <c r="L261" s="485"/>
    </row>
    <row r="262" spans="2:12" s="474" customFormat="1" x14ac:dyDescent="0.3">
      <c r="B262" s="483"/>
      <c r="C262" s="483"/>
      <c r="D262" s="482"/>
      <c r="E262" s="492"/>
      <c r="F262" s="483"/>
      <c r="G262" s="483"/>
      <c r="H262" s="483"/>
      <c r="I262" s="481"/>
      <c r="J262" s="484"/>
      <c r="K262" s="485"/>
      <c r="L262" s="485"/>
    </row>
    <row r="263" spans="2:12" s="474" customFormat="1" x14ac:dyDescent="0.3">
      <c r="B263" s="483"/>
      <c r="C263" s="483"/>
      <c r="D263" s="482"/>
      <c r="E263" s="492"/>
      <c r="F263" s="483"/>
      <c r="G263" s="483"/>
      <c r="H263" s="483"/>
      <c r="I263" s="481"/>
      <c r="J263" s="484"/>
      <c r="K263" s="485"/>
      <c r="L263" s="485"/>
    </row>
    <row r="264" spans="2:12" s="474" customFormat="1" x14ac:dyDescent="0.3">
      <c r="B264" s="483"/>
      <c r="C264" s="483"/>
      <c r="D264" s="482"/>
      <c r="E264" s="492"/>
      <c r="F264" s="483"/>
      <c r="G264" s="483"/>
      <c r="H264" s="483"/>
      <c r="I264" s="481"/>
      <c r="J264" s="484"/>
      <c r="K264" s="485"/>
      <c r="L264" s="485"/>
    </row>
    <row r="265" spans="2:12" s="474" customFormat="1" x14ac:dyDescent="0.3">
      <c r="B265" s="483"/>
      <c r="C265" s="483"/>
      <c r="D265" s="482"/>
      <c r="E265" s="492"/>
      <c r="F265" s="483"/>
      <c r="G265" s="483"/>
      <c r="H265" s="483"/>
      <c r="I265" s="481"/>
      <c r="J265" s="484"/>
      <c r="K265" s="485"/>
      <c r="L265" s="485"/>
    </row>
    <row r="266" spans="2:12" s="474" customFormat="1" x14ac:dyDescent="0.3">
      <c r="B266" s="483"/>
      <c r="C266" s="483"/>
      <c r="D266" s="482"/>
      <c r="E266" s="492"/>
      <c r="F266" s="483"/>
      <c r="G266" s="483"/>
      <c r="H266" s="483"/>
      <c r="I266" s="481"/>
      <c r="J266" s="484"/>
      <c r="K266" s="485"/>
      <c r="L266" s="485"/>
    </row>
    <row r="267" spans="2:12" s="474" customFormat="1" x14ac:dyDescent="0.3">
      <c r="B267" s="483"/>
      <c r="C267" s="483"/>
      <c r="D267" s="482"/>
      <c r="E267" s="492"/>
      <c r="F267" s="483"/>
      <c r="G267" s="483"/>
      <c r="H267" s="483"/>
      <c r="I267" s="481"/>
      <c r="J267" s="484"/>
      <c r="K267" s="485"/>
      <c r="L267" s="485"/>
    </row>
    <row r="268" spans="2:12" s="474" customFormat="1" x14ac:dyDescent="0.3">
      <c r="B268" s="483"/>
      <c r="C268" s="483"/>
      <c r="D268" s="482"/>
      <c r="E268" s="492"/>
      <c r="F268" s="483"/>
      <c r="G268" s="483"/>
      <c r="H268" s="483"/>
      <c r="I268" s="481"/>
      <c r="J268" s="484"/>
      <c r="K268" s="485"/>
      <c r="L268" s="485"/>
    </row>
    <row r="269" spans="2:12" s="474" customFormat="1" x14ac:dyDescent="0.3">
      <c r="B269" s="483"/>
      <c r="C269" s="483"/>
      <c r="D269" s="482"/>
      <c r="E269" s="492"/>
      <c r="F269" s="483"/>
      <c r="G269" s="483"/>
      <c r="H269" s="483"/>
      <c r="I269" s="481"/>
      <c r="J269" s="484"/>
      <c r="K269" s="485"/>
      <c r="L269" s="485"/>
    </row>
    <row r="270" spans="2:12" s="474" customFormat="1" x14ac:dyDescent="0.3">
      <c r="B270" s="483"/>
      <c r="C270" s="483"/>
      <c r="D270" s="482"/>
      <c r="E270" s="492"/>
      <c r="F270" s="483"/>
      <c r="G270" s="483"/>
      <c r="H270" s="483"/>
      <c r="I270" s="481"/>
      <c r="J270" s="484"/>
      <c r="K270" s="485"/>
      <c r="L270" s="485"/>
    </row>
    <row r="271" spans="2:12" s="474" customFormat="1" x14ac:dyDescent="0.3">
      <c r="B271" s="483"/>
      <c r="C271" s="483"/>
      <c r="D271" s="482"/>
      <c r="E271" s="492"/>
      <c r="F271" s="483"/>
      <c r="G271" s="483"/>
      <c r="H271" s="483"/>
      <c r="I271" s="481"/>
      <c r="J271" s="484"/>
      <c r="K271" s="485"/>
      <c r="L271" s="485"/>
    </row>
    <row r="272" spans="2:12" s="474" customFormat="1" x14ac:dyDescent="0.3">
      <c r="B272" s="483"/>
      <c r="C272" s="483"/>
      <c r="D272" s="482"/>
      <c r="E272" s="492"/>
      <c r="F272" s="483"/>
      <c r="G272" s="483"/>
      <c r="H272" s="483"/>
      <c r="I272" s="481"/>
      <c r="J272" s="484"/>
      <c r="K272" s="485"/>
      <c r="L272" s="485"/>
    </row>
    <row r="273" spans="2:12" s="474" customFormat="1" x14ac:dyDescent="0.3">
      <c r="B273" s="483"/>
      <c r="C273" s="483"/>
      <c r="D273" s="482"/>
      <c r="E273" s="492"/>
      <c r="F273" s="483"/>
      <c r="G273" s="483"/>
      <c r="H273" s="483"/>
      <c r="I273" s="481"/>
      <c r="J273" s="484"/>
      <c r="K273" s="485"/>
      <c r="L273" s="485"/>
    </row>
    <row r="274" spans="2:12" s="474" customFormat="1" x14ac:dyDescent="0.3">
      <c r="B274" s="483"/>
      <c r="C274" s="483"/>
      <c r="D274" s="482"/>
      <c r="E274" s="492"/>
      <c r="F274" s="483"/>
      <c r="G274" s="483"/>
      <c r="H274" s="483"/>
      <c r="I274" s="481"/>
      <c r="J274" s="484"/>
      <c r="K274" s="485"/>
      <c r="L274" s="485"/>
    </row>
    <row r="275" spans="2:12" s="474" customFormat="1" x14ac:dyDescent="0.3">
      <c r="B275" s="483"/>
      <c r="C275" s="483"/>
      <c r="D275" s="482"/>
      <c r="E275" s="492"/>
      <c r="F275" s="483"/>
      <c r="G275" s="483"/>
      <c r="H275" s="483"/>
      <c r="I275" s="481"/>
      <c r="J275" s="484"/>
      <c r="K275" s="485"/>
      <c r="L275" s="485"/>
    </row>
    <row r="276" spans="2:12" s="474" customFormat="1" x14ac:dyDescent="0.3">
      <c r="B276" s="483"/>
      <c r="C276" s="483"/>
      <c r="D276" s="482"/>
      <c r="E276" s="492"/>
      <c r="F276" s="483"/>
      <c r="G276" s="483"/>
      <c r="H276" s="483"/>
      <c r="I276" s="481"/>
      <c r="J276" s="484"/>
      <c r="K276" s="485"/>
      <c r="L276" s="485"/>
    </row>
    <row r="277" spans="2:12" s="474" customFormat="1" x14ac:dyDescent="0.3">
      <c r="B277" s="483"/>
      <c r="C277" s="483"/>
      <c r="D277" s="482"/>
      <c r="E277" s="492"/>
      <c r="F277" s="483"/>
      <c r="G277" s="483"/>
      <c r="H277" s="483"/>
      <c r="I277" s="481"/>
      <c r="J277" s="484"/>
      <c r="K277" s="485"/>
      <c r="L277" s="485"/>
    </row>
    <row r="278" spans="2:12" s="474" customFormat="1" x14ac:dyDescent="0.3">
      <c r="B278" s="483"/>
      <c r="C278" s="483"/>
      <c r="D278" s="482"/>
      <c r="E278" s="492"/>
      <c r="F278" s="483"/>
      <c r="G278" s="483"/>
      <c r="H278" s="483"/>
      <c r="I278" s="481"/>
      <c r="J278" s="484"/>
      <c r="K278" s="485"/>
      <c r="L278" s="485"/>
    </row>
    <row r="279" spans="2:12" s="474" customFormat="1" x14ac:dyDescent="0.3">
      <c r="B279" s="483"/>
      <c r="C279" s="483"/>
      <c r="D279" s="482"/>
      <c r="E279" s="492"/>
      <c r="F279" s="483"/>
      <c r="G279" s="483"/>
      <c r="H279" s="483"/>
      <c r="I279" s="481"/>
      <c r="J279" s="484"/>
      <c r="K279" s="485"/>
      <c r="L279" s="485"/>
    </row>
    <row r="280" spans="2:12" s="474" customFormat="1" x14ac:dyDescent="0.3">
      <c r="B280" s="483"/>
      <c r="C280" s="483"/>
      <c r="D280" s="482"/>
      <c r="E280" s="492"/>
      <c r="F280" s="483"/>
      <c r="G280" s="483"/>
      <c r="H280" s="483"/>
      <c r="I280" s="481"/>
      <c r="J280" s="484"/>
      <c r="K280" s="485"/>
      <c r="L280" s="485"/>
    </row>
    <row r="281" spans="2:12" s="474" customFormat="1" x14ac:dyDescent="0.3">
      <c r="B281" s="483"/>
      <c r="C281" s="483"/>
      <c r="D281" s="482"/>
      <c r="E281" s="492"/>
      <c r="F281" s="483"/>
      <c r="G281" s="483"/>
      <c r="H281" s="483"/>
      <c r="I281" s="481"/>
      <c r="J281" s="484"/>
      <c r="K281" s="485"/>
      <c r="L281" s="485"/>
    </row>
    <row r="282" spans="2:12" s="474" customFormat="1" x14ac:dyDescent="0.3">
      <c r="B282" s="483"/>
      <c r="C282" s="483"/>
      <c r="D282" s="482"/>
      <c r="E282" s="492"/>
      <c r="F282" s="483"/>
      <c r="G282" s="483"/>
      <c r="H282" s="483"/>
      <c r="I282" s="481"/>
      <c r="J282" s="484"/>
      <c r="K282" s="485"/>
      <c r="L282" s="485"/>
    </row>
    <row r="283" spans="2:12" s="474" customFormat="1" x14ac:dyDescent="0.3">
      <c r="B283" s="483"/>
      <c r="C283" s="483"/>
      <c r="D283" s="482"/>
      <c r="E283" s="492"/>
      <c r="F283" s="483"/>
      <c r="G283" s="483"/>
      <c r="H283" s="483"/>
      <c r="I283" s="481"/>
      <c r="J283" s="484"/>
      <c r="K283" s="485"/>
      <c r="L283" s="485"/>
    </row>
    <row r="284" spans="2:12" s="474" customFormat="1" x14ac:dyDescent="0.3">
      <c r="B284" s="483"/>
      <c r="C284" s="483"/>
      <c r="D284" s="482"/>
      <c r="E284" s="492"/>
      <c r="F284" s="483"/>
      <c r="G284" s="483"/>
      <c r="H284" s="483"/>
      <c r="I284" s="481"/>
      <c r="J284" s="484"/>
      <c r="K284" s="485"/>
      <c r="L284" s="485"/>
    </row>
    <row r="285" spans="2:12" s="474" customFormat="1" x14ac:dyDescent="0.3">
      <c r="B285" s="483"/>
      <c r="C285" s="483"/>
      <c r="D285" s="482"/>
      <c r="E285" s="492"/>
      <c r="F285" s="483"/>
      <c r="G285" s="483"/>
      <c r="H285" s="483"/>
      <c r="I285" s="481"/>
      <c r="J285" s="484"/>
      <c r="K285" s="485"/>
      <c r="L285" s="485"/>
    </row>
    <row r="286" spans="2:12" s="474" customFormat="1" x14ac:dyDescent="0.3">
      <c r="B286" s="483"/>
      <c r="C286" s="483"/>
      <c r="D286" s="482"/>
      <c r="E286" s="492"/>
      <c r="F286" s="483"/>
      <c r="G286" s="483"/>
      <c r="H286" s="483"/>
      <c r="I286" s="481"/>
      <c r="J286" s="484"/>
      <c r="K286" s="485"/>
      <c r="L286" s="485"/>
    </row>
    <row r="287" spans="2:12" s="474" customFormat="1" x14ac:dyDescent="0.3">
      <c r="B287" s="483"/>
      <c r="C287" s="483"/>
      <c r="D287" s="482"/>
      <c r="E287" s="492"/>
      <c r="F287" s="483"/>
      <c r="G287" s="483"/>
      <c r="H287" s="483"/>
      <c r="I287" s="481"/>
      <c r="J287" s="484"/>
      <c r="K287" s="485"/>
      <c r="L287" s="485"/>
    </row>
    <row r="288" spans="2:12" s="474" customFormat="1" x14ac:dyDescent="0.3">
      <c r="B288" s="483"/>
      <c r="C288" s="483"/>
      <c r="D288" s="482"/>
      <c r="E288" s="492"/>
      <c r="F288" s="483"/>
      <c r="G288" s="483"/>
      <c r="H288" s="483"/>
      <c r="I288" s="481"/>
      <c r="J288" s="484"/>
      <c r="K288" s="485"/>
      <c r="L288" s="485"/>
    </row>
    <row r="289" spans="2:12" s="474" customFormat="1" x14ac:dyDescent="0.3">
      <c r="B289" s="483"/>
      <c r="C289" s="483"/>
      <c r="D289" s="482"/>
      <c r="E289" s="492"/>
      <c r="F289" s="483"/>
      <c r="G289" s="483"/>
      <c r="H289" s="483"/>
      <c r="I289" s="481"/>
      <c r="J289" s="484"/>
      <c r="K289" s="485"/>
      <c r="L289" s="485"/>
    </row>
    <row r="290" spans="2:12" s="474" customFormat="1" x14ac:dyDescent="0.3">
      <c r="B290" s="483"/>
      <c r="C290" s="483"/>
      <c r="D290" s="482"/>
      <c r="E290" s="492"/>
      <c r="F290" s="483"/>
      <c r="G290" s="483"/>
      <c r="H290" s="483"/>
      <c r="I290" s="481"/>
      <c r="J290" s="484"/>
      <c r="K290" s="485"/>
      <c r="L290" s="485"/>
    </row>
    <row r="291" spans="2:12" s="474" customFormat="1" x14ac:dyDescent="0.3">
      <c r="B291" s="483"/>
      <c r="C291" s="483"/>
      <c r="D291" s="482"/>
      <c r="E291" s="492"/>
      <c r="F291" s="483"/>
      <c r="G291" s="483"/>
      <c r="H291" s="483"/>
      <c r="I291" s="481"/>
      <c r="J291" s="484"/>
      <c r="K291" s="485"/>
      <c r="L291" s="485"/>
    </row>
    <row r="292" spans="2:12" s="474" customFormat="1" x14ac:dyDescent="0.3">
      <c r="B292" s="483"/>
      <c r="C292" s="483"/>
      <c r="D292" s="482"/>
      <c r="E292" s="492"/>
      <c r="F292" s="483"/>
      <c r="G292" s="483"/>
      <c r="H292" s="483"/>
      <c r="I292" s="481"/>
      <c r="J292" s="484"/>
      <c r="K292" s="485"/>
      <c r="L292" s="485"/>
    </row>
    <row r="293" spans="2:12" s="474" customFormat="1" x14ac:dyDescent="0.3">
      <c r="B293" s="483"/>
      <c r="C293" s="483"/>
      <c r="D293" s="482"/>
      <c r="E293" s="492"/>
      <c r="F293" s="483"/>
      <c r="G293" s="483"/>
      <c r="H293" s="483"/>
      <c r="I293" s="481"/>
      <c r="J293" s="484"/>
      <c r="K293" s="485"/>
      <c r="L293" s="485"/>
    </row>
    <row r="294" spans="2:12" s="474" customFormat="1" x14ac:dyDescent="0.3">
      <c r="B294" s="483"/>
      <c r="C294" s="483"/>
      <c r="D294" s="482"/>
      <c r="E294" s="492"/>
      <c r="F294" s="483"/>
      <c r="G294" s="483"/>
      <c r="H294" s="483"/>
      <c r="I294" s="481"/>
      <c r="J294" s="484"/>
      <c r="K294" s="485"/>
      <c r="L294" s="485"/>
    </row>
    <row r="295" spans="2:12" s="474" customFormat="1" x14ac:dyDescent="0.3">
      <c r="B295" s="483"/>
      <c r="C295" s="483"/>
      <c r="D295" s="482"/>
      <c r="E295" s="492"/>
      <c r="F295" s="483"/>
      <c r="G295" s="483"/>
      <c r="H295" s="483"/>
      <c r="I295" s="481"/>
      <c r="J295" s="484"/>
      <c r="K295" s="485"/>
      <c r="L295" s="485"/>
    </row>
    <row r="296" spans="2:12" s="474" customFormat="1" x14ac:dyDescent="0.3">
      <c r="B296" s="483"/>
      <c r="C296" s="483"/>
      <c r="D296" s="482"/>
      <c r="E296" s="492"/>
      <c r="F296" s="483"/>
      <c r="G296" s="483"/>
      <c r="H296" s="483"/>
      <c r="I296" s="481"/>
      <c r="J296" s="484"/>
      <c r="K296" s="485"/>
      <c r="L296" s="485"/>
    </row>
    <row r="297" spans="2:12" s="474" customFormat="1" x14ac:dyDescent="0.3">
      <c r="B297" s="483"/>
      <c r="C297" s="483"/>
      <c r="D297" s="482"/>
      <c r="E297" s="492"/>
      <c r="F297" s="483"/>
      <c r="G297" s="483"/>
      <c r="H297" s="483"/>
      <c r="I297" s="481"/>
      <c r="J297" s="484"/>
      <c r="K297" s="485"/>
      <c r="L297" s="485"/>
    </row>
    <row r="298" spans="2:12" s="474" customFormat="1" x14ac:dyDescent="0.3">
      <c r="B298" s="483"/>
      <c r="C298" s="483"/>
      <c r="D298" s="482"/>
      <c r="E298" s="492"/>
      <c r="F298" s="483"/>
      <c r="G298" s="483"/>
      <c r="H298" s="483"/>
      <c r="I298" s="481"/>
      <c r="J298" s="484"/>
      <c r="K298" s="485"/>
      <c r="L298" s="485"/>
    </row>
    <row r="299" spans="2:12" s="474" customFormat="1" x14ac:dyDescent="0.3">
      <c r="B299" s="483"/>
      <c r="C299" s="483"/>
      <c r="D299" s="482"/>
      <c r="E299" s="492"/>
      <c r="F299" s="483"/>
      <c r="G299" s="483"/>
      <c r="H299" s="483"/>
      <c r="I299" s="481"/>
      <c r="J299" s="484"/>
      <c r="K299" s="485"/>
      <c r="L299" s="485"/>
    </row>
    <row r="300" spans="2:12" s="474" customFormat="1" x14ac:dyDescent="0.3">
      <c r="B300" s="483"/>
      <c r="C300" s="483"/>
      <c r="D300" s="482"/>
      <c r="E300" s="492"/>
      <c r="F300" s="483"/>
      <c r="G300" s="483"/>
      <c r="H300" s="483"/>
      <c r="I300" s="481"/>
      <c r="J300" s="484"/>
      <c r="K300" s="485"/>
      <c r="L300" s="485"/>
    </row>
    <row r="301" spans="2:12" s="474" customFormat="1" x14ac:dyDescent="0.3">
      <c r="B301" s="483"/>
      <c r="C301" s="483"/>
      <c r="D301" s="482"/>
      <c r="E301" s="492"/>
      <c r="F301" s="483"/>
      <c r="G301" s="483"/>
      <c r="H301" s="483"/>
      <c r="I301" s="481"/>
      <c r="J301" s="484"/>
      <c r="K301" s="485"/>
      <c r="L301" s="485"/>
    </row>
    <row r="302" spans="2:12" s="474" customFormat="1" x14ac:dyDescent="0.3">
      <c r="B302" s="483"/>
      <c r="C302" s="483"/>
      <c r="D302" s="482"/>
      <c r="E302" s="492"/>
      <c r="F302" s="483"/>
      <c r="G302" s="483"/>
      <c r="H302" s="483"/>
      <c r="I302" s="481"/>
      <c r="J302" s="484"/>
      <c r="K302" s="485"/>
      <c r="L302" s="485"/>
    </row>
    <row r="303" spans="2:12" s="474" customFormat="1" x14ac:dyDescent="0.3">
      <c r="B303" s="483"/>
      <c r="C303" s="483"/>
      <c r="D303" s="482"/>
      <c r="E303" s="492"/>
      <c r="F303" s="483"/>
      <c r="G303" s="483"/>
      <c r="H303" s="483"/>
      <c r="I303" s="481"/>
      <c r="J303" s="484"/>
      <c r="K303" s="485"/>
      <c r="L303" s="485"/>
    </row>
    <row r="304" spans="2:12" s="474" customFormat="1" x14ac:dyDescent="0.3">
      <c r="B304" s="483"/>
      <c r="C304" s="483"/>
      <c r="D304" s="482"/>
      <c r="E304" s="492"/>
      <c r="F304" s="483"/>
      <c r="G304" s="483"/>
      <c r="H304" s="483"/>
      <c r="I304" s="481"/>
      <c r="J304" s="484"/>
      <c r="K304" s="485"/>
      <c r="L304" s="485"/>
    </row>
    <row r="305" spans="2:12" s="474" customFormat="1" x14ac:dyDescent="0.3">
      <c r="B305" s="483"/>
      <c r="C305" s="483"/>
      <c r="D305" s="482"/>
      <c r="E305" s="492"/>
      <c r="F305" s="483"/>
      <c r="G305" s="483"/>
      <c r="H305" s="483"/>
      <c r="I305" s="481"/>
      <c r="J305" s="484"/>
      <c r="K305" s="485"/>
      <c r="L305" s="485"/>
    </row>
    <row r="306" spans="2:12" s="474" customFormat="1" x14ac:dyDescent="0.3">
      <c r="B306" s="483"/>
      <c r="C306" s="483"/>
      <c r="D306" s="482"/>
      <c r="E306" s="492"/>
      <c r="F306" s="483"/>
      <c r="G306" s="483"/>
      <c r="H306" s="483"/>
      <c r="I306" s="481"/>
      <c r="J306" s="484"/>
      <c r="K306" s="485"/>
      <c r="L306" s="485"/>
    </row>
    <row r="307" spans="2:12" s="474" customFormat="1" x14ac:dyDescent="0.3">
      <c r="B307" s="483"/>
      <c r="C307" s="483"/>
      <c r="D307" s="482"/>
      <c r="E307" s="492"/>
      <c r="F307" s="483"/>
      <c r="G307" s="483"/>
      <c r="H307" s="483"/>
      <c r="I307" s="481"/>
      <c r="J307" s="484"/>
      <c r="K307" s="485"/>
      <c r="L307" s="485"/>
    </row>
    <row r="308" spans="2:12" s="474" customFormat="1" x14ac:dyDescent="0.3">
      <c r="B308" s="483"/>
      <c r="C308" s="483"/>
      <c r="D308" s="482"/>
      <c r="E308" s="492"/>
      <c r="F308" s="483"/>
      <c r="G308" s="483"/>
      <c r="H308" s="483"/>
      <c r="I308" s="481"/>
      <c r="J308" s="484"/>
      <c r="K308" s="485"/>
      <c r="L308" s="485"/>
    </row>
    <row r="309" spans="2:12" s="474" customFormat="1" x14ac:dyDescent="0.3">
      <c r="B309" s="483"/>
      <c r="C309" s="483"/>
      <c r="D309" s="482"/>
      <c r="E309" s="492"/>
      <c r="F309" s="483"/>
      <c r="G309" s="483"/>
      <c r="H309" s="483"/>
      <c r="I309" s="481"/>
      <c r="J309" s="484"/>
      <c r="K309" s="485"/>
      <c r="L309" s="485"/>
    </row>
    <row r="310" spans="2:12" s="474" customFormat="1" x14ac:dyDescent="0.3">
      <c r="B310" s="483"/>
      <c r="C310" s="483"/>
      <c r="D310" s="482"/>
      <c r="E310" s="492"/>
      <c r="F310" s="483"/>
      <c r="G310" s="483"/>
      <c r="H310" s="483"/>
      <c r="I310" s="481"/>
      <c r="J310" s="484"/>
      <c r="K310" s="485"/>
      <c r="L310" s="485"/>
    </row>
    <row r="311" spans="2:12" s="474" customFormat="1" x14ac:dyDescent="0.3">
      <c r="B311" s="483"/>
      <c r="C311" s="483"/>
      <c r="D311" s="482"/>
      <c r="E311" s="492"/>
      <c r="F311" s="483"/>
      <c r="G311" s="483"/>
      <c r="H311" s="483"/>
      <c r="I311" s="481"/>
      <c r="J311" s="484"/>
      <c r="K311" s="485"/>
      <c r="L311" s="485"/>
    </row>
    <row r="312" spans="2:12" s="474" customFormat="1" x14ac:dyDescent="0.3">
      <c r="B312" s="483"/>
      <c r="C312" s="483"/>
      <c r="D312" s="482"/>
      <c r="E312" s="492"/>
      <c r="F312" s="483"/>
      <c r="G312" s="483"/>
      <c r="H312" s="483"/>
      <c r="I312" s="481"/>
      <c r="J312" s="484"/>
      <c r="K312" s="485"/>
      <c r="L312" s="485"/>
    </row>
    <row r="313" spans="2:12" s="474" customFormat="1" x14ac:dyDescent="0.3">
      <c r="B313" s="483"/>
      <c r="C313" s="483"/>
      <c r="D313" s="482"/>
      <c r="E313" s="492"/>
      <c r="F313" s="483"/>
      <c r="G313" s="483"/>
      <c r="H313" s="483"/>
      <c r="I313" s="481"/>
      <c r="J313" s="484"/>
      <c r="K313" s="485"/>
      <c r="L313" s="485"/>
    </row>
    <row r="314" spans="2:12" s="474" customFormat="1" x14ac:dyDescent="0.3">
      <c r="B314" s="483"/>
      <c r="C314" s="483"/>
      <c r="D314" s="482"/>
      <c r="E314" s="492"/>
      <c r="F314" s="483"/>
      <c r="G314" s="483"/>
      <c r="H314" s="483"/>
      <c r="I314" s="481"/>
      <c r="J314" s="484"/>
      <c r="K314" s="485"/>
      <c r="L314" s="485"/>
    </row>
    <row r="315" spans="2:12" s="474" customFormat="1" x14ac:dyDescent="0.3">
      <c r="B315" s="483"/>
      <c r="C315" s="483"/>
      <c r="D315" s="482"/>
      <c r="E315" s="492"/>
      <c r="F315" s="483"/>
      <c r="G315" s="483"/>
      <c r="H315" s="483"/>
      <c r="I315" s="481"/>
      <c r="J315" s="484"/>
      <c r="K315" s="485"/>
      <c r="L315" s="485"/>
    </row>
    <row r="316" spans="2:12" s="474" customFormat="1" x14ac:dyDescent="0.3">
      <c r="B316" s="483"/>
      <c r="C316" s="483"/>
      <c r="D316" s="482"/>
      <c r="E316" s="492"/>
      <c r="F316" s="483"/>
      <c r="G316" s="483"/>
      <c r="H316" s="483"/>
      <c r="I316" s="481"/>
      <c r="J316" s="484"/>
      <c r="K316" s="485"/>
      <c r="L316" s="485"/>
    </row>
    <row r="317" spans="2:12" s="474" customFormat="1" x14ac:dyDescent="0.3">
      <c r="B317" s="483"/>
      <c r="C317" s="483"/>
      <c r="D317" s="482"/>
      <c r="E317" s="492"/>
      <c r="F317" s="483"/>
      <c r="G317" s="483"/>
      <c r="H317" s="483"/>
      <c r="I317" s="481"/>
      <c r="J317" s="484"/>
      <c r="K317" s="485"/>
      <c r="L317" s="485"/>
    </row>
    <row r="318" spans="2:12" s="474" customFormat="1" x14ac:dyDescent="0.3">
      <c r="B318" s="483"/>
      <c r="C318" s="483"/>
      <c r="D318" s="482"/>
      <c r="E318" s="492"/>
      <c r="F318" s="483"/>
      <c r="G318" s="483"/>
      <c r="H318" s="483"/>
      <c r="I318" s="481"/>
      <c r="J318" s="484"/>
      <c r="K318" s="485"/>
      <c r="L318" s="485"/>
    </row>
    <row r="319" spans="2:12" s="474" customFormat="1" x14ac:dyDescent="0.3">
      <c r="B319" s="483"/>
      <c r="C319" s="483"/>
      <c r="D319" s="482"/>
      <c r="E319" s="492"/>
      <c r="F319" s="483"/>
      <c r="G319" s="483"/>
      <c r="H319" s="483"/>
      <c r="I319" s="481"/>
      <c r="J319" s="484"/>
      <c r="K319" s="485"/>
      <c r="L319" s="485"/>
    </row>
    <row r="320" spans="2:12" s="474" customFormat="1" x14ac:dyDescent="0.3">
      <c r="B320" s="483"/>
      <c r="C320" s="483"/>
      <c r="D320" s="482"/>
      <c r="E320" s="492"/>
      <c r="F320" s="483"/>
      <c r="G320" s="483"/>
      <c r="H320" s="483"/>
      <c r="I320" s="481"/>
      <c r="J320" s="484"/>
      <c r="K320" s="485"/>
      <c r="L320" s="485"/>
    </row>
    <row r="321" spans="2:12" s="474" customFormat="1" x14ac:dyDescent="0.3">
      <c r="B321" s="483"/>
      <c r="C321" s="483"/>
      <c r="D321" s="482"/>
      <c r="E321" s="492"/>
      <c r="F321" s="483"/>
      <c r="G321" s="483"/>
      <c r="H321" s="483"/>
      <c r="I321" s="481"/>
      <c r="J321" s="484"/>
      <c r="K321" s="485"/>
      <c r="L321" s="485"/>
    </row>
    <row r="322" spans="2:12" s="474" customFormat="1" x14ac:dyDescent="0.3">
      <c r="B322" s="483"/>
      <c r="C322" s="483"/>
      <c r="D322" s="482"/>
      <c r="E322" s="492"/>
      <c r="F322" s="483"/>
      <c r="G322" s="483"/>
      <c r="H322" s="483"/>
      <c r="I322" s="481"/>
      <c r="J322" s="484"/>
      <c r="K322" s="485"/>
      <c r="L322" s="485"/>
    </row>
    <row r="323" spans="2:12" s="474" customFormat="1" x14ac:dyDescent="0.3">
      <c r="B323" s="483"/>
      <c r="C323" s="483"/>
      <c r="D323" s="482"/>
      <c r="E323" s="492"/>
      <c r="F323" s="483"/>
      <c r="G323" s="483"/>
      <c r="H323" s="483"/>
      <c r="I323" s="481"/>
      <c r="J323" s="484"/>
      <c r="K323" s="485"/>
      <c r="L323" s="485"/>
    </row>
    <row r="324" spans="2:12" s="474" customFormat="1" x14ac:dyDescent="0.3">
      <c r="B324" s="483"/>
      <c r="C324" s="483"/>
      <c r="D324" s="482"/>
      <c r="E324" s="492"/>
      <c r="F324" s="483"/>
      <c r="G324" s="483"/>
      <c r="H324" s="483"/>
      <c r="I324" s="481"/>
      <c r="J324" s="484"/>
      <c r="K324" s="485"/>
      <c r="L324" s="485"/>
    </row>
    <row r="325" spans="2:12" s="474" customFormat="1" x14ac:dyDescent="0.3">
      <c r="B325" s="483"/>
      <c r="C325" s="483"/>
      <c r="D325" s="482"/>
      <c r="E325" s="492"/>
      <c r="F325" s="483"/>
      <c r="G325" s="483"/>
      <c r="H325" s="483"/>
      <c r="I325" s="481"/>
      <c r="J325" s="484"/>
      <c r="K325" s="485"/>
      <c r="L325" s="485"/>
    </row>
    <row r="326" spans="2:12" s="474" customFormat="1" x14ac:dyDescent="0.3">
      <c r="B326" s="483"/>
      <c r="C326" s="483"/>
      <c r="D326" s="482"/>
      <c r="E326" s="492"/>
      <c r="F326" s="483"/>
      <c r="G326" s="483"/>
      <c r="H326" s="483"/>
      <c r="I326" s="481"/>
      <c r="J326" s="484"/>
      <c r="K326" s="485"/>
      <c r="L326" s="485"/>
    </row>
    <row r="327" spans="2:12" s="474" customFormat="1" x14ac:dyDescent="0.3">
      <c r="B327" s="483"/>
      <c r="C327" s="483"/>
      <c r="D327" s="482"/>
      <c r="E327" s="492"/>
      <c r="F327" s="483"/>
      <c r="G327" s="483"/>
      <c r="H327" s="483"/>
      <c r="I327" s="481"/>
      <c r="J327" s="484"/>
      <c r="K327" s="485"/>
      <c r="L327" s="485"/>
    </row>
    <row r="328" spans="2:12" s="474" customFormat="1" x14ac:dyDescent="0.3">
      <c r="B328" s="483"/>
      <c r="C328" s="483"/>
      <c r="D328" s="482"/>
      <c r="E328" s="492"/>
      <c r="F328" s="483"/>
      <c r="G328" s="483"/>
      <c r="H328" s="483"/>
      <c r="I328" s="481"/>
      <c r="J328" s="484"/>
      <c r="K328" s="485"/>
      <c r="L328" s="485"/>
    </row>
    <row r="329" spans="2:12" s="474" customFormat="1" x14ac:dyDescent="0.3">
      <c r="B329" s="483"/>
      <c r="C329" s="483"/>
      <c r="D329" s="482"/>
      <c r="E329" s="492"/>
      <c r="F329" s="483"/>
      <c r="G329" s="483"/>
      <c r="H329" s="483"/>
      <c r="I329" s="481"/>
      <c r="J329" s="484"/>
      <c r="K329" s="485"/>
      <c r="L329" s="485"/>
    </row>
    <row r="330" spans="2:12" s="474" customFormat="1" x14ac:dyDescent="0.3">
      <c r="B330" s="483"/>
      <c r="C330" s="483"/>
      <c r="D330" s="482"/>
      <c r="E330" s="492"/>
      <c r="F330" s="483"/>
      <c r="G330" s="483"/>
      <c r="H330" s="483"/>
      <c r="I330" s="481"/>
      <c r="J330" s="484"/>
      <c r="K330" s="485"/>
      <c r="L330" s="485"/>
    </row>
    <row r="331" spans="2:12" s="474" customFormat="1" x14ac:dyDescent="0.3">
      <c r="B331" s="483"/>
      <c r="C331" s="483"/>
      <c r="D331" s="482"/>
      <c r="E331" s="492"/>
      <c r="F331" s="483"/>
      <c r="G331" s="483"/>
      <c r="H331" s="483"/>
      <c r="I331" s="481"/>
      <c r="J331" s="484"/>
      <c r="K331" s="485"/>
      <c r="L331" s="485"/>
    </row>
    <row r="332" spans="2:12" s="474" customFormat="1" x14ac:dyDescent="0.3">
      <c r="B332" s="483"/>
      <c r="C332" s="483"/>
      <c r="D332" s="482"/>
      <c r="E332" s="492"/>
      <c r="F332" s="483"/>
      <c r="G332" s="483"/>
      <c r="H332" s="483"/>
      <c r="I332" s="481"/>
      <c r="J332" s="484"/>
      <c r="K332" s="485"/>
      <c r="L332" s="485"/>
    </row>
    <row r="333" spans="2:12" s="474" customFormat="1" x14ac:dyDescent="0.3">
      <c r="B333" s="483"/>
      <c r="C333" s="483"/>
      <c r="D333" s="482"/>
      <c r="E333" s="492"/>
      <c r="F333" s="483"/>
      <c r="G333" s="483"/>
      <c r="H333" s="483"/>
      <c r="I333" s="481"/>
      <c r="J333" s="484"/>
      <c r="K333" s="485"/>
      <c r="L333" s="485"/>
    </row>
    <row r="334" spans="2:12" s="474" customFormat="1" x14ac:dyDescent="0.3">
      <c r="B334" s="483"/>
      <c r="C334" s="483"/>
      <c r="D334" s="482"/>
      <c r="E334" s="492"/>
      <c r="F334" s="483"/>
      <c r="G334" s="483"/>
      <c r="H334" s="483"/>
      <c r="I334" s="481"/>
      <c r="J334" s="484"/>
      <c r="K334" s="485"/>
      <c r="L334" s="485"/>
    </row>
    <row r="335" spans="2:12" s="474" customFormat="1" x14ac:dyDescent="0.3">
      <c r="B335" s="483"/>
      <c r="C335" s="483"/>
      <c r="D335" s="482"/>
      <c r="E335" s="492"/>
      <c r="F335" s="483"/>
      <c r="G335" s="483"/>
      <c r="H335" s="483"/>
      <c r="I335" s="481"/>
      <c r="J335" s="484"/>
      <c r="K335" s="485"/>
      <c r="L335" s="485"/>
    </row>
    <row r="336" spans="2:12" s="474" customFormat="1" x14ac:dyDescent="0.3">
      <c r="B336" s="483"/>
      <c r="C336" s="483"/>
      <c r="D336" s="482"/>
      <c r="E336" s="492"/>
      <c r="F336" s="483"/>
      <c r="G336" s="483"/>
      <c r="H336" s="483"/>
      <c r="I336" s="481"/>
      <c r="J336" s="484"/>
      <c r="K336" s="485"/>
      <c r="L336" s="485"/>
    </row>
    <row r="337" spans="2:12" s="474" customFormat="1" x14ac:dyDescent="0.3">
      <c r="B337" s="483"/>
      <c r="C337" s="483"/>
      <c r="D337" s="482"/>
      <c r="E337" s="492"/>
      <c r="F337" s="483"/>
      <c r="G337" s="483"/>
      <c r="H337" s="483"/>
      <c r="I337" s="481"/>
      <c r="J337" s="484"/>
      <c r="K337" s="485"/>
      <c r="L337" s="485"/>
    </row>
    <row r="338" spans="2:12" s="474" customFormat="1" x14ac:dyDescent="0.3">
      <c r="B338" s="483"/>
      <c r="C338" s="483"/>
      <c r="D338" s="482"/>
      <c r="E338" s="492"/>
      <c r="F338" s="483"/>
      <c r="G338" s="483"/>
      <c r="H338" s="483"/>
      <c r="I338" s="481"/>
      <c r="J338" s="484"/>
      <c r="K338" s="485"/>
      <c r="L338" s="485"/>
    </row>
    <row r="339" spans="2:12" s="474" customFormat="1" x14ac:dyDescent="0.3">
      <c r="B339" s="483"/>
      <c r="C339" s="483"/>
      <c r="D339" s="482"/>
      <c r="E339" s="492"/>
      <c r="F339" s="483"/>
      <c r="G339" s="483"/>
      <c r="H339" s="483"/>
      <c r="I339" s="481"/>
      <c r="J339" s="484"/>
      <c r="K339" s="485"/>
      <c r="L339" s="485"/>
    </row>
    <row r="340" spans="2:12" s="474" customFormat="1" x14ac:dyDescent="0.3">
      <c r="B340" s="483"/>
      <c r="C340" s="483"/>
      <c r="D340" s="482"/>
      <c r="E340" s="492"/>
      <c r="F340" s="483"/>
      <c r="G340" s="483"/>
      <c r="H340" s="483"/>
      <c r="I340" s="481"/>
      <c r="J340" s="484"/>
      <c r="K340" s="485"/>
      <c r="L340" s="485"/>
    </row>
    <row r="341" spans="2:12" s="474" customFormat="1" x14ac:dyDescent="0.3">
      <c r="B341" s="483"/>
      <c r="C341" s="483"/>
      <c r="D341" s="482"/>
      <c r="E341" s="492"/>
      <c r="F341" s="483"/>
      <c r="G341" s="483"/>
      <c r="H341" s="483"/>
      <c r="I341" s="481"/>
      <c r="J341" s="484"/>
      <c r="K341" s="485"/>
      <c r="L341" s="485"/>
    </row>
    <row r="342" spans="2:12" s="474" customFormat="1" x14ac:dyDescent="0.3">
      <c r="B342" s="483"/>
      <c r="C342" s="483"/>
      <c r="D342" s="482"/>
      <c r="E342" s="492"/>
      <c r="F342" s="483"/>
      <c r="G342" s="483"/>
      <c r="H342" s="483"/>
      <c r="I342" s="481"/>
      <c r="J342" s="484"/>
      <c r="K342" s="485"/>
      <c r="L342" s="485"/>
    </row>
    <row r="343" spans="2:12" s="474" customFormat="1" x14ac:dyDescent="0.3">
      <c r="B343" s="483"/>
      <c r="C343" s="483"/>
      <c r="D343" s="482"/>
      <c r="E343" s="492"/>
      <c r="F343" s="483"/>
      <c r="G343" s="483"/>
      <c r="H343" s="483"/>
      <c r="I343" s="481"/>
      <c r="J343" s="484"/>
      <c r="K343" s="485"/>
      <c r="L343" s="485"/>
    </row>
    <row r="344" spans="2:12" s="474" customFormat="1" x14ac:dyDescent="0.3">
      <c r="B344" s="483"/>
      <c r="C344" s="483"/>
      <c r="D344" s="482"/>
      <c r="E344" s="492"/>
      <c r="F344" s="483"/>
      <c r="G344" s="483"/>
      <c r="H344" s="483"/>
      <c r="I344" s="481"/>
      <c r="J344" s="484"/>
      <c r="K344" s="485"/>
      <c r="L344" s="485"/>
    </row>
    <row r="345" spans="2:12" s="474" customFormat="1" x14ac:dyDescent="0.3">
      <c r="B345" s="483"/>
      <c r="C345" s="483"/>
      <c r="D345" s="482"/>
      <c r="E345" s="492"/>
      <c r="F345" s="483"/>
      <c r="G345" s="483"/>
      <c r="H345" s="483"/>
      <c r="I345" s="481"/>
      <c r="J345" s="484"/>
      <c r="K345" s="485"/>
      <c r="L345" s="485"/>
    </row>
    <row r="346" spans="2:12" s="474" customFormat="1" x14ac:dyDescent="0.3">
      <c r="B346" s="483"/>
      <c r="C346" s="483"/>
      <c r="D346" s="482"/>
      <c r="E346" s="492"/>
      <c r="F346" s="483"/>
      <c r="G346" s="483"/>
      <c r="H346" s="483"/>
      <c r="I346" s="481"/>
      <c r="J346" s="484"/>
      <c r="K346" s="485"/>
      <c r="L346" s="485"/>
    </row>
    <row r="347" spans="2:12" s="474" customFormat="1" x14ac:dyDescent="0.3">
      <c r="B347" s="483"/>
      <c r="C347" s="483"/>
      <c r="D347" s="482"/>
      <c r="E347" s="492"/>
      <c r="F347" s="483"/>
      <c r="G347" s="483"/>
      <c r="H347" s="483"/>
      <c r="I347" s="481"/>
      <c r="J347" s="484"/>
      <c r="K347" s="485"/>
      <c r="L347" s="485"/>
    </row>
    <row r="348" spans="2:12" s="474" customFormat="1" x14ac:dyDescent="0.3">
      <c r="B348" s="483"/>
      <c r="C348" s="483"/>
      <c r="D348" s="482"/>
      <c r="E348" s="492"/>
      <c r="F348" s="483"/>
      <c r="G348" s="483"/>
      <c r="H348" s="483"/>
      <c r="I348" s="481"/>
      <c r="J348" s="484"/>
      <c r="K348" s="485"/>
      <c r="L348" s="485"/>
    </row>
    <row r="349" spans="2:12" s="474" customFormat="1" x14ac:dyDescent="0.3">
      <c r="B349" s="483"/>
      <c r="C349" s="483"/>
      <c r="D349" s="482"/>
      <c r="E349" s="492"/>
      <c r="F349" s="483"/>
      <c r="G349" s="483"/>
      <c r="H349" s="483"/>
      <c r="I349" s="481"/>
      <c r="J349" s="484"/>
      <c r="K349" s="485"/>
      <c r="L349" s="485"/>
    </row>
    <row r="350" spans="2:12" s="474" customFormat="1" x14ac:dyDescent="0.3">
      <c r="B350" s="483"/>
      <c r="C350" s="483"/>
      <c r="D350" s="482"/>
      <c r="E350" s="492"/>
      <c r="F350" s="483"/>
      <c r="G350" s="483"/>
      <c r="H350" s="483"/>
      <c r="I350" s="481"/>
      <c r="J350" s="484"/>
      <c r="K350" s="485"/>
      <c r="L350" s="485"/>
    </row>
    <row r="351" spans="2:12" s="474" customFormat="1" x14ac:dyDescent="0.3">
      <c r="B351" s="483"/>
      <c r="C351" s="483"/>
      <c r="D351" s="482"/>
      <c r="E351" s="492"/>
      <c r="F351" s="483"/>
      <c r="G351" s="483"/>
      <c r="H351" s="483"/>
      <c r="I351" s="481"/>
      <c r="J351" s="484"/>
      <c r="K351" s="485"/>
      <c r="L351" s="485"/>
    </row>
    <row r="352" spans="2:12" s="474" customFormat="1" x14ac:dyDescent="0.3">
      <c r="B352" s="483"/>
      <c r="C352" s="483"/>
      <c r="D352" s="482"/>
      <c r="E352" s="492"/>
      <c r="F352" s="483"/>
      <c r="G352" s="483"/>
      <c r="H352" s="483"/>
      <c r="I352" s="481"/>
      <c r="J352" s="484"/>
      <c r="K352" s="485"/>
      <c r="L352" s="485"/>
    </row>
    <row r="353" spans="2:12" s="474" customFormat="1" x14ac:dyDescent="0.3">
      <c r="B353" s="483"/>
      <c r="C353" s="483"/>
      <c r="D353" s="482"/>
      <c r="E353" s="492"/>
      <c r="F353" s="483"/>
      <c r="G353" s="483"/>
      <c r="H353" s="483"/>
      <c r="I353" s="481"/>
      <c r="J353" s="484"/>
      <c r="K353" s="485"/>
      <c r="L353" s="485"/>
    </row>
    <row r="354" spans="2:12" s="474" customFormat="1" x14ac:dyDescent="0.3">
      <c r="B354" s="483"/>
      <c r="C354" s="483"/>
      <c r="D354" s="482"/>
      <c r="E354" s="492"/>
      <c r="F354" s="483"/>
      <c r="G354" s="483"/>
      <c r="H354" s="483"/>
      <c r="I354" s="481"/>
      <c r="J354" s="484"/>
      <c r="K354" s="485"/>
      <c r="L354" s="485"/>
    </row>
    <row r="355" spans="2:12" s="474" customFormat="1" x14ac:dyDescent="0.3">
      <c r="B355" s="483"/>
      <c r="C355" s="483"/>
      <c r="D355" s="482"/>
      <c r="E355" s="492"/>
      <c r="F355" s="483"/>
      <c r="G355" s="483"/>
      <c r="H355" s="483"/>
      <c r="I355" s="481"/>
      <c r="J355" s="484"/>
      <c r="K355" s="485"/>
      <c r="L355" s="485"/>
    </row>
    <row r="356" spans="2:12" s="474" customFormat="1" x14ac:dyDescent="0.3">
      <c r="B356" s="483"/>
      <c r="C356" s="483"/>
      <c r="D356" s="482"/>
      <c r="E356" s="492"/>
      <c r="F356" s="483"/>
      <c r="G356" s="483"/>
      <c r="H356" s="483"/>
      <c r="I356" s="481"/>
      <c r="J356" s="484"/>
      <c r="K356" s="485"/>
      <c r="L356" s="485"/>
    </row>
    <row r="357" spans="2:12" s="474" customFormat="1" x14ac:dyDescent="0.3">
      <c r="B357" s="483"/>
      <c r="C357" s="483"/>
      <c r="D357" s="482"/>
      <c r="E357" s="492"/>
      <c r="F357" s="483"/>
      <c r="G357" s="483"/>
      <c r="H357" s="483"/>
      <c r="I357" s="481"/>
      <c r="J357" s="484"/>
      <c r="K357" s="485"/>
      <c r="L357" s="485"/>
    </row>
    <row r="358" spans="2:12" s="474" customFormat="1" x14ac:dyDescent="0.3">
      <c r="B358" s="483"/>
      <c r="C358" s="483"/>
      <c r="D358" s="482"/>
      <c r="E358" s="492"/>
      <c r="F358" s="483"/>
      <c r="G358" s="483"/>
      <c r="H358" s="483"/>
      <c r="I358" s="481"/>
      <c r="J358" s="484"/>
      <c r="K358" s="485"/>
      <c r="L358" s="485"/>
    </row>
    <row r="359" spans="2:12" s="474" customFormat="1" x14ac:dyDescent="0.3">
      <c r="B359" s="483"/>
      <c r="C359" s="483"/>
      <c r="D359" s="482"/>
      <c r="E359" s="492"/>
      <c r="F359" s="483"/>
      <c r="G359" s="483"/>
      <c r="H359" s="483"/>
      <c r="I359" s="481"/>
      <c r="J359" s="484"/>
      <c r="K359" s="485"/>
      <c r="L359" s="485"/>
    </row>
    <row r="360" spans="2:12" s="474" customFormat="1" x14ac:dyDescent="0.3">
      <c r="B360" s="483"/>
      <c r="C360" s="483"/>
      <c r="D360" s="482"/>
      <c r="E360" s="492"/>
      <c r="F360" s="483"/>
      <c r="G360" s="483"/>
      <c r="H360" s="483"/>
      <c r="I360" s="481"/>
      <c r="J360" s="484"/>
      <c r="K360" s="485"/>
      <c r="L360" s="485"/>
    </row>
    <row r="361" spans="2:12" s="474" customFormat="1" x14ac:dyDescent="0.3">
      <c r="B361" s="483"/>
      <c r="C361" s="483"/>
      <c r="D361" s="482"/>
      <c r="E361" s="492"/>
      <c r="F361" s="483"/>
      <c r="G361" s="483"/>
      <c r="H361" s="483"/>
      <c r="I361" s="481"/>
      <c r="J361" s="484"/>
      <c r="K361" s="485"/>
      <c r="L361" s="485"/>
    </row>
    <row r="362" spans="2:12" s="474" customFormat="1" x14ac:dyDescent="0.3">
      <c r="B362" s="483"/>
      <c r="C362" s="483"/>
      <c r="D362" s="482"/>
      <c r="E362" s="492"/>
      <c r="F362" s="483"/>
      <c r="G362" s="483"/>
      <c r="H362" s="483"/>
      <c r="I362" s="481"/>
      <c r="J362" s="484"/>
      <c r="K362" s="485"/>
      <c r="L362" s="485"/>
    </row>
    <row r="363" spans="2:12" s="474" customFormat="1" x14ac:dyDescent="0.3">
      <c r="B363" s="483"/>
      <c r="C363" s="483"/>
      <c r="D363" s="482"/>
      <c r="E363" s="492"/>
      <c r="F363" s="483"/>
      <c r="G363" s="483"/>
      <c r="H363" s="483"/>
      <c r="I363" s="481"/>
      <c r="J363" s="484"/>
      <c r="K363" s="485"/>
      <c r="L363" s="485"/>
    </row>
    <row r="364" spans="2:12" s="474" customFormat="1" x14ac:dyDescent="0.3">
      <c r="B364" s="483"/>
      <c r="C364" s="483"/>
      <c r="D364" s="482"/>
      <c r="E364" s="492"/>
      <c r="F364" s="483"/>
      <c r="G364" s="483"/>
      <c r="H364" s="483"/>
      <c r="I364" s="481"/>
      <c r="J364" s="484"/>
      <c r="K364" s="485"/>
      <c r="L364" s="485"/>
    </row>
    <row r="365" spans="2:12" s="474" customFormat="1" x14ac:dyDescent="0.3">
      <c r="B365" s="483"/>
      <c r="C365" s="483"/>
      <c r="D365" s="482"/>
      <c r="E365" s="492"/>
      <c r="F365" s="483"/>
      <c r="G365" s="483"/>
      <c r="H365" s="483"/>
      <c r="I365" s="481"/>
      <c r="J365" s="484"/>
      <c r="K365" s="485"/>
      <c r="L365" s="485"/>
    </row>
    <row r="366" spans="2:12" s="474" customFormat="1" x14ac:dyDescent="0.3">
      <c r="B366" s="483"/>
      <c r="C366" s="483"/>
      <c r="D366" s="482"/>
      <c r="E366" s="492"/>
      <c r="F366" s="483"/>
      <c r="G366" s="483"/>
      <c r="H366" s="483"/>
      <c r="I366" s="481"/>
      <c r="J366" s="484"/>
      <c r="K366" s="485"/>
      <c r="L366" s="485"/>
    </row>
    <row r="367" spans="2:12" s="474" customFormat="1" x14ac:dyDescent="0.3">
      <c r="B367" s="483"/>
      <c r="C367" s="483"/>
      <c r="D367" s="482"/>
      <c r="E367" s="492"/>
      <c r="F367" s="483"/>
      <c r="G367" s="483"/>
      <c r="H367" s="483"/>
      <c r="I367" s="481"/>
      <c r="J367" s="484"/>
      <c r="K367" s="485"/>
      <c r="L367" s="485"/>
    </row>
    <row r="368" spans="2:12" s="474" customFormat="1" x14ac:dyDescent="0.3">
      <c r="B368" s="483"/>
      <c r="C368" s="483"/>
      <c r="D368" s="482"/>
      <c r="E368" s="492"/>
      <c r="F368" s="483"/>
      <c r="G368" s="483"/>
      <c r="H368" s="483"/>
      <c r="I368" s="481"/>
      <c r="J368" s="484"/>
      <c r="K368" s="485"/>
      <c r="L368" s="485"/>
    </row>
    <row r="369" spans="2:12" s="474" customFormat="1" x14ac:dyDescent="0.3">
      <c r="B369" s="483"/>
      <c r="C369" s="483"/>
      <c r="D369" s="482"/>
      <c r="E369" s="492"/>
      <c r="F369" s="483"/>
      <c r="G369" s="483"/>
      <c r="H369" s="483"/>
      <c r="I369" s="481"/>
      <c r="J369" s="484"/>
      <c r="K369" s="485"/>
      <c r="L369" s="485"/>
    </row>
    <row r="370" spans="2:12" s="474" customFormat="1" x14ac:dyDescent="0.3">
      <c r="B370" s="483"/>
      <c r="C370" s="483"/>
      <c r="D370" s="482"/>
      <c r="E370" s="492"/>
      <c r="F370" s="483"/>
      <c r="G370" s="483"/>
      <c r="H370" s="483"/>
      <c r="I370" s="481"/>
      <c r="J370" s="484"/>
      <c r="K370" s="485"/>
      <c r="L370" s="485"/>
    </row>
    <row r="371" spans="2:12" s="474" customFormat="1" x14ac:dyDescent="0.3">
      <c r="B371" s="483"/>
      <c r="C371" s="483"/>
      <c r="D371" s="482"/>
      <c r="E371" s="492"/>
      <c r="F371" s="483"/>
      <c r="G371" s="483"/>
      <c r="H371" s="483"/>
      <c r="I371" s="481"/>
      <c r="J371" s="484"/>
      <c r="K371" s="485"/>
      <c r="L371" s="485"/>
    </row>
    <row r="372" spans="2:12" s="474" customFormat="1" x14ac:dyDescent="0.3">
      <c r="B372" s="483"/>
      <c r="C372" s="483"/>
      <c r="D372" s="482"/>
      <c r="E372" s="492"/>
      <c r="F372" s="483"/>
      <c r="G372" s="483"/>
      <c r="H372" s="483"/>
      <c r="I372" s="481"/>
      <c r="J372" s="484"/>
      <c r="K372" s="485"/>
      <c r="L372" s="485"/>
    </row>
    <row r="373" spans="2:12" s="474" customFormat="1" x14ac:dyDescent="0.3">
      <c r="B373" s="483"/>
      <c r="C373" s="483"/>
      <c r="D373" s="482"/>
      <c r="E373" s="492"/>
      <c r="F373" s="483"/>
      <c r="G373" s="483"/>
      <c r="H373" s="483"/>
      <c r="I373" s="481"/>
      <c r="J373" s="484"/>
      <c r="K373" s="485"/>
      <c r="L373" s="485"/>
    </row>
    <row r="374" spans="2:12" s="474" customFormat="1" x14ac:dyDescent="0.3">
      <c r="B374" s="483"/>
      <c r="C374" s="483"/>
      <c r="D374" s="482"/>
      <c r="E374" s="492"/>
      <c r="F374" s="483"/>
      <c r="G374" s="483"/>
      <c r="H374" s="483"/>
      <c r="I374" s="481"/>
      <c r="J374" s="484"/>
      <c r="K374" s="485"/>
      <c r="L374" s="485"/>
    </row>
    <row r="375" spans="2:12" s="474" customFormat="1" x14ac:dyDescent="0.3">
      <c r="B375" s="483"/>
      <c r="C375" s="483"/>
      <c r="D375" s="482"/>
      <c r="E375" s="492"/>
      <c r="F375" s="483"/>
      <c r="G375" s="483"/>
      <c r="H375" s="483"/>
      <c r="I375" s="481"/>
      <c r="J375" s="484"/>
      <c r="K375" s="485"/>
      <c r="L375" s="485"/>
    </row>
    <row r="376" spans="2:12" s="474" customFormat="1" x14ac:dyDescent="0.3">
      <c r="B376" s="483"/>
      <c r="C376" s="483"/>
      <c r="D376" s="482"/>
      <c r="E376" s="492"/>
      <c r="F376" s="483"/>
      <c r="G376" s="483"/>
      <c r="H376" s="483"/>
      <c r="I376" s="481"/>
      <c r="J376" s="484"/>
      <c r="K376" s="485"/>
      <c r="L376" s="485"/>
    </row>
    <row r="377" spans="2:12" s="474" customFormat="1" x14ac:dyDescent="0.3">
      <c r="B377" s="483"/>
      <c r="C377" s="483"/>
      <c r="D377" s="482"/>
      <c r="E377" s="492"/>
      <c r="F377" s="483"/>
      <c r="G377" s="483"/>
      <c r="H377" s="483"/>
      <c r="I377" s="481"/>
      <c r="J377" s="484"/>
      <c r="K377" s="485"/>
      <c r="L377" s="485"/>
    </row>
    <row r="378" spans="2:12" s="474" customFormat="1" x14ac:dyDescent="0.3">
      <c r="B378" s="483"/>
      <c r="C378" s="483"/>
      <c r="D378" s="482"/>
      <c r="E378" s="492"/>
      <c r="F378" s="483"/>
      <c r="G378" s="483"/>
      <c r="H378" s="483"/>
      <c r="I378" s="481"/>
      <c r="J378" s="484"/>
      <c r="K378" s="485"/>
      <c r="L378" s="485"/>
    </row>
    <row r="379" spans="2:12" s="474" customFormat="1" x14ac:dyDescent="0.3">
      <c r="B379" s="483"/>
      <c r="C379" s="483"/>
      <c r="D379" s="482"/>
      <c r="E379" s="492"/>
      <c r="F379" s="483"/>
      <c r="G379" s="483"/>
      <c r="H379" s="483"/>
      <c r="I379" s="481"/>
      <c r="J379" s="484"/>
      <c r="K379" s="485"/>
      <c r="L379" s="485"/>
    </row>
    <row r="380" spans="2:12" s="474" customFormat="1" x14ac:dyDescent="0.3">
      <c r="B380" s="483"/>
      <c r="C380" s="483"/>
      <c r="D380" s="482"/>
      <c r="E380" s="492"/>
      <c r="F380" s="483"/>
      <c r="G380" s="483"/>
      <c r="H380" s="483"/>
      <c r="I380" s="481"/>
      <c r="J380" s="484"/>
      <c r="K380" s="485"/>
      <c r="L380" s="485"/>
    </row>
    <row r="381" spans="2:12" s="474" customFormat="1" x14ac:dyDescent="0.3">
      <c r="B381" s="483"/>
      <c r="C381" s="483"/>
      <c r="D381" s="482"/>
      <c r="E381" s="492"/>
      <c r="F381" s="483"/>
      <c r="G381" s="483"/>
      <c r="H381" s="483"/>
      <c r="I381" s="481"/>
      <c r="J381" s="484"/>
      <c r="K381" s="485"/>
      <c r="L381" s="485"/>
    </row>
    <row r="382" spans="2:12" s="474" customFormat="1" x14ac:dyDescent="0.3">
      <c r="B382" s="483"/>
      <c r="C382" s="483"/>
      <c r="D382" s="482"/>
      <c r="E382" s="492"/>
      <c r="F382" s="483"/>
      <c r="G382" s="483"/>
      <c r="H382" s="483"/>
      <c r="I382" s="481"/>
      <c r="J382" s="484"/>
      <c r="K382" s="485"/>
      <c r="L382" s="485"/>
    </row>
    <row r="383" spans="2:12" s="474" customFormat="1" x14ac:dyDescent="0.3">
      <c r="B383" s="483"/>
      <c r="C383" s="483"/>
      <c r="D383" s="482"/>
      <c r="E383" s="492"/>
      <c r="F383" s="483"/>
      <c r="G383" s="483"/>
      <c r="H383" s="483"/>
      <c r="I383" s="481"/>
      <c r="J383" s="484"/>
      <c r="K383" s="485"/>
      <c r="L383" s="485"/>
    </row>
    <row r="384" spans="2:12" s="474" customFormat="1" x14ac:dyDescent="0.3">
      <c r="B384" s="483"/>
      <c r="C384" s="483"/>
      <c r="D384" s="482"/>
      <c r="E384" s="492"/>
      <c r="F384" s="483"/>
      <c r="G384" s="483"/>
      <c r="H384" s="483"/>
      <c r="I384" s="481"/>
      <c r="J384" s="484"/>
      <c r="K384" s="485"/>
      <c r="L384" s="485"/>
    </row>
    <row r="385" spans="2:12" s="474" customFormat="1" x14ac:dyDescent="0.3">
      <c r="B385" s="483"/>
      <c r="C385" s="483"/>
      <c r="D385" s="482"/>
      <c r="E385" s="492"/>
      <c r="F385" s="483"/>
      <c r="G385" s="483"/>
      <c r="H385" s="483"/>
      <c r="I385" s="481"/>
      <c r="J385" s="484"/>
      <c r="K385" s="485"/>
      <c r="L385" s="485"/>
    </row>
    <row r="386" spans="2:12" s="474" customFormat="1" x14ac:dyDescent="0.3">
      <c r="B386" s="483"/>
      <c r="C386" s="483"/>
      <c r="D386" s="482"/>
      <c r="E386" s="492"/>
      <c r="F386" s="483"/>
      <c r="G386" s="483"/>
      <c r="H386" s="483"/>
      <c r="I386" s="481"/>
      <c r="J386" s="484"/>
      <c r="K386" s="485"/>
      <c r="L386" s="485"/>
    </row>
    <row r="387" spans="2:12" s="474" customFormat="1" x14ac:dyDescent="0.3">
      <c r="B387" s="483"/>
      <c r="C387" s="483"/>
      <c r="D387" s="482"/>
      <c r="E387" s="492"/>
      <c r="F387" s="483"/>
      <c r="G387" s="483"/>
      <c r="H387" s="483"/>
      <c r="I387" s="481"/>
      <c r="J387" s="484"/>
      <c r="K387" s="485"/>
      <c r="L387" s="485"/>
    </row>
    <row r="388" spans="2:12" s="474" customFormat="1" x14ac:dyDescent="0.3">
      <c r="B388" s="483"/>
      <c r="C388" s="483"/>
      <c r="D388" s="482"/>
      <c r="E388" s="492"/>
      <c r="F388" s="483"/>
      <c r="G388" s="483"/>
      <c r="H388" s="483"/>
      <c r="I388" s="481"/>
      <c r="J388" s="484"/>
      <c r="K388" s="485"/>
      <c r="L388" s="485"/>
    </row>
    <row r="389" spans="2:12" s="474" customFormat="1" x14ac:dyDescent="0.3">
      <c r="B389" s="483"/>
      <c r="C389" s="483"/>
      <c r="D389" s="482"/>
      <c r="E389" s="492"/>
      <c r="F389" s="483"/>
      <c r="G389" s="483"/>
      <c r="H389" s="483"/>
      <c r="I389" s="481"/>
      <c r="J389" s="484"/>
      <c r="K389" s="485"/>
      <c r="L389" s="485"/>
    </row>
    <row r="390" spans="2:12" s="474" customFormat="1" x14ac:dyDescent="0.3">
      <c r="B390" s="483"/>
      <c r="C390" s="483"/>
      <c r="D390" s="482"/>
      <c r="E390" s="492"/>
      <c r="F390" s="483"/>
      <c r="G390" s="483"/>
      <c r="H390" s="483"/>
      <c r="I390" s="481"/>
      <c r="J390" s="484"/>
      <c r="K390" s="485"/>
      <c r="L390" s="485"/>
    </row>
    <row r="391" spans="2:12" s="474" customFormat="1" x14ac:dyDescent="0.3">
      <c r="B391" s="483"/>
      <c r="C391" s="483"/>
      <c r="D391" s="482"/>
      <c r="E391" s="492"/>
      <c r="F391" s="483"/>
      <c r="G391" s="483"/>
      <c r="H391" s="483"/>
      <c r="I391" s="481"/>
      <c r="J391" s="484"/>
      <c r="K391" s="485"/>
      <c r="L391" s="485"/>
    </row>
    <row r="392" spans="2:12" s="474" customFormat="1" x14ac:dyDescent="0.3">
      <c r="B392" s="483"/>
      <c r="C392" s="483"/>
      <c r="D392" s="482"/>
      <c r="E392" s="492"/>
      <c r="F392" s="483"/>
      <c r="G392" s="483"/>
      <c r="H392" s="483"/>
      <c r="I392" s="481"/>
      <c r="J392" s="484"/>
      <c r="K392" s="485"/>
      <c r="L392" s="485"/>
    </row>
    <row r="393" spans="2:12" s="474" customFormat="1" x14ac:dyDescent="0.3">
      <c r="B393" s="483"/>
      <c r="C393" s="483"/>
      <c r="D393" s="482"/>
      <c r="E393" s="492"/>
      <c r="F393" s="483"/>
      <c r="G393" s="483"/>
      <c r="H393" s="483"/>
      <c r="I393" s="481"/>
      <c r="J393" s="484"/>
      <c r="K393" s="485"/>
      <c r="L393" s="485"/>
    </row>
    <row r="394" spans="2:12" s="474" customFormat="1" x14ac:dyDescent="0.3">
      <c r="B394" s="483"/>
      <c r="C394" s="483"/>
      <c r="D394" s="482"/>
      <c r="E394" s="492"/>
      <c r="F394" s="483"/>
      <c r="G394" s="483"/>
      <c r="H394" s="483"/>
      <c r="I394" s="481"/>
      <c r="J394" s="484"/>
      <c r="K394" s="485"/>
      <c r="L394" s="485"/>
    </row>
    <row r="395" spans="2:12" s="474" customFormat="1" x14ac:dyDescent="0.3">
      <c r="B395" s="483"/>
      <c r="C395" s="483"/>
      <c r="D395" s="482"/>
      <c r="E395" s="492"/>
      <c r="F395" s="483"/>
      <c r="G395" s="483"/>
      <c r="H395" s="483"/>
      <c r="I395" s="481"/>
      <c r="J395" s="484"/>
      <c r="K395" s="485"/>
      <c r="L395" s="485"/>
    </row>
    <row r="396" spans="2:12" s="474" customFormat="1" x14ac:dyDescent="0.3">
      <c r="B396" s="483"/>
      <c r="C396" s="483"/>
      <c r="D396" s="482"/>
      <c r="E396" s="492"/>
      <c r="F396" s="483"/>
      <c r="G396" s="483"/>
      <c r="H396" s="483"/>
      <c r="I396" s="481"/>
      <c r="J396" s="484"/>
      <c r="K396" s="485"/>
      <c r="L396" s="485"/>
    </row>
    <row r="397" spans="2:12" s="474" customFormat="1" x14ac:dyDescent="0.3">
      <c r="B397" s="483"/>
      <c r="C397" s="483"/>
      <c r="D397" s="482"/>
      <c r="E397" s="492"/>
      <c r="F397" s="483"/>
      <c r="G397" s="483"/>
      <c r="H397" s="483"/>
      <c r="I397" s="481"/>
      <c r="J397" s="484"/>
      <c r="K397" s="485"/>
      <c r="L397" s="485"/>
    </row>
    <row r="398" spans="2:12" s="474" customFormat="1" x14ac:dyDescent="0.3">
      <c r="B398" s="483"/>
      <c r="C398" s="483"/>
      <c r="D398" s="482"/>
      <c r="E398" s="492"/>
      <c r="F398" s="483"/>
      <c r="G398" s="483"/>
      <c r="H398" s="483"/>
      <c r="I398" s="481"/>
      <c r="J398" s="484"/>
      <c r="K398" s="485"/>
      <c r="L398" s="485"/>
    </row>
    <row r="399" spans="2:12" s="474" customFormat="1" x14ac:dyDescent="0.3">
      <c r="B399" s="483"/>
      <c r="C399" s="483"/>
      <c r="D399" s="482"/>
      <c r="E399" s="492"/>
      <c r="F399" s="483"/>
      <c r="G399" s="483"/>
      <c r="H399" s="483"/>
      <c r="I399" s="481"/>
      <c r="J399" s="484"/>
      <c r="K399" s="485"/>
      <c r="L399" s="485"/>
    </row>
    <row r="400" spans="2:12" s="474" customFormat="1" x14ac:dyDescent="0.3">
      <c r="B400" s="483"/>
      <c r="C400" s="483"/>
      <c r="D400" s="482"/>
      <c r="E400" s="492"/>
      <c r="F400" s="483"/>
      <c r="G400" s="483"/>
      <c r="H400" s="483"/>
      <c r="I400" s="481"/>
      <c r="J400" s="484"/>
      <c r="K400" s="485"/>
      <c r="L400" s="485"/>
    </row>
    <row r="401" spans="2:12" s="474" customFormat="1" x14ac:dyDescent="0.3">
      <c r="B401" s="483"/>
      <c r="C401" s="483"/>
      <c r="D401" s="482"/>
      <c r="E401" s="492"/>
      <c r="F401" s="483"/>
      <c r="G401" s="483"/>
      <c r="H401" s="483"/>
      <c r="I401" s="481"/>
      <c r="J401" s="484"/>
      <c r="K401" s="485"/>
      <c r="L401" s="485"/>
    </row>
    <row r="402" spans="2:12" s="474" customFormat="1" x14ac:dyDescent="0.3">
      <c r="B402" s="483"/>
      <c r="C402" s="483"/>
      <c r="D402" s="482"/>
      <c r="E402" s="492"/>
      <c r="F402" s="483"/>
      <c r="G402" s="483"/>
      <c r="H402" s="483"/>
      <c r="I402" s="481"/>
      <c r="J402" s="484"/>
      <c r="K402" s="485"/>
      <c r="L402" s="485"/>
    </row>
    <row r="403" spans="2:12" s="474" customFormat="1" x14ac:dyDescent="0.3">
      <c r="B403" s="483"/>
      <c r="C403" s="483"/>
      <c r="D403" s="482"/>
      <c r="E403" s="492"/>
      <c r="F403" s="483"/>
      <c r="G403" s="483"/>
      <c r="H403" s="483"/>
      <c r="I403" s="481"/>
      <c r="J403" s="484"/>
      <c r="K403" s="485"/>
      <c r="L403" s="485"/>
    </row>
    <row r="404" spans="2:12" s="474" customFormat="1" x14ac:dyDescent="0.3">
      <c r="B404" s="483"/>
      <c r="C404" s="483"/>
      <c r="D404" s="482"/>
      <c r="E404" s="492"/>
      <c r="F404" s="483"/>
      <c r="G404" s="483"/>
      <c r="H404" s="483"/>
      <c r="I404" s="481"/>
      <c r="J404" s="484"/>
      <c r="K404" s="485"/>
      <c r="L404" s="485"/>
    </row>
    <row r="405" spans="2:12" s="474" customFormat="1" x14ac:dyDescent="0.3">
      <c r="B405" s="483"/>
      <c r="C405" s="483"/>
      <c r="D405" s="482"/>
      <c r="E405" s="492"/>
      <c r="F405" s="483"/>
      <c r="G405" s="483"/>
      <c r="H405" s="483"/>
      <c r="I405" s="481"/>
      <c r="J405" s="484"/>
      <c r="K405" s="485"/>
      <c r="L405" s="485"/>
    </row>
    <row r="406" spans="2:12" s="474" customFormat="1" x14ac:dyDescent="0.3">
      <c r="B406" s="483"/>
      <c r="C406" s="483"/>
      <c r="D406" s="482"/>
      <c r="E406" s="492"/>
      <c r="F406" s="483"/>
      <c r="G406" s="483"/>
      <c r="H406" s="483"/>
      <c r="I406" s="481"/>
      <c r="J406" s="484"/>
      <c r="K406" s="485"/>
      <c r="L406" s="485"/>
    </row>
    <row r="407" spans="2:12" s="474" customFormat="1" x14ac:dyDescent="0.3">
      <c r="B407" s="483"/>
      <c r="C407" s="483"/>
      <c r="D407" s="482"/>
      <c r="E407" s="492"/>
      <c r="F407" s="483"/>
      <c r="G407" s="483"/>
      <c r="H407" s="483"/>
      <c r="I407" s="481"/>
      <c r="J407" s="484"/>
      <c r="K407" s="485"/>
      <c r="L407" s="485"/>
    </row>
    <row r="408" spans="2:12" s="474" customFormat="1" x14ac:dyDescent="0.3">
      <c r="B408" s="483"/>
      <c r="C408" s="483"/>
      <c r="D408" s="482"/>
      <c r="E408" s="492"/>
      <c r="F408" s="483"/>
      <c r="G408" s="483"/>
      <c r="H408" s="483"/>
      <c r="I408" s="481"/>
      <c r="J408" s="484"/>
      <c r="K408" s="485"/>
      <c r="L408" s="485"/>
    </row>
    <row r="409" spans="2:12" s="474" customFormat="1" x14ac:dyDescent="0.3">
      <c r="B409" s="483"/>
      <c r="C409" s="483"/>
      <c r="D409" s="482"/>
      <c r="E409" s="492"/>
      <c r="F409" s="483"/>
      <c r="G409" s="483"/>
      <c r="H409" s="483"/>
      <c r="I409" s="481"/>
      <c r="J409" s="484"/>
      <c r="K409" s="485"/>
      <c r="L409" s="485"/>
    </row>
    <row r="410" spans="2:12" s="474" customFormat="1" x14ac:dyDescent="0.3">
      <c r="B410" s="483"/>
      <c r="C410" s="483"/>
      <c r="D410" s="482"/>
      <c r="E410" s="492"/>
      <c r="F410" s="483"/>
      <c r="G410" s="483"/>
      <c r="H410" s="483"/>
      <c r="I410" s="481"/>
      <c r="J410" s="484"/>
      <c r="K410" s="485"/>
      <c r="L410" s="485"/>
    </row>
    <row r="411" spans="2:12" s="474" customFormat="1" x14ac:dyDescent="0.3">
      <c r="B411" s="483"/>
      <c r="C411" s="483"/>
      <c r="D411" s="482"/>
      <c r="E411" s="492"/>
      <c r="F411" s="483"/>
      <c r="G411" s="483"/>
      <c r="H411" s="483"/>
      <c r="I411" s="481"/>
      <c r="J411" s="484"/>
      <c r="K411" s="485"/>
      <c r="L411" s="485"/>
    </row>
    <row r="412" spans="2:12" s="474" customFormat="1" x14ac:dyDescent="0.3">
      <c r="B412" s="483"/>
      <c r="C412" s="483"/>
      <c r="D412" s="482"/>
      <c r="E412" s="492"/>
      <c r="F412" s="483"/>
      <c r="G412" s="483"/>
      <c r="H412" s="483"/>
      <c r="I412" s="481"/>
      <c r="J412" s="484"/>
      <c r="K412" s="485"/>
      <c r="L412" s="485"/>
    </row>
    <row r="413" spans="2:12" s="474" customFormat="1" x14ac:dyDescent="0.3">
      <c r="B413" s="483"/>
      <c r="C413" s="483"/>
      <c r="D413" s="482"/>
      <c r="E413" s="492"/>
      <c r="F413" s="483"/>
      <c r="G413" s="483"/>
      <c r="H413" s="483"/>
      <c r="I413" s="481"/>
      <c r="J413" s="484"/>
      <c r="K413" s="485"/>
      <c r="L413" s="485"/>
    </row>
    <row r="414" spans="2:12" s="474" customFormat="1" x14ac:dyDescent="0.3">
      <c r="B414" s="483"/>
      <c r="C414" s="483"/>
      <c r="D414" s="482"/>
      <c r="E414" s="492"/>
      <c r="F414" s="483"/>
      <c r="G414" s="483"/>
      <c r="H414" s="483"/>
      <c r="I414" s="481"/>
      <c r="J414" s="484"/>
      <c r="K414" s="485"/>
      <c r="L414" s="485"/>
    </row>
    <row r="415" spans="2:12" s="474" customFormat="1" x14ac:dyDescent="0.3">
      <c r="B415" s="483"/>
      <c r="C415" s="483"/>
      <c r="D415" s="482"/>
      <c r="E415" s="492"/>
      <c r="F415" s="483"/>
      <c r="G415" s="483"/>
      <c r="H415" s="483"/>
      <c r="I415" s="481"/>
      <c r="J415" s="484"/>
      <c r="K415" s="485"/>
      <c r="L415" s="485"/>
    </row>
    <row r="416" spans="2:12" s="474" customFormat="1" x14ac:dyDescent="0.3">
      <c r="B416" s="483"/>
      <c r="C416" s="483"/>
      <c r="D416" s="482"/>
      <c r="E416" s="492"/>
      <c r="F416" s="483"/>
      <c r="G416" s="483"/>
      <c r="H416" s="483"/>
      <c r="I416" s="481"/>
      <c r="J416" s="484"/>
      <c r="K416" s="485"/>
      <c r="L416" s="485"/>
    </row>
    <row r="417" spans="2:12" s="474" customFormat="1" x14ac:dyDescent="0.3">
      <c r="B417" s="483"/>
      <c r="C417" s="483"/>
      <c r="D417" s="482"/>
      <c r="E417" s="492"/>
      <c r="F417" s="483"/>
      <c r="G417" s="483"/>
      <c r="H417" s="483"/>
      <c r="I417" s="481"/>
      <c r="J417" s="484"/>
      <c r="K417" s="485"/>
      <c r="L417" s="485"/>
    </row>
    <row r="418" spans="2:12" s="474" customFormat="1" x14ac:dyDescent="0.3">
      <c r="B418" s="483"/>
      <c r="C418" s="483"/>
      <c r="D418" s="482"/>
      <c r="E418" s="492"/>
      <c r="F418" s="483"/>
      <c r="G418" s="483"/>
      <c r="H418" s="483"/>
      <c r="I418" s="481"/>
      <c r="J418" s="484"/>
      <c r="K418" s="485"/>
      <c r="L418" s="485"/>
    </row>
    <row r="419" spans="2:12" s="474" customFormat="1" x14ac:dyDescent="0.3">
      <c r="B419" s="483"/>
      <c r="C419" s="483"/>
      <c r="D419" s="482"/>
      <c r="E419" s="492"/>
      <c r="F419" s="483"/>
      <c r="G419" s="483"/>
      <c r="H419" s="483"/>
      <c r="I419" s="481"/>
      <c r="J419" s="484"/>
      <c r="K419" s="485"/>
      <c r="L419" s="485"/>
    </row>
    <row r="420" spans="2:12" s="474" customFormat="1" x14ac:dyDescent="0.3">
      <c r="B420" s="483"/>
      <c r="C420" s="483"/>
      <c r="D420" s="482"/>
      <c r="E420" s="492"/>
      <c r="F420" s="483"/>
      <c r="G420" s="483"/>
      <c r="H420" s="483"/>
      <c r="I420" s="481"/>
      <c r="J420" s="484"/>
      <c r="K420" s="485"/>
      <c r="L420" s="485"/>
    </row>
    <row r="421" spans="2:12" s="474" customFormat="1" x14ac:dyDescent="0.3">
      <c r="B421" s="483"/>
      <c r="C421" s="483"/>
      <c r="D421" s="482"/>
      <c r="E421" s="492"/>
      <c r="F421" s="483"/>
      <c r="G421" s="483"/>
      <c r="H421" s="483"/>
      <c r="I421" s="481"/>
      <c r="J421" s="484"/>
      <c r="K421" s="485"/>
      <c r="L421" s="485"/>
    </row>
    <row r="422" spans="2:12" s="474" customFormat="1" x14ac:dyDescent="0.3">
      <c r="B422" s="483"/>
      <c r="C422" s="483"/>
      <c r="D422" s="482"/>
      <c r="E422" s="492"/>
      <c r="F422" s="483"/>
      <c r="G422" s="483"/>
      <c r="H422" s="483"/>
      <c r="I422" s="481"/>
      <c r="J422" s="484"/>
      <c r="K422" s="485"/>
      <c r="L422" s="485"/>
    </row>
    <row r="423" spans="2:12" s="474" customFormat="1" x14ac:dyDescent="0.3">
      <c r="B423" s="483"/>
      <c r="C423" s="483"/>
      <c r="D423" s="482"/>
      <c r="E423" s="492"/>
      <c r="F423" s="483"/>
      <c r="G423" s="483"/>
      <c r="H423" s="483"/>
      <c r="I423" s="481"/>
      <c r="J423" s="484"/>
      <c r="K423" s="485"/>
      <c r="L423" s="485"/>
    </row>
    <row r="424" spans="2:12" s="474" customFormat="1" x14ac:dyDescent="0.3">
      <c r="B424" s="483"/>
      <c r="C424" s="483"/>
      <c r="D424" s="482"/>
      <c r="E424" s="492"/>
      <c r="F424" s="483"/>
      <c r="G424" s="483"/>
      <c r="H424" s="483"/>
      <c r="I424" s="481"/>
      <c r="J424" s="484"/>
      <c r="K424" s="485"/>
      <c r="L424" s="485"/>
    </row>
    <row r="425" spans="2:12" s="474" customFormat="1" x14ac:dyDescent="0.3">
      <c r="B425" s="483"/>
      <c r="C425" s="483"/>
      <c r="D425" s="482"/>
      <c r="E425" s="492"/>
      <c r="F425" s="483"/>
      <c r="G425" s="483"/>
      <c r="H425" s="483"/>
      <c r="I425" s="481"/>
      <c r="J425" s="484"/>
      <c r="K425" s="485"/>
      <c r="L425" s="485"/>
    </row>
    <row r="426" spans="2:12" s="474" customFormat="1" x14ac:dyDescent="0.3">
      <c r="B426" s="483"/>
      <c r="C426" s="483"/>
      <c r="D426" s="482"/>
      <c r="E426" s="492"/>
      <c r="F426" s="483"/>
      <c r="G426" s="483"/>
      <c r="H426" s="483"/>
      <c r="I426" s="481"/>
      <c r="J426" s="484"/>
      <c r="K426" s="485"/>
      <c r="L426" s="485"/>
    </row>
    <row r="427" spans="2:12" s="474" customFormat="1" x14ac:dyDescent="0.3">
      <c r="B427" s="483"/>
      <c r="C427" s="483"/>
      <c r="D427" s="482"/>
      <c r="E427" s="492"/>
      <c r="F427" s="483"/>
      <c r="G427" s="483"/>
      <c r="H427" s="483"/>
      <c r="I427" s="481"/>
      <c r="J427" s="484"/>
      <c r="K427" s="485"/>
      <c r="L427" s="485"/>
    </row>
    <row r="428" spans="2:12" s="474" customFormat="1" x14ac:dyDescent="0.3">
      <c r="B428" s="483"/>
      <c r="C428" s="483"/>
      <c r="D428" s="482"/>
      <c r="E428" s="492"/>
      <c r="F428" s="483"/>
      <c r="G428" s="483"/>
      <c r="H428" s="483"/>
      <c r="I428" s="481"/>
      <c r="J428" s="484"/>
      <c r="K428" s="485"/>
      <c r="L428" s="485"/>
    </row>
    <row r="429" spans="2:12" s="474" customFormat="1" x14ac:dyDescent="0.3">
      <c r="B429" s="483"/>
      <c r="C429" s="483"/>
      <c r="D429" s="482"/>
      <c r="E429" s="492"/>
      <c r="F429" s="483"/>
      <c r="G429" s="483"/>
      <c r="H429" s="483"/>
      <c r="I429" s="481"/>
      <c r="J429" s="484"/>
      <c r="K429" s="485"/>
      <c r="L429" s="485"/>
    </row>
    <row r="430" spans="2:12" s="474" customFormat="1" x14ac:dyDescent="0.3">
      <c r="B430" s="483"/>
      <c r="C430" s="483"/>
      <c r="D430" s="482"/>
      <c r="E430" s="492"/>
      <c r="F430" s="483"/>
      <c r="G430" s="483"/>
      <c r="H430" s="483"/>
      <c r="I430" s="481"/>
      <c r="J430" s="484"/>
      <c r="K430" s="485"/>
      <c r="L430" s="485"/>
    </row>
    <row r="431" spans="2:12" s="474" customFormat="1" x14ac:dyDescent="0.3">
      <c r="B431" s="483"/>
      <c r="C431" s="483"/>
      <c r="D431" s="482"/>
      <c r="E431" s="492"/>
      <c r="F431" s="483"/>
      <c r="G431" s="483"/>
      <c r="H431" s="483"/>
      <c r="I431" s="481"/>
      <c r="J431" s="484"/>
      <c r="K431" s="485"/>
      <c r="L431" s="485"/>
    </row>
    <row r="432" spans="2:12" s="474" customFormat="1" x14ac:dyDescent="0.3">
      <c r="B432" s="483"/>
      <c r="C432" s="483"/>
      <c r="D432" s="482"/>
      <c r="E432" s="492"/>
      <c r="F432" s="483"/>
      <c r="G432" s="483"/>
      <c r="H432" s="483"/>
      <c r="I432" s="481"/>
      <c r="J432" s="484"/>
      <c r="K432" s="485"/>
      <c r="L432" s="485"/>
    </row>
    <row r="433" spans="2:12" s="474" customFormat="1" x14ac:dyDescent="0.3">
      <c r="B433" s="483"/>
      <c r="C433" s="483"/>
      <c r="D433" s="482"/>
      <c r="E433" s="492"/>
      <c r="F433" s="483"/>
      <c r="G433" s="483"/>
      <c r="H433" s="483"/>
      <c r="I433" s="481"/>
      <c r="J433" s="484"/>
      <c r="K433" s="485"/>
      <c r="L433" s="485"/>
    </row>
    <row r="434" spans="2:12" s="474" customFormat="1" x14ac:dyDescent="0.3">
      <c r="B434" s="483"/>
      <c r="C434" s="483"/>
      <c r="D434" s="482"/>
      <c r="E434" s="492"/>
      <c r="F434" s="483"/>
      <c r="G434" s="483"/>
      <c r="H434" s="483"/>
      <c r="I434" s="481"/>
      <c r="J434" s="484"/>
      <c r="K434" s="485"/>
      <c r="L434" s="485"/>
    </row>
    <row r="435" spans="2:12" s="474" customFormat="1" x14ac:dyDescent="0.3">
      <c r="B435" s="483"/>
      <c r="C435" s="483"/>
      <c r="D435" s="482"/>
      <c r="E435" s="492"/>
      <c r="F435" s="483"/>
      <c r="G435" s="483"/>
      <c r="H435" s="483"/>
      <c r="I435" s="481"/>
      <c r="J435" s="484"/>
      <c r="K435" s="485"/>
      <c r="L435" s="485"/>
    </row>
    <row r="436" spans="2:12" s="474" customFormat="1" x14ac:dyDescent="0.3">
      <c r="B436" s="483"/>
      <c r="C436" s="483"/>
      <c r="D436" s="482"/>
      <c r="E436" s="492"/>
      <c r="F436" s="483"/>
      <c r="G436" s="483"/>
      <c r="H436" s="483"/>
      <c r="I436" s="481"/>
      <c r="J436" s="484"/>
      <c r="K436" s="485"/>
      <c r="L436" s="485"/>
    </row>
    <row r="437" spans="2:12" s="474" customFormat="1" x14ac:dyDescent="0.3">
      <c r="B437" s="483"/>
      <c r="C437" s="483"/>
      <c r="D437" s="482"/>
      <c r="E437" s="492"/>
      <c r="F437" s="483"/>
      <c r="G437" s="483"/>
      <c r="H437" s="483"/>
      <c r="I437" s="481"/>
      <c r="J437" s="484"/>
      <c r="K437" s="485"/>
      <c r="L437" s="485"/>
    </row>
    <row r="438" spans="2:12" s="474" customFormat="1" x14ac:dyDescent="0.3">
      <c r="B438" s="483"/>
      <c r="C438" s="483"/>
      <c r="D438" s="482"/>
      <c r="E438" s="492"/>
      <c r="F438" s="483"/>
      <c r="G438" s="483"/>
      <c r="H438" s="483"/>
      <c r="I438" s="481"/>
      <c r="J438" s="484"/>
      <c r="K438" s="485"/>
      <c r="L438" s="485"/>
    </row>
    <row r="439" spans="2:12" s="474" customFormat="1" x14ac:dyDescent="0.3">
      <c r="B439" s="483"/>
      <c r="C439" s="483"/>
      <c r="D439" s="482"/>
      <c r="E439" s="492"/>
      <c r="F439" s="483"/>
      <c r="G439" s="483"/>
      <c r="H439" s="483"/>
      <c r="I439" s="481"/>
      <c r="J439" s="484"/>
      <c r="K439" s="485"/>
      <c r="L439" s="485"/>
    </row>
    <row r="440" spans="2:12" s="474" customFormat="1" x14ac:dyDescent="0.3">
      <c r="B440" s="483"/>
      <c r="C440" s="483"/>
      <c r="D440" s="482"/>
      <c r="E440" s="492"/>
      <c r="F440" s="483"/>
      <c r="G440" s="483"/>
      <c r="H440" s="483"/>
      <c r="I440" s="481"/>
      <c r="J440" s="484"/>
      <c r="K440" s="485"/>
      <c r="L440" s="485"/>
    </row>
    <row r="441" spans="2:12" s="474" customFormat="1" x14ac:dyDescent="0.3">
      <c r="B441" s="483"/>
      <c r="C441" s="483"/>
      <c r="D441" s="482"/>
      <c r="E441" s="492"/>
      <c r="F441" s="483"/>
      <c r="G441" s="483"/>
      <c r="H441" s="483"/>
      <c r="I441" s="481"/>
      <c r="J441" s="484"/>
      <c r="K441" s="485"/>
      <c r="L441" s="485"/>
    </row>
    <row r="442" spans="2:12" s="474" customFormat="1" x14ac:dyDescent="0.3">
      <c r="B442" s="483"/>
      <c r="C442" s="483"/>
      <c r="D442" s="482"/>
      <c r="E442" s="492"/>
      <c r="F442" s="483"/>
      <c r="G442" s="483"/>
      <c r="H442" s="483"/>
      <c r="I442" s="481"/>
      <c r="J442" s="484"/>
      <c r="K442" s="485"/>
      <c r="L442" s="485"/>
    </row>
    <row r="443" spans="2:12" s="474" customFormat="1" x14ac:dyDescent="0.3">
      <c r="B443" s="483"/>
      <c r="C443" s="483"/>
      <c r="D443" s="482"/>
      <c r="E443" s="492"/>
      <c r="F443" s="483"/>
      <c r="G443" s="483"/>
      <c r="H443" s="483"/>
      <c r="I443" s="481"/>
      <c r="J443" s="484"/>
      <c r="K443" s="485"/>
      <c r="L443" s="485"/>
    </row>
    <row r="444" spans="2:12" s="474" customFormat="1" x14ac:dyDescent="0.3">
      <c r="B444" s="483"/>
      <c r="C444" s="483"/>
      <c r="D444" s="482"/>
      <c r="E444" s="492"/>
      <c r="F444" s="483"/>
      <c r="G444" s="483"/>
      <c r="H444" s="483"/>
      <c r="I444" s="481"/>
      <c r="J444" s="484"/>
      <c r="K444" s="485"/>
      <c r="L444" s="485"/>
    </row>
    <row r="445" spans="2:12" s="474" customFormat="1" x14ac:dyDescent="0.3">
      <c r="B445" s="483"/>
      <c r="C445" s="483"/>
      <c r="D445" s="482"/>
      <c r="E445" s="492"/>
      <c r="F445" s="483"/>
      <c r="G445" s="483"/>
      <c r="H445" s="483"/>
      <c r="I445" s="481"/>
      <c r="J445" s="484"/>
      <c r="K445" s="485"/>
      <c r="L445" s="485"/>
    </row>
    <row r="446" spans="2:12" s="474" customFormat="1" x14ac:dyDescent="0.3">
      <c r="B446" s="483"/>
      <c r="C446" s="483"/>
      <c r="D446" s="482"/>
      <c r="E446" s="492"/>
      <c r="F446" s="483"/>
      <c r="G446" s="483"/>
      <c r="H446" s="483"/>
      <c r="I446" s="481"/>
      <c r="J446" s="484"/>
      <c r="K446" s="485"/>
      <c r="L446" s="485"/>
    </row>
    <row r="447" spans="2:12" s="474" customFormat="1" x14ac:dyDescent="0.3">
      <c r="B447" s="483"/>
      <c r="C447" s="483"/>
      <c r="D447" s="482"/>
      <c r="E447" s="492"/>
      <c r="F447" s="483"/>
      <c r="G447" s="483"/>
      <c r="H447" s="483"/>
      <c r="I447" s="481"/>
      <c r="J447" s="484"/>
      <c r="K447" s="485"/>
      <c r="L447" s="485"/>
    </row>
    <row r="448" spans="2:12" s="474" customFormat="1" x14ac:dyDescent="0.3">
      <c r="B448" s="483"/>
      <c r="C448" s="483"/>
      <c r="D448" s="482"/>
      <c r="E448" s="492"/>
      <c r="F448" s="483"/>
      <c r="G448" s="483"/>
      <c r="H448" s="483"/>
      <c r="I448" s="481"/>
      <c r="J448" s="484"/>
      <c r="K448" s="485"/>
      <c r="L448" s="485"/>
    </row>
    <row r="449" spans="2:12" s="474" customFormat="1" x14ac:dyDescent="0.3">
      <c r="B449" s="483"/>
      <c r="C449" s="483"/>
      <c r="D449" s="482"/>
      <c r="E449" s="492"/>
      <c r="F449" s="483"/>
      <c r="G449" s="483"/>
      <c r="H449" s="483"/>
      <c r="I449" s="481"/>
      <c r="J449" s="484"/>
      <c r="K449" s="485"/>
      <c r="L449" s="485"/>
    </row>
    <row r="450" spans="2:12" s="474" customFormat="1" x14ac:dyDescent="0.3">
      <c r="B450" s="483"/>
      <c r="C450" s="483"/>
      <c r="D450" s="482"/>
      <c r="E450" s="492"/>
      <c r="F450" s="483"/>
      <c r="G450" s="483"/>
      <c r="H450" s="483"/>
      <c r="I450" s="481"/>
      <c r="J450" s="484"/>
      <c r="K450" s="485"/>
      <c r="L450" s="485"/>
    </row>
    <row r="451" spans="2:12" s="474" customFormat="1" x14ac:dyDescent="0.3">
      <c r="B451" s="483"/>
      <c r="C451" s="483"/>
      <c r="D451" s="482"/>
      <c r="E451" s="492"/>
      <c r="F451" s="483"/>
      <c r="G451" s="483"/>
      <c r="H451" s="483"/>
      <c r="I451" s="481"/>
      <c r="J451" s="484"/>
      <c r="K451" s="485"/>
      <c r="L451" s="485"/>
    </row>
    <row r="452" spans="2:12" s="474" customFormat="1" x14ac:dyDescent="0.3">
      <c r="B452" s="483"/>
      <c r="C452" s="483"/>
      <c r="D452" s="482"/>
      <c r="E452" s="492"/>
      <c r="F452" s="483"/>
      <c r="G452" s="483"/>
      <c r="H452" s="483"/>
      <c r="I452" s="481"/>
      <c r="J452" s="484"/>
      <c r="K452" s="485"/>
      <c r="L452" s="485"/>
    </row>
    <row r="453" spans="2:12" s="474" customFormat="1" x14ac:dyDescent="0.3">
      <c r="B453" s="483"/>
      <c r="C453" s="483"/>
      <c r="D453" s="482"/>
      <c r="E453" s="492"/>
      <c r="F453" s="483"/>
      <c r="G453" s="483"/>
      <c r="H453" s="483"/>
      <c r="I453" s="481"/>
      <c r="J453" s="484"/>
      <c r="K453" s="485"/>
      <c r="L453" s="485"/>
    </row>
    <row r="454" spans="2:12" s="474" customFormat="1" x14ac:dyDescent="0.3">
      <c r="B454" s="483"/>
      <c r="C454" s="483"/>
      <c r="D454" s="482"/>
      <c r="E454" s="492"/>
      <c r="F454" s="483"/>
      <c r="G454" s="483"/>
      <c r="H454" s="483"/>
      <c r="I454" s="481"/>
      <c r="J454" s="484"/>
      <c r="K454" s="485"/>
      <c r="L454" s="485"/>
    </row>
    <row r="455" spans="2:12" s="474" customFormat="1" x14ac:dyDescent="0.3">
      <c r="B455" s="483"/>
      <c r="C455" s="483"/>
      <c r="D455" s="482"/>
      <c r="E455" s="492"/>
      <c r="F455" s="483"/>
      <c r="G455" s="483"/>
      <c r="H455" s="483"/>
      <c r="I455" s="481"/>
      <c r="J455" s="484"/>
      <c r="K455" s="485"/>
      <c r="L455" s="485"/>
    </row>
    <row r="456" spans="2:12" s="474" customFormat="1" x14ac:dyDescent="0.3">
      <c r="B456" s="483"/>
      <c r="C456" s="483"/>
      <c r="D456" s="482"/>
      <c r="E456" s="492"/>
      <c r="F456" s="483"/>
      <c r="G456" s="483"/>
      <c r="H456" s="483"/>
      <c r="I456" s="481"/>
      <c r="J456" s="484"/>
      <c r="K456" s="485"/>
      <c r="L456" s="485"/>
    </row>
    <row r="457" spans="2:12" s="474" customFormat="1" x14ac:dyDescent="0.3">
      <c r="B457" s="483"/>
      <c r="C457" s="483"/>
      <c r="D457" s="482"/>
      <c r="E457" s="492"/>
      <c r="F457" s="483"/>
      <c r="G457" s="483"/>
      <c r="H457" s="483"/>
      <c r="I457" s="481"/>
      <c r="J457" s="484"/>
      <c r="K457" s="485"/>
      <c r="L457" s="485"/>
    </row>
    <row r="458" spans="2:12" s="474" customFormat="1" x14ac:dyDescent="0.3">
      <c r="B458" s="483"/>
      <c r="C458" s="483"/>
      <c r="D458" s="482"/>
      <c r="E458" s="492"/>
      <c r="F458" s="483"/>
      <c r="G458" s="483"/>
      <c r="H458" s="483"/>
      <c r="I458" s="481"/>
      <c r="J458" s="484"/>
      <c r="K458" s="485"/>
      <c r="L458" s="485"/>
    </row>
    <row r="459" spans="2:12" s="474" customFormat="1" x14ac:dyDescent="0.3">
      <c r="B459" s="483"/>
      <c r="C459" s="483"/>
      <c r="D459" s="482"/>
      <c r="E459" s="492"/>
      <c r="F459" s="483"/>
      <c r="G459" s="483"/>
      <c r="H459" s="483"/>
      <c r="I459" s="481"/>
      <c r="J459" s="484"/>
      <c r="K459" s="485"/>
      <c r="L459" s="485"/>
    </row>
    <row r="460" spans="2:12" s="474" customFormat="1" x14ac:dyDescent="0.3">
      <c r="B460" s="483"/>
      <c r="C460" s="483"/>
      <c r="D460" s="482"/>
      <c r="E460" s="492"/>
      <c r="F460" s="483"/>
      <c r="G460" s="483"/>
      <c r="H460" s="483"/>
      <c r="I460" s="481"/>
      <c r="J460" s="484"/>
      <c r="K460" s="485"/>
      <c r="L460" s="485"/>
    </row>
    <row r="461" spans="2:12" s="474" customFormat="1" x14ac:dyDescent="0.3">
      <c r="B461" s="483"/>
      <c r="C461" s="483"/>
      <c r="D461" s="482"/>
      <c r="E461" s="492"/>
      <c r="F461" s="483"/>
      <c r="G461" s="483"/>
      <c r="H461" s="483"/>
      <c r="I461" s="481"/>
      <c r="J461" s="484"/>
      <c r="K461" s="485"/>
      <c r="L461" s="485"/>
    </row>
    <row r="462" spans="2:12" s="474" customFormat="1" x14ac:dyDescent="0.3">
      <c r="B462" s="483"/>
      <c r="C462" s="483"/>
      <c r="D462" s="482"/>
      <c r="E462" s="492"/>
      <c r="F462" s="483"/>
      <c r="G462" s="483"/>
      <c r="H462" s="483"/>
      <c r="I462" s="481"/>
      <c r="J462" s="484"/>
      <c r="K462" s="485"/>
      <c r="L462" s="485"/>
    </row>
    <row r="463" spans="2:12" s="474" customFormat="1" x14ac:dyDescent="0.3">
      <c r="B463" s="483"/>
      <c r="C463" s="483"/>
      <c r="D463" s="482"/>
      <c r="E463" s="492"/>
      <c r="F463" s="483"/>
      <c r="G463" s="483"/>
      <c r="H463" s="483"/>
      <c r="I463" s="481"/>
      <c r="J463" s="484"/>
      <c r="K463" s="485"/>
      <c r="L463" s="485"/>
    </row>
    <row r="464" spans="2:12" s="474" customFormat="1" x14ac:dyDescent="0.3">
      <c r="B464" s="483"/>
      <c r="C464" s="483"/>
      <c r="D464" s="482"/>
      <c r="E464" s="492"/>
      <c r="F464" s="483"/>
      <c r="G464" s="483"/>
      <c r="H464" s="483"/>
      <c r="I464" s="481"/>
      <c r="J464" s="484"/>
      <c r="K464" s="485"/>
      <c r="L464" s="485"/>
    </row>
    <row r="465" spans="2:12" s="474" customFormat="1" x14ac:dyDescent="0.3">
      <c r="B465" s="483"/>
      <c r="C465" s="483"/>
      <c r="D465" s="482"/>
      <c r="E465" s="492"/>
      <c r="F465" s="483"/>
      <c r="G465" s="483"/>
      <c r="H465" s="483"/>
      <c r="I465" s="481"/>
      <c r="J465" s="484"/>
      <c r="K465" s="485"/>
      <c r="L465" s="485"/>
    </row>
    <row r="466" spans="2:12" s="474" customFormat="1" x14ac:dyDescent="0.3">
      <c r="B466" s="483"/>
      <c r="C466" s="483"/>
      <c r="D466" s="482"/>
      <c r="E466" s="492"/>
      <c r="F466" s="483"/>
      <c r="G466" s="483"/>
      <c r="H466" s="483"/>
      <c r="I466" s="481"/>
      <c r="J466" s="484"/>
      <c r="K466" s="485"/>
      <c r="L466" s="485"/>
    </row>
    <row r="467" spans="2:12" s="474" customFormat="1" x14ac:dyDescent="0.3">
      <c r="B467" s="483"/>
      <c r="C467" s="483"/>
      <c r="D467" s="482"/>
      <c r="E467" s="492"/>
      <c r="F467" s="483"/>
      <c r="G467" s="483"/>
      <c r="H467" s="483"/>
      <c r="I467" s="481"/>
      <c r="J467" s="484"/>
      <c r="K467" s="485"/>
      <c r="L467" s="485"/>
    </row>
    <row r="468" spans="2:12" s="474" customFormat="1" x14ac:dyDescent="0.3">
      <c r="B468" s="483"/>
      <c r="C468" s="483"/>
      <c r="D468" s="482"/>
      <c r="E468" s="492"/>
      <c r="F468" s="483"/>
      <c r="G468" s="483"/>
      <c r="H468" s="483"/>
      <c r="I468" s="481"/>
      <c r="J468" s="484"/>
      <c r="K468" s="485"/>
      <c r="L468" s="485"/>
    </row>
    <row r="469" spans="2:12" s="474" customFormat="1" x14ac:dyDescent="0.3">
      <c r="B469" s="483"/>
      <c r="C469" s="483"/>
      <c r="D469" s="482"/>
      <c r="E469" s="492"/>
      <c r="F469" s="483"/>
      <c r="G469" s="483"/>
      <c r="H469" s="483"/>
      <c r="I469" s="481"/>
      <c r="J469" s="484"/>
      <c r="K469" s="485"/>
      <c r="L469" s="485"/>
    </row>
    <row r="470" spans="2:12" s="474" customFormat="1" x14ac:dyDescent="0.3">
      <c r="B470" s="483"/>
      <c r="C470" s="483"/>
      <c r="D470" s="482"/>
      <c r="E470" s="492"/>
      <c r="F470" s="483"/>
      <c r="G470" s="483"/>
      <c r="H470" s="483"/>
      <c r="I470" s="481"/>
      <c r="J470" s="484"/>
      <c r="K470" s="485"/>
      <c r="L470" s="485"/>
    </row>
    <row r="471" spans="2:12" s="474" customFormat="1" x14ac:dyDescent="0.3">
      <c r="B471" s="483"/>
      <c r="C471" s="483"/>
      <c r="D471" s="482"/>
      <c r="E471" s="492"/>
      <c r="F471" s="483"/>
      <c r="G471" s="483"/>
      <c r="H471" s="483"/>
      <c r="I471" s="481"/>
      <c r="J471" s="484"/>
      <c r="K471" s="485"/>
      <c r="L471" s="485"/>
    </row>
    <row r="472" spans="2:12" s="474" customFormat="1" x14ac:dyDescent="0.3">
      <c r="B472" s="483"/>
      <c r="C472" s="483"/>
      <c r="D472" s="482"/>
      <c r="E472" s="492"/>
      <c r="F472" s="483"/>
      <c r="G472" s="483"/>
      <c r="H472" s="483"/>
      <c r="I472" s="481"/>
      <c r="J472" s="484"/>
      <c r="K472" s="485"/>
      <c r="L472" s="485"/>
    </row>
    <row r="473" spans="2:12" s="474" customFormat="1" x14ac:dyDescent="0.3">
      <c r="B473" s="483"/>
      <c r="C473" s="483"/>
      <c r="D473" s="482"/>
      <c r="E473" s="492"/>
      <c r="F473" s="483"/>
      <c r="G473" s="483"/>
      <c r="H473" s="483"/>
      <c r="I473" s="481"/>
      <c r="J473" s="484"/>
      <c r="K473" s="485"/>
      <c r="L473" s="485"/>
    </row>
    <row r="474" spans="2:12" s="474" customFormat="1" x14ac:dyDescent="0.3">
      <c r="B474" s="483"/>
      <c r="C474" s="483"/>
      <c r="D474" s="482"/>
      <c r="E474" s="492"/>
      <c r="F474" s="483"/>
      <c r="G474" s="483"/>
      <c r="H474" s="483"/>
      <c r="I474" s="481"/>
      <c r="J474" s="484"/>
      <c r="K474" s="485"/>
      <c r="L474" s="485"/>
    </row>
    <row r="475" spans="2:12" s="474" customFormat="1" x14ac:dyDescent="0.3">
      <c r="B475" s="483"/>
      <c r="C475" s="483"/>
      <c r="D475" s="482"/>
      <c r="E475" s="492"/>
      <c r="F475" s="483"/>
      <c r="G475" s="483"/>
      <c r="H475" s="483"/>
      <c r="I475" s="481"/>
      <c r="J475" s="484"/>
      <c r="K475" s="485"/>
      <c r="L475" s="485"/>
    </row>
    <row r="476" spans="2:12" s="474" customFormat="1" x14ac:dyDescent="0.3">
      <c r="B476" s="483"/>
      <c r="C476" s="483"/>
      <c r="D476" s="482"/>
      <c r="E476" s="492"/>
      <c r="F476" s="483"/>
      <c r="G476" s="483"/>
      <c r="H476" s="483"/>
      <c r="I476" s="481"/>
      <c r="J476" s="484"/>
      <c r="K476" s="485"/>
      <c r="L476" s="485"/>
    </row>
    <row r="477" spans="2:12" s="474" customFormat="1" x14ac:dyDescent="0.3">
      <c r="B477" s="483"/>
      <c r="C477" s="483"/>
      <c r="D477" s="482"/>
      <c r="E477" s="492"/>
      <c r="F477" s="483"/>
      <c r="G477" s="483"/>
      <c r="H477" s="483"/>
      <c r="I477" s="481"/>
      <c r="J477" s="484"/>
      <c r="K477" s="485"/>
      <c r="L477" s="485"/>
    </row>
    <row r="478" spans="2:12" s="474" customFormat="1" x14ac:dyDescent="0.3">
      <c r="B478" s="483"/>
      <c r="C478" s="483"/>
      <c r="D478" s="482"/>
      <c r="E478" s="492"/>
      <c r="F478" s="483"/>
      <c r="G478" s="483"/>
      <c r="H478" s="483"/>
      <c r="I478" s="481"/>
      <c r="J478" s="484"/>
      <c r="K478" s="485"/>
      <c r="L478" s="485"/>
    </row>
    <row r="479" spans="2:12" s="474" customFormat="1" x14ac:dyDescent="0.3">
      <c r="B479" s="483"/>
      <c r="C479" s="483"/>
      <c r="D479" s="482"/>
      <c r="E479" s="492"/>
      <c r="F479" s="483"/>
      <c r="G479" s="483"/>
      <c r="H479" s="483"/>
      <c r="I479" s="481"/>
      <c r="J479" s="484"/>
      <c r="K479" s="485"/>
      <c r="L479" s="485"/>
    </row>
    <row r="480" spans="2:12" s="474" customFormat="1" x14ac:dyDescent="0.3">
      <c r="B480" s="483"/>
      <c r="C480" s="483"/>
      <c r="D480" s="482"/>
      <c r="E480" s="492"/>
      <c r="F480" s="483"/>
      <c r="G480" s="483"/>
      <c r="H480" s="483"/>
      <c r="I480" s="481"/>
      <c r="J480" s="484"/>
      <c r="K480" s="485"/>
      <c r="L480" s="485"/>
    </row>
    <row r="481" spans="2:12" s="474" customFormat="1" x14ac:dyDescent="0.3">
      <c r="B481" s="483"/>
      <c r="C481" s="483"/>
      <c r="D481" s="482"/>
      <c r="E481" s="492"/>
      <c r="F481" s="483"/>
      <c r="G481" s="483"/>
      <c r="H481" s="483"/>
      <c r="I481" s="481"/>
      <c r="J481" s="484"/>
      <c r="K481" s="485"/>
      <c r="L481" s="485"/>
    </row>
    <row r="482" spans="2:12" s="474" customFormat="1" x14ac:dyDescent="0.3">
      <c r="B482" s="483"/>
      <c r="C482" s="483"/>
      <c r="D482" s="482"/>
      <c r="E482" s="492"/>
      <c r="F482" s="483"/>
      <c r="G482" s="483"/>
      <c r="H482" s="483"/>
      <c r="I482" s="481"/>
      <c r="J482" s="484"/>
      <c r="K482" s="485"/>
      <c r="L482" s="485"/>
    </row>
    <row r="483" spans="2:12" s="474" customFormat="1" x14ac:dyDescent="0.3">
      <c r="B483" s="483"/>
      <c r="C483" s="483"/>
      <c r="D483" s="482"/>
      <c r="E483" s="492"/>
      <c r="F483" s="483"/>
      <c r="G483" s="483"/>
      <c r="H483" s="483"/>
      <c r="I483" s="481"/>
      <c r="J483" s="484"/>
      <c r="K483" s="485"/>
      <c r="L483" s="485"/>
    </row>
    <row r="484" spans="2:12" s="474" customFormat="1" x14ac:dyDescent="0.3">
      <c r="B484" s="483"/>
      <c r="C484" s="483"/>
      <c r="D484" s="482"/>
      <c r="E484" s="492"/>
      <c r="F484" s="483"/>
      <c r="G484" s="483"/>
      <c r="H484" s="483"/>
      <c r="I484" s="481"/>
      <c r="J484" s="484"/>
      <c r="K484" s="485"/>
      <c r="L484" s="485"/>
    </row>
    <row r="485" spans="2:12" s="474" customFormat="1" x14ac:dyDescent="0.3">
      <c r="B485" s="483"/>
      <c r="C485" s="483"/>
      <c r="D485" s="482"/>
      <c r="E485" s="492"/>
      <c r="F485" s="483"/>
      <c r="G485" s="483"/>
      <c r="H485" s="483"/>
      <c r="I485" s="481"/>
      <c r="J485" s="484"/>
      <c r="K485" s="485"/>
      <c r="L485" s="485"/>
    </row>
    <row r="486" spans="2:12" s="474" customFormat="1" x14ac:dyDescent="0.3">
      <c r="B486" s="483"/>
      <c r="C486" s="483"/>
      <c r="D486" s="482"/>
      <c r="E486" s="492"/>
      <c r="F486" s="483"/>
      <c r="G486" s="483"/>
      <c r="H486" s="483"/>
      <c r="I486" s="481"/>
      <c r="J486" s="484"/>
      <c r="K486" s="485"/>
      <c r="L486" s="485"/>
    </row>
    <row r="487" spans="2:12" s="474" customFormat="1" x14ac:dyDescent="0.3">
      <c r="B487" s="483"/>
      <c r="C487" s="483"/>
      <c r="D487" s="482"/>
      <c r="E487" s="492"/>
      <c r="F487" s="483"/>
      <c r="G487" s="483"/>
      <c r="H487" s="483"/>
      <c r="I487" s="481"/>
      <c r="J487" s="484"/>
      <c r="K487" s="485"/>
      <c r="L487" s="485"/>
    </row>
    <row r="488" spans="2:12" s="474" customFormat="1" x14ac:dyDescent="0.3">
      <c r="B488" s="483"/>
      <c r="C488" s="483"/>
      <c r="D488" s="482"/>
      <c r="E488" s="492"/>
      <c r="F488" s="483"/>
      <c r="G488" s="483"/>
      <c r="H488" s="483"/>
      <c r="I488" s="481"/>
      <c r="J488" s="484"/>
      <c r="K488" s="485"/>
      <c r="L488" s="485"/>
    </row>
    <row r="489" spans="2:12" s="474" customFormat="1" x14ac:dyDescent="0.3">
      <c r="B489" s="483"/>
      <c r="C489" s="483"/>
      <c r="D489" s="482"/>
      <c r="E489" s="492"/>
      <c r="F489" s="483"/>
      <c r="G489" s="483"/>
      <c r="H489" s="483"/>
      <c r="I489" s="481"/>
      <c r="J489" s="484"/>
      <c r="K489" s="485"/>
      <c r="L489" s="485"/>
    </row>
    <row r="490" spans="2:12" s="474" customFormat="1" x14ac:dyDescent="0.3">
      <c r="B490" s="483"/>
      <c r="C490" s="483"/>
      <c r="D490" s="482"/>
      <c r="E490" s="492"/>
      <c r="F490" s="483"/>
      <c r="G490" s="483"/>
      <c r="H490" s="483"/>
      <c r="I490" s="481"/>
      <c r="J490" s="484"/>
      <c r="K490" s="485"/>
      <c r="L490" s="485"/>
    </row>
    <row r="491" spans="2:12" s="474" customFormat="1" x14ac:dyDescent="0.3">
      <c r="B491" s="483"/>
      <c r="C491" s="483"/>
      <c r="D491" s="482"/>
      <c r="E491" s="492"/>
      <c r="F491" s="483"/>
      <c r="G491" s="483"/>
      <c r="H491" s="483"/>
      <c r="I491" s="481"/>
      <c r="J491" s="484"/>
      <c r="K491" s="485"/>
      <c r="L491" s="485"/>
    </row>
    <row r="492" spans="2:12" s="474" customFormat="1" x14ac:dyDescent="0.3">
      <c r="B492" s="483"/>
      <c r="C492" s="483"/>
      <c r="D492" s="482"/>
      <c r="E492" s="492"/>
      <c r="F492" s="483"/>
      <c r="G492" s="483"/>
      <c r="H492" s="483"/>
      <c r="I492" s="481"/>
      <c r="J492" s="484"/>
      <c r="K492" s="485"/>
      <c r="L492" s="485"/>
    </row>
    <row r="493" spans="2:12" s="474" customFormat="1" x14ac:dyDescent="0.3">
      <c r="B493" s="483"/>
      <c r="C493" s="483"/>
      <c r="D493" s="482"/>
      <c r="E493" s="492"/>
      <c r="F493" s="483"/>
      <c r="G493" s="483"/>
      <c r="H493" s="483"/>
      <c r="I493" s="481"/>
      <c r="J493" s="484"/>
      <c r="K493" s="485"/>
      <c r="L493" s="485"/>
    </row>
    <row r="494" spans="2:12" s="474" customFormat="1" x14ac:dyDescent="0.3">
      <c r="B494" s="483"/>
      <c r="C494" s="483"/>
      <c r="D494" s="482"/>
      <c r="E494" s="492"/>
      <c r="F494" s="483"/>
      <c r="G494" s="483"/>
      <c r="H494" s="483"/>
      <c r="I494" s="481"/>
      <c r="J494" s="484"/>
      <c r="K494" s="485"/>
      <c r="L494" s="485"/>
    </row>
    <row r="495" spans="2:12" s="474" customFormat="1" x14ac:dyDescent="0.3">
      <c r="B495" s="483"/>
      <c r="C495" s="483"/>
      <c r="D495" s="482"/>
      <c r="E495" s="492"/>
      <c r="F495" s="483"/>
      <c r="G495" s="483"/>
      <c r="H495" s="483"/>
      <c r="I495" s="481"/>
      <c r="J495" s="484"/>
      <c r="K495" s="485"/>
      <c r="L495" s="485"/>
    </row>
    <row r="496" spans="2:12" s="474" customFormat="1" x14ac:dyDescent="0.3">
      <c r="B496" s="483"/>
      <c r="C496" s="483"/>
      <c r="D496" s="482"/>
      <c r="E496" s="492"/>
      <c r="F496" s="483"/>
      <c r="G496" s="483"/>
      <c r="H496" s="483"/>
      <c r="I496" s="481"/>
      <c r="J496" s="484"/>
      <c r="K496" s="485"/>
      <c r="L496" s="485"/>
    </row>
    <row r="497" spans="2:12" s="474" customFormat="1" x14ac:dyDescent="0.3">
      <c r="B497" s="483"/>
      <c r="C497" s="483"/>
      <c r="D497" s="482"/>
      <c r="E497" s="492"/>
      <c r="F497" s="483"/>
      <c r="G497" s="483"/>
      <c r="H497" s="483"/>
      <c r="I497" s="481"/>
      <c r="J497" s="484"/>
      <c r="K497" s="485"/>
      <c r="L497" s="485"/>
    </row>
    <row r="498" spans="2:12" s="474" customFormat="1" x14ac:dyDescent="0.3">
      <c r="B498" s="483"/>
      <c r="C498" s="483"/>
      <c r="D498" s="482"/>
      <c r="E498" s="492"/>
      <c r="F498" s="483"/>
      <c r="G498" s="483"/>
      <c r="H498" s="483"/>
      <c r="I498" s="481"/>
      <c r="J498" s="484"/>
      <c r="K498" s="485"/>
      <c r="L498" s="485"/>
    </row>
    <row r="499" spans="2:12" s="474" customFormat="1" x14ac:dyDescent="0.3">
      <c r="B499" s="483"/>
      <c r="C499" s="483"/>
      <c r="D499" s="482"/>
      <c r="E499" s="492"/>
      <c r="F499" s="483"/>
      <c r="G499" s="483"/>
      <c r="H499" s="483"/>
      <c r="I499" s="481"/>
      <c r="J499" s="484"/>
      <c r="K499" s="485"/>
      <c r="L499" s="485"/>
    </row>
    <row r="500" spans="2:12" s="474" customFormat="1" x14ac:dyDescent="0.3">
      <c r="B500" s="483"/>
      <c r="C500" s="483"/>
      <c r="D500" s="482"/>
      <c r="E500" s="492"/>
      <c r="F500" s="483"/>
      <c r="G500" s="483"/>
      <c r="H500" s="483"/>
      <c r="I500" s="481"/>
      <c r="J500" s="484"/>
      <c r="K500" s="485"/>
      <c r="L500" s="485"/>
    </row>
    <row r="501" spans="2:12" s="474" customFormat="1" x14ac:dyDescent="0.3">
      <c r="B501" s="483"/>
      <c r="C501" s="483"/>
      <c r="D501" s="482"/>
      <c r="E501" s="492"/>
      <c r="F501" s="483"/>
      <c r="G501" s="483"/>
      <c r="H501" s="483"/>
      <c r="I501" s="481"/>
      <c r="J501" s="484"/>
      <c r="K501" s="485"/>
      <c r="L501" s="485"/>
    </row>
    <row r="502" spans="2:12" s="474" customFormat="1" x14ac:dyDescent="0.3">
      <c r="B502" s="483"/>
      <c r="C502" s="483"/>
      <c r="D502" s="482"/>
      <c r="E502" s="492"/>
      <c r="F502" s="483"/>
      <c r="G502" s="483"/>
      <c r="H502" s="483"/>
      <c r="I502" s="481"/>
      <c r="J502" s="484"/>
      <c r="K502" s="485"/>
      <c r="L502" s="485"/>
    </row>
    <row r="503" spans="2:12" s="474" customFormat="1" x14ac:dyDescent="0.3">
      <c r="B503" s="483"/>
      <c r="C503" s="483"/>
      <c r="D503" s="482"/>
      <c r="E503" s="492"/>
      <c r="F503" s="483"/>
      <c r="G503" s="483"/>
      <c r="H503" s="483"/>
      <c r="I503" s="481"/>
      <c r="J503" s="484"/>
      <c r="K503" s="485"/>
      <c r="L503" s="485"/>
    </row>
    <row r="504" spans="2:12" s="474" customFormat="1" x14ac:dyDescent="0.3">
      <c r="B504" s="483"/>
      <c r="C504" s="483"/>
      <c r="D504" s="482"/>
      <c r="E504" s="492"/>
      <c r="F504" s="483"/>
      <c r="G504" s="483"/>
      <c r="H504" s="483"/>
      <c r="I504" s="481"/>
      <c r="J504" s="484"/>
      <c r="K504" s="485"/>
      <c r="L504" s="485"/>
    </row>
  </sheetData>
  <autoFilter ref="B4:O127" xr:uid="{74480A94-B08A-4F71-9516-26AC5CB48447}">
    <filterColumn colId="2">
      <colorFilter dxfId="78" cellColor="0"/>
    </filterColumn>
  </autoFilter>
  <mergeCells count="220">
    <mergeCell ref="B17:B20"/>
    <mergeCell ref="C17:C20"/>
    <mergeCell ref="D17:D20"/>
    <mergeCell ref="M17:M20"/>
    <mergeCell ref="N17:N20"/>
    <mergeCell ref="O17:O20"/>
    <mergeCell ref="B31:B33"/>
    <mergeCell ref="C31:C33"/>
    <mergeCell ref="J3:L3"/>
    <mergeCell ref="M3:O3"/>
    <mergeCell ref="B7:B12"/>
    <mergeCell ref="E3:I3"/>
    <mergeCell ref="C7:C12"/>
    <mergeCell ref="D7:D12"/>
    <mergeCell ref="B3:D3"/>
    <mergeCell ref="M7:M12"/>
    <mergeCell ref="N7:N12"/>
    <mergeCell ref="O7:O12"/>
    <mergeCell ref="D31:D33"/>
    <mergeCell ref="M31:M33"/>
    <mergeCell ref="N31:N33"/>
    <mergeCell ref="O31:O33"/>
    <mergeCell ref="B21:B23"/>
    <mergeCell ref="C21:C23"/>
    <mergeCell ref="D24:D25"/>
    <mergeCell ref="M24:M25"/>
    <mergeCell ref="N24:N25"/>
    <mergeCell ref="O24:O25"/>
    <mergeCell ref="B38:B40"/>
    <mergeCell ref="C38:C40"/>
    <mergeCell ref="D38:D40"/>
    <mergeCell ref="M38:M40"/>
    <mergeCell ref="N38:N40"/>
    <mergeCell ref="O38:O40"/>
    <mergeCell ref="B34:B37"/>
    <mergeCell ref="D34:D37"/>
    <mergeCell ref="C34:C37"/>
    <mergeCell ref="M34:M37"/>
    <mergeCell ref="N34:N37"/>
    <mergeCell ref="O34:O37"/>
    <mergeCell ref="B62:B63"/>
    <mergeCell ref="C62:C63"/>
    <mergeCell ref="D62:D63"/>
    <mergeCell ref="M62:M63"/>
    <mergeCell ref="N62:N63"/>
    <mergeCell ref="O62:O63"/>
    <mergeCell ref="D21:D23"/>
    <mergeCell ref="M21:M23"/>
    <mergeCell ref="N21:N23"/>
    <mergeCell ref="O21:O23"/>
    <mergeCell ref="B29:B30"/>
    <mergeCell ref="C29:C30"/>
    <mergeCell ref="D29:D30"/>
    <mergeCell ref="M29:M30"/>
    <mergeCell ref="N29:N30"/>
    <mergeCell ref="O29:O30"/>
    <mergeCell ref="B26:B28"/>
    <mergeCell ref="C26:C28"/>
    <mergeCell ref="D26:D28"/>
    <mergeCell ref="M26:M28"/>
    <mergeCell ref="N26:N28"/>
    <mergeCell ref="O26:O28"/>
    <mergeCell ref="B24:B25"/>
    <mergeCell ref="C24:C25"/>
    <mergeCell ref="B41:B43"/>
    <mergeCell ref="C41:C43"/>
    <mergeCell ref="D41:D43"/>
    <mergeCell ref="M41:M43"/>
    <mergeCell ref="N41:N43"/>
    <mergeCell ref="O41:O43"/>
    <mergeCell ref="B49:B51"/>
    <mergeCell ref="C49:C51"/>
    <mergeCell ref="D49:D51"/>
    <mergeCell ref="M49:M51"/>
    <mergeCell ref="N49:N51"/>
    <mergeCell ref="O49:O51"/>
    <mergeCell ref="B44:B48"/>
    <mergeCell ref="C44:C48"/>
    <mergeCell ref="D44:D48"/>
    <mergeCell ref="M44:M48"/>
    <mergeCell ref="N44:N48"/>
    <mergeCell ref="O44:O48"/>
    <mergeCell ref="B52:B55"/>
    <mergeCell ref="C52:C55"/>
    <mergeCell ref="D52:D55"/>
    <mergeCell ref="M52:M55"/>
    <mergeCell ref="N52:N55"/>
    <mergeCell ref="O52:O55"/>
    <mergeCell ref="B86:B88"/>
    <mergeCell ref="C86:C88"/>
    <mergeCell ref="D86:D88"/>
    <mergeCell ref="M86:M88"/>
    <mergeCell ref="N86:N88"/>
    <mergeCell ref="O86:O88"/>
    <mergeCell ref="B72:B74"/>
    <mergeCell ref="C72:C74"/>
    <mergeCell ref="D72:D74"/>
    <mergeCell ref="M72:M74"/>
    <mergeCell ref="N72:N74"/>
    <mergeCell ref="O72:O74"/>
    <mergeCell ref="B82:B85"/>
    <mergeCell ref="C82:C85"/>
    <mergeCell ref="D82:D85"/>
    <mergeCell ref="M82:M85"/>
    <mergeCell ref="N82:N85"/>
    <mergeCell ref="O82:O85"/>
    <mergeCell ref="B77:B81"/>
    <mergeCell ref="C77:C81"/>
    <mergeCell ref="D77:D81"/>
    <mergeCell ref="M77:M81"/>
    <mergeCell ref="N77:N81"/>
    <mergeCell ref="O77:O81"/>
    <mergeCell ref="C5:C6"/>
    <mergeCell ref="M5:M6"/>
    <mergeCell ref="N5:N6"/>
    <mergeCell ref="O5:O6"/>
    <mergeCell ref="B5:B6"/>
    <mergeCell ref="D5:D6"/>
    <mergeCell ref="B13:B16"/>
    <mergeCell ref="C13:C16"/>
    <mergeCell ref="D13:D16"/>
    <mergeCell ref="M13:M16"/>
    <mergeCell ref="N13:N16"/>
    <mergeCell ref="O13:O16"/>
    <mergeCell ref="B60:B61"/>
    <mergeCell ref="C60:C61"/>
    <mergeCell ref="D60:D61"/>
    <mergeCell ref="M60:M61"/>
    <mergeCell ref="N60:N61"/>
    <mergeCell ref="O60:O61"/>
    <mergeCell ref="B68:B70"/>
    <mergeCell ref="C68:C70"/>
    <mergeCell ref="D68:D70"/>
    <mergeCell ref="M68:M70"/>
    <mergeCell ref="N68:N70"/>
    <mergeCell ref="O68:O70"/>
    <mergeCell ref="B95:B98"/>
    <mergeCell ref="C95:C98"/>
    <mergeCell ref="D95:D98"/>
    <mergeCell ref="M95:M98"/>
    <mergeCell ref="N95:N98"/>
    <mergeCell ref="O95:O98"/>
    <mergeCell ref="B89:B92"/>
    <mergeCell ref="C89:C92"/>
    <mergeCell ref="D89:D92"/>
    <mergeCell ref="M89:M92"/>
    <mergeCell ref="N89:N92"/>
    <mergeCell ref="O89:O92"/>
    <mergeCell ref="B93:B94"/>
    <mergeCell ref="C93:C94"/>
    <mergeCell ref="D93:D94"/>
    <mergeCell ref="M93:M94"/>
    <mergeCell ref="N93:N94"/>
    <mergeCell ref="O93:O94"/>
    <mergeCell ref="B64:B67"/>
    <mergeCell ref="C64:C67"/>
    <mergeCell ref="D64:D67"/>
    <mergeCell ref="M64:M67"/>
    <mergeCell ref="N64:N67"/>
    <mergeCell ref="O64:O67"/>
    <mergeCell ref="B101:B106"/>
    <mergeCell ref="C101:C106"/>
    <mergeCell ref="D101:D106"/>
    <mergeCell ref="M101:M106"/>
    <mergeCell ref="N101:N106"/>
    <mergeCell ref="O101:O106"/>
    <mergeCell ref="B99:B100"/>
    <mergeCell ref="C99:C100"/>
    <mergeCell ref="D99:D100"/>
    <mergeCell ref="M99:M100"/>
    <mergeCell ref="N99:N100"/>
    <mergeCell ref="O99:O100"/>
    <mergeCell ref="B75:B76"/>
    <mergeCell ref="C75:C76"/>
    <mergeCell ref="D75:D76"/>
    <mergeCell ref="M75:M76"/>
    <mergeCell ref="N75:N76"/>
    <mergeCell ref="O75:O76"/>
    <mergeCell ref="B56:B57"/>
    <mergeCell ref="C56:C57"/>
    <mergeCell ref="D56:D57"/>
    <mergeCell ref="M56:M57"/>
    <mergeCell ref="N56:N57"/>
    <mergeCell ref="O56:O57"/>
    <mergeCell ref="B58:B59"/>
    <mergeCell ref="C58:C59"/>
    <mergeCell ref="D58:D59"/>
    <mergeCell ref="M58:M59"/>
    <mergeCell ref="N58:N59"/>
    <mergeCell ref="O58:O59"/>
    <mergeCell ref="B107:B111"/>
    <mergeCell ref="C107:C111"/>
    <mergeCell ref="D107:D111"/>
    <mergeCell ref="M107:M111"/>
    <mergeCell ref="N107:N111"/>
    <mergeCell ref="O107:O111"/>
    <mergeCell ref="B112:B116"/>
    <mergeCell ref="C112:C116"/>
    <mergeCell ref="D112:D116"/>
    <mergeCell ref="M112:M116"/>
    <mergeCell ref="N112:N116"/>
    <mergeCell ref="O112:O116"/>
    <mergeCell ref="M126:M127"/>
    <mergeCell ref="N126:N127"/>
    <mergeCell ref="O126:O127"/>
    <mergeCell ref="B126:B127"/>
    <mergeCell ref="C126:C127"/>
    <mergeCell ref="D126:D127"/>
    <mergeCell ref="B117:B121"/>
    <mergeCell ref="C117:C121"/>
    <mergeCell ref="D117:D121"/>
    <mergeCell ref="M117:M121"/>
    <mergeCell ref="N117:N121"/>
    <mergeCell ref="O117:O121"/>
    <mergeCell ref="B122:B125"/>
    <mergeCell ref="C122:C125"/>
    <mergeCell ref="D122:D125"/>
    <mergeCell ref="M122:M125"/>
    <mergeCell ref="N122:N125"/>
    <mergeCell ref="O122:O125"/>
  </mergeCells>
  <pageMargins left="0.25" right="0.25" top="0.75" bottom="0.75" header="0.3" footer="0.3"/>
  <pageSetup paperSize="9" scale="21" orientation="landscape" r:id="rId1"/>
  <headerFooter>
    <oddFooter>&amp;C_x000D_&amp;1#&amp;"Arial"&amp;9&amp;K000000 Interne</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0F7FE-E646-40A0-9967-8B4AC0188747}">
  <sheetPr>
    <tabColor theme="5"/>
  </sheetPr>
  <dimension ref="B1:P8"/>
  <sheetViews>
    <sheetView topLeftCell="A10" workbookViewId="0"/>
  </sheetViews>
  <sheetFormatPr baseColWidth="10" defaultRowHeight="13.2" x14ac:dyDescent="0.25"/>
  <cols>
    <col min="2" max="2" width="17.5546875" customWidth="1"/>
    <col min="3" max="3" width="13.6640625" customWidth="1"/>
    <col min="4" max="12" width="14.5546875" bestFit="1" customWidth="1"/>
    <col min="13" max="13" width="13" bestFit="1" customWidth="1"/>
    <col min="14" max="15" width="12" bestFit="1" customWidth="1"/>
    <col min="16" max="16" width="15.5546875" bestFit="1" customWidth="1"/>
  </cols>
  <sheetData>
    <row r="1" spans="2:16" ht="13.8" thickBot="1" x14ac:dyDescent="0.3"/>
    <row r="2" spans="2:16" ht="13.8" thickBot="1" x14ac:dyDescent="0.3">
      <c r="B2" s="447" t="s">
        <v>5914</v>
      </c>
      <c r="C2" s="533" t="s">
        <v>5904</v>
      </c>
      <c r="D2" s="535" t="s">
        <v>5905</v>
      </c>
      <c r="E2" s="448" t="s">
        <v>5906</v>
      </c>
      <c r="F2" s="448" t="s">
        <v>5907</v>
      </c>
      <c r="G2" s="449" t="s">
        <v>5908</v>
      </c>
      <c r="H2" s="535" t="s">
        <v>5909</v>
      </c>
      <c r="I2" s="448" t="s">
        <v>5910</v>
      </c>
      <c r="J2" s="448" t="s">
        <v>5911</v>
      </c>
      <c r="K2" s="449" t="s">
        <v>5912</v>
      </c>
      <c r="L2" s="534" t="s">
        <v>5977</v>
      </c>
      <c r="M2" s="448" t="s">
        <v>5978</v>
      </c>
      <c r="N2" s="448" t="s">
        <v>5979</v>
      </c>
      <c r="O2" s="449" t="s">
        <v>5980</v>
      </c>
    </row>
    <row r="3" spans="2:16" x14ac:dyDescent="0.25">
      <c r="B3" s="450" t="s">
        <v>85</v>
      </c>
      <c r="C3" s="454">
        <f>'Consortium calculs'!L3</f>
        <v>24829.09</v>
      </c>
      <c r="D3" s="536">
        <f>'Consortium calculs'!N3</f>
        <v>56800.165000000001</v>
      </c>
      <c r="E3" s="446">
        <f>'Consortium calculs'!P3</f>
        <v>64201.875</v>
      </c>
      <c r="F3" s="446">
        <f>'Consortium calculs'!R3</f>
        <v>94391.779999999984</v>
      </c>
      <c r="G3" s="537">
        <f>'Consortium calculs'!T3</f>
        <v>176372.17499999999</v>
      </c>
      <c r="H3" s="536">
        <f>'Consortium calculs'!V3</f>
        <v>230302.78999999998</v>
      </c>
      <c r="I3" s="446">
        <f>'Consortium calculs'!X3</f>
        <v>230847.78000000003</v>
      </c>
      <c r="J3" s="446">
        <f>'Consortium calculs'!Z3</f>
        <v>288675.63500000007</v>
      </c>
      <c r="K3" s="537">
        <f>'Consortium calculs'!AB3</f>
        <v>347667.17</v>
      </c>
      <c r="L3" s="536">
        <f>'Consortium calculs'!AD3</f>
        <v>281982.14500000002</v>
      </c>
      <c r="M3" s="446">
        <f>'Consortium calculs'!AF3</f>
        <v>106612.13500000001</v>
      </c>
      <c r="N3" s="446">
        <f>'Consortium calculs'!AH3</f>
        <v>12365.215</v>
      </c>
      <c r="O3" s="537">
        <f>'Consortium calculs'!AJ3</f>
        <v>0</v>
      </c>
      <c r="P3" s="456">
        <f>SUM(C3:O3)</f>
        <v>1915047.9550000001</v>
      </c>
    </row>
    <row r="4" spans="2:16" x14ac:dyDescent="0.25">
      <c r="B4" s="451" t="s">
        <v>5913</v>
      </c>
      <c r="C4" s="455">
        <f>'Consortium calculs'!L5</f>
        <v>141720.06999999998</v>
      </c>
      <c r="D4" s="538">
        <f>'Consortium calculs'!N5</f>
        <v>543617.625</v>
      </c>
      <c r="E4" s="445">
        <f>'Consortium calculs'!P5</f>
        <v>486632.13500000001</v>
      </c>
      <c r="F4" s="445">
        <f>'Consortium calculs'!R5</f>
        <v>465866.04499999993</v>
      </c>
      <c r="G4" s="539">
        <f>'Consortium calculs'!T5</f>
        <v>512888.60499999981</v>
      </c>
      <c r="H4" s="538">
        <f>'Consortium calculs'!V5</f>
        <v>533196.27499999991</v>
      </c>
      <c r="I4" s="445">
        <f>'Consortium calculs'!X5</f>
        <v>519333.43999999989</v>
      </c>
      <c r="J4" s="445">
        <f>'Consortium calculs'!Z5</f>
        <v>490798.63500000007</v>
      </c>
      <c r="K4" s="539">
        <f>'Consortium calculs'!AB5</f>
        <v>510935.87499999994</v>
      </c>
      <c r="L4" s="538">
        <f>'Consortium calculs'!AD5</f>
        <v>387962.9</v>
      </c>
      <c r="M4" s="445">
        <f>'Consortium calculs'!AF5</f>
        <v>238701.75999999998</v>
      </c>
      <c r="N4" s="445">
        <f>'Consortium calculs'!AH5</f>
        <v>162911.58000000002</v>
      </c>
      <c r="O4" s="539">
        <f>'Consortium calculs'!AJ5</f>
        <v>118631.19000000002</v>
      </c>
      <c r="P4" s="457">
        <f>SUM(C4:O4)</f>
        <v>5113196.1350000007</v>
      </c>
    </row>
    <row r="5" spans="2:16" x14ac:dyDescent="0.25">
      <c r="B5" s="452" t="s">
        <v>86</v>
      </c>
      <c r="C5" s="455">
        <f>'Consortium calculs'!L6</f>
        <v>195451.70499999996</v>
      </c>
      <c r="D5" s="538">
        <f>'Consortium calculs'!N6</f>
        <v>457486.26</v>
      </c>
      <c r="E5" s="445">
        <f>'Consortium calculs'!P6</f>
        <v>396557.88999999984</v>
      </c>
      <c r="F5" s="445">
        <f>'Consortium calculs'!R6</f>
        <v>474481.87999999995</v>
      </c>
      <c r="G5" s="539">
        <f>'Consortium calculs'!T6</f>
        <v>519556.16000000009</v>
      </c>
      <c r="H5" s="538">
        <f>'Consortium calculs'!V6</f>
        <v>583642.04500000027</v>
      </c>
      <c r="I5" s="445">
        <f>'Consortium calculs'!X6</f>
        <v>581230.55499999993</v>
      </c>
      <c r="J5" s="445">
        <f>'Consortium calculs'!Z6</f>
        <v>594051.49500000011</v>
      </c>
      <c r="K5" s="539">
        <f>'Consortium calculs'!AB6</f>
        <v>626915.13499999989</v>
      </c>
      <c r="L5" s="538">
        <f>'Consortium calculs'!AD6</f>
        <v>555152.10499999986</v>
      </c>
      <c r="M5" s="445">
        <f>'Consortium calculs'!AF6</f>
        <v>265565.02500000002</v>
      </c>
      <c r="N5" s="445">
        <f>'Consortium calculs'!AH6</f>
        <v>53041.815000000002</v>
      </c>
      <c r="O5" s="539">
        <f>'Consortium calculs'!AJ6</f>
        <v>9363.7350000000006</v>
      </c>
      <c r="P5" s="457">
        <f>SUM(C5:O5)</f>
        <v>5312495.8050000006</v>
      </c>
    </row>
    <row r="6" spans="2:16" x14ac:dyDescent="0.25">
      <c r="B6" s="452" t="s">
        <v>87</v>
      </c>
      <c r="C6" s="455">
        <f>'Consortium calculs'!L7</f>
        <v>0</v>
      </c>
      <c r="D6" s="538">
        <f>'Consortium calculs'!N7</f>
        <v>84954.43</v>
      </c>
      <c r="E6" s="445">
        <f>'Consortium calculs'!P7</f>
        <v>107505.995</v>
      </c>
      <c r="F6" s="445">
        <f>'Consortium calculs'!R7</f>
        <v>135584.75999999998</v>
      </c>
      <c r="G6" s="539">
        <f>'Consortium calculs'!T7</f>
        <v>151548.90500000003</v>
      </c>
      <c r="H6" s="538">
        <f>'Consortium calculs'!V7</f>
        <v>167747.41500000004</v>
      </c>
      <c r="I6" s="445">
        <f>'Consortium calculs'!X7</f>
        <v>175706.25</v>
      </c>
      <c r="J6" s="445">
        <f>'Consortium calculs'!Z7</f>
        <v>187403.50499999998</v>
      </c>
      <c r="K6" s="539">
        <f>'Consortium calculs'!AB7</f>
        <v>206999.42</v>
      </c>
      <c r="L6" s="538">
        <f>'Consortium calculs'!AD7</f>
        <v>129520.48999999999</v>
      </c>
      <c r="M6" s="445">
        <f>'Consortium calculs'!AF7</f>
        <v>58951.68</v>
      </c>
      <c r="N6" s="445">
        <f>'Consortium calculs'!AH7</f>
        <v>17056.810000000001</v>
      </c>
      <c r="O6" s="539">
        <f>'Consortium calculs'!AJ7</f>
        <v>0</v>
      </c>
      <c r="P6" s="457">
        <f>SUM(C6:O6)</f>
        <v>1422979.66</v>
      </c>
    </row>
    <row r="7" spans="2:16" ht="13.8" thickBot="1" x14ac:dyDescent="0.3">
      <c r="B7" s="453" t="s">
        <v>88</v>
      </c>
      <c r="C7" s="558">
        <f>'Consortium calculs'!L8</f>
        <v>27759.53</v>
      </c>
      <c r="D7" s="559">
        <f>'Consortium calculs'!N8</f>
        <v>34497.279999999999</v>
      </c>
      <c r="E7" s="560">
        <f>'Consortium calculs'!P8</f>
        <v>42029.039999999994</v>
      </c>
      <c r="F7" s="560">
        <f>'Consortium calculs'!R8</f>
        <v>33833.94</v>
      </c>
      <c r="G7" s="561">
        <f>'Consortium calculs'!T8</f>
        <v>29896.674999999999</v>
      </c>
      <c r="H7" s="559">
        <f>'Consortium calculs'!V8</f>
        <v>34028.25</v>
      </c>
      <c r="I7" s="562">
        <f>'Consortium calculs'!X8</f>
        <v>29702.625</v>
      </c>
      <c r="J7" s="562">
        <f>'Consortium calculs'!Z8</f>
        <v>31144.5</v>
      </c>
      <c r="K7" s="561">
        <f>'Consortium calculs'!AB8</f>
        <v>24919.870000000003</v>
      </c>
      <c r="L7" s="559">
        <f>'Consortium calculs'!AD8</f>
        <v>28631.340000000004</v>
      </c>
      <c r="M7" s="562">
        <f>'Consortium calculs'!AF8</f>
        <v>15376.09</v>
      </c>
      <c r="N7" s="562">
        <f>'Consortium calculs'!AH8</f>
        <v>0</v>
      </c>
      <c r="O7" s="561">
        <f>'Consortium calculs'!AJ8</f>
        <v>0</v>
      </c>
      <c r="P7" s="563">
        <f>SUM(C7:O7)</f>
        <v>331819.14</v>
      </c>
    </row>
    <row r="8" spans="2:16" ht="13.8" thickBot="1" x14ac:dyDescent="0.3">
      <c r="B8" s="567" t="s">
        <v>6017</v>
      </c>
      <c r="C8" s="568">
        <f>SUM(C3:C7)</f>
        <v>389760.3949999999</v>
      </c>
      <c r="D8" s="564">
        <f t="shared" ref="D8:P8" si="0">SUM(D3:D7)</f>
        <v>1177355.76</v>
      </c>
      <c r="E8" s="565">
        <f t="shared" si="0"/>
        <v>1096926.9350000001</v>
      </c>
      <c r="F8" s="565">
        <f t="shared" si="0"/>
        <v>1204158.4049999998</v>
      </c>
      <c r="G8" s="566">
        <f t="shared" si="0"/>
        <v>1390262.52</v>
      </c>
      <c r="H8" s="569">
        <f t="shared" si="0"/>
        <v>1548916.7750000004</v>
      </c>
      <c r="I8" s="565">
        <f t="shared" si="0"/>
        <v>1536820.65</v>
      </c>
      <c r="J8" s="565">
        <f t="shared" si="0"/>
        <v>1592073.77</v>
      </c>
      <c r="K8" s="570">
        <f t="shared" si="0"/>
        <v>1717437.4699999997</v>
      </c>
      <c r="L8" s="564">
        <f t="shared" si="0"/>
        <v>1383248.98</v>
      </c>
      <c r="M8" s="565">
        <f t="shared" si="0"/>
        <v>685206.69000000006</v>
      </c>
      <c r="N8" s="565">
        <f t="shared" si="0"/>
        <v>245375.42</v>
      </c>
      <c r="O8" s="566">
        <f t="shared" si="0"/>
        <v>127994.92500000002</v>
      </c>
      <c r="P8" s="571">
        <f t="shared" si="0"/>
        <v>14095538.695000002</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A41DB-F788-4FC6-BAA9-45379E5DDB0B}">
  <sheetPr>
    <tabColor theme="5"/>
  </sheetPr>
  <dimension ref="B1:P8"/>
  <sheetViews>
    <sheetView topLeftCell="A22" workbookViewId="0"/>
  </sheetViews>
  <sheetFormatPr baseColWidth="10" defaultRowHeight="13.2" x14ac:dyDescent="0.25"/>
  <cols>
    <col min="2" max="2" width="17.5546875" customWidth="1"/>
    <col min="3" max="3" width="13.6640625" customWidth="1"/>
    <col min="4" max="12" width="14.5546875" bestFit="1" customWidth="1"/>
    <col min="13" max="13" width="13" bestFit="1" customWidth="1"/>
    <col min="14" max="15" width="12" bestFit="1" customWidth="1"/>
    <col min="16" max="16" width="15.5546875" bestFit="1" customWidth="1"/>
  </cols>
  <sheetData>
    <row r="1" spans="2:16" ht="13.8" thickBot="1" x14ac:dyDescent="0.3"/>
    <row r="2" spans="2:16" ht="13.8" thickBot="1" x14ac:dyDescent="0.3">
      <c r="B2" s="447" t="s">
        <v>5914</v>
      </c>
      <c r="C2" s="533" t="s">
        <v>5904</v>
      </c>
      <c r="D2" s="535" t="s">
        <v>5905</v>
      </c>
      <c r="E2" s="448" t="s">
        <v>5906</v>
      </c>
      <c r="F2" s="448" t="s">
        <v>5907</v>
      </c>
      <c r="G2" s="449" t="s">
        <v>5908</v>
      </c>
      <c r="H2" s="535" t="s">
        <v>5909</v>
      </c>
      <c r="I2" s="448" t="s">
        <v>5910</v>
      </c>
      <c r="J2" s="448" t="s">
        <v>5911</v>
      </c>
      <c r="K2" s="449" t="s">
        <v>5912</v>
      </c>
      <c r="L2" s="534" t="s">
        <v>5977</v>
      </c>
      <c r="M2" s="448" t="s">
        <v>5978</v>
      </c>
      <c r="N2" s="448" t="s">
        <v>5979</v>
      </c>
      <c r="O2" s="449" t="s">
        <v>5980</v>
      </c>
    </row>
    <row r="3" spans="2:16" x14ac:dyDescent="0.25">
      <c r="B3" s="450" t="s">
        <v>85</v>
      </c>
      <c r="C3" s="454">
        <f>'Consortium calculs'!L51</f>
        <v>16854.900000000001</v>
      </c>
      <c r="D3" s="536">
        <f>'Consortium calculs'!N51</f>
        <v>30063.174999999999</v>
      </c>
      <c r="E3" s="446">
        <f>'Consortium calculs'!P51</f>
        <v>40748.375000000007</v>
      </c>
      <c r="F3" s="446">
        <f>'Consortium calculs'!R51</f>
        <v>52817.45</v>
      </c>
      <c r="G3" s="537">
        <f>'Consortium calculs'!T51</f>
        <v>111698.95000000001</v>
      </c>
      <c r="H3" s="536">
        <f>'Consortium calculs'!V51</f>
        <v>157226.88000000006</v>
      </c>
      <c r="I3" s="446">
        <f>'Consortium calculs'!X51</f>
        <v>156190.48500000002</v>
      </c>
      <c r="J3" s="446">
        <f>'Consortium calculs'!Z51</f>
        <v>176914.60499999995</v>
      </c>
      <c r="K3" s="537">
        <f>'Consortium calculs'!AB51</f>
        <v>193271.28999999998</v>
      </c>
      <c r="L3" s="536">
        <f>'Consortium calculs'!AD51</f>
        <v>159126.14500000002</v>
      </c>
      <c r="M3" s="446">
        <f>'Consortium calculs'!AF51</f>
        <v>37328.490000000005</v>
      </c>
      <c r="N3" s="446">
        <f>'Consortium calculs'!AH51</f>
        <v>0</v>
      </c>
      <c r="O3" s="537">
        <f>'Consortium calculs'!AJ51</f>
        <v>0</v>
      </c>
      <c r="P3" s="456">
        <f>SUM(C3:O3)</f>
        <v>1132240.7450000001</v>
      </c>
    </row>
    <row r="4" spans="2:16" x14ac:dyDescent="0.25">
      <c r="B4" s="451" t="s">
        <v>5913</v>
      </c>
      <c r="C4" s="455">
        <f>'Consortium calculs'!L53</f>
        <v>2124.48</v>
      </c>
      <c r="D4" s="538">
        <f>'Consortium calculs'!N53</f>
        <v>32929.440000000002</v>
      </c>
      <c r="E4" s="445">
        <f>'Consortium calculs'!P53</f>
        <v>26556</v>
      </c>
      <c r="F4" s="445">
        <f>'Consortium calculs'!R53</f>
        <v>27352.68</v>
      </c>
      <c r="G4" s="539">
        <f>'Consortium calculs'!T53</f>
        <v>29742.719999999998</v>
      </c>
      <c r="H4" s="538">
        <f>'Consortium calculs'!V53</f>
        <v>31336.080000000002</v>
      </c>
      <c r="I4" s="445">
        <f>'Consortium calculs'!X53</f>
        <v>28946.04</v>
      </c>
      <c r="J4" s="445">
        <f>'Consortium calculs'!Z53</f>
        <v>31336.080000000002</v>
      </c>
      <c r="K4" s="539">
        <f>'Consortium calculs'!AB53</f>
        <v>30046.6</v>
      </c>
      <c r="L4" s="538">
        <f>'Consortium calculs'!AD53</f>
        <v>30186</v>
      </c>
      <c r="M4" s="445">
        <f>'Consortium calculs'!AF53</f>
        <v>30186</v>
      </c>
      <c r="N4" s="445">
        <f>'Consortium calculs'!AH53</f>
        <v>18447</v>
      </c>
      <c r="O4" s="539">
        <f>'Consortium calculs'!AJ53</f>
        <v>0</v>
      </c>
      <c r="P4" s="457">
        <f>SUM(C4:O4)</f>
        <v>319189.12</v>
      </c>
    </row>
    <row r="5" spans="2:16" x14ac:dyDescent="0.25">
      <c r="B5" s="452" t="s">
        <v>86</v>
      </c>
      <c r="C5" s="455">
        <f>'Consortium calculs'!L54</f>
        <v>132891.63999999998</v>
      </c>
      <c r="D5" s="538">
        <f>'Consortium calculs'!N54</f>
        <v>250792.80000000002</v>
      </c>
      <c r="E5" s="445">
        <f>'Consortium calculs'!P54</f>
        <v>213095.97500000001</v>
      </c>
      <c r="F5" s="445">
        <f>'Consortium calculs'!R54</f>
        <v>271230.30000000005</v>
      </c>
      <c r="G5" s="539">
        <f>'Consortium calculs'!T54</f>
        <v>334202.94</v>
      </c>
      <c r="H5" s="538">
        <f>'Consortium calculs'!V54</f>
        <v>360221.46000000008</v>
      </c>
      <c r="I5" s="445">
        <f>'Consortium calculs'!X54</f>
        <v>354395.35500000004</v>
      </c>
      <c r="J5" s="445">
        <f>'Consortium calculs'!Z54</f>
        <v>380006.62000000017</v>
      </c>
      <c r="K5" s="539">
        <f>'Consortium calculs'!AB54</f>
        <v>408516.56000000006</v>
      </c>
      <c r="L5" s="538">
        <f>'Consortium calculs'!AD54</f>
        <v>350580.97499999998</v>
      </c>
      <c r="M5" s="445">
        <f>'Consortium calculs'!AF54</f>
        <v>181052.97000000003</v>
      </c>
      <c r="N5" s="445">
        <f>'Consortium calculs'!AH54</f>
        <v>53041.815000000002</v>
      </c>
      <c r="O5" s="539">
        <f>'Consortium calculs'!AJ54</f>
        <v>9363.7350000000006</v>
      </c>
      <c r="P5" s="457">
        <f>SUM(C5:O5)</f>
        <v>3299393.1450000005</v>
      </c>
    </row>
    <row r="6" spans="2:16" x14ac:dyDescent="0.25">
      <c r="B6" s="452" t="s">
        <v>87</v>
      </c>
      <c r="C6" s="455">
        <f>'Consortium calculs'!L55</f>
        <v>0</v>
      </c>
      <c r="D6" s="538">
        <f>'Consortium calculs'!N55</f>
        <v>6160.7</v>
      </c>
      <c r="E6" s="445">
        <f>'Consortium calculs'!P55</f>
        <v>28434</v>
      </c>
      <c r="F6" s="445">
        <f>'Consortium calculs'!R55</f>
        <v>25590.6</v>
      </c>
      <c r="G6" s="539">
        <f>'Consortium calculs'!T55</f>
        <v>38050.04</v>
      </c>
      <c r="H6" s="538">
        <f>'Consortium calculs'!V55</f>
        <v>43975.179999999993</v>
      </c>
      <c r="I6" s="445">
        <f>'Consortium calculs'!X55</f>
        <v>47340.75</v>
      </c>
      <c r="J6" s="445">
        <f>'Consortium calculs'!Z55</f>
        <v>45116.989999999991</v>
      </c>
      <c r="K6" s="539">
        <f>'Consortium calculs'!AB55</f>
        <v>47325.439999999995</v>
      </c>
      <c r="L6" s="538">
        <f>'Consortium calculs'!AD55</f>
        <v>21653.759999999998</v>
      </c>
      <c r="M6" s="445">
        <f>'Consortium calculs'!AF55</f>
        <v>0</v>
      </c>
      <c r="N6" s="445">
        <f>'Consortium calculs'!AH55</f>
        <v>0</v>
      </c>
      <c r="O6" s="539">
        <f>'Consortium calculs'!AJ55</f>
        <v>0</v>
      </c>
      <c r="P6" s="457">
        <f>SUM(C6:O6)</f>
        <v>303647.45999999996</v>
      </c>
    </row>
    <row r="7" spans="2:16" ht="13.8" thickBot="1" x14ac:dyDescent="0.3">
      <c r="B7" s="453" t="s">
        <v>88</v>
      </c>
      <c r="C7" s="558">
        <f>'Consortium calculs'!L56</f>
        <v>0</v>
      </c>
      <c r="D7" s="559">
        <f>'Consortium calculs'!N56</f>
        <v>0</v>
      </c>
      <c r="E7" s="560">
        <f>'Consortium calculs'!P56</f>
        <v>0</v>
      </c>
      <c r="F7" s="560">
        <f>'Consortium calculs'!R56</f>
        <v>0</v>
      </c>
      <c r="G7" s="561">
        <f>'Consortium calculs'!T56</f>
        <v>0</v>
      </c>
      <c r="H7" s="559">
        <f>'Consortium calculs'!V56</f>
        <v>0</v>
      </c>
      <c r="I7" s="562">
        <f>'Consortium calculs'!X56</f>
        <v>0</v>
      </c>
      <c r="J7" s="562">
        <f>'Consortium calculs'!Z56</f>
        <v>0</v>
      </c>
      <c r="K7" s="561">
        <f>'Consortium calculs'!AB56</f>
        <v>0</v>
      </c>
      <c r="L7" s="559">
        <f>'Consortium calculs'!AD56</f>
        <v>0</v>
      </c>
      <c r="M7" s="562">
        <f>'Consortium calculs'!AF56</f>
        <v>0</v>
      </c>
      <c r="N7" s="562">
        <f>'Consortium calculs'!AH56</f>
        <v>0</v>
      </c>
      <c r="O7" s="561">
        <f>'Consortium calculs'!AJ56</f>
        <v>0</v>
      </c>
      <c r="P7" s="563">
        <f>SUM(C7:O7)</f>
        <v>0</v>
      </c>
    </row>
    <row r="8" spans="2:16" ht="13.8" thickBot="1" x14ac:dyDescent="0.3">
      <c r="B8" s="567" t="s">
        <v>6017</v>
      </c>
      <c r="C8" s="568">
        <f>SUM(C3:C7)</f>
        <v>151871.01999999999</v>
      </c>
      <c r="D8" s="564">
        <f t="shared" ref="D8:P8" si="0">SUM(D3:D7)</f>
        <v>319946.11500000005</v>
      </c>
      <c r="E8" s="565">
        <f t="shared" si="0"/>
        <v>308834.34999999998</v>
      </c>
      <c r="F8" s="565">
        <f t="shared" si="0"/>
        <v>376991.03</v>
      </c>
      <c r="G8" s="566">
        <f t="shared" si="0"/>
        <v>513694.64999999997</v>
      </c>
      <c r="H8" s="569">
        <f t="shared" si="0"/>
        <v>592759.60000000009</v>
      </c>
      <c r="I8" s="565">
        <f t="shared" si="0"/>
        <v>586872.63000000012</v>
      </c>
      <c r="J8" s="565">
        <f t="shared" si="0"/>
        <v>633374.29500000016</v>
      </c>
      <c r="K8" s="570">
        <f t="shared" si="0"/>
        <v>679159.89</v>
      </c>
      <c r="L8" s="564">
        <f t="shared" si="0"/>
        <v>561546.88</v>
      </c>
      <c r="M8" s="565">
        <f t="shared" si="0"/>
        <v>248567.46000000002</v>
      </c>
      <c r="N8" s="565">
        <f t="shared" si="0"/>
        <v>71488.815000000002</v>
      </c>
      <c r="O8" s="566">
        <f t="shared" si="0"/>
        <v>9363.7350000000006</v>
      </c>
      <c r="P8" s="571">
        <f t="shared" si="0"/>
        <v>5054470.4700000007</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4C8D6-E75B-40F4-A0A7-1936DB2507E6}">
  <sheetPr>
    <tabColor theme="5"/>
  </sheetPr>
  <dimension ref="B1:P8"/>
  <sheetViews>
    <sheetView topLeftCell="A16" workbookViewId="0"/>
  </sheetViews>
  <sheetFormatPr baseColWidth="10" defaultRowHeight="13.2" x14ac:dyDescent="0.25"/>
  <cols>
    <col min="2" max="2" width="17.5546875" customWidth="1"/>
    <col min="3" max="3" width="13.6640625" customWidth="1"/>
    <col min="4" max="12" width="14.5546875" bestFit="1" customWidth="1"/>
    <col min="13" max="13" width="13" bestFit="1" customWidth="1"/>
    <col min="14" max="15" width="12" bestFit="1" customWidth="1"/>
    <col min="16" max="16" width="15.5546875" bestFit="1" customWidth="1"/>
  </cols>
  <sheetData>
    <row r="1" spans="2:16" ht="13.8" thickBot="1" x14ac:dyDescent="0.3"/>
    <row r="2" spans="2:16" ht="13.8" thickBot="1" x14ac:dyDescent="0.3">
      <c r="B2" s="447" t="s">
        <v>5914</v>
      </c>
      <c r="C2" s="533" t="s">
        <v>5904</v>
      </c>
      <c r="D2" s="535" t="s">
        <v>5905</v>
      </c>
      <c r="E2" s="448" t="s">
        <v>5906</v>
      </c>
      <c r="F2" s="448" t="s">
        <v>5907</v>
      </c>
      <c r="G2" s="449" t="s">
        <v>5908</v>
      </c>
      <c r="H2" s="535" t="s">
        <v>5909</v>
      </c>
      <c r="I2" s="448" t="s">
        <v>5910</v>
      </c>
      <c r="J2" s="448" t="s">
        <v>5911</v>
      </c>
      <c r="K2" s="449" t="s">
        <v>5912</v>
      </c>
      <c r="L2" s="534" t="s">
        <v>5977</v>
      </c>
      <c r="M2" s="448" t="s">
        <v>5978</v>
      </c>
      <c r="N2" s="448" t="s">
        <v>5979</v>
      </c>
      <c r="O2" s="449" t="s">
        <v>5980</v>
      </c>
    </row>
    <row r="3" spans="2:16" x14ac:dyDescent="0.25">
      <c r="B3" s="450" t="s">
        <v>85</v>
      </c>
      <c r="C3" s="454">
        <f>'Consortium calculs'!L58</f>
        <v>7974.19</v>
      </c>
      <c r="D3" s="536">
        <f>'Consortium calculs'!N58</f>
        <v>26736.989999999998</v>
      </c>
      <c r="E3" s="446">
        <f>'Consortium calculs'!P58</f>
        <v>23453.5</v>
      </c>
      <c r="F3" s="446">
        <f>'Consortium calculs'!R58</f>
        <v>26736.989999999998</v>
      </c>
      <c r="G3" s="537">
        <f>'Consortium calculs'!T58</f>
        <v>22280.824999999997</v>
      </c>
      <c r="H3" s="536">
        <f>'Consortium calculs'!V58</f>
        <v>27675.129999999997</v>
      </c>
      <c r="I3" s="446">
        <f>'Consortium calculs'!X58</f>
        <v>26525.584999999999</v>
      </c>
      <c r="J3" s="446">
        <f>'Consortium calculs'!Z58</f>
        <v>25424.52</v>
      </c>
      <c r="K3" s="537">
        <f>'Consortium calculs'!AB58</f>
        <v>26658.720000000001</v>
      </c>
      <c r="L3" s="536">
        <f>'Consortium calculs'!AD58</f>
        <v>26658.720000000001</v>
      </c>
      <c r="M3" s="446">
        <f>'Consortium calculs'!AF58</f>
        <v>19994.04</v>
      </c>
      <c r="N3" s="446">
        <f>'Consortium calculs'!AH58</f>
        <v>0</v>
      </c>
      <c r="O3" s="537">
        <f>'Consortium calculs'!AJ58</f>
        <v>0</v>
      </c>
      <c r="P3" s="456">
        <f>SUM(C3:O3)</f>
        <v>260119.21</v>
      </c>
    </row>
    <row r="4" spans="2:16" x14ac:dyDescent="0.25">
      <c r="B4" s="451" t="s">
        <v>5913</v>
      </c>
      <c r="C4" s="455">
        <f>'Consortium calculs'!L60</f>
        <v>128881.45999999999</v>
      </c>
      <c r="D4" s="538">
        <f>'Consortium calculs'!N60</f>
        <v>384808.51499999996</v>
      </c>
      <c r="E4" s="445">
        <f>'Consortium calculs'!P60</f>
        <v>327826.27499999997</v>
      </c>
      <c r="F4" s="445">
        <f>'Consortium calculs'!R60</f>
        <v>318296.13500000007</v>
      </c>
      <c r="G4" s="539">
        <f>'Consortium calculs'!T60</f>
        <v>349080.01500000001</v>
      </c>
      <c r="H4" s="538">
        <f>'Consortium calculs'!V60</f>
        <v>367879.25500000006</v>
      </c>
      <c r="I4" s="445">
        <f>'Consortium calculs'!X60</f>
        <v>352455.78</v>
      </c>
      <c r="J4" s="445">
        <f>'Consortium calculs'!Z60</f>
        <v>348517.70000000007</v>
      </c>
      <c r="K4" s="539">
        <f>'Consortium calculs'!AB60</f>
        <v>340665.04500000004</v>
      </c>
      <c r="L4" s="538">
        <f>'Consortium calculs'!AD60</f>
        <v>259389.97999999995</v>
      </c>
      <c r="M4" s="445">
        <f>'Consortium calculs'!AF60</f>
        <v>108363.65</v>
      </c>
      <c r="N4" s="445">
        <f>'Consortium calculs'!AH60</f>
        <v>43552.619999999995</v>
      </c>
      <c r="O4" s="539">
        <f>'Consortium calculs'!AJ60</f>
        <v>23792.634999999998</v>
      </c>
      <c r="P4" s="457">
        <f>SUM(C4:O4)</f>
        <v>3353509.0649999999</v>
      </c>
    </row>
    <row r="5" spans="2:16" x14ac:dyDescent="0.25">
      <c r="B5" s="452" t="s">
        <v>86</v>
      </c>
      <c r="C5" s="455">
        <f>'Consortium calculs'!L61</f>
        <v>7785.92</v>
      </c>
      <c r="D5" s="538">
        <f>'Consortium calculs'!N61</f>
        <v>70192.63</v>
      </c>
      <c r="E5" s="445">
        <f>'Consortium calculs'!P61</f>
        <v>85487.180000000008</v>
      </c>
      <c r="F5" s="445">
        <f>'Consortium calculs'!R61</f>
        <v>119688.89000000001</v>
      </c>
      <c r="G5" s="539">
        <f>'Consortium calculs'!T61</f>
        <v>103124.84</v>
      </c>
      <c r="H5" s="538">
        <f>'Consortium calculs'!V61</f>
        <v>86304.69</v>
      </c>
      <c r="I5" s="445">
        <f>'Consortium calculs'!X61</f>
        <v>106841.95000000001</v>
      </c>
      <c r="J5" s="445">
        <f>'Consortium calculs'!Z61</f>
        <v>127437.70999999999</v>
      </c>
      <c r="K5" s="539">
        <f>'Consortium calculs'!AB61</f>
        <v>131535.96000000002</v>
      </c>
      <c r="L5" s="538">
        <f>'Consortium calculs'!AD61</f>
        <v>114864.70999999998</v>
      </c>
      <c r="M5" s="445">
        <f>'Consortium calculs'!AF61</f>
        <v>30324.06</v>
      </c>
      <c r="N5" s="445">
        <f>'Consortium calculs'!AH61</f>
        <v>0</v>
      </c>
      <c r="O5" s="539">
        <f>'Consortium calculs'!AJ61</f>
        <v>0</v>
      </c>
      <c r="P5" s="457">
        <f>SUM(C5:O5)</f>
        <v>983588.54</v>
      </c>
    </row>
    <row r="6" spans="2:16" x14ac:dyDescent="0.25">
      <c r="B6" s="452" t="s">
        <v>87</v>
      </c>
      <c r="C6" s="455">
        <f>'Consortium calculs'!L62</f>
        <v>0</v>
      </c>
      <c r="D6" s="538">
        <f>'Consortium calculs'!N62</f>
        <v>78793.73000000001</v>
      </c>
      <c r="E6" s="445">
        <f>'Consortium calculs'!P62</f>
        <v>79071.994999999995</v>
      </c>
      <c r="F6" s="445">
        <f>'Consortium calculs'!R62</f>
        <v>109994.15999999999</v>
      </c>
      <c r="G6" s="539">
        <f>'Consortium calculs'!T62</f>
        <v>113498.86500000001</v>
      </c>
      <c r="H6" s="538">
        <f>'Consortium calculs'!V62</f>
        <v>123772.235</v>
      </c>
      <c r="I6" s="445">
        <f>'Consortium calculs'!X62</f>
        <v>120706.02000000002</v>
      </c>
      <c r="J6" s="445">
        <f>'Consortium calculs'!Z62</f>
        <v>114818.03500000002</v>
      </c>
      <c r="K6" s="539">
        <f>'Consortium calculs'!AB62</f>
        <v>131149.02000000002</v>
      </c>
      <c r="L6" s="538">
        <f>'Consortium calculs'!AD62</f>
        <v>79341.77</v>
      </c>
      <c r="M6" s="445">
        <f>'Consortium calculs'!AF62</f>
        <v>42840.36</v>
      </c>
      <c r="N6" s="445">
        <f>'Consortium calculs'!AH62</f>
        <v>17056.810000000001</v>
      </c>
      <c r="O6" s="539">
        <f>'Consortium calculs'!AJ62</f>
        <v>0</v>
      </c>
      <c r="P6" s="457">
        <f>SUM(C6:O6)</f>
        <v>1011043.0000000001</v>
      </c>
    </row>
    <row r="7" spans="2:16" ht="13.8" thickBot="1" x14ac:dyDescent="0.3">
      <c r="B7" s="453" t="s">
        <v>88</v>
      </c>
      <c r="C7" s="558">
        <f>'Consortium calculs'!L63</f>
        <v>0</v>
      </c>
      <c r="D7" s="559">
        <f>'Consortium calculs'!N63</f>
        <v>0</v>
      </c>
      <c r="E7" s="560">
        <f>'Consortium calculs'!P63</f>
        <v>0</v>
      </c>
      <c r="F7" s="560">
        <f>'Consortium calculs'!R63</f>
        <v>0</v>
      </c>
      <c r="G7" s="561">
        <f>'Consortium calculs'!T63</f>
        <v>0</v>
      </c>
      <c r="H7" s="559">
        <f>'Consortium calculs'!V63</f>
        <v>0</v>
      </c>
      <c r="I7" s="562">
        <f>'Consortium calculs'!X63</f>
        <v>0</v>
      </c>
      <c r="J7" s="562">
        <f>'Consortium calculs'!Z63</f>
        <v>0</v>
      </c>
      <c r="K7" s="561">
        <f>'Consortium calculs'!AB63</f>
        <v>0</v>
      </c>
      <c r="L7" s="559">
        <f>'Consortium calculs'!AD63</f>
        <v>0</v>
      </c>
      <c r="M7" s="562">
        <f>'Consortium calculs'!AF63</f>
        <v>0</v>
      </c>
      <c r="N7" s="562">
        <f>'Consortium calculs'!AH63</f>
        <v>0</v>
      </c>
      <c r="O7" s="561">
        <f>'Consortium calculs'!AJ63</f>
        <v>0</v>
      </c>
      <c r="P7" s="563">
        <f>SUM(C7:O7)</f>
        <v>0</v>
      </c>
    </row>
    <row r="8" spans="2:16" ht="13.8" thickBot="1" x14ac:dyDescent="0.3">
      <c r="B8" s="567" t="s">
        <v>6017</v>
      </c>
      <c r="C8" s="568">
        <f>SUM(C3:C7)</f>
        <v>144641.57</v>
      </c>
      <c r="D8" s="564">
        <f t="shared" ref="D8:P8" si="0">SUM(D3:D7)</f>
        <v>560531.86499999999</v>
      </c>
      <c r="E8" s="565">
        <f t="shared" si="0"/>
        <v>515838.94999999995</v>
      </c>
      <c r="F8" s="565">
        <f t="shared" si="0"/>
        <v>574716.17500000005</v>
      </c>
      <c r="G8" s="566">
        <f t="shared" si="0"/>
        <v>587984.54500000004</v>
      </c>
      <c r="H8" s="569">
        <f t="shared" si="0"/>
        <v>605631.31000000006</v>
      </c>
      <c r="I8" s="565">
        <f t="shared" si="0"/>
        <v>606529.33500000008</v>
      </c>
      <c r="J8" s="565">
        <f t="shared" si="0"/>
        <v>616197.96500000008</v>
      </c>
      <c r="K8" s="570">
        <f t="shared" si="0"/>
        <v>630008.74500000011</v>
      </c>
      <c r="L8" s="564">
        <f t="shared" si="0"/>
        <v>480255.17999999993</v>
      </c>
      <c r="M8" s="565">
        <f t="shared" si="0"/>
        <v>201522.11</v>
      </c>
      <c r="N8" s="565">
        <f t="shared" si="0"/>
        <v>60609.429999999993</v>
      </c>
      <c r="O8" s="566">
        <f t="shared" si="0"/>
        <v>23792.634999999998</v>
      </c>
      <c r="P8" s="571">
        <f t="shared" si="0"/>
        <v>5608259.8149999995</v>
      </c>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2AFD29-4876-4DE1-B389-C708342AA88E}">
  <sheetPr>
    <tabColor theme="5"/>
  </sheetPr>
  <dimension ref="B1:P8"/>
  <sheetViews>
    <sheetView workbookViewId="0"/>
  </sheetViews>
  <sheetFormatPr baseColWidth="10" defaultRowHeight="13.2" x14ac:dyDescent="0.25"/>
  <cols>
    <col min="2" max="2" width="17.5546875" customWidth="1"/>
    <col min="3" max="3" width="13.6640625" customWidth="1"/>
    <col min="4" max="12" width="14.5546875" bestFit="1" customWidth="1"/>
    <col min="13" max="13" width="13" bestFit="1" customWidth="1"/>
    <col min="14" max="15" width="12" bestFit="1" customWidth="1"/>
    <col min="16" max="16" width="15.5546875" bestFit="1" customWidth="1"/>
  </cols>
  <sheetData>
    <row r="1" spans="2:16" ht="13.8" thickBot="1" x14ac:dyDescent="0.3"/>
    <row r="2" spans="2:16" ht="13.8" thickBot="1" x14ac:dyDescent="0.3">
      <c r="B2" s="447" t="s">
        <v>5914</v>
      </c>
      <c r="C2" s="533" t="s">
        <v>5904</v>
      </c>
      <c r="D2" s="535" t="s">
        <v>5905</v>
      </c>
      <c r="E2" s="448" t="s">
        <v>5906</v>
      </c>
      <c r="F2" s="448" t="s">
        <v>5907</v>
      </c>
      <c r="G2" s="449" t="s">
        <v>5908</v>
      </c>
      <c r="H2" s="535" t="s">
        <v>5909</v>
      </c>
      <c r="I2" s="448" t="s">
        <v>5910</v>
      </c>
      <c r="J2" s="448" t="s">
        <v>5911</v>
      </c>
      <c r="K2" s="449" t="s">
        <v>5912</v>
      </c>
      <c r="L2" s="534" t="s">
        <v>5977</v>
      </c>
      <c r="M2" s="448" t="s">
        <v>5978</v>
      </c>
      <c r="N2" s="448" t="s">
        <v>5979</v>
      </c>
      <c r="O2" s="449" t="s">
        <v>5980</v>
      </c>
    </row>
    <row r="3" spans="2:16" x14ac:dyDescent="0.25">
      <c r="B3" s="450" t="s">
        <v>85</v>
      </c>
      <c r="C3" s="454">
        <f>'Consortium calculs'!L65</f>
        <v>0</v>
      </c>
      <c r="D3" s="536">
        <f>'Consortium calculs'!N65</f>
        <v>0</v>
      </c>
      <c r="E3" s="446">
        <f>'Consortium calculs'!P65</f>
        <v>0</v>
      </c>
      <c r="F3" s="446">
        <f>'Consortium calculs'!R65</f>
        <v>14837.34</v>
      </c>
      <c r="G3" s="537">
        <f>'Consortium calculs'!T65</f>
        <v>42392.4</v>
      </c>
      <c r="H3" s="536">
        <f>'Consortium calculs'!V65</f>
        <v>45400.78</v>
      </c>
      <c r="I3" s="446">
        <f>'Consortium calculs'!X65</f>
        <v>48131.709999999992</v>
      </c>
      <c r="J3" s="446">
        <f>'Consortium calculs'!Z65</f>
        <v>86336.510000000009</v>
      </c>
      <c r="K3" s="537">
        <f>'Consortium calculs'!AB65</f>
        <v>127737.16000000002</v>
      </c>
      <c r="L3" s="536">
        <f>'Consortium calculs'!AD65</f>
        <v>96197.280000000013</v>
      </c>
      <c r="M3" s="446">
        <f>'Consortium calculs'!AF65</f>
        <v>49289.60500000001</v>
      </c>
      <c r="N3" s="446">
        <f>'Consortium calculs'!AH65</f>
        <v>12365.215</v>
      </c>
      <c r="O3" s="537">
        <f>'Consortium calculs'!AJ65</f>
        <v>0</v>
      </c>
      <c r="P3" s="456">
        <f>SUM(C3:O3)</f>
        <v>522688.00000000006</v>
      </c>
    </row>
    <row r="4" spans="2:16" x14ac:dyDescent="0.25">
      <c r="B4" s="451" t="s">
        <v>5913</v>
      </c>
      <c r="C4" s="455">
        <f>'Consortium calculs'!L67</f>
        <v>10714.13</v>
      </c>
      <c r="D4" s="538">
        <f>'Consortium calculs'!N67</f>
        <v>125879.66999999998</v>
      </c>
      <c r="E4" s="445">
        <f>'Consortium calculs'!P67</f>
        <v>132249.86000000002</v>
      </c>
      <c r="F4" s="445">
        <f>'Consortium calculs'!R67</f>
        <v>120217.23</v>
      </c>
      <c r="G4" s="539">
        <f>'Consortium calculs'!T67</f>
        <v>134065.87</v>
      </c>
      <c r="H4" s="538">
        <f>'Consortium calculs'!V67</f>
        <v>133980.94</v>
      </c>
      <c r="I4" s="445">
        <f>'Consortium calculs'!X67</f>
        <v>137931.62</v>
      </c>
      <c r="J4" s="445">
        <f>'Consortium calculs'!Z67</f>
        <v>110944.855</v>
      </c>
      <c r="K4" s="539">
        <f>'Consortium calculs'!AB67</f>
        <v>140224.23000000001</v>
      </c>
      <c r="L4" s="538">
        <f>'Consortium calculs'!AD67</f>
        <v>98386.920000000013</v>
      </c>
      <c r="M4" s="445">
        <f>'Consortium calculs'!AF67</f>
        <v>100152.11000000002</v>
      </c>
      <c r="N4" s="445">
        <f>'Consortium calculs'!AH67</f>
        <v>100911.96</v>
      </c>
      <c r="O4" s="539">
        <f>'Consortium calculs'!AJ67</f>
        <v>94838.555000000008</v>
      </c>
      <c r="P4" s="457">
        <f>SUM(C4:O4)</f>
        <v>1440497.95</v>
      </c>
    </row>
    <row r="5" spans="2:16" x14ac:dyDescent="0.25">
      <c r="B5" s="452" t="s">
        <v>86</v>
      </c>
      <c r="C5" s="455">
        <f>'Consortium calculs'!L68</f>
        <v>54774.145000000011</v>
      </c>
      <c r="D5" s="538">
        <f>'Consortium calculs'!N68</f>
        <v>136500.83000000002</v>
      </c>
      <c r="E5" s="445">
        <f>'Consortium calculs'!P68</f>
        <v>97974.735000000001</v>
      </c>
      <c r="F5" s="445">
        <f>'Consortium calculs'!R68</f>
        <v>83562.690000000017</v>
      </c>
      <c r="G5" s="539">
        <f>'Consortium calculs'!T68</f>
        <v>82228.38</v>
      </c>
      <c r="H5" s="538">
        <f>'Consortium calculs'!V68</f>
        <v>137115.89499999999</v>
      </c>
      <c r="I5" s="445">
        <f>'Consortium calculs'!X68</f>
        <v>119993.25</v>
      </c>
      <c r="J5" s="445">
        <f>'Consortium calculs'!Z68</f>
        <v>86607.164999999994</v>
      </c>
      <c r="K5" s="539">
        <f>'Consortium calculs'!AB68</f>
        <v>86862.61500000002</v>
      </c>
      <c r="L5" s="538">
        <f>'Consortium calculs'!AD68</f>
        <v>89706.420000000013</v>
      </c>
      <c r="M5" s="445">
        <f>'Consortium calculs'!AF68</f>
        <v>54187.995000000003</v>
      </c>
      <c r="N5" s="445">
        <f>'Consortium calculs'!AH68</f>
        <v>0</v>
      </c>
      <c r="O5" s="539">
        <f>'Consortium calculs'!AJ68</f>
        <v>0</v>
      </c>
      <c r="P5" s="457">
        <f>SUM(C5:O5)</f>
        <v>1029514.1200000001</v>
      </c>
    </row>
    <row r="6" spans="2:16" x14ac:dyDescent="0.25">
      <c r="B6" s="452" t="s">
        <v>87</v>
      </c>
      <c r="C6" s="455">
        <f>'Consortium calculs'!L69</f>
        <v>0</v>
      </c>
      <c r="D6" s="538">
        <f>'Consortium calculs'!N69</f>
        <v>0</v>
      </c>
      <c r="E6" s="445">
        <f>'Consortium calculs'!P69</f>
        <v>0</v>
      </c>
      <c r="F6" s="445">
        <f>'Consortium calculs'!R69</f>
        <v>0</v>
      </c>
      <c r="G6" s="539">
        <f>'Consortium calculs'!T69</f>
        <v>0</v>
      </c>
      <c r="H6" s="538">
        <f>'Consortium calculs'!V69</f>
        <v>0</v>
      </c>
      <c r="I6" s="445">
        <f>'Consortium calculs'!X69</f>
        <v>7659.4800000000005</v>
      </c>
      <c r="J6" s="445">
        <f>'Consortium calculs'!Z69</f>
        <v>27468.48</v>
      </c>
      <c r="K6" s="539">
        <f>'Consortium calculs'!AB69</f>
        <v>28524.959999999999</v>
      </c>
      <c r="L6" s="538">
        <f>'Consortium calculs'!AD69</f>
        <v>28524.959999999999</v>
      </c>
      <c r="M6" s="445">
        <f>'Consortium calculs'!AF69</f>
        <v>16111.32</v>
      </c>
      <c r="N6" s="445">
        <f>'Consortium calculs'!AH69</f>
        <v>0</v>
      </c>
      <c r="O6" s="539">
        <f>'Consortium calculs'!AJ69</f>
        <v>0</v>
      </c>
      <c r="P6" s="457">
        <f>SUM(C6:O6)</f>
        <v>108289.20000000001</v>
      </c>
    </row>
    <row r="7" spans="2:16" ht="13.8" thickBot="1" x14ac:dyDescent="0.3">
      <c r="B7" s="453" t="s">
        <v>88</v>
      </c>
      <c r="C7" s="558">
        <f>'Consortium calculs'!L70</f>
        <v>27759.53</v>
      </c>
      <c r="D7" s="559">
        <f>'Consortium calculs'!N70</f>
        <v>34497.279999999999</v>
      </c>
      <c r="E7" s="560">
        <f>'Consortium calculs'!P70</f>
        <v>42029.039999999994</v>
      </c>
      <c r="F7" s="560">
        <f>'Consortium calculs'!R70</f>
        <v>33833.94</v>
      </c>
      <c r="G7" s="561">
        <f>'Consortium calculs'!T70</f>
        <v>29896.674999999999</v>
      </c>
      <c r="H7" s="559">
        <f>'Consortium calculs'!V70</f>
        <v>34028.25</v>
      </c>
      <c r="I7" s="562">
        <f>'Consortium calculs'!X70</f>
        <v>29702.625</v>
      </c>
      <c r="J7" s="562">
        <f>'Consortium calculs'!Z70</f>
        <v>31144.5</v>
      </c>
      <c r="K7" s="561">
        <f>'Consortium calculs'!AB70</f>
        <v>24919.870000000003</v>
      </c>
      <c r="L7" s="559">
        <f>'Consortium calculs'!AD70</f>
        <v>28631.340000000004</v>
      </c>
      <c r="M7" s="562">
        <f>'Consortium calculs'!AF70</f>
        <v>15376.09</v>
      </c>
      <c r="N7" s="562">
        <f>'Consortium calculs'!AH70</f>
        <v>0</v>
      </c>
      <c r="O7" s="561">
        <f>'Consortium calculs'!AJ70</f>
        <v>0</v>
      </c>
      <c r="P7" s="563">
        <f>SUM(C7:O7)</f>
        <v>331819.14</v>
      </c>
    </row>
    <row r="8" spans="2:16" ht="13.8" thickBot="1" x14ac:dyDescent="0.3">
      <c r="B8" s="567" t="s">
        <v>6017</v>
      </c>
      <c r="C8" s="568">
        <f>SUM(C3:C7)</f>
        <v>93247.805000000008</v>
      </c>
      <c r="D8" s="564">
        <f t="shared" ref="D8:P8" si="0">SUM(D3:D7)</f>
        <v>296877.78000000003</v>
      </c>
      <c r="E8" s="565">
        <f t="shared" si="0"/>
        <v>272253.63500000001</v>
      </c>
      <c r="F8" s="565">
        <f t="shared" si="0"/>
        <v>252451.20000000001</v>
      </c>
      <c r="G8" s="566">
        <f t="shared" si="0"/>
        <v>288583.32500000001</v>
      </c>
      <c r="H8" s="569">
        <f t="shared" si="0"/>
        <v>350525.86499999999</v>
      </c>
      <c r="I8" s="565">
        <f t="shared" si="0"/>
        <v>343418.68499999994</v>
      </c>
      <c r="J8" s="565">
        <f t="shared" si="0"/>
        <v>342501.50999999995</v>
      </c>
      <c r="K8" s="570">
        <f t="shared" si="0"/>
        <v>408268.83500000002</v>
      </c>
      <c r="L8" s="564">
        <f t="shared" si="0"/>
        <v>341446.92000000004</v>
      </c>
      <c r="M8" s="565">
        <f t="shared" si="0"/>
        <v>235117.12000000002</v>
      </c>
      <c r="N8" s="565">
        <f t="shared" si="0"/>
        <v>113277.175</v>
      </c>
      <c r="O8" s="566">
        <f t="shared" si="0"/>
        <v>94838.555000000008</v>
      </c>
      <c r="P8" s="571">
        <f t="shared" si="0"/>
        <v>3432808.4100000006</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5"/>
  <dimension ref="B1:BG4747"/>
  <sheetViews>
    <sheetView topLeftCell="P295" zoomScaleNormal="100" workbookViewId="0">
      <selection activeCell="R313" sqref="R313"/>
    </sheetView>
  </sheetViews>
  <sheetFormatPr baseColWidth="10" defaultColWidth="9.109375" defaultRowHeight="13.2" outlineLevelCol="1" x14ac:dyDescent="0.25"/>
  <cols>
    <col min="2" max="2" width="16" bestFit="1" customWidth="1"/>
    <col min="4" max="4" width="20.33203125" bestFit="1" customWidth="1"/>
    <col min="6" max="8" width="10.109375" customWidth="1"/>
    <col min="9" max="10" width="14.5546875" customWidth="1"/>
    <col min="11" max="11" width="15.5546875" customWidth="1"/>
    <col min="13" max="13" width="36.6640625" bestFit="1" customWidth="1"/>
    <col min="14" max="14" width="36.6640625" hidden="1" customWidth="1" outlineLevel="1"/>
    <col min="15" max="15" width="8" hidden="1" customWidth="1" outlineLevel="1"/>
    <col min="16" max="16" width="34.33203125" bestFit="1" customWidth="1" collapsed="1"/>
    <col min="18" max="18" width="46.5546875" style="26" customWidth="1"/>
    <col min="19" max="22" width="12.88671875" bestFit="1" customWidth="1"/>
    <col min="23" max="25" width="13.88671875" bestFit="1" customWidth="1"/>
    <col min="26" max="28" width="13.88671875" customWidth="1"/>
    <col min="29" max="29" width="13.88671875" bestFit="1" customWidth="1"/>
    <col min="30" max="33" width="10.44140625" customWidth="1"/>
    <col min="35" max="35" width="30.88671875" hidden="1" customWidth="1" outlineLevel="1"/>
    <col min="36" max="36" width="5" hidden="1" customWidth="1" outlineLevel="1"/>
    <col min="37" max="37" width="30.88671875" style="26" bestFit="1" customWidth="1" collapsed="1"/>
    <col min="38" max="38" width="5.6640625" style="26" customWidth="1"/>
    <col min="39" max="39" width="5.6640625" style="26" hidden="1" customWidth="1"/>
    <col min="40" max="40" width="30.88671875" style="26" bestFit="1" customWidth="1"/>
    <col min="41" max="41" width="50.6640625" style="26" bestFit="1" customWidth="1"/>
    <col min="43" max="43" width="44.109375" customWidth="1"/>
    <col min="47" max="47" width="11.44140625" bestFit="1" customWidth="1"/>
    <col min="49" max="49" width="12.88671875" customWidth="1"/>
    <col min="50" max="50" width="62.5546875" bestFit="1" customWidth="1"/>
    <col min="52" max="52" width="11.44140625" customWidth="1"/>
    <col min="54" max="54" width="11.44140625" customWidth="1"/>
    <col min="56" max="58" width="19.44140625" customWidth="1"/>
    <col min="59" max="59" width="14.33203125" customWidth="1"/>
  </cols>
  <sheetData>
    <row r="1" spans="2:59" ht="14.4" x14ac:dyDescent="0.25">
      <c r="B1" s="6" t="s">
        <v>505</v>
      </c>
      <c r="D1" s="162" t="s">
        <v>332</v>
      </c>
      <c r="F1" s="4" t="s">
        <v>172</v>
      </c>
      <c r="G1" t="s">
        <v>169</v>
      </c>
      <c r="H1" s="4"/>
      <c r="I1" s="4" t="s">
        <v>11</v>
      </c>
      <c r="J1" s="4" t="s">
        <v>347</v>
      </c>
      <c r="K1" s="122" t="s">
        <v>165</v>
      </c>
      <c r="M1" s="4" t="s">
        <v>342</v>
      </c>
      <c r="N1" s="4" t="s">
        <v>363</v>
      </c>
      <c r="O1" s="4" t="s">
        <v>362</v>
      </c>
      <c r="P1" s="4" t="s">
        <v>364</v>
      </c>
      <c r="R1" s="26" t="s">
        <v>0</v>
      </c>
      <c r="S1" s="4" t="s">
        <v>27</v>
      </c>
      <c r="T1" t="s">
        <v>25</v>
      </c>
      <c r="U1" t="s">
        <v>26</v>
      </c>
      <c r="V1" t="s">
        <v>28</v>
      </c>
      <c r="W1" t="s">
        <v>29</v>
      </c>
      <c r="X1" t="s">
        <v>30</v>
      </c>
      <c r="Y1" t="s">
        <v>31</v>
      </c>
      <c r="Z1" t="s">
        <v>32</v>
      </c>
      <c r="AA1" t="s">
        <v>33</v>
      </c>
      <c r="AB1" t="s">
        <v>34</v>
      </c>
      <c r="AC1" t="s">
        <v>35</v>
      </c>
      <c r="AD1" t="s">
        <v>48</v>
      </c>
      <c r="AF1" s="122" t="s">
        <v>49</v>
      </c>
      <c r="AG1" s="131"/>
      <c r="AH1" s="150"/>
      <c r="AI1" s="4" t="s">
        <v>359</v>
      </c>
      <c r="AJ1" s="4" t="s">
        <v>360</v>
      </c>
      <c r="AK1" s="154" t="s">
        <v>361</v>
      </c>
      <c r="AL1" s="154"/>
      <c r="AM1" s="154" t="s">
        <v>5425</v>
      </c>
      <c r="AN1" s="154" t="s">
        <v>5423</v>
      </c>
      <c r="AO1" s="154" t="s">
        <v>5424</v>
      </c>
      <c r="AQ1" s="21" t="s">
        <v>0</v>
      </c>
      <c r="AR1" s="21" t="s">
        <v>9</v>
      </c>
      <c r="AT1" s="122" t="s">
        <v>48</v>
      </c>
      <c r="AU1" s="133" t="s">
        <v>169</v>
      </c>
      <c r="AW1" s="5" t="s">
        <v>141</v>
      </c>
      <c r="AX1" s="5" t="s">
        <v>142</v>
      </c>
      <c r="AZ1" s="122" t="s">
        <v>161</v>
      </c>
      <c r="BB1" s="122" t="s">
        <v>223</v>
      </c>
      <c r="BD1" t="s">
        <v>612</v>
      </c>
      <c r="BE1" t="s">
        <v>613</v>
      </c>
      <c r="BF1" t="s">
        <v>614</v>
      </c>
      <c r="BG1" t="s">
        <v>615</v>
      </c>
    </row>
    <row r="2" spans="2:59" ht="13.8" x14ac:dyDescent="0.25">
      <c r="B2" s="9">
        <v>44669</v>
      </c>
      <c r="D2" s="163" t="s">
        <v>334</v>
      </c>
      <c r="F2" s="8" t="s">
        <v>173</v>
      </c>
      <c r="G2" s="30" t="s">
        <v>170</v>
      </c>
      <c r="H2" s="8"/>
      <c r="I2" s="8" t="s">
        <v>10</v>
      </c>
      <c r="J2" s="8" t="s">
        <v>345</v>
      </c>
      <c r="K2" s="119" t="s">
        <v>166</v>
      </c>
      <c r="M2" t="str">
        <f>_xlfn.IFNA(IF(VLOOKUP(TAB_Offres[[#This Row],[Reference]],TAB_Offres[[Reference]:[Request State]],COLUMNS(TAB_Offres[[Reference]:[Request State]]),FALSE)=D$6,TAB_Offres[[#This Row],[Reference]],""),"")</f>
        <v xml:space="preserve">	DIGITTMII-007029-6000053863-REQ-01</v>
      </c>
      <c r="N2" t="str">
        <f>_xlfn.IFNA(IF(VLOOKUP(TAB_Offres[[#This Row],[Reference]],TAB_Offres[[Reference]:[Has Expenses?]],COLUMNS(TAB_Offres[[Reference]:[Has Expenses?]]),FALSE)=J$2,TAB_Offres[[#This Row],[Reference]],""),"")</f>
        <v/>
      </c>
      <c r="O2" t="str">
        <f>IF(Tableau19[[#This Row],[EXPENSES_REF]]="","",MAX(O$1:O1)+1)</f>
        <v/>
      </c>
      <c r="P2" t="str">
        <f t="shared" ref="P2:P65" si="0">IFERROR(INDEX($N$2:$N$1001,MATCH(ROW()-ROW($P$1),$O$2:$O$1001,0)),"")</f>
        <v>DIGITTMII-001957-6000053863-REQ-01</v>
      </c>
      <c r="R2" s="100" t="s">
        <v>36</v>
      </c>
      <c r="S2" s="2">
        <v>260.26</v>
      </c>
      <c r="T2" s="2">
        <v>278.48</v>
      </c>
      <c r="U2" s="2">
        <v>297.97000000000003</v>
      </c>
      <c r="V2" s="2">
        <v>318.83</v>
      </c>
      <c r="W2" s="2">
        <v>341.15</v>
      </c>
      <c r="X2" s="2">
        <v>365.03</v>
      </c>
      <c r="Y2" s="2">
        <v>390.58</v>
      </c>
      <c r="Z2" s="2">
        <v>417.92</v>
      </c>
      <c r="AA2" s="2">
        <v>447.17</v>
      </c>
      <c r="AB2" s="2">
        <v>478.47</v>
      </c>
      <c r="AC2" s="2">
        <v>511.96</v>
      </c>
      <c r="AD2" s="33" t="s">
        <v>138</v>
      </c>
      <c r="AE2" s="33"/>
      <c r="AF2" s="119">
        <v>0</v>
      </c>
      <c r="AG2" s="131"/>
      <c r="AH2" s="150"/>
      <c r="AI2" s="3" t="str">
        <f>IFERROR(_xlfn.SINGLE(
IF(_xlfn.SINGLE(INDEX(TAB_Offres[Ressource 1],ROWS(Params!AI$2:$AI2)))=0,NA(),
INDEX(TAB_Offres[Ressource 1],ROWS(Params!AI$2:$AI2)))),
IFERROR(_xlfn.SINGLE(IF(_xlfn.SINGLE(INDEX(#REF!,ROWS(Params!AI$2:$AI2)-COUNTA(TAB_Offres[Ressource 1])))=0,NA(),
INDEX(#REF!,ROWS(Params!AI$2:$AI2)-COUNTA(TAB_Offres[Ressource 1])))),
IFERROR(_xlfn.SINGLE(IF(_xlfn.SINGLE(INDEX(#REF!,ROWS(Params!AI$2:$AI2)-COUNTA(#REF!)-COUNTA(TAB_Offres[Ressource 1])))=0,NA(),
INDEX(#REF!,ROWS(Params!AI$2:$AI2)-COUNTA(#REF!)-COUNTA(TAB_Offres[Ressource 1])))),""))
)</f>
        <v>SABĂU, Răzvan-Eugen</v>
      </c>
      <c r="AJ2" s="143">
        <f>IF(TAB_ressource[[#This Row],[Import Ressource]]="","",MAX(AJ$1:AJ1)+1)</f>
        <v>1</v>
      </c>
      <c r="AK2" s="176" t="str">
        <f>IFERROR(INDEX(TAB_ressource[Import Ressource],MATCH(ROW()-ROW($AK$1),TAB_ressource[ID Import ressources],0)),"")</f>
        <v>SABĂU, Răzvan-Eugen</v>
      </c>
      <c r="AM2" s="26" t="str" cm="1">
        <f t="array" ref="AM2:AM67">_xlfn.UNIQUE(TAB_ressource[Filtered Ressources List])</f>
        <v>SABĂU, Răzvan-Eugen</v>
      </c>
      <c r="AN2" s="26" t="str">
        <f>AM2</f>
        <v>SABĂU, Răzvan-Eugen</v>
      </c>
      <c r="AO2" s="154" t="s">
        <v>5426</v>
      </c>
      <c r="AQ2" s="17" t="s">
        <v>36</v>
      </c>
      <c r="AR2" s="19">
        <f>COUNTIF(TAB_CS[Profile],AQ2)</f>
        <v>0</v>
      </c>
      <c r="AT2" s="119" t="s">
        <v>138</v>
      </c>
      <c r="AU2" s="130" t="s">
        <v>184</v>
      </c>
      <c r="AW2" s="118" t="s">
        <v>143</v>
      </c>
      <c r="AX2" s="118" t="s">
        <v>144</v>
      </c>
      <c r="AZ2" s="119" t="s">
        <v>85</v>
      </c>
      <c r="BB2" s="119" t="s">
        <v>224</v>
      </c>
      <c r="BD2" t="s">
        <v>616</v>
      </c>
      <c r="BE2" t="s">
        <v>617</v>
      </c>
      <c r="BF2" t="s">
        <v>618</v>
      </c>
      <c r="BG2" t="s">
        <v>616</v>
      </c>
    </row>
    <row r="3" spans="2:59" ht="13.8" x14ac:dyDescent="0.25">
      <c r="B3" s="9">
        <v>44690</v>
      </c>
      <c r="D3" s="164" t="s">
        <v>335</v>
      </c>
      <c r="F3" s="8" t="s">
        <v>179</v>
      </c>
      <c r="G3" s="30" t="s">
        <v>178</v>
      </c>
      <c r="H3" s="8"/>
      <c r="I3" s="8" t="s">
        <v>12</v>
      </c>
      <c r="J3" s="8" t="s">
        <v>346</v>
      </c>
      <c r="K3" s="120" t="s">
        <v>167</v>
      </c>
      <c r="M3" t="str">
        <f>_xlfn.IFNA(IF(VLOOKUP(TAB_Offres[[#This Row],[Reference]],TAB_Offres[[Reference]:[Request State]],COLUMNS(TAB_Offres[[Reference]:[Request State]]),FALSE)=D$6,TAB_Offres[[#This Row],[Reference]],""),"")</f>
        <v xml:space="preserve">	DIGITTMII-009325-DIGITTMII-005585-MOD-01-6000053863-REQ-01</v>
      </c>
      <c r="N3" t="str">
        <f>_xlfn.IFNA(IF(VLOOKUP(TAB_Offres[[#This Row],[Reference]],TAB_Offres[[Reference]:[Has Expenses?]],COLUMNS(TAB_Offres[[Reference]:[Has Expenses?]]),FALSE)=J$2,TAB_Offres[[#This Row],[Reference]],""),"")</f>
        <v/>
      </c>
      <c r="O3" t="str">
        <f>IF(Tableau19[[#This Row],[EXPENSES_REF]]="","",MAX(O$1:O2)+1)</f>
        <v/>
      </c>
      <c r="P3" t="str">
        <f t="shared" si="0"/>
        <v>DIGITTMII-002931-6000053863-REQ-01</v>
      </c>
      <c r="R3" s="100" t="s">
        <v>37</v>
      </c>
      <c r="S3" s="2">
        <v>260.26</v>
      </c>
      <c r="T3" s="2">
        <v>278.48</v>
      </c>
      <c r="U3" s="2">
        <v>297.97000000000003</v>
      </c>
      <c r="V3" s="2">
        <v>318.83</v>
      </c>
      <c r="W3" s="2">
        <v>341.15</v>
      </c>
      <c r="X3" s="2">
        <v>365.03</v>
      </c>
      <c r="Y3" s="2">
        <v>390.58</v>
      </c>
      <c r="Z3" s="2">
        <v>417.92</v>
      </c>
      <c r="AA3" s="2">
        <v>447.17</v>
      </c>
      <c r="AB3" s="2">
        <v>478.47</v>
      </c>
      <c r="AC3" s="2">
        <v>511.96</v>
      </c>
      <c r="AD3" s="33" t="s">
        <v>138</v>
      </c>
      <c r="AE3" s="33"/>
      <c r="AF3" s="120">
        <f>AF2+1</f>
        <v>1</v>
      </c>
      <c r="AG3" s="131"/>
      <c r="AH3" s="150"/>
      <c r="AI3" s="3" t="str">
        <f>IFERROR(_xlfn.SINGLE(
IF(_xlfn.SINGLE(INDEX(TAB_Offres[Ressource 1],ROWS(Params!AI$2:$AI3)))=0,NA(),
INDEX(TAB_Offres[Ressource 1],ROWS(Params!AI$2:$AI3)))),
IFERROR(_xlfn.SINGLE(IF(_xlfn.SINGLE(INDEX(#REF!,ROWS(Params!AI$2:$AI3)-COUNTA(TAB_Offres[Ressource 1])))=0,NA(),
INDEX(#REF!,ROWS(Params!AI$2:$AI3)-COUNTA(TAB_Offres[Ressource 1])))),
IFERROR(_xlfn.SINGLE(IF(_xlfn.SINGLE(INDEX(#REF!,ROWS(Params!AI$2:$AI3)-COUNTA(#REF!)-COUNTA(TAB_Offres[Ressource 1])))=0,NA(),
INDEX(#REF!,ROWS(Params!AI$2:$AI3)-COUNTA(#REF!)-COUNTA(TAB_Offres[Ressource 1])))),""))
)</f>
        <v>MEDAN, Andrei</v>
      </c>
      <c r="AJ3" s="143">
        <f>IF(TAB_ressource[[#This Row],[Import Ressource]]="","",MAX(AJ$1:AJ2)+1)</f>
        <v>2</v>
      </c>
      <c r="AK3" s="176" t="str">
        <f>IFERROR(INDEX(TAB_ressource[Import Ressource],MATCH(ROW()-ROW($AK$1),TAB_ressource[ID Import ressources],0)),"")</f>
        <v>MEDAN, Andrei</v>
      </c>
      <c r="AM3" s="26" t="str">
        <v>MEDAN, Andrei</v>
      </c>
      <c r="AN3" s="26" t="str">
        <f t="shared" ref="AN3:AN66" si="1">AM3</f>
        <v>MEDAN, Andrei</v>
      </c>
      <c r="AO3" s="154" t="s">
        <v>5426</v>
      </c>
      <c r="AQ3" s="18" t="s">
        <v>37</v>
      </c>
      <c r="AR3" s="20">
        <f>COUNTIF(TAB_CS[Profile],AQ3)</f>
        <v>0</v>
      </c>
      <c r="AT3" s="120" t="s">
        <v>139</v>
      </c>
      <c r="AU3" s="131" t="s">
        <v>185</v>
      </c>
      <c r="AW3" s="123" t="s">
        <v>146</v>
      </c>
      <c r="AX3" s="126" t="s">
        <v>145</v>
      </c>
      <c r="AZ3" s="120" t="s">
        <v>202</v>
      </c>
      <c r="BB3" s="120" t="s">
        <v>225</v>
      </c>
      <c r="BD3" t="s">
        <v>619</v>
      </c>
      <c r="BE3" t="s">
        <v>620</v>
      </c>
      <c r="BF3" t="s">
        <v>621</v>
      </c>
      <c r="BG3" t="s">
        <v>619</v>
      </c>
    </row>
    <row r="4" spans="2:59" ht="13.8" x14ac:dyDescent="0.25">
      <c r="B4" s="9">
        <v>44707</v>
      </c>
      <c r="D4" s="165" t="s">
        <v>337</v>
      </c>
      <c r="F4" s="30" t="s">
        <v>174</v>
      </c>
      <c r="G4" s="30" t="s">
        <v>171</v>
      </c>
      <c r="K4" t="s">
        <v>222</v>
      </c>
      <c r="M4" t="str">
        <f>_xlfn.IFNA(IF(VLOOKUP(TAB_Offres[[#This Row],[Reference]],TAB_Offres[[Reference]:[Request State]],COLUMNS(TAB_Offres[[Reference]:[Request State]]),FALSE)=D$6,TAB_Offres[[#This Row],[Reference]],""),"")</f>
        <v>DIGITTMII-012161-DIGITTMII-011049-MOD-01-6000053863-REQ-01</v>
      </c>
      <c r="N4" t="str">
        <f>_xlfn.IFNA(IF(VLOOKUP(TAB_Offres[[#This Row],[Reference]],TAB_Offres[[Reference]:[Has Expenses?]],COLUMNS(TAB_Offres[[Reference]:[Has Expenses?]]),FALSE)=J$2,TAB_Offres[[#This Row],[Reference]],""),"")</f>
        <v/>
      </c>
      <c r="O4" t="str">
        <f>IF(Tableau19[[#This Row],[EXPENSES_REF]]="","",MAX(O$1:O3)+1)</f>
        <v/>
      </c>
      <c r="P4" t="str">
        <f t="shared" si="0"/>
        <v>DIGITTMII-004019-6000053863-REQ-01</v>
      </c>
      <c r="R4" s="100" t="s">
        <v>38</v>
      </c>
      <c r="S4" s="2">
        <v>335</v>
      </c>
      <c r="T4" s="2">
        <v>358.45</v>
      </c>
      <c r="U4" s="2">
        <v>383.54</v>
      </c>
      <c r="V4" s="2">
        <v>410.39</v>
      </c>
      <c r="W4" s="2">
        <v>439.12</v>
      </c>
      <c r="X4" s="2">
        <v>469.86</v>
      </c>
      <c r="Y4" s="2">
        <v>502.75</v>
      </c>
      <c r="Z4" s="2">
        <v>537.94000000000005</v>
      </c>
      <c r="AA4" s="2">
        <v>575.6</v>
      </c>
      <c r="AB4" s="2">
        <v>615.89</v>
      </c>
      <c r="AC4" s="2">
        <v>659</v>
      </c>
      <c r="AD4" s="33" t="s">
        <v>138</v>
      </c>
      <c r="AE4" s="33"/>
      <c r="AF4" s="129">
        <f t="shared" ref="AF4:AF10" si="2">AF3+1</f>
        <v>2</v>
      </c>
      <c r="AG4" s="129"/>
      <c r="AH4" s="150"/>
      <c r="AI4" s="3" t="str">
        <f>IFERROR(_xlfn.SINGLE(
IF(_xlfn.SINGLE(INDEX(TAB_Offres[Ressource 1],ROWS(Params!AI$2:$AI4)))=0,NA(),
INDEX(TAB_Offres[Ressource 1],ROWS(Params!AI$2:$AI4)))),
IFERROR(_xlfn.SINGLE(IF(_xlfn.SINGLE(INDEX(#REF!,ROWS(Params!AI$2:$AI4)-COUNTA(TAB_Offres[Ressource 1])))=0,NA(),
INDEX(#REF!,ROWS(Params!AI$2:$AI4)-COUNTA(TAB_Offres[Ressource 1])))),
IFERROR(_xlfn.SINGLE(IF(_xlfn.SINGLE(INDEX(#REF!,ROWS(Params!AI$2:$AI4)-COUNTA(#REF!)-COUNTA(TAB_Offres[Ressource 1])))=0,NA(),
INDEX(#REF!,ROWS(Params!AI$2:$AI4)-COUNTA(#REF!)-COUNTA(TAB_Offres[Ressource 1])))),""))
)</f>
        <v>POCHON, Régis</v>
      </c>
      <c r="AJ4" s="143">
        <f>IF(TAB_ressource[[#This Row],[Import Ressource]]="","",MAX(AJ$1:AJ3)+1)</f>
        <v>3</v>
      </c>
      <c r="AK4" s="176" t="str">
        <f>IFERROR(INDEX(TAB_ressource[Import Ressource],MATCH(ROW()-ROW($AK$1),TAB_ressource[ID Import ressources],0)),"")</f>
        <v>POCHON, Régis</v>
      </c>
      <c r="AM4" s="26" t="str">
        <v>POCHON, Régis</v>
      </c>
      <c r="AN4" s="26" t="str">
        <f t="shared" si="1"/>
        <v>POCHON, Régis</v>
      </c>
      <c r="AO4" s="154" t="s">
        <v>5426</v>
      </c>
      <c r="AQ4" s="17" t="s">
        <v>38</v>
      </c>
      <c r="AR4" s="19">
        <f>COUNTIF(TAB_CS[Profile],AQ4)</f>
        <v>9</v>
      </c>
      <c r="AT4" s="121" t="s">
        <v>140</v>
      </c>
      <c r="AU4" s="132" t="s">
        <v>186</v>
      </c>
      <c r="AW4" s="125" t="s">
        <v>148</v>
      </c>
      <c r="AX4" s="126" t="s">
        <v>147</v>
      </c>
      <c r="AZ4" s="121" t="s">
        <v>203</v>
      </c>
      <c r="BB4" s="30"/>
      <c r="BD4" t="s">
        <v>622</v>
      </c>
      <c r="BE4" t="s">
        <v>623</v>
      </c>
      <c r="BF4" t="s">
        <v>624</v>
      </c>
      <c r="BG4" t="s">
        <v>622</v>
      </c>
    </row>
    <row r="5" spans="2:59" ht="15" customHeight="1" x14ac:dyDescent="0.25">
      <c r="B5" s="9">
        <v>44718</v>
      </c>
      <c r="D5" s="154" t="s">
        <v>336</v>
      </c>
      <c r="M5" t="str">
        <f>_xlfn.IFNA(IF(VLOOKUP(TAB_Offres[[#This Row],[Reference]],TAB_Offres[[Reference]:[Request State]],COLUMNS(TAB_Offres[[Reference]:[Request State]]),FALSE)=D$6,TAB_Offres[[#This Row],[Reference]],""),"")</f>
        <v>DIGITTMII-000214-6000053863-REQ-01</v>
      </c>
      <c r="N5" t="str">
        <f>_xlfn.IFNA(IF(VLOOKUP(TAB_Offres[[#This Row],[Reference]],TAB_Offres[[Reference]:[Has Expenses?]],COLUMNS(TAB_Offres[[Reference]:[Has Expenses?]]),FALSE)=J$2,TAB_Offres[[#This Row],[Reference]],""),"")</f>
        <v/>
      </c>
      <c r="O5" t="str">
        <f>IF(Tableau19[[#This Row],[EXPENSES_REF]]="","",MAX(O$1:O4)+1)</f>
        <v/>
      </c>
      <c r="P5" t="str">
        <f t="shared" si="0"/>
        <v>DIGITTMII-004465-6000053863-REQ-01</v>
      </c>
      <c r="R5" s="100" t="s">
        <v>39</v>
      </c>
      <c r="S5" s="2">
        <v>338</v>
      </c>
      <c r="T5" s="2">
        <v>361.66</v>
      </c>
      <c r="U5" s="2">
        <v>386.98</v>
      </c>
      <c r="V5" s="2">
        <v>414.07</v>
      </c>
      <c r="W5" s="2">
        <v>443.05</v>
      </c>
      <c r="X5" s="2">
        <v>474.06</v>
      </c>
      <c r="Y5" s="2">
        <v>507.24</v>
      </c>
      <c r="Z5" s="2">
        <v>542.75</v>
      </c>
      <c r="AA5" s="2">
        <v>580.74</v>
      </c>
      <c r="AB5" s="2">
        <v>621.39</v>
      </c>
      <c r="AC5" s="2">
        <v>664.89</v>
      </c>
      <c r="AD5" s="33" t="s">
        <v>138</v>
      </c>
      <c r="AE5" s="33"/>
      <c r="AF5" s="129">
        <f t="shared" si="2"/>
        <v>3</v>
      </c>
      <c r="AG5" s="129"/>
      <c r="AH5" s="150"/>
      <c r="AI5" s="3" t="str">
        <f>IFERROR(_xlfn.SINGLE(
IF(_xlfn.SINGLE(INDEX(TAB_Offres[Ressource 1],ROWS(Params!AI$2:$AI5)))=0,NA(),
INDEX(TAB_Offres[Ressource 1],ROWS(Params!AI$2:$AI5)))),
IFERROR(_xlfn.SINGLE(IF(_xlfn.SINGLE(INDEX(#REF!,ROWS(Params!AI$2:$AI5)-COUNTA(TAB_Offres[Ressource 1])))=0,NA(),
INDEX(#REF!,ROWS(Params!AI$2:$AI5)-COUNTA(TAB_Offres[Ressource 1])))),
IFERROR(_xlfn.SINGLE(IF(_xlfn.SINGLE(INDEX(#REF!,ROWS(Params!AI$2:$AI5)-COUNTA(#REF!)-COUNTA(TAB_Offres[Ressource 1])))=0,NA(),
INDEX(#REF!,ROWS(Params!AI$2:$AI5)-COUNTA(#REF!)-COUNTA(TAB_Offres[Ressource 1])))),""))
)</f>
        <v>SAYTEE, Meatau Larry</v>
      </c>
      <c r="AJ5" s="143">
        <f>IF(TAB_ressource[[#This Row],[Import Ressource]]="","",MAX(AJ$1:AJ4)+1)</f>
        <v>4</v>
      </c>
      <c r="AK5" s="176" t="str">
        <f>IFERROR(INDEX(TAB_ressource[Import Ressource],MATCH(ROW()-ROW($AK$1),TAB_ressource[ID Import ressources],0)),"")</f>
        <v>SAYTEE, Meatau Larry</v>
      </c>
      <c r="AM5" s="26" t="str">
        <v>SAYTEE, Meatau Larry</v>
      </c>
      <c r="AN5" s="26" t="str">
        <f t="shared" si="1"/>
        <v>SAYTEE, Meatau Larry</v>
      </c>
      <c r="AO5" s="154" t="s">
        <v>5426</v>
      </c>
      <c r="AQ5" s="18" t="s">
        <v>39</v>
      </c>
      <c r="AR5" s="20">
        <f>COUNTIF(TAB_CS[Profile],AQ5)</f>
        <v>16</v>
      </c>
      <c r="AW5" s="125" t="s">
        <v>150</v>
      </c>
      <c r="AX5" s="126" t="s">
        <v>149</v>
      </c>
      <c r="AZ5" s="30" t="s">
        <v>86</v>
      </c>
      <c r="BB5" s="30"/>
      <c r="BD5" t="s">
        <v>625</v>
      </c>
      <c r="BE5" t="s">
        <v>626</v>
      </c>
      <c r="BF5" t="s">
        <v>627</v>
      </c>
      <c r="BG5" t="s">
        <v>625</v>
      </c>
    </row>
    <row r="6" spans="2:59" ht="13.5" customHeight="1" x14ac:dyDescent="0.25">
      <c r="B6" s="9">
        <v>44735</v>
      </c>
      <c r="D6" s="154" t="s">
        <v>338</v>
      </c>
      <c r="M6" t="str">
        <f>_xlfn.IFNA(IF(VLOOKUP(TAB_Offres[[#This Row],[Reference]],TAB_Offres[[Reference]:[Request State]],COLUMNS(TAB_Offres[[Reference]:[Request State]]),FALSE)=D$6,TAB_Offres[[#This Row],[Reference]],""),"")</f>
        <v>DIGITTMII-000659-6000053863-REQ-01</v>
      </c>
      <c r="N6" t="str">
        <f>_xlfn.IFNA(IF(VLOOKUP(TAB_Offres[[#This Row],[Reference]],TAB_Offres[[Reference]:[Has Expenses?]],COLUMNS(TAB_Offres[[Reference]:[Has Expenses?]]),FALSE)=J$2,TAB_Offres[[#This Row],[Reference]],""),"")</f>
        <v/>
      </c>
      <c r="O6" t="str">
        <f>IF(Tableau19[[#This Row],[EXPENSES_REF]]="","",MAX(O$1:O5)+1)</f>
        <v/>
      </c>
      <c r="P6" t="str">
        <f t="shared" si="0"/>
        <v>DIGITTMII-005085-6000053863-REQ-01</v>
      </c>
      <c r="R6" s="100" t="s">
        <v>40</v>
      </c>
      <c r="S6" s="2">
        <v>260</v>
      </c>
      <c r="T6" s="2">
        <v>278.2</v>
      </c>
      <c r="U6" s="2">
        <v>297.67</v>
      </c>
      <c r="V6" s="2">
        <v>318.51</v>
      </c>
      <c r="W6" s="2">
        <v>340.81</v>
      </c>
      <c r="X6" s="2">
        <v>364.67</v>
      </c>
      <c r="Y6" s="2">
        <v>390.2</v>
      </c>
      <c r="Z6" s="2">
        <v>417.51</v>
      </c>
      <c r="AA6" s="2">
        <v>446.74</v>
      </c>
      <c r="AB6" s="2">
        <v>478.01</v>
      </c>
      <c r="AC6" s="2">
        <v>511.47</v>
      </c>
      <c r="AD6" s="33" t="s">
        <v>138</v>
      </c>
      <c r="AE6" s="33"/>
      <c r="AF6" s="129">
        <f t="shared" si="2"/>
        <v>4</v>
      </c>
      <c r="AG6" s="129"/>
      <c r="AH6" s="150"/>
      <c r="AI6" s="3" t="str">
        <f>IFERROR(_xlfn.SINGLE(
IF(_xlfn.SINGLE(INDEX(TAB_Offres[Ressource 1],ROWS(Params!AI$2:$AI6)))=0,NA(),
INDEX(TAB_Offres[Ressource 1],ROWS(Params!AI$2:$AI6)))),
IFERROR(_xlfn.SINGLE(IF(_xlfn.SINGLE(INDEX(#REF!,ROWS(Params!AI$2:$AI6)-COUNTA(TAB_Offres[Ressource 1])))=0,NA(),
INDEX(#REF!,ROWS(Params!AI$2:$AI6)-COUNTA(TAB_Offres[Ressource 1])))),
IFERROR(_xlfn.SINGLE(IF(_xlfn.SINGLE(INDEX(#REF!,ROWS(Params!AI$2:$AI6)-COUNTA(#REF!)-COUNTA(TAB_Offres[Ressource 1])))=0,NA(),
INDEX(#REF!,ROWS(Params!AI$2:$AI6)-COUNTA(#REF!)-COUNTA(TAB_Offres[Ressource 1])))),""))
)</f>
        <v>LOPES GONÇALVES, Débora</v>
      </c>
      <c r="AJ6" s="143">
        <f>IF(TAB_ressource[[#This Row],[Import Ressource]]="","",MAX(AJ$1:AJ5)+1)</f>
        <v>5</v>
      </c>
      <c r="AK6" s="176" t="str">
        <f>IFERROR(INDEX(TAB_ressource[Import Ressource],MATCH(ROW()-ROW($AK$1),TAB_ressource[ID Import ressources],0)),"")</f>
        <v>LOPES GONÇALVES, Débora</v>
      </c>
      <c r="AM6" s="26" t="str">
        <v>LOPES GONÇALVES, Débora</v>
      </c>
      <c r="AN6" s="26" t="str">
        <f t="shared" si="1"/>
        <v>LOPES GONÇALVES, Débora</v>
      </c>
      <c r="AO6" s="154" t="s">
        <v>5426</v>
      </c>
      <c r="AQ6" s="17" t="s">
        <v>40</v>
      </c>
      <c r="AR6" s="19">
        <f>COUNTIF(TAB_CS[Profile],AQ6)</f>
        <v>0</v>
      </c>
      <c r="AW6" s="125" t="s">
        <v>152</v>
      </c>
      <c r="AX6" s="126" t="s">
        <v>151</v>
      </c>
      <c r="AZ6" s="30" t="s">
        <v>87</v>
      </c>
      <c r="BB6" s="30"/>
      <c r="BD6" t="s">
        <v>628</v>
      </c>
      <c r="BE6" t="s">
        <v>629</v>
      </c>
      <c r="BF6" t="s">
        <v>630</v>
      </c>
      <c r="BG6" t="s">
        <v>628</v>
      </c>
    </row>
    <row r="7" spans="2:59" ht="13.8" x14ac:dyDescent="0.25">
      <c r="B7" s="9">
        <v>44788</v>
      </c>
      <c r="D7" s="154" t="s">
        <v>339</v>
      </c>
      <c r="M7" t="str">
        <f>_xlfn.IFNA(IF(VLOOKUP(TAB_Offres[[#This Row],[Reference]],TAB_Offres[[Reference]:[Request State]],COLUMNS(TAB_Offres[[Reference]:[Request State]]),FALSE)=D$6,TAB_Offres[[#This Row],[Reference]],""),"")</f>
        <v>DIGITTMII-001410-6000053863-REQ-01</v>
      </c>
      <c r="N7" t="str">
        <f>_xlfn.IFNA(IF(VLOOKUP(TAB_Offres[[#This Row],[Reference]],TAB_Offres[[Reference]:[Has Expenses?]],COLUMNS(TAB_Offres[[Reference]:[Has Expenses?]]),FALSE)=J$2,TAB_Offres[[#This Row],[Reference]],""),"")</f>
        <v/>
      </c>
      <c r="O7" t="str">
        <f>IF(Tableau19[[#This Row],[EXPENSES_REF]]="","",MAX(O$1:O6)+1)</f>
        <v/>
      </c>
      <c r="P7" t="str">
        <f t="shared" si="0"/>
        <v>DIGITTMII-005154-6000053863-REQ-01</v>
      </c>
      <c r="R7" s="97" t="s">
        <v>41</v>
      </c>
      <c r="S7" s="2">
        <v>260.26</v>
      </c>
      <c r="T7" s="2">
        <v>278.48</v>
      </c>
      <c r="U7" s="2">
        <v>297.97000000000003</v>
      </c>
      <c r="V7" s="2">
        <v>318.83</v>
      </c>
      <c r="W7" s="2">
        <v>341.15</v>
      </c>
      <c r="X7" s="2">
        <v>365.03</v>
      </c>
      <c r="Y7" s="2">
        <v>390.58</v>
      </c>
      <c r="Z7" s="2">
        <v>417.92</v>
      </c>
      <c r="AA7" s="2">
        <v>447.17</v>
      </c>
      <c r="AB7" s="2">
        <v>478.47</v>
      </c>
      <c r="AC7" s="2">
        <v>511.96</v>
      </c>
      <c r="AD7" s="33" t="s">
        <v>138</v>
      </c>
      <c r="AE7" s="33"/>
      <c r="AF7" s="1">
        <f t="shared" si="2"/>
        <v>5</v>
      </c>
      <c r="AG7" s="1"/>
      <c r="AH7" s="129"/>
      <c r="AI7" s="3" t="str">
        <f>IFERROR(_xlfn.SINGLE(
IF(_xlfn.SINGLE(INDEX(TAB_Offres[Ressource 1],ROWS(Params!AI$2:$AI7)))=0,NA(),
INDEX(TAB_Offres[Ressource 1],ROWS(Params!AI$2:$AI7)))),
IFERROR(_xlfn.SINGLE(IF(_xlfn.SINGLE(INDEX(#REF!,ROWS(Params!AI$2:$AI7)-COUNTA(TAB_Offres[Ressource 1])))=0,NA(),
INDEX(#REF!,ROWS(Params!AI$2:$AI7)-COUNTA(TAB_Offres[Ressource 1])))),
IFERROR(_xlfn.SINGLE(IF(_xlfn.SINGLE(INDEX(#REF!,ROWS(Params!AI$2:$AI7)-COUNTA(#REF!)-COUNTA(TAB_Offres[Ressource 1])))=0,NA(),
INDEX(#REF!,ROWS(Params!AI$2:$AI7)-COUNTA(#REF!)-COUNTA(TAB_Offres[Ressource 1])))),""))
)</f>
        <v>VASILIKIOTIS, Themistoklis</v>
      </c>
      <c r="AJ7" s="143">
        <f>IF(TAB_ressource[[#This Row],[Import Ressource]]="","",MAX(AJ$1:AJ6)+1)</f>
        <v>6</v>
      </c>
      <c r="AK7" s="176" t="str">
        <f>IFERROR(INDEX(TAB_ressource[Import Ressource],MATCH(ROW()-ROW($AK$1),TAB_ressource[ID Import ressources],0)),"")</f>
        <v>VASILIKIOTIS, Themistoklis</v>
      </c>
      <c r="AM7" s="26" t="str">
        <v>VASILIKIOTIS, Themistoklis</v>
      </c>
      <c r="AN7" s="26" t="str">
        <f t="shared" si="1"/>
        <v>VASILIKIOTIS, Themistoklis</v>
      </c>
      <c r="AO7" s="154" t="s">
        <v>5426</v>
      </c>
      <c r="AQ7" s="18" t="s">
        <v>41</v>
      </c>
      <c r="AR7" s="20">
        <f>COUNTIF(TAB_CS[Profile],AQ7)</f>
        <v>0</v>
      </c>
      <c r="AW7" s="125" t="s">
        <v>154</v>
      </c>
      <c r="AX7" s="126" t="s">
        <v>153</v>
      </c>
      <c r="AZ7" s="30" t="s">
        <v>88</v>
      </c>
      <c r="BB7" s="30"/>
      <c r="BD7" t="s">
        <v>631</v>
      </c>
      <c r="BE7" t="s">
        <v>632</v>
      </c>
      <c r="BF7" t="s">
        <v>633</v>
      </c>
      <c r="BG7" t="s">
        <v>631</v>
      </c>
    </row>
    <row r="8" spans="2:59" ht="13.8" x14ac:dyDescent="0.25">
      <c r="B8" s="9">
        <v>44866</v>
      </c>
      <c r="D8" s="154" t="s">
        <v>340</v>
      </c>
      <c r="M8" t="str">
        <f>_xlfn.IFNA(IF(VLOOKUP(TAB_Offres[[#This Row],[Reference]],TAB_Offres[[Reference]:[Request State]],COLUMNS(TAB_Offres[[Reference]:[Request State]]),FALSE)=D$6,TAB_Offres[[#This Row],[Reference]],""),"")</f>
        <v>DIGITTMII-001415-6000053863-REQ-01</v>
      </c>
      <c r="N8" t="str">
        <f>_xlfn.IFNA(IF(VLOOKUP(TAB_Offres[[#This Row],[Reference]],TAB_Offres[[Reference]:[Has Expenses?]],COLUMNS(TAB_Offres[[Reference]:[Has Expenses?]]),FALSE)=J$2,TAB_Offres[[#This Row],[Reference]],""),"")</f>
        <v/>
      </c>
      <c r="O8" t="str">
        <f>IF(Tableau19[[#This Row],[EXPENSES_REF]]="","",MAX(O$1:O7)+1)</f>
        <v/>
      </c>
      <c r="P8" t="str">
        <f t="shared" si="0"/>
        <v>DIGITTMII-005232-6000053863-REQ-01</v>
      </c>
      <c r="R8" s="100" t="s">
        <v>42</v>
      </c>
      <c r="S8" s="2">
        <v>260.26</v>
      </c>
      <c r="T8" s="2">
        <v>278.48</v>
      </c>
      <c r="U8" s="2">
        <v>297.97000000000003</v>
      </c>
      <c r="V8" s="2">
        <v>318.83</v>
      </c>
      <c r="W8" s="2">
        <v>341.15</v>
      </c>
      <c r="X8" s="2">
        <v>365.03</v>
      </c>
      <c r="Y8" s="2">
        <v>390.58</v>
      </c>
      <c r="Z8" s="2">
        <v>417.92</v>
      </c>
      <c r="AA8" s="2">
        <v>447.17</v>
      </c>
      <c r="AB8" s="2">
        <v>478.47</v>
      </c>
      <c r="AC8" s="2">
        <v>511.96</v>
      </c>
      <c r="AD8" s="33" t="s">
        <v>138</v>
      </c>
      <c r="AE8" s="33"/>
      <c r="AF8" s="129">
        <f t="shared" si="2"/>
        <v>6</v>
      </c>
      <c r="AG8" s="129"/>
      <c r="AH8" s="150"/>
      <c r="AI8" s="3" t="str">
        <f>IFERROR(_xlfn.SINGLE(
IF(_xlfn.SINGLE(INDEX(TAB_Offres[Ressource 1],ROWS(Params!AI$2:$AI8)))=0,NA(),
INDEX(TAB_Offres[Ressource 1],ROWS(Params!AI$2:$AI8)))),
IFERROR(_xlfn.SINGLE(IF(_xlfn.SINGLE(INDEX(#REF!,ROWS(Params!AI$2:$AI8)-COUNTA(TAB_Offres[Ressource 1])))=0,NA(),
INDEX(#REF!,ROWS(Params!AI$2:$AI8)-COUNTA(TAB_Offres[Ressource 1])))),
IFERROR(_xlfn.SINGLE(IF(_xlfn.SINGLE(INDEX(#REF!,ROWS(Params!AI$2:$AI8)-COUNTA(#REF!)-COUNTA(TAB_Offres[Ressource 1])))=0,NA(),
INDEX(#REF!,ROWS(Params!AI$2:$AI8)-COUNTA(#REF!)-COUNTA(TAB_Offres[Ressource 1])))),""))
)</f>
        <v>SARBU, Cornelia</v>
      </c>
      <c r="AJ8" s="143">
        <f>IF(TAB_ressource[[#This Row],[Import Ressource]]="","",MAX(AJ$1:AJ7)+1)</f>
        <v>7</v>
      </c>
      <c r="AK8" s="176" t="str">
        <f>IFERROR(INDEX(TAB_ressource[Import Ressource],MATCH(ROW()-ROW($AK$1),TAB_ressource[ID Import ressources],0)),"")</f>
        <v>SARBU, Cornelia</v>
      </c>
      <c r="AM8" s="26" t="str">
        <v>SARBU, Cornelia</v>
      </c>
      <c r="AN8" s="26" t="str">
        <f t="shared" si="1"/>
        <v>SARBU, Cornelia</v>
      </c>
      <c r="AO8" s="154" t="s">
        <v>5426</v>
      </c>
      <c r="AQ8" s="17" t="s">
        <v>42</v>
      </c>
      <c r="AR8" s="19">
        <f>COUNTIF(TAB_CS[Profile],AQ8)</f>
        <v>0</v>
      </c>
      <c r="AW8" s="125" t="s">
        <v>156</v>
      </c>
      <c r="AX8" s="126" t="s">
        <v>155</v>
      </c>
      <c r="BD8" t="s">
        <v>634</v>
      </c>
      <c r="BE8" t="s">
        <v>635</v>
      </c>
      <c r="BF8" t="s">
        <v>636</v>
      </c>
      <c r="BG8" t="s">
        <v>634</v>
      </c>
    </row>
    <row r="9" spans="2:59" ht="13.8" x14ac:dyDescent="0.25">
      <c r="B9" s="9">
        <v>44921</v>
      </c>
      <c r="D9" s="154" t="s">
        <v>341</v>
      </c>
      <c r="M9" t="str">
        <f>_xlfn.IFNA(IF(VLOOKUP(TAB_Offres[[#This Row],[Reference]],TAB_Offres[[Reference]:[Request State]],COLUMNS(TAB_Offres[[Reference]:[Request State]]),FALSE)=D$6,TAB_Offres[[#This Row],[Reference]],""),"")</f>
        <v>DIGITTMII-001416-6000053863-REQ-01</v>
      </c>
      <c r="N9" t="str">
        <f>_xlfn.IFNA(IF(VLOOKUP(TAB_Offres[[#This Row],[Reference]],TAB_Offres[[Reference]:[Has Expenses?]],COLUMNS(TAB_Offres[[Reference]:[Has Expenses?]]),FALSE)=J$2,TAB_Offres[[#This Row],[Reference]],""),"")</f>
        <v/>
      </c>
      <c r="O9" t="str">
        <f>IF(Tableau19[[#This Row],[EXPENSES_REF]]="","",MAX(O$1:O8)+1)</f>
        <v/>
      </c>
      <c r="P9" t="str">
        <f t="shared" si="0"/>
        <v>DIGITTMII-006067-6000053863-REQ-01</v>
      </c>
      <c r="R9" s="97" t="s">
        <v>43</v>
      </c>
      <c r="S9" s="2">
        <v>260.26</v>
      </c>
      <c r="T9" s="2">
        <v>278.48</v>
      </c>
      <c r="U9" s="2">
        <v>297.97000000000003</v>
      </c>
      <c r="V9" s="2">
        <v>318.83</v>
      </c>
      <c r="W9" s="2">
        <v>341.15</v>
      </c>
      <c r="X9" s="2">
        <v>365.03</v>
      </c>
      <c r="Y9" s="2">
        <v>390.58</v>
      </c>
      <c r="Z9" s="2">
        <v>417.92</v>
      </c>
      <c r="AA9" s="2">
        <v>447.17</v>
      </c>
      <c r="AB9" s="2">
        <v>478.47</v>
      </c>
      <c r="AC9" s="2">
        <v>511.96</v>
      </c>
      <c r="AD9" s="33" t="s">
        <v>138</v>
      </c>
      <c r="AE9" s="33"/>
      <c r="AF9" s="129">
        <f t="shared" si="2"/>
        <v>7</v>
      </c>
      <c r="AG9" s="129"/>
      <c r="AH9" s="150"/>
      <c r="AI9" s="3" t="str">
        <f>IFERROR(_xlfn.SINGLE(
IF(_xlfn.SINGLE(INDEX(TAB_Offres[Ressource 1],ROWS(Params!AI$2:$AI9)))=0,NA(),
INDEX(TAB_Offres[Ressource 1],ROWS(Params!AI$2:$AI9)))),
IFERROR(_xlfn.SINGLE(IF(_xlfn.SINGLE(INDEX(#REF!,ROWS(Params!AI$2:$AI9)-COUNTA(TAB_Offres[Ressource 1])))=0,NA(),
INDEX(#REF!,ROWS(Params!AI$2:$AI9)-COUNTA(TAB_Offres[Ressource 1])))),
IFERROR(_xlfn.SINGLE(IF(_xlfn.SINGLE(INDEX(#REF!,ROWS(Params!AI$2:$AI9)-COUNTA(#REF!)-COUNTA(TAB_Offres[Ressource 1])))=0,NA(),
INDEX(#REF!,ROWS(Params!AI$2:$AI9)-COUNTA(#REF!)-COUNTA(TAB_Offres[Ressource 1])))),""))
)</f>
        <v>DIAZ MUNOZ, Jaime</v>
      </c>
      <c r="AJ9" s="143">
        <f>IF(TAB_ressource[[#This Row],[Import Ressource]]="","",MAX(AJ$1:AJ8)+1)</f>
        <v>8</v>
      </c>
      <c r="AK9" s="176" t="str">
        <f>IFERROR(INDEX(TAB_ressource[Import Ressource],MATCH(ROW()-ROW($AK$1),TAB_ressource[ID Import ressources],0)),"")</f>
        <v>DIAZ MUNOZ, Jaime</v>
      </c>
      <c r="AM9" s="26" t="str">
        <v>DIAZ MUNOZ, Jaime</v>
      </c>
      <c r="AN9" s="26" t="str">
        <f t="shared" si="1"/>
        <v>DIAZ MUNOZ, Jaime</v>
      </c>
      <c r="AO9" s="154" t="s">
        <v>5426</v>
      </c>
      <c r="AQ9" s="18" t="s">
        <v>43</v>
      </c>
      <c r="AR9" s="20">
        <f>COUNTIF(TAB_CS[Profile],AQ9)</f>
        <v>0</v>
      </c>
      <c r="AW9" s="125" t="s">
        <v>158</v>
      </c>
      <c r="AX9" s="126" t="s">
        <v>157</v>
      </c>
      <c r="BD9" t="s">
        <v>637</v>
      </c>
      <c r="BE9" t="s">
        <v>638</v>
      </c>
      <c r="BF9" t="s">
        <v>639</v>
      </c>
      <c r="BG9" t="s">
        <v>637</v>
      </c>
    </row>
    <row r="10" spans="2:59" ht="13.8" x14ac:dyDescent="0.25">
      <c r="B10" s="92">
        <v>44927</v>
      </c>
      <c r="M10" t="str">
        <f>_xlfn.IFNA(IF(VLOOKUP(TAB_Offres[[#This Row],[Reference]],TAB_Offres[[Reference]:[Request State]],COLUMNS(TAB_Offres[[Reference]:[Request State]]),FALSE)=D$6,TAB_Offres[[#This Row],[Reference]],""),"")</f>
        <v>DIGITTMII-001772-6000053863-REQ-01</v>
      </c>
      <c r="N10" t="str">
        <f>_xlfn.IFNA(IF(VLOOKUP(TAB_Offres[[#This Row],[Reference]],TAB_Offres[[Reference]:[Has Expenses?]],COLUMNS(TAB_Offres[[Reference]:[Has Expenses?]]),FALSE)=J$2,TAB_Offres[[#This Row],[Reference]],""),"")</f>
        <v/>
      </c>
      <c r="O10" t="str">
        <f>IF(Tableau19[[#This Row],[EXPENSES_REF]]="","",MAX(O$1:O9)+1)</f>
        <v/>
      </c>
      <c r="P10" t="str">
        <f t="shared" si="0"/>
        <v>DIGITTMII-006542-DIGITTMII-003463-EXT-01-6000053863-REQ-01</v>
      </c>
      <c r="R10" s="100" t="s">
        <v>44</v>
      </c>
      <c r="S10" s="2">
        <v>260.26</v>
      </c>
      <c r="T10" s="2">
        <v>278.48</v>
      </c>
      <c r="U10" s="2">
        <v>297.97000000000003</v>
      </c>
      <c r="V10" s="2">
        <v>318.83</v>
      </c>
      <c r="W10" s="2">
        <v>341.15</v>
      </c>
      <c r="X10" s="2">
        <v>365.03</v>
      </c>
      <c r="Y10" s="2">
        <v>390.58</v>
      </c>
      <c r="Z10" s="2">
        <v>417.92</v>
      </c>
      <c r="AA10" s="2">
        <v>447.17</v>
      </c>
      <c r="AB10" s="2">
        <v>478.47</v>
      </c>
      <c r="AC10" s="2">
        <v>511.96</v>
      </c>
      <c r="AD10" s="33" t="s">
        <v>138</v>
      </c>
      <c r="AE10" s="33"/>
      <c r="AF10" s="129">
        <f t="shared" si="2"/>
        <v>8</v>
      </c>
      <c r="AG10" s="129"/>
      <c r="AH10" s="150"/>
      <c r="AI10" s="3" t="str">
        <f>IFERROR(_xlfn.SINGLE(
IF(_xlfn.SINGLE(INDEX(TAB_Offres[Ressource 1],ROWS(Params!AI$2:$AI10)))=0,NA(),
INDEX(TAB_Offres[Ressource 1],ROWS(Params!AI$2:$AI10)))),
IFERROR(_xlfn.SINGLE(IF(_xlfn.SINGLE(INDEX(#REF!,ROWS(Params!AI$2:$AI10)-COUNTA(TAB_Offres[Ressource 1])))=0,NA(),
INDEX(#REF!,ROWS(Params!AI$2:$AI10)-COUNTA(TAB_Offres[Ressource 1])))),
IFERROR(_xlfn.SINGLE(IF(_xlfn.SINGLE(INDEX(#REF!,ROWS(Params!AI$2:$AI10)-COUNTA(#REF!)-COUNTA(TAB_Offres[Ressource 1])))=0,NA(),
INDEX(#REF!,ROWS(Params!AI$2:$AI10)-COUNTA(#REF!)-COUNTA(TAB_Offres[Ressource 1])))),""))
)</f>
        <v>KATHAL, Tanisha</v>
      </c>
      <c r="AJ10" s="143">
        <f>IF(TAB_ressource[[#This Row],[Import Ressource]]="","",MAX(AJ$1:AJ9)+1)</f>
        <v>9</v>
      </c>
      <c r="AK10" s="176" t="str">
        <f>IFERROR(INDEX(TAB_ressource[Import Ressource],MATCH(ROW()-ROW($AK$1),TAB_ressource[ID Import ressources],0)),"")</f>
        <v>KATHAL, Tanisha</v>
      </c>
      <c r="AM10" s="26" t="str">
        <v>KATHAL, Tanisha</v>
      </c>
      <c r="AN10" s="26" t="str">
        <f t="shared" si="1"/>
        <v>KATHAL, Tanisha</v>
      </c>
      <c r="AO10" s="154" t="s">
        <v>5426</v>
      </c>
      <c r="AQ10" s="17" t="s">
        <v>44</v>
      </c>
      <c r="AR10" s="19">
        <f>COUNTIF(TAB_CS[Profile],AQ10)</f>
        <v>0</v>
      </c>
      <c r="AW10" s="125"/>
      <c r="AX10" s="124"/>
      <c r="BD10" t="s">
        <v>640</v>
      </c>
      <c r="BE10" t="s">
        <v>641</v>
      </c>
      <c r="BF10" t="s">
        <v>642</v>
      </c>
      <c r="BG10" t="s">
        <v>640</v>
      </c>
    </row>
    <row r="11" spans="2:59" ht="13.8" x14ac:dyDescent="0.25">
      <c r="B11" s="92">
        <v>45026</v>
      </c>
      <c r="M11" t="str">
        <f>_xlfn.IFNA(IF(VLOOKUP(TAB_Offres[[#This Row],[Reference]],TAB_Offres[[Reference]:[Request State]],COLUMNS(TAB_Offres[[Reference]:[Request State]]),FALSE)=D$6,TAB_Offres[[#This Row],[Reference]],""),"")</f>
        <v>DIGITTMII-001774-6000053863-REQ-01</v>
      </c>
      <c r="N11" t="str">
        <f>_xlfn.IFNA(IF(VLOOKUP(TAB_Offres[[#This Row],[Reference]],TAB_Offres[[Reference]:[Has Expenses?]],COLUMNS(TAB_Offres[[Reference]:[Has Expenses?]]),FALSE)=J$2,TAB_Offres[[#This Row],[Reference]],""),"")</f>
        <v/>
      </c>
      <c r="O11" t="str">
        <f>IF(Tableau19[[#This Row],[EXPENSES_REF]]="","",MAX(O$1:O10)+1)</f>
        <v/>
      </c>
      <c r="P11" t="str">
        <f t="shared" si="0"/>
        <v>DIGITTMII-006710-DIGITTMII-001957-EXT-01-6000053863-REQ-01</v>
      </c>
      <c r="R11" s="97" t="s">
        <v>45</v>
      </c>
      <c r="S11" s="2">
        <v>260.26</v>
      </c>
      <c r="T11" s="2">
        <v>278.48</v>
      </c>
      <c r="U11" s="2">
        <v>297.97000000000003</v>
      </c>
      <c r="V11" s="2">
        <v>318.83</v>
      </c>
      <c r="W11" s="2">
        <v>341.15</v>
      </c>
      <c r="X11" s="2">
        <v>365.03</v>
      </c>
      <c r="Y11" s="2">
        <v>390.58</v>
      </c>
      <c r="Z11" s="2">
        <v>417.92</v>
      </c>
      <c r="AA11" s="2">
        <v>447.17</v>
      </c>
      <c r="AB11" s="2">
        <v>478.47</v>
      </c>
      <c r="AC11" s="2">
        <v>511.96</v>
      </c>
      <c r="AD11" s="33" t="s">
        <v>138</v>
      </c>
      <c r="AE11" s="33"/>
      <c r="AF11" s="129">
        <f t="shared" ref="AF11:AF12" si="3">AF10+1</f>
        <v>9</v>
      </c>
      <c r="AG11" s="129"/>
      <c r="AH11" s="150"/>
      <c r="AI11" s="3" t="str">
        <f>IFERROR(_xlfn.SINGLE(
IF(_xlfn.SINGLE(INDEX(TAB_Offres[Ressource 1],ROWS(Params!AI$2:$AI11)))=0,NA(),
INDEX(TAB_Offres[Ressource 1],ROWS(Params!AI$2:$AI11)))),
IFERROR(_xlfn.SINGLE(IF(_xlfn.SINGLE(INDEX(#REF!,ROWS(Params!AI$2:$AI11)-COUNTA(TAB_Offres[Ressource 1])))=0,NA(),
INDEX(#REF!,ROWS(Params!AI$2:$AI11)-COUNTA(TAB_Offres[Ressource 1])))),
IFERROR(_xlfn.SINGLE(IF(_xlfn.SINGLE(INDEX(#REF!,ROWS(Params!AI$2:$AI11)-COUNTA(#REF!)-COUNTA(TAB_Offres[Ressource 1])))=0,NA(),
INDEX(#REF!,ROWS(Params!AI$2:$AI11)-COUNTA(#REF!)-COUNTA(TAB_Offres[Ressource 1])))),""))
)</f>
        <v>VAN DE GUCHT, Pascal</v>
      </c>
      <c r="AJ11" s="143">
        <f>IF(TAB_ressource[[#This Row],[Import Ressource]]="","",MAX(AJ$1:AJ10)+1)</f>
        <v>10</v>
      </c>
      <c r="AK11" s="176" t="str">
        <f>IFERROR(INDEX(TAB_ressource[Import Ressource],MATCH(ROW()-ROW($AK$1),TAB_ressource[ID Import ressources],0)),"")</f>
        <v>VAN DE GUCHT, Pascal</v>
      </c>
      <c r="AM11" s="26" t="str">
        <v>VAN DE GUCHT, Pascal</v>
      </c>
      <c r="AN11" s="26" t="str">
        <f t="shared" si="1"/>
        <v>VAN DE GUCHT, Pascal</v>
      </c>
      <c r="AO11" s="154" t="s">
        <v>5426</v>
      </c>
      <c r="AQ11" s="18" t="s">
        <v>45</v>
      </c>
      <c r="AR11" s="20">
        <f>COUNTIF(TAB_CS[Profile],AQ11)</f>
        <v>0</v>
      </c>
      <c r="AW11" s="125"/>
      <c r="AX11" s="124"/>
      <c r="BD11" t="s">
        <v>643</v>
      </c>
      <c r="BE11" t="s">
        <v>644</v>
      </c>
      <c r="BF11" t="s">
        <v>645</v>
      </c>
      <c r="BG11" t="s">
        <v>643</v>
      </c>
    </row>
    <row r="12" spans="2:59" ht="13.8" x14ac:dyDescent="0.25">
      <c r="B12" s="92">
        <v>45047</v>
      </c>
      <c r="M12" t="str">
        <f>_xlfn.IFNA(IF(VLOOKUP(TAB_Offres[[#This Row],[Reference]],TAB_Offres[[Reference]:[Request State]],COLUMNS(TAB_Offres[[Reference]:[Request State]]),FALSE)=D$6,TAB_Offres[[#This Row],[Reference]],""),"")</f>
        <v>DIGITTMII-001940-6000053863-REQ-01</v>
      </c>
      <c r="N12" t="str">
        <f>_xlfn.IFNA(IF(VLOOKUP(TAB_Offres[[#This Row],[Reference]],TAB_Offres[[Reference]:[Has Expenses?]],COLUMNS(TAB_Offres[[Reference]:[Has Expenses?]]),FALSE)=J$2,TAB_Offres[[#This Row],[Reference]],""),"")</f>
        <v/>
      </c>
      <c r="O12" t="str">
        <f>IF(Tableau19[[#This Row],[EXPENSES_REF]]="","",MAX(O$1:O11)+1)</f>
        <v/>
      </c>
      <c r="P12" t="str">
        <f t="shared" si="0"/>
        <v>DIGITTMII-006713-DIGITTMII-002931-EXT-01-6000053863-REQ-01</v>
      </c>
      <c r="R12" s="100" t="s">
        <v>46</v>
      </c>
      <c r="S12" s="2">
        <v>260.26</v>
      </c>
      <c r="T12" s="2">
        <v>278.48</v>
      </c>
      <c r="U12" s="2">
        <v>297.97000000000003</v>
      </c>
      <c r="V12" s="2">
        <v>318.83</v>
      </c>
      <c r="W12" s="2">
        <v>341.15</v>
      </c>
      <c r="X12" s="2">
        <v>365.03</v>
      </c>
      <c r="Y12" s="2">
        <v>390.58</v>
      </c>
      <c r="Z12" s="2">
        <v>417.92</v>
      </c>
      <c r="AA12" s="2">
        <v>447.17</v>
      </c>
      <c r="AB12" s="2">
        <v>478.47</v>
      </c>
      <c r="AC12" s="2">
        <v>511.96</v>
      </c>
      <c r="AD12" s="33" t="s">
        <v>138</v>
      </c>
      <c r="AE12" s="33"/>
      <c r="AF12" s="129">
        <f t="shared" si="3"/>
        <v>10</v>
      </c>
      <c r="AG12" s="129"/>
      <c r="AH12" s="150"/>
      <c r="AI12" s="3" t="str">
        <f>IFERROR(_xlfn.SINGLE(
IF(_xlfn.SINGLE(INDEX(TAB_Offres[Ressource 1],ROWS(Params!AI$2:$AI12)))=0,NA(),
INDEX(TAB_Offres[Ressource 1],ROWS(Params!AI$2:$AI12)))),
IFERROR(_xlfn.SINGLE(IF(_xlfn.SINGLE(INDEX(#REF!,ROWS(Params!AI$2:$AI12)-COUNTA(TAB_Offres[Ressource 1])))=0,NA(),
INDEX(#REF!,ROWS(Params!AI$2:$AI12)-COUNTA(TAB_Offres[Ressource 1])))),
IFERROR(_xlfn.SINGLE(IF(_xlfn.SINGLE(INDEX(#REF!,ROWS(Params!AI$2:$AI12)-COUNTA(#REF!)-COUNTA(TAB_Offres[Ressource 1])))=0,NA(),
INDEX(#REF!,ROWS(Params!AI$2:$AI12)-COUNTA(#REF!)-COUNTA(TAB_Offres[Ressource 1])))),""))
)</f>
        <v>COOKE, Justin</v>
      </c>
      <c r="AJ12" s="143">
        <f>IF(TAB_ressource[[#This Row],[Import Ressource]]="","",MAX(AJ$1:AJ11)+1)</f>
        <v>11</v>
      </c>
      <c r="AK12" s="176" t="str">
        <f>IFERROR(INDEX(TAB_ressource[Import Ressource],MATCH(ROW()-ROW($AK$1),TAB_ressource[ID Import ressources],0)),"")</f>
        <v>COOKE, Justin</v>
      </c>
      <c r="AM12" s="26" t="str">
        <v>COOKE, Justin</v>
      </c>
      <c r="AN12" s="26" t="str">
        <f t="shared" si="1"/>
        <v>COOKE, Justin</v>
      </c>
      <c r="AO12" s="154" t="s">
        <v>521</v>
      </c>
      <c r="AQ12" s="17" t="s">
        <v>46</v>
      </c>
      <c r="AR12" s="19">
        <f>COUNTIF(TAB_CS[Profile],AQ12)</f>
        <v>0</v>
      </c>
      <c r="AW12" s="125"/>
      <c r="AX12" s="124"/>
      <c r="BD12" t="s">
        <v>646</v>
      </c>
      <c r="BE12" t="s">
        <v>647</v>
      </c>
      <c r="BF12" t="s">
        <v>648</v>
      </c>
      <c r="BG12" t="s">
        <v>646</v>
      </c>
    </row>
    <row r="13" spans="2:59" x14ac:dyDescent="0.25">
      <c r="B13" s="92">
        <v>45055</v>
      </c>
      <c r="M13" t="str">
        <f>_xlfn.IFNA(IF(VLOOKUP(TAB_Offres[[#This Row],[Reference]],TAB_Offres[[Reference]:[Request State]],COLUMNS(TAB_Offres[[Reference]:[Request State]]),FALSE)=D$6,TAB_Offres[[#This Row],[Reference]],""),"")</f>
        <v>DIGITTMII-001957-6000053863-REQ-01</v>
      </c>
      <c r="N13" t="str">
        <f>_xlfn.IFNA(IF(VLOOKUP(TAB_Offres[[#This Row],[Reference]],TAB_Offres[[Reference]:[Has Expenses?]],COLUMNS(TAB_Offres[[Reference]:[Has Expenses?]]),FALSE)=J$2,TAB_Offres[[#This Row],[Reference]],""),"")</f>
        <v>DIGITTMII-001957-6000053863-REQ-01</v>
      </c>
      <c r="O13">
        <f>IF(Tableau19[[#This Row],[EXPENSES_REF]]="","",MAX(O$1:O12)+1)</f>
        <v>1</v>
      </c>
      <c r="P13" t="str">
        <f t="shared" si="0"/>
        <v>DIGITTMII-006985-DIGITTMII-001410-EXT-01-6000053863-REQ-01</v>
      </c>
      <c r="R13" s="97" t="s">
        <v>47</v>
      </c>
      <c r="S13" s="2">
        <v>260.26</v>
      </c>
      <c r="T13" s="2">
        <v>278.48</v>
      </c>
      <c r="U13" s="2">
        <v>297.97000000000003</v>
      </c>
      <c r="V13" s="2">
        <v>318.83</v>
      </c>
      <c r="W13" s="2">
        <v>341.15</v>
      </c>
      <c r="X13" s="2">
        <v>365.03</v>
      </c>
      <c r="Y13" s="2">
        <v>390.58</v>
      </c>
      <c r="Z13" s="2">
        <v>417.92</v>
      </c>
      <c r="AA13" s="2">
        <v>447.17</v>
      </c>
      <c r="AB13" s="2">
        <v>478.47</v>
      </c>
      <c r="AC13" s="2">
        <v>511.96</v>
      </c>
      <c r="AD13" s="33" t="s">
        <v>138</v>
      </c>
      <c r="AE13" s="33"/>
      <c r="AF13" s="129">
        <f>AF12+1</f>
        <v>11</v>
      </c>
      <c r="AG13" s="129"/>
      <c r="AH13" s="150"/>
      <c r="AI13" s="3" t="str">
        <f>IFERROR(_xlfn.SINGLE(
IF(_xlfn.SINGLE(INDEX(TAB_Offres[Ressource 1],ROWS(Params!AI$2:$AI13)))=0,NA(),
INDEX(TAB_Offres[Ressource 1],ROWS(Params!AI$2:$AI13)))),
IFERROR(_xlfn.SINGLE(IF(_xlfn.SINGLE(INDEX(#REF!,ROWS(Params!AI$2:$AI13)-COUNTA(TAB_Offres[Ressource 1])))=0,NA(),
INDEX(#REF!,ROWS(Params!AI$2:$AI13)-COUNTA(TAB_Offres[Ressource 1])))),
IFERROR(_xlfn.SINGLE(IF(_xlfn.SINGLE(INDEX(#REF!,ROWS(Params!AI$2:$AI13)-COUNTA(#REF!)-COUNTA(TAB_Offres[Ressource 1])))=0,NA(),
INDEX(#REF!,ROWS(Params!AI$2:$AI13)-COUNTA(#REF!)-COUNTA(TAB_Offres[Ressource 1])))),""))
)</f>
        <v>PIETRAS, Adam</v>
      </c>
      <c r="AJ13" s="143">
        <f>IF(TAB_ressource[[#This Row],[Import Ressource]]="","",MAX(AJ$1:AJ12)+1)</f>
        <v>12</v>
      </c>
      <c r="AK13" s="176" t="str">
        <f>IFERROR(INDEX(TAB_ressource[Import Ressource],MATCH(ROW()-ROW($AK$1),TAB_ressource[ID Import ressources],0)),"")</f>
        <v>PIETRAS, Adam</v>
      </c>
      <c r="AM13" s="26" t="str">
        <v>PIETRAS, Adam</v>
      </c>
      <c r="AN13" s="26" t="str">
        <f t="shared" si="1"/>
        <v>PIETRAS, Adam</v>
      </c>
      <c r="AO13" s="154" t="s">
        <v>5426</v>
      </c>
      <c r="AQ13" s="18" t="s">
        <v>47</v>
      </c>
      <c r="AR13" s="20">
        <f>COUNTIF(TAB_CS[Profile],AQ13)</f>
        <v>0</v>
      </c>
      <c r="BD13" t="s">
        <v>649</v>
      </c>
      <c r="BE13" t="s">
        <v>650</v>
      </c>
      <c r="BF13" t="s">
        <v>651</v>
      </c>
      <c r="BG13" t="s">
        <v>649</v>
      </c>
    </row>
    <row r="14" spans="2:59" x14ac:dyDescent="0.25">
      <c r="B14" s="92">
        <v>45064</v>
      </c>
      <c r="M14" t="str">
        <f>_xlfn.IFNA(IF(VLOOKUP(TAB_Offres[[#This Row],[Reference]],TAB_Offres[[Reference]:[Request State]],COLUMNS(TAB_Offres[[Reference]:[Request State]]),FALSE)=D$6,TAB_Offres[[#This Row],[Reference]],""),"")</f>
        <v>DIGITTMII-002098-6000053863-REQ-01</v>
      </c>
      <c r="N14" t="str">
        <f>_xlfn.IFNA(IF(VLOOKUP(TAB_Offres[[#This Row],[Reference]],TAB_Offres[[Reference]:[Has Expenses?]],COLUMNS(TAB_Offres[[Reference]:[Has Expenses?]]),FALSE)=J$2,TAB_Offres[[#This Row],[Reference]],""),"")</f>
        <v/>
      </c>
      <c r="O14" t="str">
        <f>IF(Tableau19[[#This Row],[EXPENSES_REF]]="","",MAX(O$1:O13)+1)</f>
        <v/>
      </c>
      <c r="P14" t="str">
        <f t="shared" si="0"/>
        <v>DIGITTMII-009632-6000053863-REQ-01</v>
      </c>
      <c r="R14" s="98"/>
      <c r="S14" s="2"/>
      <c r="T14" s="96"/>
      <c r="U14" s="96"/>
      <c r="V14" s="96"/>
      <c r="W14" s="96"/>
      <c r="X14" s="96"/>
      <c r="Y14" s="96"/>
      <c r="Z14" s="96"/>
      <c r="AA14" s="96"/>
      <c r="AB14" s="96"/>
      <c r="AC14" s="96"/>
      <c r="AD14" s="33"/>
      <c r="AE14" s="33"/>
      <c r="AF14" s="129">
        <f>AF13+1</f>
        <v>12</v>
      </c>
      <c r="AG14" s="129"/>
      <c r="AH14" s="150"/>
      <c r="AI14" s="3" t="str">
        <f>IFERROR(_xlfn.SINGLE(
IF(_xlfn.SINGLE(INDEX(TAB_Offres[Ressource 1],ROWS(Params!AI$2:$AI14)))=0,NA(),
INDEX(TAB_Offres[Ressource 1],ROWS(Params!AI$2:$AI14)))),
IFERROR(_xlfn.SINGLE(IF(_xlfn.SINGLE(INDEX(#REF!,ROWS(Params!AI$2:$AI14)-COUNTA(TAB_Offres[Ressource 1])))=0,NA(),
INDEX(#REF!,ROWS(Params!AI$2:$AI14)-COUNTA(TAB_Offres[Ressource 1])))),
IFERROR(_xlfn.SINGLE(IF(_xlfn.SINGLE(INDEX(#REF!,ROWS(Params!AI$2:$AI14)-COUNTA(#REF!)-COUNTA(TAB_Offres[Ressource 1])))=0,NA(),
INDEX(#REF!,ROWS(Params!AI$2:$AI14)-COUNTA(#REF!)-COUNTA(TAB_Offres[Ressource 1])))),""))
)</f>
        <v>DE ANDRES DEL CASTILLO, David</v>
      </c>
      <c r="AJ14" s="143">
        <f>IF(TAB_ressource[[#This Row],[Import Ressource]]="","",MAX(AJ$1:AJ13)+1)</f>
        <v>13</v>
      </c>
      <c r="AK14" s="176" t="str">
        <f>IFERROR(INDEX(TAB_ressource[Import Ressource],MATCH(ROW()-ROW($AK$1),TAB_ressource[ID Import ressources],0)),"")</f>
        <v>DE ANDRES DEL CASTILLO, David</v>
      </c>
      <c r="AM14" s="26" t="str">
        <v>DE ANDRES DEL CASTILLO, David</v>
      </c>
      <c r="AN14" s="26" t="str">
        <f t="shared" si="1"/>
        <v>DE ANDRES DEL CASTILLO, David</v>
      </c>
      <c r="AO14" s="154" t="s">
        <v>5426</v>
      </c>
      <c r="AQ14" s="17"/>
      <c r="AR14" s="19">
        <f>COUNTIF(TAB_CS[Profile],AQ14)</f>
        <v>0</v>
      </c>
      <c r="BD14" t="s">
        <v>652</v>
      </c>
      <c r="BE14" t="s">
        <v>653</v>
      </c>
      <c r="BF14" t="s">
        <v>654</v>
      </c>
      <c r="BG14" t="s">
        <v>652</v>
      </c>
    </row>
    <row r="15" spans="2:59" x14ac:dyDescent="0.25">
      <c r="B15" s="92">
        <v>45075</v>
      </c>
      <c r="M15" t="str">
        <f>_xlfn.IFNA(IF(VLOOKUP(TAB_Offres[[#This Row],[Reference]],TAB_Offres[[Reference]:[Request State]],COLUMNS(TAB_Offres[[Reference]:[Request State]]),FALSE)=D$6,TAB_Offres[[#This Row],[Reference]],""),"")</f>
        <v>DIGITTMII-002150-6000053863-REQ-01</v>
      </c>
      <c r="N15" t="str">
        <f>_xlfn.IFNA(IF(VLOOKUP(TAB_Offres[[#This Row],[Reference]],TAB_Offres[[Reference]:[Has Expenses?]],COLUMNS(TAB_Offres[[Reference]:[Has Expenses?]]),FALSE)=J$2,TAB_Offres[[#This Row],[Reference]],""),"")</f>
        <v/>
      </c>
      <c r="O15" t="str">
        <f>IF(Tableau19[[#This Row],[EXPENSES_REF]]="","",MAX(O$1:O14)+1)</f>
        <v/>
      </c>
      <c r="P15" t="str">
        <f t="shared" si="0"/>
        <v>DIGITTMII-009932-DIGITTMII-002829-EXT-01-6000053863-REQ-01</v>
      </c>
      <c r="R15" s="98" t="str">
        <f>R2&amp;"-FAR"</f>
        <v>Database developer-FAR</v>
      </c>
      <c r="S15" s="2">
        <v>216</v>
      </c>
      <c r="T15" s="2">
        <v>231.12</v>
      </c>
      <c r="U15" s="2">
        <v>247.3</v>
      </c>
      <c r="V15" s="2">
        <v>264.61</v>
      </c>
      <c r="W15" s="2">
        <v>283.13</v>
      </c>
      <c r="X15" s="2">
        <v>302.95</v>
      </c>
      <c r="Y15" s="2">
        <v>324.16000000000003</v>
      </c>
      <c r="Z15" s="2">
        <v>346.85</v>
      </c>
      <c r="AA15" s="2">
        <v>371.13</v>
      </c>
      <c r="AB15" s="2">
        <v>397.11</v>
      </c>
      <c r="AC15" s="2">
        <v>424.91</v>
      </c>
      <c r="AD15" s="33" t="s">
        <v>138</v>
      </c>
      <c r="AE15" s="33"/>
      <c r="AF15" s="129">
        <f>AF14+1</f>
        <v>13</v>
      </c>
      <c r="AG15" s="129"/>
      <c r="AH15" s="150"/>
      <c r="AI15" s="3" t="str">
        <f>IFERROR(_xlfn.SINGLE(
IF(_xlfn.SINGLE(INDEX(TAB_Offres[Ressource 1],ROWS(Params!AI$2:$AI15)))=0,NA(),
INDEX(TAB_Offres[Ressource 1],ROWS(Params!AI$2:$AI15)))),
IFERROR(_xlfn.SINGLE(IF(_xlfn.SINGLE(INDEX(#REF!,ROWS(Params!AI$2:$AI15)-COUNTA(TAB_Offres[Ressource 1])))=0,NA(),
INDEX(#REF!,ROWS(Params!AI$2:$AI15)-COUNTA(TAB_Offres[Ressource 1])))),
IFERROR(_xlfn.SINGLE(IF(_xlfn.SINGLE(INDEX(#REF!,ROWS(Params!AI$2:$AI15)-COUNTA(#REF!)-COUNTA(TAB_Offres[Ressource 1])))=0,NA(),
INDEX(#REF!,ROWS(Params!AI$2:$AI15)-COUNTA(#REF!)-COUNTA(TAB_Offres[Ressource 1])))),""))
)</f>
        <v>NICULESCU, Calin</v>
      </c>
      <c r="AJ15" s="143">
        <f>IF(TAB_ressource[[#This Row],[Import Ressource]]="","",MAX(AJ$1:AJ14)+1)</f>
        <v>14</v>
      </c>
      <c r="AK15" s="176" t="str">
        <f>IFERROR(INDEX(TAB_ressource[Import Ressource],MATCH(ROW()-ROW($AK$1),TAB_ressource[ID Import ressources],0)),"")</f>
        <v>NICULESCU, Calin</v>
      </c>
      <c r="AM15" s="26" t="str">
        <v>NICULESCU, Calin</v>
      </c>
      <c r="AN15" s="26" t="str">
        <f t="shared" si="1"/>
        <v>NICULESCU, Calin</v>
      </c>
      <c r="AO15" s="154" t="s">
        <v>5426</v>
      </c>
      <c r="AQ15" s="18" t="s">
        <v>89</v>
      </c>
      <c r="AR15" s="20">
        <f>COUNTIF(TAB_CS[Profile],AQ15)</f>
        <v>0</v>
      </c>
      <c r="BD15" t="s">
        <v>655</v>
      </c>
      <c r="BE15" t="s">
        <v>656</v>
      </c>
      <c r="BF15" t="s">
        <v>657</v>
      </c>
      <c r="BG15" t="s">
        <v>655</v>
      </c>
    </row>
    <row r="16" spans="2:59" x14ac:dyDescent="0.25">
      <c r="B16" s="9">
        <v>45100</v>
      </c>
      <c r="M16" t="str">
        <f>_xlfn.IFNA(IF(VLOOKUP(TAB_Offres[[#This Row],[Reference]],TAB_Offres[[Reference]:[Request State]],COLUMNS(TAB_Offres[[Reference]:[Request State]]),FALSE)=D$6,TAB_Offres[[#This Row],[Reference]],""),"")</f>
        <v>DIGITTMII-002191-6000053863-REQ-01</v>
      </c>
      <c r="N16" t="str">
        <f>_xlfn.IFNA(IF(VLOOKUP(TAB_Offres[[#This Row],[Reference]],TAB_Offres[[Reference]:[Has Expenses?]],COLUMNS(TAB_Offres[[Reference]:[Has Expenses?]]),FALSE)=J$2,TAB_Offres[[#This Row],[Reference]],""),"")</f>
        <v/>
      </c>
      <c r="O16" t="str">
        <f>IF(Tableau19[[#This Row],[EXPENSES_REF]]="","",MAX(O$1:O15)+1)</f>
        <v/>
      </c>
      <c r="P16" t="str">
        <f t="shared" si="0"/>
        <v>DIGITTMII-010163-6000053863-REQ-01</v>
      </c>
      <c r="R16" s="98" t="str">
        <f t="shared" ref="R16:R26" si="4">R3&amp;"-FAR"</f>
        <v>Front-end developer-FAR</v>
      </c>
      <c r="S16" s="2">
        <v>216</v>
      </c>
      <c r="T16" s="2">
        <v>231.12</v>
      </c>
      <c r="U16" s="2">
        <v>247.3</v>
      </c>
      <c r="V16" s="2">
        <v>264.61</v>
      </c>
      <c r="W16" s="2">
        <v>283.13</v>
      </c>
      <c r="X16" s="2">
        <v>302.95</v>
      </c>
      <c r="Y16" s="2">
        <v>324.16000000000003</v>
      </c>
      <c r="Z16" s="2">
        <v>346.85</v>
      </c>
      <c r="AA16" s="2">
        <v>371.13</v>
      </c>
      <c r="AB16" s="2">
        <v>397.11</v>
      </c>
      <c r="AC16" s="2">
        <v>424.91</v>
      </c>
      <c r="AD16" s="33" t="s">
        <v>138</v>
      </c>
      <c r="AE16" s="33"/>
      <c r="AF16" s="33"/>
      <c r="AG16" s="33"/>
      <c r="AH16" s="4"/>
      <c r="AI16" s="3" t="str">
        <f>IFERROR(_xlfn.SINGLE(
IF(_xlfn.SINGLE(INDEX(TAB_Offres[Ressource 1],ROWS(Params!AI$2:$AI16)))=0,NA(),
INDEX(TAB_Offres[Ressource 1],ROWS(Params!AI$2:$AI16)))),
IFERROR(_xlfn.SINGLE(IF(_xlfn.SINGLE(INDEX(#REF!,ROWS(Params!AI$2:$AI16)-COUNTA(TAB_Offres[Ressource 1])))=0,NA(),
INDEX(#REF!,ROWS(Params!AI$2:$AI16)-COUNTA(TAB_Offres[Ressource 1])))),
IFERROR(_xlfn.SINGLE(IF(_xlfn.SINGLE(INDEX(#REF!,ROWS(Params!AI$2:$AI16)-COUNTA(#REF!)-COUNTA(TAB_Offres[Ressource 1])))=0,NA(),
INDEX(#REF!,ROWS(Params!AI$2:$AI16)-COUNTA(#REF!)-COUNTA(TAB_Offres[Ressource 1])))),""))
)</f>
        <v>FREIRE FERREIRA, Carlos Miguel</v>
      </c>
      <c r="AJ16" s="143">
        <f>IF(TAB_ressource[[#This Row],[Import Ressource]]="","",MAX(AJ$1:AJ15)+1)</f>
        <v>15</v>
      </c>
      <c r="AK16" s="176" t="str">
        <f>IFERROR(INDEX(TAB_ressource[Import Ressource],MATCH(ROW()-ROW($AK$1),TAB_ressource[ID Import ressources],0)),"")</f>
        <v>FREIRE FERREIRA, Carlos Miguel</v>
      </c>
      <c r="AM16" s="26" t="str">
        <v>FREIRE FERREIRA, Carlos Miguel</v>
      </c>
      <c r="AN16" s="26" t="str">
        <f t="shared" si="1"/>
        <v>FREIRE FERREIRA, Carlos Miguel</v>
      </c>
      <c r="AO16" s="154" t="s">
        <v>5426</v>
      </c>
      <c r="AQ16" s="17" t="s">
        <v>90</v>
      </c>
      <c r="AR16" s="19">
        <f>COUNTIF(TAB_CS[Profile],AQ16)</f>
        <v>2</v>
      </c>
      <c r="BD16" t="s">
        <v>658</v>
      </c>
      <c r="BE16" t="s">
        <v>659</v>
      </c>
      <c r="BF16" t="s">
        <v>660</v>
      </c>
      <c r="BG16" t="s">
        <v>658</v>
      </c>
    </row>
    <row r="17" spans="2:59" x14ac:dyDescent="0.25">
      <c r="B17" s="9">
        <v>45153</v>
      </c>
      <c r="M17" t="str">
        <f>_xlfn.IFNA(IF(VLOOKUP(TAB_Offres[[#This Row],[Reference]],TAB_Offres[[Reference]:[Request State]],COLUMNS(TAB_Offres[[Reference]:[Request State]]),FALSE)=D$6,TAB_Offres[[#This Row],[Reference]],""),"")</f>
        <v>DIGITTMII-002416-6000053863-REQ-01</v>
      </c>
      <c r="N17" t="str">
        <f>_xlfn.IFNA(IF(VLOOKUP(TAB_Offres[[#This Row],[Reference]],TAB_Offres[[Reference]:[Has Expenses?]],COLUMNS(TAB_Offres[[Reference]:[Has Expenses?]]),FALSE)=J$2,TAB_Offres[[#This Row],[Reference]],""),"")</f>
        <v/>
      </c>
      <c r="O17" t="str">
        <f>IF(Tableau19[[#This Row],[EXPENSES_REF]]="","",MAX(O$1:O16)+1)</f>
        <v/>
      </c>
      <c r="P17" t="str">
        <f t="shared" si="0"/>
        <v>DIGITTMII-010281-DIGITTMII-004465-EXT-02-6000053863-REQ-01</v>
      </c>
      <c r="R17" s="98" t="str">
        <f t="shared" si="4"/>
        <v>Back-end developer-FAR</v>
      </c>
      <c r="S17" s="2">
        <v>235</v>
      </c>
      <c r="T17" s="2">
        <v>251.45</v>
      </c>
      <c r="U17" s="2">
        <v>269.05</v>
      </c>
      <c r="V17" s="2">
        <v>287.88</v>
      </c>
      <c r="W17" s="2">
        <v>308.02999999999997</v>
      </c>
      <c r="X17" s="2">
        <v>329.59</v>
      </c>
      <c r="Y17" s="2">
        <v>352.66</v>
      </c>
      <c r="Z17" s="2">
        <v>377.35</v>
      </c>
      <c r="AA17" s="2">
        <v>403.76</v>
      </c>
      <c r="AB17" s="2">
        <v>432.02</v>
      </c>
      <c r="AC17" s="2">
        <v>462.26</v>
      </c>
      <c r="AD17" s="33" t="s">
        <v>138</v>
      </c>
      <c r="AE17" s="33"/>
      <c r="AF17" s="33"/>
      <c r="AG17" s="33"/>
      <c r="AH17" s="4"/>
      <c r="AI17" s="3" t="str">
        <f>IFERROR(_xlfn.SINGLE(
IF(_xlfn.SINGLE(INDEX(TAB_Offres[Ressource 1],ROWS(Params!AI$2:$AI17)))=0,NA(),
INDEX(TAB_Offres[Ressource 1],ROWS(Params!AI$2:$AI17)))),
IFERROR(_xlfn.SINGLE(IF(_xlfn.SINGLE(INDEX(#REF!,ROWS(Params!AI$2:$AI17)-COUNTA(TAB_Offres[Ressource 1])))=0,NA(),
INDEX(#REF!,ROWS(Params!AI$2:$AI17)-COUNTA(TAB_Offres[Ressource 1])))),
IFERROR(_xlfn.SINGLE(IF(_xlfn.SINGLE(INDEX(#REF!,ROWS(Params!AI$2:$AI17)-COUNTA(#REF!)-COUNTA(TAB_Offres[Ressource 1])))=0,NA(),
INDEX(#REF!,ROWS(Params!AI$2:$AI17)-COUNTA(#REF!)-COUNTA(TAB_Offres[Ressource 1])))),""))
)</f>
        <v>BEN MILOUD, Djamila</v>
      </c>
      <c r="AJ17" s="143">
        <f>IF(TAB_ressource[[#This Row],[Import Ressource]]="","",MAX(AJ$1:AJ16)+1)</f>
        <v>16</v>
      </c>
      <c r="AK17" s="176" t="str">
        <f>IFERROR(INDEX(TAB_ressource[Import Ressource],MATCH(ROW()-ROW($AK$1),TAB_ressource[ID Import ressources],0)),"")</f>
        <v>BEN MILOUD, Djamila</v>
      </c>
      <c r="AM17" s="26" t="str">
        <v>BEN MILOUD, Djamila</v>
      </c>
      <c r="AN17" s="26" t="str">
        <f t="shared" si="1"/>
        <v>BEN MILOUD, Djamila</v>
      </c>
      <c r="AO17" s="154" t="s">
        <v>5426</v>
      </c>
      <c r="AQ17" s="18" t="s">
        <v>91</v>
      </c>
      <c r="AR17" s="20">
        <f>COUNTIF(TAB_CS[Profile],AQ17)</f>
        <v>0</v>
      </c>
      <c r="BD17" t="s">
        <v>661</v>
      </c>
      <c r="BE17" t="s">
        <v>662</v>
      </c>
      <c r="BF17" t="s">
        <v>663</v>
      </c>
      <c r="BG17" t="s">
        <v>661</v>
      </c>
    </row>
    <row r="18" spans="2:59" x14ac:dyDescent="0.25">
      <c r="B18" s="9">
        <v>45231</v>
      </c>
      <c r="M18" t="str">
        <f>_xlfn.IFNA(IF(VLOOKUP(TAB_Offres[[#This Row],[Reference]],TAB_Offres[[Reference]:[Request State]],COLUMNS(TAB_Offres[[Reference]:[Request State]]),FALSE)=D$6,TAB_Offres[[#This Row],[Reference]],""),"")</f>
        <v>DIGITTMII-002474-6000053863-REQ-01</v>
      </c>
      <c r="N18" t="str">
        <f>_xlfn.IFNA(IF(VLOOKUP(TAB_Offres[[#This Row],[Reference]],TAB_Offres[[Reference]:[Has Expenses?]],COLUMNS(TAB_Offres[[Reference]:[Has Expenses?]]),FALSE)=J$2,TAB_Offres[[#This Row],[Reference]],""),"")</f>
        <v/>
      </c>
      <c r="O18" t="str">
        <f>IF(Tableau19[[#This Row],[EXPENSES_REF]]="","",MAX(O$1:O17)+1)</f>
        <v/>
      </c>
      <c r="P18" t="str">
        <f t="shared" si="0"/>
        <v>DIGITTMII-011065-DIGITTMII-004446-EXT-01-6000053863-REQ-01</v>
      </c>
      <c r="R18" s="98" t="str">
        <f t="shared" si="4"/>
        <v>Full-stack developer-FAR</v>
      </c>
      <c r="S18" s="2">
        <v>270</v>
      </c>
      <c r="T18" s="2">
        <v>288.89999999999998</v>
      </c>
      <c r="U18" s="2">
        <v>309.12</v>
      </c>
      <c r="V18" s="2">
        <v>330.76</v>
      </c>
      <c r="W18" s="2">
        <v>353.91</v>
      </c>
      <c r="X18" s="2">
        <v>378.68</v>
      </c>
      <c r="Y18" s="2">
        <v>405.19</v>
      </c>
      <c r="Z18" s="2">
        <v>433.55</v>
      </c>
      <c r="AA18" s="2">
        <v>463.9</v>
      </c>
      <c r="AB18" s="2">
        <v>496.37</v>
      </c>
      <c r="AC18" s="2">
        <v>531.12</v>
      </c>
      <c r="AD18" s="33" t="s">
        <v>138</v>
      </c>
      <c r="AE18" s="33"/>
      <c r="AF18" s="33"/>
      <c r="AG18" s="33"/>
      <c r="AH18" s="4"/>
      <c r="AI18" s="3" t="str">
        <f>IFERROR(_xlfn.SINGLE(
IF(_xlfn.SINGLE(INDEX(TAB_Offres[Ressource 1],ROWS(Params!AI$2:$AI18)))=0,NA(),
INDEX(TAB_Offres[Ressource 1],ROWS(Params!AI$2:$AI18)))),
IFERROR(_xlfn.SINGLE(IF(_xlfn.SINGLE(INDEX(#REF!,ROWS(Params!AI$2:$AI18)-COUNTA(TAB_Offres[Ressource 1])))=0,NA(),
INDEX(#REF!,ROWS(Params!AI$2:$AI18)-COUNTA(TAB_Offres[Ressource 1])))),
IFERROR(_xlfn.SINGLE(IF(_xlfn.SINGLE(INDEX(#REF!,ROWS(Params!AI$2:$AI18)-COUNTA(#REF!)-COUNTA(TAB_Offres[Ressource 1])))=0,NA(),
INDEX(#REF!,ROWS(Params!AI$2:$AI18)-COUNTA(#REF!)-COUNTA(TAB_Offres[Ressource 1])))),""))
)</f>
        <v>ADAM, Nathalie</v>
      </c>
      <c r="AJ18" s="143">
        <f>IF(TAB_ressource[[#This Row],[Import Ressource]]="","",MAX(AJ$1:AJ17)+1)</f>
        <v>17</v>
      </c>
      <c r="AK18" s="176" t="str">
        <f>IFERROR(INDEX(TAB_ressource[Import Ressource],MATCH(ROW()-ROW($AK$1),TAB_ressource[ID Import ressources],0)),"")</f>
        <v>ADAM, Nathalie</v>
      </c>
      <c r="AM18" s="26" t="str">
        <v>ADAM, Nathalie</v>
      </c>
      <c r="AN18" s="26" t="str">
        <f t="shared" si="1"/>
        <v>ADAM, Nathalie</v>
      </c>
      <c r="AO18" s="154" t="s">
        <v>5426</v>
      </c>
      <c r="AQ18" s="17" t="s">
        <v>92</v>
      </c>
      <c r="AR18" s="19">
        <f>COUNTIF(TAB_CS[Profile],AQ18)</f>
        <v>17</v>
      </c>
      <c r="BD18" t="s">
        <v>664</v>
      </c>
      <c r="BE18" t="s">
        <v>665</v>
      </c>
      <c r="BF18" t="s">
        <v>666</v>
      </c>
      <c r="BG18" t="s">
        <v>664</v>
      </c>
    </row>
    <row r="19" spans="2:59" x14ac:dyDescent="0.25">
      <c r="B19" s="185">
        <v>45285</v>
      </c>
      <c r="M19" t="str">
        <f>_xlfn.IFNA(IF(VLOOKUP(TAB_Offres[[#This Row],[Reference]],TAB_Offres[[Reference]:[Request State]],COLUMNS(TAB_Offres[[Reference]:[Request State]]),FALSE)=D$6,TAB_Offres[[#This Row],[Reference]],""),"")</f>
        <v>DIGITTMII-002819-6000053863-REQ-01</v>
      </c>
      <c r="N19" t="str">
        <f>_xlfn.IFNA(IF(VLOOKUP(TAB_Offres[[#This Row],[Reference]],TAB_Offres[[Reference]:[Has Expenses?]],COLUMNS(TAB_Offres[[Reference]:[Has Expenses?]]),FALSE)=J$2,TAB_Offres[[#This Row],[Reference]],""),"")</f>
        <v/>
      </c>
      <c r="O19" t="str">
        <f>IF(Tableau19[[#This Row],[EXPENSES_REF]]="","",MAX(O$1:O18)+1)</f>
        <v/>
      </c>
      <c r="P19" t="str">
        <f t="shared" si="0"/>
        <v>DIGITTMII-011244-6000053863-REQ-01</v>
      </c>
      <c r="R19" s="98" t="str">
        <f t="shared" si="4"/>
        <v>Service desk agent-FAR</v>
      </c>
      <c r="S19" s="2">
        <v>209</v>
      </c>
      <c r="T19" s="2">
        <v>223.63</v>
      </c>
      <c r="U19" s="2">
        <v>239.28</v>
      </c>
      <c r="V19" s="2">
        <v>256.02999999999997</v>
      </c>
      <c r="W19" s="2">
        <v>273.95</v>
      </c>
      <c r="X19" s="2">
        <v>293.13</v>
      </c>
      <c r="Y19" s="2">
        <v>313.64999999999998</v>
      </c>
      <c r="Z19" s="2">
        <v>335.61</v>
      </c>
      <c r="AA19" s="2">
        <v>359.1</v>
      </c>
      <c r="AB19" s="2">
        <v>384.24</v>
      </c>
      <c r="AC19" s="2">
        <v>411.14</v>
      </c>
      <c r="AD19" s="33" t="s">
        <v>138</v>
      </c>
      <c r="AE19" s="33"/>
      <c r="AF19" s="33"/>
      <c r="AG19" s="33"/>
      <c r="AH19" s="4"/>
      <c r="AI19" s="3" t="str">
        <f>IFERROR(_xlfn.SINGLE(
IF(_xlfn.SINGLE(INDEX(TAB_Offres[Ressource 1],ROWS(Params!AI$2:$AI19)))=0,NA(),
INDEX(TAB_Offres[Ressource 1],ROWS(Params!AI$2:$AI19)))),
IFERROR(_xlfn.SINGLE(IF(_xlfn.SINGLE(INDEX(#REF!,ROWS(Params!AI$2:$AI19)-COUNTA(TAB_Offres[Ressource 1])))=0,NA(),
INDEX(#REF!,ROWS(Params!AI$2:$AI19)-COUNTA(TAB_Offres[Ressource 1])))),
IFERROR(_xlfn.SINGLE(IF(_xlfn.SINGLE(INDEX(#REF!,ROWS(Params!AI$2:$AI19)-COUNTA(#REF!)-COUNTA(TAB_Offres[Ressource 1])))=0,NA(),
INDEX(#REF!,ROWS(Params!AI$2:$AI19)-COUNTA(#REF!)-COUNTA(TAB_Offres[Ressource 1])))),""))
)</f>
        <v>POCHON, Régis</v>
      </c>
      <c r="AJ19" s="143">
        <f>IF(TAB_ressource[[#This Row],[Import Ressource]]="","",MAX(AJ$1:AJ18)+1)</f>
        <v>18</v>
      </c>
      <c r="AK19" s="176" t="str">
        <f>IFERROR(INDEX(TAB_ressource[Import Ressource],MATCH(ROW()-ROW($AK$1),TAB_ressource[ID Import ressources],0)),"")</f>
        <v>POCHON, Régis</v>
      </c>
      <c r="AM19" s="26" t="str">
        <v>TRINDADE-SALGUEIRO, Nuno</v>
      </c>
      <c r="AN19" s="26" t="str">
        <f t="shared" si="1"/>
        <v>TRINDADE-SALGUEIRO, Nuno</v>
      </c>
      <c r="AO19" s="154" t="s">
        <v>5426</v>
      </c>
      <c r="AQ19" s="22" t="s">
        <v>93</v>
      </c>
      <c r="AR19" s="23">
        <f>COUNTIF(TAB_CS[Profile],AQ19)</f>
        <v>0</v>
      </c>
      <c r="BD19" t="s">
        <v>667</v>
      </c>
      <c r="BE19" t="s">
        <v>668</v>
      </c>
      <c r="BF19" t="s">
        <v>669</v>
      </c>
      <c r="BG19" t="s">
        <v>667</v>
      </c>
    </row>
    <row r="20" spans="2:59" x14ac:dyDescent="0.25">
      <c r="B20" s="185">
        <v>45286</v>
      </c>
      <c r="M20" t="str">
        <f>_xlfn.IFNA(IF(VLOOKUP(TAB_Offres[[#This Row],[Reference]],TAB_Offres[[Reference]:[Request State]],COLUMNS(TAB_Offres[[Reference]:[Request State]]),FALSE)=D$6,TAB_Offres[[#This Row],[Reference]],""),"")</f>
        <v>DIGITTMII-002829-6000053863-REQ-01</v>
      </c>
      <c r="N20" t="str">
        <f>_xlfn.IFNA(IF(VLOOKUP(TAB_Offres[[#This Row],[Reference]],TAB_Offres[[Reference]:[Has Expenses?]],COLUMNS(TAB_Offres[[Reference]:[Has Expenses?]]),FALSE)=J$2,TAB_Offres[[#This Row],[Reference]],""),"")</f>
        <v/>
      </c>
      <c r="O20" t="str">
        <f>IF(Tableau19[[#This Row],[EXPENSES_REF]]="","",MAX(O$1:O19)+1)</f>
        <v/>
      </c>
      <c r="P20" t="str">
        <f t="shared" si="0"/>
        <v>DIGITTMII-012730-DIGITTMII-004019-EXT-01-6000053863-REQ-01</v>
      </c>
      <c r="R20" s="98" t="str">
        <f t="shared" si="4"/>
        <v>User Documentation and Training person-FAR</v>
      </c>
      <c r="S20" s="2">
        <v>209</v>
      </c>
      <c r="T20" s="2">
        <v>223.63</v>
      </c>
      <c r="U20" s="2">
        <v>239.28</v>
      </c>
      <c r="V20" s="2">
        <v>256.02999999999997</v>
      </c>
      <c r="W20" s="2">
        <v>273.95</v>
      </c>
      <c r="X20" s="2">
        <v>293.13</v>
      </c>
      <c r="Y20" s="2">
        <v>313.64999999999998</v>
      </c>
      <c r="Z20" s="2">
        <v>335.61</v>
      </c>
      <c r="AA20" s="2">
        <v>359.1</v>
      </c>
      <c r="AB20" s="2">
        <v>384.24</v>
      </c>
      <c r="AC20" s="2">
        <v>411.14</v>
      </c>
      <c r="AD20" s="33" t="s">
        <v>138</v>
      </c>
      <c r="AE20" s="33"/>
      <c r="AF20" s="33"/>
      <c r="AG20" s="33"/>
      <c r="AH20" s="4"/>
      <c r="AI20" s="3" t="str">
        <f>IFERROR(_xlfn.SINGLE(
IF(_xlfn.SINGLE(INDEX(TAB_Offres[Ressource 1],ROWS(Params!AI$2:$AI20)))=0,NA(),
INDEX(TAB_Offres[Ressource 1],ROWS(Params!AI$2:$AI20)))),
IFERROR(_xlfn.SINGLE(IF(_xlfn.SINGLE(INDEX(#REF!,ROWS(Params!AI$2:$AI20)-COUNTA(TAB_Offres[Ressource 1])))=0,NA(),
INDEX(#REF!,ROWS(Params!AI$2:$AI20)-COUNTA(TAB_Offres[Ressource 1])))),
IFERROR(_xlfn.SINGLE(IF(_xlfn.SINGLE(INDEX(#REF!,ROWS(Params!AI$2:$AI20)-COUNTA(#REF!)-COUNTA(TAB_Offres[Ressource 1])))=0,NA(),
INDEX(#REF!,ROWS(Params!AI$2:$AI20)-COUNTA(#REF!)-COUNTA(TAB_Offres[Ressource 1])))),""))
)</f>
        <v>TRINDADE-SALGUEIRO, Nuno</v>
      </c>
      <c r="AJ20" s="143">
        <f>IF(TAB_ressource[[#This Row],[Import Ressource]]="","",MAX(AJ$1:AJ19)+1)</f>
        <v>19</v>
      </c>
      <c r="AK20" s="176" t="str">
        <f>IFERROR(INDEX(TAB_ressource[Import Ressource],MATCH(ROW()-ROW($AK$1),TAB_ressource[ID Import ressources],0)),"")</f>
        <v>TRINDADE-SALGUEIRO, Nuno</v>
      </c>
      <c r="AM20" s="26" t="str">
        <v xml:space="preserve">TURCITU, Mihai-Alexandru </v>
      </c>
      <c r="AN20" s="26" t="str">
        <f t="shared" si="1"/>
        <v xml:space="preserve">TURCITU, Mihai-Alexandru </v>
      </c>
      <c r="AO20" s="154" t="s">
        <v>5426</v>
      </c>
      <c r="AQ20" s="114" t="s">
        <v>94</v>
      </c>
      <c r="AR20" s="115">
        <f>COUNTIF(TAB_CS[Profile],AQ20)</f>
        <v>0</v>
      </c>
      <c r="BD20" t="s">
        <v>670</v>
      </c>
      <c r="BE20" t="s">
        <v>671</v>
      </c>
      <c r="BF20" t="s">
        <v>672</v>
      </c>
      <c r="BG20" t="s">
        <v>670</v>
      </c>
    </row>
    <row r="21" spans="2:59" x14ac:dyDescent="0.25">
      <c r="M21" t="str">
        <f>_xlfn.IFNA(IF(VLOOKUP(TAB_Offres[[#This Row],[Reference]],TAB_Offres[[Reference]:[Request State]],COLUMNS(TAB_Offres[[Reference]:[Request State]]),FALSE)=D$6,TAB_Offres[[#This Row],[Reference]],""),"")</f>
        <v>DIGITTMII-002906-6000053863-REQ-01</v>
      </c>
      <c r="N21" t="str">
        <f>_xlfn.IFNA(IF(VLOOKUP(TAB_Offres[[#This Row],[Reference]],TAB_Offres[[Reference]:[Has Expenses?]],COLUMNS(TAB_Offres[[Reference]:[Has Expenses?]]),FALSE)=J$2,TAB_Offres[[#This Row],[Reference]],""),"")</f>
        <v/>
      </c>
      <c r="O21" t="str">
        <f>IF(Tableau19[[#This Row],[EXPENSES_REF]]="","",MAX(O$1:O20)+1)</f>
        <v/>
      </c>
      <c r="P21" t="str">
        <f t="shared" si="0"/>
        <v>DIGITTMII-013905-DIGITTMII-003463-EXT-02-6000053863-REQ-01</v>
      </c>
      <c r="R21" s="98" t="str">
        <f t="shared" si="4"/>
        <v>Web Operations Manager-FAR</v>
      </c>
      <c r="S21" s="2">
        <v>216</v>
      </c>
      <c r="T21" s="2">
        <v>231.12</v>
      </c>
      <c r="U21" s="2">
        <v>247.3</v>
      </c>
      <c r="V21" s="2">
        <v>264.61</v>
      </c>
      <c r="W21" s="2">
        <v>283.13</v>
      </c>
      <c r="X21" s="2">
        <v>302.95</v>
      </c>
      <c r="Y21" s="2">
        <v>324.16000000000003</v>
      </c>
      <c r="Z21" s="2">
        <v>346.85</v>
      </c>
      <c r="AA21" s="2">
        <v>371.13</v>
      </c>
      <c r="AB21" s="2">
        <v>397.11</v>
      </c>
      <c r="AC21" s="2">
        <v>424.91</v>
      </c>
      <c r="AD21" s="33" t="s">
        <v>138</v>
      </c>
      <c r="AE21" s="33"/>
      <c r="AF21" s="33"/>
      <c r="AG21" s="33"/>
      <c r="AH21" s="4"/>
      <c r="AI21" s="3" t="str">
        <f>IFERROR(_xlfn.SINGLE(
IF(_xlfn.SINGLE(INDEX(TAB_Offres[Ressource 1],ROWS(Params!AI$2:$AI21)))=0,NA(),
INDEX(TAB_Offres[Ressource 1],ROWS(Params!AI$2:$AI21)))),
IFERROR(_xlfn.SINGLE(IF(_xlfn.SINGLE(INDEX(#REF!,ROWS(Params!AI$2:$AI21)-COUNTA(TAB_Offres[Ressource 1])))=0,NA(),
INDEX(#REF!,ROWS(Params!AI$2:$AI21)-COUNTA(TAB_Offres[Ressource 1])))),
IFERROR(_xlfn.SINGLE(IF(_xlfn.SINGLE(INDEX(#REF!,ROWS(Params!AI$2:$AI21)-COUNTA(#REF!)-COUNTA(TAB_Offres[Ressource 1])))=0,NA(),
INDEX(#REF!,ROWS(Params!AI$2:$AI21)-COUNTA(#REF!)-COUNTA(TAB_Offres[Ressource 1])))),""))
)</f>
        <v xml:space="preserve">TURCITU, Mihai-Alexandru </v>
      </c>
      <c r="AJ21" s="143">
        <f>IF(TAB_ressource[[#This Row],[Import Ressource]]="","",MAX(AJ$1:AJ20)+1)</f>
        <v>20</v>
      </c>
      <c r="AK21" s="176" t="str">
        <f>IFERROR(INDEX(TAB_ressource[Import Ressource],MATCH(ROW()-ROW($AK$1),TAB_ressource[ID Import ressources],0)),"")</f>
        <v xml:space="preserve">TURCITU, Mihai-Alexandru </v>
      </c>
      <c r="AM21" s="26" t="str">
        <v>DOUHAIZENET, Gael</v>
      </c>
      <c r="AN21" s="26" t="str">
        <f t="shared" si="1"/>
        <v>DOUHAIZENET, Gael</v>
      </c>
      <c r="AO21" s="154" t="s">
        <v>5426</v>
      </c>
      <c r="AQ21" s="114" t="s">
        <v>95</v>
      </c>
      <c r="AR21" s="115">
        <f>COUNTIF(TAB_CS[Profile],AQ21)</f>
        <v>0</v>
      </c>
      <c r="BD21" t="s">
        <v>673</v>
      </c>
      <c r="BE21" t="s">
        <v>674</v>
      </c>
      <c r="BF21" t="s">
        <v>675</v>
      </c>
      <c r="BG21" t="s">
        <v>673</v>
      </c>
    </row>
    <row r="22" spans="2:59" x14ac:dyDescent="0.25">
      <c r="M22" t="str">
        <f>_xlfn.IFNA(IF(VLOOKUP(TAB_Offres[[#This Row],[Reference]],TAB_Offres[[Reference]:[Request State]],COLUMNS(TAB_Offres[[Reference]:[Request State]]),FALSE)=D$6,TAB_Offres[[#This Row],[Reference]],""),"")</f>
        <v>DIGITTMII-002931-6000053863-REQ-01</v>
      </c>
      <c r="N22" t="str">
        <f>_xlfn.IFNA(IF(VLOOKUP(TAB_Offres[[#This Row],[Reference]],TAB_Offres[[Reference]:[Has Expenses?]],COLUMNS(TAB_Offres[[Reference]:[Has Expenses?]]),FALSE)=J$2,TAB_Offres[[#This Row],[Reference]],""),"")</f>
        <v>DIGITTMII-002931-6000053863-REQ-01</v>
      </c>
      <c r="O22">
        <f>IF(Tableau19[[#This Row],[EXPENSES_REF]]="","",MAX(O$1:O21)+1)</f>
        <v>2</v>
      </c>
      <c r="P22" t="str">
        <f t="shared" si="0"/>
        <v>DIGITTMII-015251-DIGITTMII-001410-EXT-02-6000053863-REQ-01</v>
      </c>
      <c r="R22" s="98" t="str">
        <f t="shared" si="4"/>
        <v>IS Tester-FAR</v>
      </c>
      <c r="S22" s="2">
        <v>235</v>
      </c>
      <c r="T22" s="2">
        <v>251.45</v>
      </c>
      <c r="U22" s="2">
        <v>269.05</v>
      </c>
      <c r="V22" s="2">
        <v>287.88</v>
      </c>
      <c r="W22" s="2">
        <v>308.02999999999997</v>
      </c>
      <c r="X22" s="2">
        <v>329.59</v>
      </c>
      <c r="Y22" s="2">
        <v>352.66</v>
      </c>
      <c r="Z22" s="2">
        <v>377.35</v>
      </c>
      <c r="AA22" s="2">
        <v>403.76</v>
      </c>
      <c r="AB22" s="2">
        <v>432.02</v>
      </c>
      <c r="AC22" s="2">
        <v>462.26</v>
      </c>
      <c r="AD22" s="33" t="s">
        <v>138</v>
      </c>
      <c r="AE22" s="33"/>
      <c r="AF22" s="33"/>
      <c r="AG22" s="33"/>
      <c r="AH22" s="4"/>
      <c r="AI22" s="3" t="str">
        <f>IFERROR(_xlfn.SINGLE(
IF(_xlfn.SINGLE(INDEX(TAB_Offres[Ressource 1],ROWS(Params!AI$2:$AI22)))=0,NA(),
INDEX(TAB_Offres[Ressource 1],ROWS(Params!AI$2:$AI22)))),
IFERROR(_xlfn.SINGLE(IF(_xlfn.SINGLE(INDEX(#REF!,ROWS(Params!AI$2:$AI22)-COUNTA(TAB_Offres[Ressource 1])))=0,NA(),
INDEX(#REF!,ROWS(Params!AI$2:$AI22)-COUNTA(TAB_Offres[Ressource 1])))),
IFERROR(_xlfn.SINGLE(IF(_xlfn.SINGLE(INDEX(#REF!,ROWS(Params!AI$2:$AI22)-COUNTA(#REF!)-COUNTA(TAB_Offres[Ressource 1])))=0,NA(),
INDEX(#REF!,ROWS(Params!AI$2:$AI22)-COUNTA(#REF!)-COUNTA(TAB_Offres[Ressource 1])))),""))
)</f>
        <v>DOUHAIZENET, Gael</v>
      </c>
      <c r="AJ22" s="143">
        <f>IF(TAB_ressource[[#This Row],[Import Ressource]]="","",MAX(AJ$1:AJ21)+1)</f>
        <v>21</v>
      </c>
      <c r="AK22" s="176" t="str">
        <f>IFERROR(INDEX(TAB_ressource[Import Ressource],MATCH(ROW()-ROW($AK$1),TAB_ressource[ID Import ressources],0)),"")</f>
        <v>DOUHAIZENET, Gael</v>
      </c>
      <c r="AM22" s="26" t="str">
        <v>STROOBANTS, Luc</v>
      </c>
      <c r="AN22" s="26" t="str">
        <f t="shared" si="1"/>
        <v>STROOBANTS, Luc</v>
      </c>
      <c r="AO22" s="154" t="s">
        <v>5426</v>
      </c>
      <c r="AQ22" s="114" t="s">
        <v>96</v>
      </c>
      <c r="AR22" s="115">
        <f>COUNTIF(TAB_CS[Profile],AQ22)</f>
        <v>0</v>
      </c>
      <c r="BD22" t="s">
        <v>676</v>
      </c>
      <c r="BE22" t="s">
        <v>677</v>
      </c>
      <c r="BF22" t="s">
        <v>678</v>
      </c>
      <c r="BG22" t="s">
        <v>676</v>
      </c>
    </row>
    <row r="23" spans="2:59" x14ac:dyDescent="0.25">
      <c r="M23" t="str">
        <f>_xlfn.IFNA(IF(VLOOKUP(TAB_Offres[[#This Row],[Reference]],TAB_Offres[[Reference]:[Request State]],COLUMNS(TAB_Offres[[Reference]:[Request State]]),FALSE)=D$6,TAB_Offres[[#This Row],[Reference]],""),"")</f>
        <v>DIGITTMII-003098-6000053863-REQ-01</v>
      </c>
      <c r="N23" t="str">
        <f>_xlfn.IFNA(IF(VLOOKUP(TAB_Offres[[#This Row],[Reference]],TAB_Offres[[Reference]:[Has Expenses?]],COLUMNS(TAB_Offres[[Reference]:[Has Expenses?]]),FALSE)=J$2,TAB_Offres[[#This Row],[Reference]],""),"")</f>
        <v/>
      </c>
      <c r="O23" t="str">
        <f>IF(Tableau19[[#This Row],[EXPENSES_REF]]="","",MAX(O$1:O22)+1)</f>
        <v/>
      </c>
      <c r="P23" t="str">
        <f t="shared" si="0"/>
        <v>DIGITTMII-015612-DIGITTMII-001957-EXT-03-6000053863-REQ-01</v>
      </c>
      <c r="R23" s="98" t="str">
        <f t="shared" si="4"/>
        <v>Configuration / Deployment manager-FAR</v>
      </c>
      <c r="S23" s="2">
        <v>209</v>
      </c>
      <c r="T23" s="2">
        <v>223.63</v>
      </c>
      <c r="U23" s="2">
        <v>239.28</v>
      </c>
      <c r="V23" s="2">
        <v>256.02999999999997</v>
      </c>
      <c r="W23" s="2">
        <v>273.95</v>
      </c>
      <c r="X23" s="2">
        <v>293.13</v>
      </c>
      <c r="Y23" s="2">
        <v>313.64999999999998</v>
      </c>
      <c r="Z23" s="2">
        <v>335.61</v>
      </c>
      <c r="AA23" s="2">
        <v>359.1</v>
      </c>
      <c r="AB23" s="2">
        <v>384.24</v>
      </c>
      <c r="AC23" s="2">
        <v>411.14</v>
      </c>
      <c r="AD23" s="33" t="s">
        <v>138</v>
      </c>
      <c r="AE23" s="33"/>
      <c r="AF23" s="33"/>
      <c r="AG23" s="33"/>
      <c r="AH23" s="4"/>
      <c r="AI23" s="3" t="str">
        <f>IFERROR(_xlfn.SINGLE(
IF(_xlfn.SINGLE(INDEX(TAB_Offres[Ressource 1],ROWS(Params!AI$2:$AI23)))=0,NA(),
INDEX(TAB_Offres[Ressource 1],ROWS(Params!AI$2:$AI23)))),
IFERROR(_xlfn.SINGLE(IF(_xlfn.SINGLE(INDEX(#REF!,ROWS(Params!AI$2:$AI23)-COUNTA(TAB_Offres[Ressource 1])))=0,NA(),
INDEX(#REF!,ROWS(Params!AI$2:$AI23)-COUNTA(TAB_Offres[Ressource 1])))),
IFERROR(_xlfn.SINGLE(IF(_xlfn.SINGLE(INDEX(#REF!,ROWS(Params!AI$2:$AI23)-COUNTA(#REF!)-COUNTA(TAB_Offres[Ressource 1])))=0,NA(),
INDEX(#REF!,ROWS(Params!AI$2:$AI23)-COUNTA(#REF!)-COUNTA(TAB_Offres[Ressource 1])))),""))
)</f>
        <v>STROOBANTS, Luc</v>
      </c>
      <c r="AJ23" s="143">
        <f>IF(TAB_ressource[[#This Row],[Import Ressource]]="","",MAX(AJ$1:AJ22)+1)</f>
        <v>22</v>
      </c>
      <c r="AK23" s="176" t="str">
        <f>IFERROR(INDEX(TAB_ressource[Import Ressource],MATCH(ROW()-ROW($AK$1),TAB_ressource[ID Import ressources],0)),"")</f>
        <v>STROOBANTS, Luc</v>
      </c>
      <c r="AM23" s="26" t="str">
        <v>KIRIMLIDOU, Dimoula</v>
      </c>
      <c r="AN23" s="26" t="str">
        <f t="shared" si="1"/>
        <v>KIRIMLIDOU, Dimoula</v>
      </c>
      <c r="AO23" s="154" t="s">
        <v>5426</v>
      </c>
      <c r="AQ23" s="114" t="s">
        <v>97</v>
      </c>
      <c r="AR23" s="115">
        <f>COUNTIF(TAB_CS[Profile],AQ23)</f>
        <v>0</v>
      </c>
      <c r="BD23" t="s">
        <v>679</v>
      </c>
      <c r="BE23" t="s">
        <v>680</v>
      </c>
      <c r="BF23" t="s">
        <v>681</v>
      </c>
      <c r="BG23" t="s">
        <v>679</v>
      </c>
    </row>
    <row r="24" spans="2:59" x14ac:dyDescent="0.25">
      <c r="M24" t="str">
        <f>_xlfn.IFNA(IF(VLOOKUP(TAB_Offres[[#This Row],[Reference]],TAB_Offres[[Reference]:[Request State]],COLUMNS(TAB_Offres[[Reference]:[Request State]]),FALSE)=D$6,TAB_Offres[[#This Row],[Reference]],""),"")</f>
        <v>DIGITTMII-003129-6000053863-REQ-01</v>
      </c>
      <c r="N24" t="str">
        <f>_xlfn.IFNA(IF(VLOOKUP(TAB_Offres[[#This Row],[Reference]],TAB_Offres[[Reference]:[Has Expenses?]],COLUMNS(TAB_Offres[[Reference]:[Has Expenses?]]),FALSE)=J$2,TAB_Offres[[#This Row],[Reference]],""),"")</f>
        <v/>
      </c>
      <c r="O24" t="str">
        <f>IF(Tableau19[[#This Row],[EXPENSES_REF]]="","",MAX(O$1:O23)+1)</f>
        <v/>
      </c>
      <c r="P24" t="str">
        <f t="shared" si="0"/>
        <v>DIGITTMII-016508-6000053863-REQ-01</v>
      </c>
      <c r="R24" s="98" t="str">
        <f t="shared" si="4"/>
        <v>Infrastructure System engineer-FAR</v>
      </c>
      <c r="S24" s="2">
        <v>209</v>
      </c>
      <c r="T24" s="2">
        <v>223.63</v>
      </c>
      <c r="U24" s="2">
        <v>239.28</v>
      </c>
      <c r="V24" s="2">
        <v>256.02999999999997</v>
      </c>
      <c r="W24" s="2">
        <v>273.95</v>
      </c>
      <c r="X24" s="2">
        <v>293.13</v>
      </c>
      <c r="Y24" s="2">
        <v>313.64999999999998</v>
      </c>
      <c r="Z24" s="2">
        <v>335.61</v>
      </c>
      <c r="AA24" s="2">
        <v>359.1</v>
      </c>
      <c r="AB24" s="2">
        <v>384.24</v>
      </c>
      <c r="AC24" s="2">
        <v>411.14</v>
      </c>
      <c r="AD24" s="33" t="s">
        <v>138</v>
      </c>
      <c r="AE24" s="33"/>
      <c r="AF24" s="33"/>
      <c r="AG24" s="33"/>
      <c r="AH24" s="4"/>
      <c r="AI24" s="3" t="str">
        <f>IFERROR(_xlfn.SINGLE(
IF(_xlfn.SINGLE(INDEX(TAB_Offres[Ressource 1],ROWS(Params!AI$2:$AI24)))=0,NA(),
INDEX(TAB_Offres[Ressource 1],ROWS(Params!AI$2:$AI24)))),
IFERROR(_xlfn.SINGLE(IF(_xlfn.SINGLE(INDEX(#REF!,ROWS(Params!AI$2:$AI24)-COUNTA(TAB_Offres[Ressource 1])))=0,NA(),
INDEX(#REF!,ROWS(Params!AI$2:$AI24)-COUNTA(TAB_Offres[Ressource 1])))),
IFERROR(_xlfn.SINGLE(IF(_xlfn.SINGLE(INDEX(#REF!,ROWS(Params!AI$2:$AI24)-COUNTA(#REF!)-COUNTA(TAB_Offres[Ressource 1])))=0,NA(),
INDEX(#REF!,ROWS(Params!AI$2:$AI24)-COUNTA(#REF!)-COUNTA(TAB_Offres[Ressource 1])))),""))
)</f>
        <v>KIRIMLIDOU, Dimoula</v>
      </c>
      <c r="AJ24" s="143">
        <f>IF(TAB_ressource[[#This Row],[Import Ressource]]="","",MAX(AJ$1:AJ23)+1)</f>
        <v>23</v>
      </c>
      <c r="AK24" s="176" t="str">
        <f>IFERROR(INDEX(TAB_ressource[Import Ressource],MATCH(ROW()-ROW($AK$1),TAB_ressource[ID Import ressources],0)),"")</f>
        <v>KIRIMLIDOU, Dimoula</v>
      </c>
      <c r="AM24" s="26" t="str">
        <v>PAPASPYROU, Vasileios</v>
      </c>
      <c r="AN24" s="26" t="str">
        <f t="shared" si="1"/>
        <v>PAPASPYROU, Vasileios</v>
      </c>
      <c r="AO24" s="154" t="s">
        <v>5426</v>
      </c>
      <c r="AQ24" s="114" t="s">
        <v>98</v>
      </c>
      <c r="AR24" s="115">
        <f>COUNTIF(TAB_CS[Profile],AQ24)</f>
        <v>0</v>
      </c>
      <c r="BD24" t="s">
        <v>682</v>
      </c>
      <c r="BE24" t="s">
        <v>683</v>
      </c>
      <c r="BF24" t="s">
        <v>684</v>
      </c>
      <c r="BG24" t="s">
        <v>682</v>
      </c>
    </row>
    <row r="25" spans="2:59" x14ac:dyDescent="0.25">
      <c r="M25" t="str">
        <f>_xlfn.IFNA(IF(VLOOKUP(TAB_Offres[[#This Row],[Reference]],TAB_Offres[[Reference]:[Request State]],COLUMNS(TAB_Offres[[Reference]:[Request State]]),FALSE)=D$6,TAB_Offres[[#This Row],[Reference]],""),"")</f>
        <v>DIGITTMII-003143-6000053863-REQ-01</v>
      </c>
      <c r="N25" t="str">
        <f>_xlfn.IFNA(IF(VLOOKUP(TAB_Offres[[#This Row],[Reference]],TAB_Offres[[Reference]:[Has Expenses?]],COLUMNS(TAB_Offres[[Reference]:[Has Expenses?]]),FALSE)=J$2,TAB_Offres[[#This Row],[Reference]],""),"")</f>
        <v/>
      </c>
      <c r="O25" t="str">
        <f>IF(Tableau19[[#This Row],[EXPENSES_REF]]="","",MAX(O$1:O24)+1)</f>
        <v/>
      </c>
      <c r="P25" t="str">
        <f t="shared" si="0"/>
        <v>DIGITTMII-012508-6000053863-REQ-01</v>
      </c>
      <c r="R25" s="98" t="str">
        <f t="shared" si="4"/>
        <v>Linux consultant-FAR</v>
      </c>
      <c r="S25" s="2">
        <v>209</v>
      </c>
      <c r="T25" s="2">
        <v>223.63</v>
      </c>
      <c r="U25" s="2">
        <v>239.28</v>
      </c>
      <c r="V25" s="2">
        <v>256.02999999999997</v>
      </c>
      <c r="W25" s="2">
        <v>273.95</v>
      </c>
      <c r="X25" s="2">
        <v>293.13</v>
      </c>
      <c r="Y25" s="2">
        <v>313.64999999999998</v>
      </c>
      <c r="Z25" s="2">
        <v>335.61</v>
      </c>
      <c r="AA25" s="2">
        <v>359.1</v>
      </c>
      <c r="AB25" s="2">
        <v>384.24</v>
      </c>
      <c r="AC25" s="2">
        <v>411.14</v>
      </c>
      <c r="AD25" s="33" t="s">
        <v>138</v>
      </c>
      <c r="AE25" s="33"/>
      <c r="AF25" s="33"/>
      <c r="AG25" s="33"/>
      <c r="AH25" s="4"/>
      <c r="AI25" s="3" t="str">
        <f>IFERROR(_xlfn.SINGLE(
IF(_xlfn.SINGLE(INDEX(TAB_Offres[Ressource 1],ROWS(Params!AI$2:$AI25)))=0,NA(),
INDEX(TAB_Offres[Ressource 1],ROWS(Params!AI$2:$AI25)))),
IFERROR(_xlfn.SINGLE(IF(_xlfn.SINGLE(INDEX(#REF!,ROWS(Params!AI$2:$AI25)-COUNTA(TAB_Offres[Ressource 1])))=0,NA(),
INDEX(#REF!,ROWS(Params!AI$2:$AI25)-COUNTA(TAB_Offres[Ressource 1])))),
IFERROR(_xlfn.SINGLE(IF(_xlfn.SINGLE(INDEX(#REF!,ROWS(Params!AI$2:$AI25)-COUNTA(#REF!)-COUNTA(TAB_Offres[Ressource 1])))=0,NA(),
INDEX(#REF!,ROWS(Params!AI$2:$AI25)-COUNTA(#REF!)-COUNTA(TAB_Offres[Ressource 1])))),""))
)</f>
        <v>PAPASPYROU, Vasileios</v>
      </c>
      <c r="AJ25" s="143">
        <f>IF(TAB_ressource[[#This Row],[Import Ressource]]="","",MAX(AJ$1:AJ24)+1)</f>
        <v>24</v>
      </c>
      <c r="AK25" s="176" t="str">
        <f>IFERROR(INDEX(TAB_ressource[Import Ressource],MATCH(ROW()-ROW($AK$1),TAB_ressource[ID Import ressources],0)),"")</f>
        <v>PAPASPYROU, Vasileios</v>
      </c>
      <c r="AM25" s="26" t="str">
        <v xml:space="preserve">ESCRIBANO, Ruben </v>
      </c>
      <c r="AN25" s="26" t="str">
        <f t="shared" si="1"/>
        <v xml:space="preserve">ESCRIBANO, Ruben </v>
      </c>
      <c r="AO25" s="154" t="s">
        <v>5426</v>
      </c>
      <c r="AQ25" s="114" t="s">
        <v>99</v>
      </c>
      <c r="AR25" s="115">
        <f>COUNTIF(TAB_CS[Profile],AQ25)</f>
        <v>0</v>
      </c>
      <c r="BD25" t="s">
        <v>685</v>
      </c>
      <c r="BE25" t="s">
        <v>686</v>
      </c>
      <c r="BF25" t="s">
        <v>687</v>
      </c>
      <c r="BG25" t="s">
        <v>685</v>
      </c>
    </row>
    <row r="26" spans="2:59" x14ac:dyDescent="0.25">
      <c r="M26" t="str">
        <f>_xlfn.IFNA(IF(VLOOKUP(TAB_Offres[[#This Row],[Reference]],TAB_Offres[[Reference]:[Request State]],COLUMNS(TAB_Offres[[Reference]:[Request State]]),FALSE)=D$6,TAB_Offres[[#This Row],[Reference]],""),"")</f>
        <v>DIGITTMII-003241-6000053863-REQ-01</v>
      </c>
      <c r="N26" t="str">
        <f>_xlfn.IFNA(IF(VLOOKUP(TAB_Offres[[#This Row],[Reference]],TAB_Offres[[Reference]:[Has Expenses?]],COLUMNS(TAB_Offres[[Reference]:[Has Expenses?]]),FALSE)=J$2,TAB_Offres[[#This Row],[Reference]],""),"")</f>
        <v/>
      </c>
      <c r="O26" t="str">
        <f>IF(Tableau19[[#This Row],[EXPENSES_REF]]="","",MAX(O$1:O25)+1)</f>
        <v/>
      </c>
      <c r="P26" t="str">
        <f t="shared" si="0"/>
        <v>DIGITTMII-018541-6000053863-REQ-01</v>
      </c>
      <c r="R26" s="98" t="str">
        <f t="shared" si="4"/>
        <v>MacOS consultant-FAR</v>
      </c>
      <c r="S26" s="2">
        <v>209</v>
      </c>
      <c r="T26" s="2">
        <v>223.63</v>
      </c>
      <c r="U26" s="2">
        <v>239.28</v>
      </c>
      <c r="V26" s="2">
        <v>256.02999999999997</v>
      </c>
      <c r="W26" s="2">
        <v>273.95</v>
      </c>
      <c r="X26" s="2">
        <v>293.13</v>
      </c>
      <c r="Y26" s="2">
        <v>313.64999999999998</v>
      </c>
      <c r="Z26" s="2">
        <v>335.61</v>
      </c>
      <c r="AA26" s="2">
        <v>359.1</v>
      </c>
      <c r="AB26" s="2">
        <v>384.24</v>
      </c>
      <c r="AC26" s="2">
        <v>411.14</v>
      </c>
      <c r="AD26" s="33" t="s">
        <v>138</v>
      </c>
      <c r="AE26" s="33"/>
      <c r="AF26" s="33"/>
      <c r="AG26" s="33"/>
      <c r="AH26" s="4"/>
      <c r="AI26" s="3" t="str">
        <f>IFERROR(_xlfn.SINGLE(
IF(_xlfn.SINGLE(INDEX(TAB_Offres[Ressource 1],ROWS(Params!AI$2:$AI26)))=0,NA(),
INDEX(TAB_Offres[Ressource 1],ROWS(Params!AI$2:$AI26)))),
IFERROR(_xlfn.SINGLE(IF(_xlfn.SINGLE(INDEX(#REF!,ROWS(Params!AI$2:$AI26)-COUNTA(TAB_Offres[Ressource 1])))=0,NA(),
INDEX(#REF!,ROWS(Params!AI$2:$AI26)-COUNTA(TAB_Offres[Ressource 1])))),
IFERROR(_xlfn.SINGLE(IF(_xlfn.SINGLE(INDEX(#REF!,ROWS(Params!AI$2:$AI26)-COUNTA(#REF!)-COUNTA(TAB_Offres[Ressource 1])))=0,NA(),
INDEX(#REF!,ROWS(Params!AI$2:$AI26)-COUNTA(#REF!)-COUNTA(TAB_Offres[Ressource 1])))),""))
)</f>
        <v xml:space="preserve">ESCRIBANO, Ruben </v>
      </c>
      <c r="AJ26" s="143">
        <f>IF(TAB_ressource[[#This Row],[Import Ressource]]="","",MAX(AJ$1:AJ25)+1)</f>
        <v>25</v>
      </c>
      <c r="AK26" s="176" t="str">
        <f>IFERROR(INDEX(TAB_ressource[Import Ressource],MATCH(ROW()-ROW($AK$1),TAB_ressource[ID Import ressources],0)),"")</f>
        <v xml:space="preserve">ESCRIBANO, Ruben </v>
      </c>
      <c r="AM26" s="26" t="str">
        <v>CHATTERJEE, Pallavi</v>
      </c>
      <c r="AN26" s="26" t="str">
        <f t="shared" si="1"/>
        <v>CHATTERJEE, Pallavi</v>
      </c>
      <c r="AO26" s="154" t="s">
        <v>5426</v>
      </c>
      <c r="AQ26" s="114" t="s">
        <v>100</v>
      </c>
      <c r="AR26" s="115">
        <f>COUNTIF(TAB_CS[Profile],AQ26)</f>
        <v>0</v>
      </c>
      <c r="BD26" t="s">
        <v>688</v>
      </c>
      <c r="BE26" t="s">
        <v>689</v>
      </c>
      <c r="BF26" t="s">
        <v>690</v>
      </c>
      <c r="BG26" t="s">
        <v>688</v>
      </c>
    </row>
    <row r="27" spans="2:59" x14ac:dyDescent="0.25">
      <c r="K27" s="166"/>
      <c r="M27" t="str">
        <f>_xlfn.IFNA(IF(VLOOKUP(TAB_Offres[[#This Row],[Reference]],TAB_Offres[[Reference]:[Request State]],COLUMNS(TAB_Offres[[Reference]:[Request State]]),FALSE)=D$6,TAB_Offres[[#This Row],[Reference]],""),"")</f>
        <v>DIGITTMII-003344-6000053863-REQ-01</v>
      </c>
      <c r="N27" t="str">
        <f>_xlfn.IFNA(IF(VLOOKUP(TAB_Offres[[#This Row],[Reference]],TAB_Offres[[Reference]:[Has Expenses?]],COLUMNS(TAB_Offres[[Reference]:[Has Expenses?]]),FALSE)=J$2,TAB_Offres[[#This Row],[Reference]],""),"")</f>
        <v/>
      </c>
      <c r="O27" t="str">
        <f>IF(Tableau19[[#This Row],[EXPENSES_REF]]="","",MAX(O$1:O26)+1)</f>
        <v/>
      </c>
      <c r="P27" t="str">
        <f t="shared" si="0"/>
        <v>DIGITTMII-019273-DIGITTMII-011235-EXT-01-6000053863-REQ-01</v>
      </c>
      <c r="R27" s="184" t="s">
        <v>368</v>
      </c>
      <c r="S27" s="2"/>
      <c r="T27" s="96"/>
      <c r="U27" s="96"/>
      <c r="V27" s="96"/>
      <c r="W27" s="96"/>
      <c r="X27" s="96"/>
      <c r="Y27" s="96"/>
      <c r="Z27" s="96"/>
      <c r="AA27" s="96"/>
      <c r="AB27" s="96"/>
      <c r="AC27" s="96"/>
      <c r="AD27" s="33"/>
      <c r="AE27" s="33"/>
      <c r="AF27" s="33"/>
      <c r="AG27" s="33"/>
      <c r="AH27" s="4"/>
      <c r="AI27" s="3" t="str">
        <f>IFERROR(_xlfn.SINGLE(
IF(_xlfn.SINGLE(INDEX(TAB_Offres[Ressource 1],ROWS(Params!AI$2:$AI27)))=0,NA(),
INDEX(TAB_Offres[Ressource 1],ROWS(Params!AI$2:$AI27)))),
IFERROR(_xlfn.SINGLE(IF(_xlfn.SINGLE(INDEX(#REF!,ROWS(Params!AI$2:$AI27)-COUNTA(TAB_Offres[Ressource 1])))=0,NA(),
INDEX(#REF!,ROWS(Params!AI$2:$AI27)-COUNTA(TAB_Offres[Ressource 1])))),
IFERROR(_xlfn.SINGLE(IF(_xlfn.SINGLE(INDEX(#REF!,ROWS(Params!AI$2:$AI27)-COUNTA(#REF!)-COUNTA(TAB_Offres[Ressource 1])))=0,NA(),
INDEX(#REF!,ROWS(Params!AI$2:$AI27)-COUNTA(#REF!)-COUNTA(TAB_Offres[Ressource 1])))),""))
)</f>
        <v>MEDAN, Andrei</v>
      </c>
      <c r="AJ27" s="143">
        <f>IF(TAB_ressource[[#This Row],[Import Ressource]]="","",MAX(AJ$1:AJ26)+1)</f>
        <v>26</v>
      </c>
      <c r="AK27" s="176" t="str">
        <f>IFERROR(INDEX(TAB_ressource[Import Ressource],MATCH(ROW()-ROW($AK$1),TAB_ressource[ID Import ressources],0)),"")</f>
        <v>MEDAN, Andrei</v>
      </c>
      <c r="AM27" s="26" t="str">
        <v>SANTILLI, Antonio</v>
      </c>
      <c r="AN27" s="26" t="str">
        <f t="shared" si="1"/>
        <v>SANTILLI, Antonio</v>
      </c>
      <c r="AO27" s="154" t="s">
        <v>5426</v>
      </c>
      <c r="AQ27" s="114"/>
      <c r="AR27" s="115">
        <f>COUNTIF(TAB_CS[Profile],AQ27)</f>
        <v>0</v>
      </c>
      <c r="BD27" t="s">
        <v>691</v>
      </c>
      <c r="BE27" t="s">
        <v>692</v>
      </c>
      <c r="BF27" t="s">
        <v>693</v>
      </c>
      <c r="BG27" t="s">
        <v>691</v>
      </c>
    </row>
    <row r="28" spans="2:59" x14ac:dyDescent="0.25">
      <c r="M28" t="str">
        <f>_xlfn.IFNA(IF(VLOOKUP(TAB_Offres[[#This Row],[Reference]],TAB_Offres[[Reference]:[Request State]],COLUMNS(TAB_Offres[[Reference]:[Request State]]),FALSE)=D$6,TAB_Offres[[#This Row],[Reference]],""),"")</f>
        <v>DIGITTMII-003389-6000053863-REQ-01</v>
      </c>
      <c r="N28" t="str">
        <f>_xlfn.IFNA(IF(VLOOKUP(TAB_Offres[[#This Row],[Reference]],TAB_Offres[[Reference]:[Has Expenses?]],COLUMNS(TAB_Offres[[Reference]:[Has Expenses?]]),FALSE)=J$2,TAB_Offres[[#This Row],[Reference]],""),"")</f>
        <v/>
      </c>
      <c r="O28" t="str">
        <f>IF(Tableau19[[#This Row],[EXPENSES_REF]]="","",MAX(O$1:O27)+1)</f>
        <v/>
      </c>
      <c r="P28" t="str">
        <f t="shared" si="0"/>
        <v/>
      </c>
      <c r="R28" s="98" t="s">
        <v>50</v>
      </c>
      <c r="S28" s="2">
        <v>315.7</v>
      </c>
      <c r="T28" s="96">
        <v>337.8</v>
      </c>
      <c r="U28" s="96">
        <v>361.45</v>
      </c>
      <c r="V28" s="96">
        <v>386.75</v>
      </c>
      <c r="W28" s="96">
        <v>413.82</v>
      </c>
      <c r="X28" s="96">
        <v>442.79</v>
      </c>
      <c r="Y28" s="96">
        <v>473.79</v>
      </c>
      <c r="Z28" s="96">
        <v>506.96</v>
      </c>
      <c r="AA28" s="96">
        <v>542.45000000000005</v>
      </c>
      <c r="AB28" s="96">
        <v>580.41999999999996</v>
      </c>
      <c r="AC28" s="96">
        <v>621.04999999999995</v>
      </c>
      <c r="AD28" s="33" t="s">
        <v>139</v>
      </c>
      <c r="AE28" s="33"/>
      <c r="AF28" s="33"/>
      <c r="AG28" s="33"/>
      <c r="AH28" s="4"/>
      <c r="AI28" s="3" t="str">
        <f>IFERROR(_xlfn.SINGLE(
IF(_xlfn.SINGLE(INDEX(TAB_Offres[Ressource 1],ROWS(Params!AI$2:$AI28)))=0,NA(),
INDEX(TAB_Offres[Ressource 1],ROWS(Params!AI$2:$AI28)))),
IFERROR(_xlfn.SINGLE(IF(_xlfn.SINGLE(INDEX(#REF!,ROWS(Params!AI$2:$AI28)-COUNTA(TAB_Offres[Ressource 1])))=0,NA(),
INDEX(#REF!,ROWS(Params!AI$2:$AI28)-COUNTA(TAB_Offres[Ressource 1])))),
IFERROR(_xlfn.SINGLE(IF(_xlfn.SINGLE(INDEX(#REF!,ROWS(Params!AI$2:$AI28)-COUNTA(#REF!)-COUNTA(TAB_Offres[Ressource 1])))=0,NA(),
INDEX(#REF!,ROWS(Params!AI$2:$AI28)-COUNTA(#REF!)-COUNTA(TAB_Offres[Ressource 1])))),""))
)</f>
        <v>CHATTERJEE, Pallavi</v>
      </c>
      <c r="AJ28" s="143">
        <f>IF(TAB_ressource[[#This Row],[Import Ressource]]="","",MAX(AJ$1:AJ27)+1)</f>
        <v>27</v>
      </c>
      <c r="AK28" s="176" t="str">
        <f>IFERROR(INDEX(TAB_ressource[Import Ressource],MATCH(ROW()-ROW($AK$1),TAB_ressource[ID Import ressources],0)),"")</f>
        <v>CHATTERJEE, Pallavi</v>
      </c>
      <c r="AM28" s="26" t="str">
        <v>MASTRANDREA, Barbara Maria</v>
      </c>
      <c r="AN28" s="26" t="str">
        <f t="shared" si="1"/>
        <v>MASTRANDREA, Barbara Maria</v>
      </c>
      <c r="AO28" s="154" t="s">
        <v>5426</v>
      </c>
      <c r="AQ28" s="114" t="s">
        <v>50</v>
      </c>
      <c r="AR28" s="115">
        <f>COUNTIF(TAB_CS[Profile],AQ28)</f>
        <v>0</v>
      </c>
      <c r="BD28" t="s">
        <v>694</v>
      </c>
      <c r="BE28" t="s">
        <v>695</v>
      </c>
      <c r="BF28" t="s">
        <v>696</v>
      </c>
      <c r="BG28" t="s">
        <v>694</v>
      </c>
    </row>
    <row r="29" spans="2:59" x14ac:dyDescent="0.25">
      <c r="M29" t="str">
        <f>_xlfn.IFNA(IF(VLOOKUP(TAB_Offres[[#This Row],[Reference]],TAB_Offres[[Reference]:[Request State]],COLUMNS(TAB_Offres[[Reference]:[Request State]]),FALSE)=D$6,TAB_Offres[[#This Row],[Reference]],""),"")</f>
        <v>DIGITTMII-003431-6000053863-REQ-01</v>
      </c>
      <c r="N29" t="str">
        <f>_xlfn.IFNA(IF(VLOOKUP(TAB_Offres[[#This Row],[Reference]],TAB_Offres[[Reference]:[Has Expenses?]],COLUMNS(TAB_Offres[[Reference]:[Has Expenses?]]),FALSE)=J$2,TAB_Offres[[#This Row],[Reference]],""),"")</f>
        <v/>
      </c>
      <c r="O29" t="str">
        <f>IF(Tableau19[[#This Row],[EXPENSES_REF]]="","",MAX(O$1:O28)+1)</f>
        <v/>
      </c>
      <c r="P29" t="str">
        <f t="shared" si="0"/>
        <v/>
      </c>
      <c r="R29" s="98" t="s">
        <v>51</v>
      </c>
      <c r="S29" s="2">
        <v>315.7</v>
      </c>
      <c r="T29" s="96">
        <v>337.8</v>
      </c>
      <c r="U29" s="96">
        <v>361.45</v>
      </c>
      <c r="V29" s="96">
        <v>386.75</v>
      </c>
      <c r="W29" s="96">
        <v>413.82</v>
      </c>
      <c r="X29" s="96">
        <v>442.79</v>
      </c>
      <c r="Y29" s="96">
        <v>473.79</v>
      </c>
      <c r="Z29" s="96">
        <v>506.96</v>
      </c>
      <c r="AA29" s="96">
        <v>542.45000000000005</v>
      </c>
      <c r="AB29" s="96">
        <v>580.41999999999996</v>
      </c>
      <c r="AC29" s="96">
        <v>621.04999999999995</v>
      </c>
      <c r="AD29" s="33" t="s">
        <v>139</v>
      </c>
      <c r="AE29" s="33"/>
      <c r="AF29" s="33"/>
      <c r="AG29" s="33"/>
      <c r="AH29" s="4"/>
      <c r="AI29" s="3" t="str">
        <f>IFERROR(_xlfn.SINGLE(
IF(_xlfn.SINGLE(INDEX(TAB_Offres[Ressource 1],ROWS(Params!AI$2:$AI29)))=0,NA(),
INDEX(TAB_Offres[Ressource 1],ROWS(Params!AI$2:$AI29)))),
IFERROR(_xlfn.SINGLE(IF(_xlfn.SINGLE(INDEX(#REF!,ROWS(Params!AI$2:$AI29)-COUNTA(TAB_Offres[Ressource 1])))=0,NA(),
INDEX(#REF!,ROWS(Params!AI$2:$AI29)-COUNTA(TAB_Offres[Ressource 1])))),
IFERROR(_xlfn.SINGLE(IF(_xlfn.SINGLE(INDEX(#REF!,ROWS(Params!AI$2:$AI29)-COUNTA(#REF!)-COUNTA(TAB_Offres[Ressource 1])))=0,NA(),
INDEX(#REF!,ROWS(Params!AI$2:$AI29)-COUNTA(#REF!)-COUNTA(TAB_Offres[Ressource 1])))),""))
)</f>
        <v>SANTILLI, Antonio</v>
      </c>
      <c r="AJ29" s="143">
        <f>IF(TAB_ressource[[#This Row],[Import Ressource]]="","",MAX(AJ$1:AJ28)+1)</f>
        <v>28</v>
      </c>
      <c r="AK29" s="176" t="str">
        <f>IFERROR(INDEX(TAB_ressource[Import Ressource],MATCH(ROW()-ROW($AK$1),TAB_ressource[ID Import ressources],0)),"")</f>
        <v>SANTILLI, Antonio</v>
      </c>
      <c r="AM29" s="26" t="str">
        <v>OLLINGER, Yannick</v>
      </c>
      <c r="AN29" s="26" t="str">
        <f t="shared" si="1"/>
        <v>OLLINGER, Yannick</v>
      </c>
      <c r="AO29" s="154" t="s">
        <v>5426</v>
      </c>
      <c r="AQ29" s="114" t="s">
        <v>51</v>
      </c>
      <c r="AR29" s="115">
        <f>COUNTIF(TAB_CS[Profile],AQ29)</f>
        <v>0</v>
      </c>
      <c r="BD29" t="s">
        <v>697</v>
      </c>
      <c r="BE29" t="s">
        <v>698</v>
      </c>
      <c r="BF29" t="s">
        <v>699</v>
      </c>
      <c r="BG29" t="s">
        <v>697</v>
      </c>
    </row>
    <row r="30" spans="2:59" x14ac:dyDescent="0.25">
      <c r="M30" t="str">
        <f>_xlfn.IFNA(IF(VLOOKUP(TAB_Offres[[#This Row],[Reference]],TAB_Offres[[Reference]:[Request State]],COLUMNS(TAB_Offres[[Reference]:[Request State]]),FALSE)=D$6,TAB_Offres[[#This Row],[Reference]],""),"")</f>
        <v>DIGITTMII-003463-6000053863-REQ-01</v>
      </c>
      <c r="N30" t="str">
        <f>_xlfn.IFNA(IF(VLOOKUP(TAB_Offres[[#This Row],[Reference]],TAB_Offres[[Reference]:[Has Expenses?]],COLUMNS(TAB_Offres[[Reference]:[Has Expenses?]]),FALSE)=J$2,TAB_Offres[[#This Row],[Reference]],""),"")</f>
        <v/>
      </c>
      <c r="O30" t="str">
        <f>IF(Tableau19[[#This Row],[EXPENSES_REF]]="","",MAX(O$1:O29)+1)</f>
        <v/>
      </c>
      <c r="P30" t="str">
        <f t="shared" si="0"/>
        <v/>
      </c>
      <c r="R30" s="98" t="s">
        <v>52</v>
      </c>
      <c r="S30" s="2">
        <v>315.7</v>
      </c>
      <c r="T30" s="96">
        <v>337.8</v>
      </c>
      <c r="U30" s="96">
        <v>361.45</v>
      </c>
      <c r="V30" s="96">
        <v>386.75</v>
      </c>
      <c r="W30" s="96">
        <v>413.82</v>
      </c>
      <c r="X30" s="96">
        <v>442.79</v>
      </c>
      <c r="Y30" s="96">
        <v>473.79</v>
      </c>
      <c r="Z30" s="96">
        <v>506.96</v>
      </c>
      <c r="AA30" s="96">
        <v>542.45000000000005</v>
      </c>
      <c r="AB30" s="96">
        <v>580.41999999999996</v>
      </c>
      <c r="AC30" s="96">
        <v>621.04999999999995</v>
      </c>
      <c r="AD30" s="33" t="s">
        <v>139</v>
      </c>
      <c r="AE30" s="33"/>
      <c r="AF30" s="33"/>
      <c r="AG30" s="33"/>
      <c r="AH30" s="4"/>
      <c r="AI30" s="3" t="str">
        <f>IFERROR(_xlfn.SINGLE(
IF(_xlfn.SINGLE(INDEX(TAB_Offres[Ressource 1],ROWS(Params!AI$2:$AI30)))=0,NA(),
INDEX(TAB_Offres[Ressource 1],ROWS(Params!AI$2:$AI30)))),
IFERROR(_xlfn.SINGLE(IF(_xlfn.SINGLE(INDEX(#REF!,ROWS(Params!AI$2:$AI30)-COUNTA(TAB_Offres[Ressource 1])))=0,NA(),
INDEX(#REF!,ROWS(Params!AI$2:$AI30)-COUNTA(TAB_Offres[Ressource 1])))),
IFERROR(_xlfn.SINGLE(IF(_xlfn.SINGLE(INDEX(#REF!,ROWS(Params!AI$2:$AI30)-COUNTA(#REF!)-COUNTA(TAB_Offres[Ressource 1])))=0,NA(),
INDEX(#REF!,ROWS(Params!AI$2:$AI30)-COUNTA(#REF!)-COUNTA(TAB_Offres[Ressource 1])))),""))
)</f>
        <v>MASTRANDREA, Barbara Maria</v>
      </c>
      <c r="AJ30" s="143">
        <f>IF(TAB_ressource[[#This Row],[Import Ressource]]="","",MAX(AJ$1:AJ29)+1)</f>
        <v>29</v>
      </c>
      <c r="AK30" s="176" t="str">
        <f>IFERROR(INDEX(TAB_ressource[Import Ressource],MATCH(ROW()-ROW($AK$1),TAB_ressource[ID Import ressources],0)),"")</f>
        <v>MASTRANDREA, Barbara Maria</v>
      </c>
      <c r="AM30" s="26" t="str">
        <v>WHYE, Gregory</v>
      </c>
      <c r="AN30" s="26" t="str">
        <f t="shared" si="1"/>
        <v>WHYE, Gregory</v>
      </c>
      <c r="AO30" s="154" t="s">
        <v>521</v>
      </c>
      <c r="AQ30" s="114" t="s">
        <v>52</v>
      </c>
      <c r="AR30" s="115">
        <f>COUNTIF(TAB_CS[Profile],AQ30)</f>
        <v>0</v>
      </c>
      <c r="BD30" t="s">
        <v>700</v>
      </c>
      <c r="BE30" t="s">
        <v>701</v>
      </c>
      <c r="BF30" t="s">
        <v>702</v>
      </c>
      <c r="BG30" t="s">
        <v>700</v>
      </c>
    </row>
    <row r="31" spans="2:59" x14ac:dyDescent="0.25">
      <c r="M31" t="str">
        <f>_xlfn.IFNA(IF(VLOOKUP(TAB_Offres[[#This Row],[Reference]],TAB_Offres[[Reference]:[Request State]],COLUMNS(TAB_Offres[[Reference]:[Request State]]),FALSE)=D$6,TAB_Offres[[#This Row],[Reference]],""),"")</f>
        <v>DIGITTMII-003533-6000053863-REQ-01</v>
      </c>
      <c r="N31" t="str">
        <f>_xlfn.IFNA(IF(VLOOKUP(TAB_Offres[[#This Row],[Reference]],TAB_Offres[[Reference]:[Has Expenses?]],COLUMNS(TAB_Offres[[Reference]:[Has Expenses?]]),FALSE)=J$2,TAB_Offres[[#This Row],[Reference]],""),"")</f>
        <v/>
      </c>
      <c r="O31" t="str">
        <f>IF(Tableau19[[#This Row],[EXPENSES_REF]]="","",MAX(O$1:O30)+1)</f>
        <v/>
      </c>
      <c r="P31" t="str">
        <f t="shared" si="0"/>
        <v/>
      </c>
      <c r="R31" s="98" t="s">
        <v>53</v>
      </c>
      <c r="S31" s="2">
        <v>315.7</v>
      </c>
      <c r="T31" s="96">
        <v>337.8</v>
      </c>
      <c r="U31" s="96">
        <v>361.45</v>
      </c>
      <c r="V31" s="96">
        <v>386.75</v>
      </c>
      <c r="W31" s="96">
        <v>413.82</v>
      </c>
      <c r="X31" s="96">
        <v>442.79</v>
      </c>
      <c r="Y31" s="96">
        <v>473.79</v>
      </c>
      <c r="Z31" s="96">
        <v>506.96</v>
      </c>
      <c r="AA31" s="96">
        <v>542.45000000000005</v>
      </c>
      <c r="AB31" s="96">
        <v>580.41999999999996</v>
      </c>
      <c r="AC31" s="96">
        <v>621.04999999999995</v>
      </c>
      <c r="AD31" s="33" t="s">
        <v>139</v>
      </c>
      <c r="AE31" s="33"/>
      <c r="AF31" s="33"/>
      <c r="AG31" s="33"/>
      <c r="AH31" s="4"/>
      <c r="AI31" s="3" t="str">
        <f>IFERROR(_xlfn.SINGLE(
IF(_xlfn.SINGLE(INDEX(TAB_Offres[Ressource 1],ROWS(Params!AI$2:$AI31)))=0,NA(),
INDEX(TAB_Offres[Ressource 1],ROWS(Params!AI$2:$AI31)))),
IFERROR(_xlfn.SINGLE(IF(_xlfn.SINGLE(INDEX(#REF!,ROWS(Params!AI$2:$AI31)-COUNTA(TAB_Offres[Ressource 1])))=0,NA(),
INDEX(#REF!,ROWS(Params!AI$2:$AI31)-COUNTA(TAB_Offres[Ressource 1])))),
IFERROR(_xlfn.SINGLE(IF(_xlfn.SINGLE(INDEX(#REF!,ROWS(Params!AI$2:$AI31)-COUNTA(#REF!)-COUNTA(TAB_Offres[Ressource 1])))=0,NA(),
INDEX(#REF!,ROWS(Params!AI$2:$AI31)-COUNTA(#REF!)-COUNTA(TAB_Offres[Ressource 1])))),""))
)</f>
        <v>OLLINGER, Yannick</v>
      </c>
      <c r="AJ31" s="143">
        <f>IF(TAB_ressource[[#This Row],[Import Ressource]]="","",MAX(AJ$1:AJ30)+1)</f>
        <v>30</v>
      </c>
      <c r="AK31" s="176" t="str">
        <f>IFERROR(INDEX(TAB_ressource[Import Ressource],MATCH(ROW()-ROW($AK$1),TAB_ressource[ID Import ressources],0)),"")</f>
        <v>OLLINGER, Yannick</v>
      </c>
      <c r="AM31" s="26" t="str">
        <v>IERVOLINO, Andrea</v>
      </c>
      <c r="AN31" s="26" t="str">
        <f t="shared" si="1"/>
        <v>IERVOLINO, Andrea</v>
      </c>
      <c r="AO31" s="154" t="s">
        <v>521</v>
      </c>
      <c r="AQ31" s="114" t="s">
        <v>53</v>
      </c>
      <c r="AR31" s="115">
        <f>COUNTIF(TAB_CS[Profile],AQ31)</f>
        <v>1</v>
      </c>
      <c r="BD31" t="s">
        <v>703</v>
      </c>
      <c r="BE31" t="s">
        <v>704</v>
      </c>
      <c r="BF31" t="s">
        <v>705</v>
      </c>
      <c r="BG31" t="s">
        <v>703</v>
      </c>
    </row>
    <row r="32" spans="2:59" x14ac:dyDescent="0.25">
      <c r="M32" t="str">
        <f>_xlfn.IFNA(IF(VLOOKUP(TAB_Offres[[#This Row],[Reference]],TAB_Offres[[Reference]:[Request State]],COLUMNS(TAB_Offres[[Reference]:[Request State]]),FALSE)=D$6,TAB_Offres[[#This Row],[Reference]],""),"")</f>
        <v>DIGITTMII-003743-6000053863-REQ-01</v>
      </c>
      <c r="N32" t="str">
        <f>_xlfn.IFNA(IF(VLOOKUP(TAB_Offres[[#This Row],[Reference]],TAB_Offres[[Reference]:[Has Expenses?]],COLUMNS(TAB_Offres[[Reference]:[Has Expenses?]]),FALSE)=J$2,TAB_Offres[[#This Row],[Reference]],""),"")</f>
        <v/>
      </c>
      <c r="O32" t="str">
        <f>IF(Tableau19[[#This Row],[EXPENSES_REF]]="","",MAX(O$1:O31)+1)</f>
        <v/>
      </c>
      <c r="P32" t="str">
        <f t="shared" si="0"/>
        <v/>
      </c>
      <c r="R32" s="98" t="s">
        <v>54</v>
      </c>
      <c r="S32" s="2">
        <v>410</v>
      </c>
      <c r="T32" s="96">
        <v>438.7</v>
      </c>
      <c r="U32" s="96">
        <v>469.41</v>
      </c>
      <c r="V32" s="96">
        <v>502.27</v>
      </c>
      <c r="W32" s="96">
        <v>537.42999999999995</v>
      </c>
      <c r="X32" s="96">
        <v>575.04999999999995</v>
      </c>
      <c r="Y32" s="96">
        <v>615.29999999999995</v>
      </c>
      <c r="Z32" s="96">
        <v>658.37</v>
      </c>
      <c r="AA32" s="96">
        <v>704.46</v>
      </c>
      <c r="AB32" s="96">
        <v>753.77</v>
      </c>
      <c r="AC32" s="96">
        <v>806.53</v>
      </c>
      <c r="AD32" s="33" t="s">
        <v>139</v>
      </c>
      <c r="AE32" s="33"/>
      <c r="AF32" s="33"/>
      <c r="AG32" s="33"/>
      <c r="AH32" s="4"/>
      <c r="AI32" s="3" t="str">
        <f>IFERROR(_xlfn.SINGLE(
IF(_xlfn.SINGLE(INDEX(TAB_Offres[Ressource 1],ROWS(Params!AI$2:$AI32)))=0,NA(),
INDEX(TAB_Offres[Ressource 1],ROWS(Params!AI$2:$AI32)))),
IFERROR(_xlfn.SINGLE(IF(_xlfn.SINGLE(INDEX(#REF!,ROWS(Params!AI$2:$AI32)-COUNTA(TAB_Offres[Ressource 1])))=0,NA(),
INDEX(#REF!,ROWS(Params!AI$2:$AI32)-COUNTA(TAB_Offres[Ressource 1])))),
IFERROR(_xlfn.SINGLE(IF(_xlfn.SINGLE(INDEX(#REF!,ROWS(Params!AI$2:$AI32)-COUNTA(#REF!)-COUNTA(TAB_Offres[Ressource 1])))=0,NA(),
INDEX(#REF!,ROWS(Params!AI$2:$AI32)-COUNTA(#REF!)-COUNTA(TAB_Offres[Ressource 1])))),""))
)</f>
        <v>WHYE, Gregory</v>
      </c>
      <c r="AJ32" s="143">
        <f>IF(TAB_ressource[[#This Row],[Import Ressource]]="","",MAX(AJ$1:AJ31)+1)</f>
        <v>31</v>
      </c>
      <c r="AK32" s="176" t="str">
        <f>IFERROR(INDEX(TAB_ressource[Import Ressource],MATCH(ROW()-ROW($AK$1),TAB_ressource[ID Import ressources],0)),"")</f>
        <v>WHYE, Gregory</v>
      </c>
      <c r="AM32" s="26" t="str">
        <v>DUMITRU, Florin-Gabriel</v>
      </c>
      <c r="AN32" s="26" t="str">
        <f t="shared" si="1"/>
        <v>DUMITRU, Florin-Gabriel</v>
      </c>
      <c r="AO32" s="154" t="s">
        <v>521</v>
      </c>
      <c r="AQ32" s="114" t="s">
        <v>54</v>
      </c>
      <c r="AR32" s="115">
        <f>COUNTIF(TAB_CS[Profile],AQ32)</f>
        <v>28</v>
      </c>
      <c r="BD32" t="s">
        <v>706</v>
      </c>
      <c r="BE32" t="s">
        <v>707</v>
      </c>
      <c r="BF32" t="s">
        <v>708</v>
      </c>
      <c r="BG32" t="s">
        <v>706</v>
      </c>
    </row>
    <row r="33" spans="13:59" x14ac:dyDescent="0.25">
      <c r="M33" t="str">
        <f>_xlfn.IFNA(IF(VLOOKUP(TAB_Offres[[#This Row],[Reference]],TAB_Offres[[Reference]:[Request State]],COLUMNS(TAB_Offres[[Reference]:[Request State]]),FALSE)=D$6,TAB_Offres[[#This Row],[Reference]],""),"")</f>
        <v>DIGITTMII-003772-6000053863-REQ-01</v>
      </c>
      <c r="N33" t="str">
        <f>_xlfn.IFNA(IF(VLOOKUP(TAB_Offres[[#This Row],[Reference]],TAB_Offres[[Reference]:[Has Expenses?]],COLUMNS(TAB_Offres[[Reference]:[Has Expenses?]]),FALSE)=J$2,TAB_Offres[[#This Row],[Reference]],""),"")</f>
        <v/>
      </c>
      <c r="O33" t="str">
        <f>IF(Tableau19[[#This Row],[EXPENSES_REF]]="","",MAX(O$1:O32)+1)</f>
        <v/>
      </c>
      <c r="P33" t="str">
        <f t="shared" si="0"/>
        <v/>
      </c>
      <c r="R33" s="98" t="s">
        <v>55</v>
      </c>
      <c r="S33" s="2">
        <v>315.39</v>
      </c>
      <c r="T33" s="96">
        <v>337.47</v>
      </c>
      <c r="U33" s="96">
        <v>361.09</v>
      </c>
      <c r="V33" s="96">
        <v>386.37</v>
      </c>
      <c r="W33" s="96">
        <v>413.42</v>
      </c>
      <c r="X33" s="96">
        <v>442.36</v>
      </c>
      <c r="Y33" s="96">
        <v>473.33</v>
      </c>
      <c r="Z33" s="96">
        <v>506.46</v>
      </c>
      <c r="AA33" s="96">
        <v>541.91</v>
      </c>
      <c r="AB33" s="96">
        <v>579.84</v>
      </c>
      <c r="AC33" s="96">
        <v>620.42999999999995</v>
      </c>
      <c r="AD33" s="33" t="s">
        <v>139</v>
      </c>
      <c r="AE33" s="33"/>
      <c r="AF33" s="33"/>
      <c r="AG33" s="33"/>
      <c r="AI33" s="3" t="str">
        <f>IFERROR(_xlfn.SINGLE(
IF(_xlfn.SINGLE(INDEX(TAB_Offres[Ressource 1],ROWS(Params!AI$2:$AI33)))=0,NA(),
INDEX(TAB_Offres[Ressource 1],ROWS(Params!AI$2:$AI33)))),
IFERROR(_xlfn.SINGLE(IF(_xlfn.SINGLE(INDEX(#REF!,ROWS(Params!AI$2:$AI33)-COUNTA(TAB_Offres[Ressource 1])))=0,NA(),
INDEX(#REF!,ROWS(Params!AI$2:$AI33)-COUNTA(TAB_Offres[Ressource 1])))),
IFERROR(_xlfn.SINGLE(IF(_xlfn.SINGLE(INDEX(#REF!,ROWS(Params!AI$2:$AI33)-COUNTA(#REF!)-COUNTA(TAB_Offres[Ressource 1])))=0,NA(),
INDEX(#REF!,ROWS(Params!AI$2:$AI33)-COUNTA(#REF!)-COUNTA(TAB_Offres[Ressource 1])))),""))
)</f>
        <v>IERVOLINO, Andrea</v>
      </c>
      <c r="AJ33" s="143">
        <f>IF(TAB_ressource[[#This Row],[Import Ressource]]="","",MAX(AJ$1:AJ32)+1)</f>
        <v>32</v>
      </c>
      <c r="AK33" s="176" t="str">
        <f>IFERROR(INDEX(TAB_ressource[Import Ressource],MATCH(ROW()-ROW($AK$1),TAB_ressource[ID Import ressources],0)),"")</f>
        <v>IERVOLINO, Andrea</v>
      </c>
      <c r="AM33" s="26" t="str">
        <v>GAGO CABEZAS, Irma</v>
      </c>
      <c r="AN33" s="26" t="str">
        <f t="shared" si="1"/>
        <v>GAGO CABEZAS, Irma</v>
      </c>
      <c r="AO33" s="154" t="s">
        <v>5426</v>
      </c>
      <c r="AQ33" s="114" t="s">
        <v>55</v>
      </c>
      <c r="AR33" s="115">
        <f>COUNTIF(TAB_CS[Profile],AQ33)</f>
        <v>0</v>
      </c>
      <c r="BD33" t="s">
        <v>709</v>
      </c>
      <c r="BE33" t="s">
        <v>710</v>
      </c>
      <c r="BF33" t="s">
        <v>711</v>
      </c>
      <c r="BG33" t="s">
        <v>709</v>
      </c>
    </row>
    <row r="34" spans="13:59" x14ac:dyDescent="0.25">
      <c r="M34" t="str">
        <f>_xlfn.IFNA(IF(VLOOKUP(TAB_Offres[[#This Row],[Reference]],TAB_Offres[[Reference]:[Request State]],COLUMNS(TAB_Offres[[Reference]:[Request State]]),FALSE)=D$6,TAB_Offres[[#This Row],[Reference]],""),"")</f>
        <v>DIGITTMII-004019-6000053863-REQ-01</v>
      </c>
      <c r="N34" t="str">
        <f>_xlfn.IFNA(IF(VLOOKUP(TAB_Offres[[#This Row],[Reference]],TAB_Offres[[Reference]:[Has Expenses?]],COLUMNS(TAB_Offres[[Reference]:[Has Expenses?]]),FALSE)=J$2,TAB_Offres[[#This Row],[Reference]],""),"")</f>
        <v>DIGITTMII-004019-6000053863-REQ-01</v>
      </c>
      <c r="O34">
        <f>IF(Tableau19[[#This Row],[EXPENSES_REF]]="","",MAX(O$1:O33)+1)</f>
        <v>3</v>
      </c>
      <c r="P34" t="str">
        <f t="shared" si="0"/>
        <v/>
      </c>
      <c r="R34" s="98" t="s">
        <v>56</v>
      </c>
      <c r="S34" s="2">
        <v>325</v>
      </c>
      <c r="T34" s="96">
        <v>347.75</v>
      </c>
      <c r="U34" s="96">
        <v>372.09</v>
      </c>
      <c r="V34" s="96">
        <v>398.14</v>
      </c>
      <c r="W34" s="96">
        <v>426.01</v>
      </c>
      <c r="X34" s="96">
        <v>455.83</v>
      </c>
      <c r="Y34" s="96">
        <v>487.74</v>
      </c>
      <c r="Z34" s="96">
        <v>521.88</v>
      </c>
      <c r="AA34" s="96">
        <v>558.41</v>
      </c>
      <c r="AB34" s="96">
        <v>597.5</v>
      </c>
      <c r="AC34" s="96">
        <v>639.33000000000004</v>
      </c>
      <c r="AD34" s="33" t="s">
        <v>139</v>
      </c>
      <c r="AE34" s="33"/>
      <c r="AF34" s="33"/>
      <c r="AG34" s="33"/>
      <c r="AI34" s="3" t="str">
        <f>IFERROR(_xlfn.SINGLE(
IF(_xlfn.SINGLE(INDEX(TAB_Offres[Ressource 1],ROWS(Params!AI$2:$AI34)))=0,NA(),
INDEX(TAB_Offres[Ressource 1],ROWS(Params!AI$2:$AI34)))),
IFERROR(_xlfn.SINGLE(IF(_xlfn.SINGLE(INDEX(#REF!,ROWS(Params!AI$2:$AI34)-COUNTA(TAB_Offres[Ressource 1])))=0,NA(),
INDEX(#REF!,ROWS(Params!AI$2:$AI34)-COUNTA(TAB_Offres[Ressource 1])))),
IFERROR(_xlfn.SINGLE(IF(_xlfn.SINGLE(INDEX(#REF!,ROWS(Params!AI$2:$AI34)-COUNTA(#REF!)-COUNTA(TAB_Offres[Ressource 1])))=0,NA(),
INDEX(#REF!,ROWS(Params!AI$2:$AI34)-COUNTA(#REF!)-COUNTA(TAB_Offres[Ressource 1])))),""))
)</f>
        <v>DUMITRU, Florin-Gabriel</v>
      </c>
      <c r="AJ34" s="143">
        <f>IF(TAB_ressource[[#This Row],[Import Ressource]]="","",MAX(AJ$1:AJ33)+1)</f>
        <v>33</v>
      </c>
      <c r="AK34" s="176" t="str">
        <f>IFERROR(INDEX(TAB_ressource[Import Ressource],MATCH(ROW()-ROW($AK$1),TAB_ressource[ID Import ressources],0)),"")</f>
        <v>DUMITRU, Florin-Gabriel</v>
      </c>
      <c r="AM34" s="26" t="str">
        <v>DEVLEESCHOUWER, Sophie</v>
      </c>
      <c r="AN34" s="26" t="str">
        <f t="shared" si="1"/>
        <v>DEVLEESCHOUWER, Sophie</v>
      </c>
      <c r="AO34" s="235" t="s">
        <v>5427</v>
      </c>
      <c r="AQ34" s="114" t="s">
        <v>56</v>
      </c>
      <c r="AR34" s="115">
        <f>COUNTIF(TAB_CS[Profile],AQ34)</f>
        <v>0</v>
      </c>
      <c r="BD34" t="s">
        <v>712</v>
      </c>
      <c r="BE34" t="s">
        <v>713</v>
      </c>
      <c r="BF34" t="s">
        <v>714</v>
      </c>
      <c r="BG34" t="s">
        <v>712</v>
      </c>
    </row>
    <row r="35" spans="13:59" x14ac:dyDescent="0.25">
      <c r="M35" t="str">
        <f>_xlfn.IFNA(IF(VLOOKUP(TAB_Offres[[#This Row],[Reference]],TAB_Offres[[Reference]:[Request State]],COLUMNS(TAB_Offres[[Reference]:[Request State]]),FALSE)=D$6,TAB_Offres[[#This Row],[Reference]],""),"")</f>
        <v>DIGITTMII-004430-6000053863-REQ-01</v>
      </c>
      <c r="N35" t="str">
        <f>_xlfn.IFNA(IF(VLOOKUP(TAB_Offres[[#This Row],[Reference]],TAB_Offres[[Reference]:[Has Expenses?]],COLUMNS(TAB_Offres[[Reference]:[Has Expenses?]]),FALSE)=J$2,TAB_Offres[[#This Row],[Reference]],""),"")</f>
        <v/>
      </c>
      <c r="O35" t="str">
        <f>IF(Tableau19[[#This Row],[EXPENSES_REF]]="","",MAX(O$1:O34)+1)</f>
        <v/>
      </c>
      <c r="P35" t="str">
        <f t="shared" si="0"/>
        <v/>
      </c>
      <c r="R35" s="98" t="s">
        <v>57</v>
      </c>
      <c r="S35" s="2">
        <v>325</v>
      </c>
      <c r="T35" s="96">
        <v>347.75</v>
      </c>
      <c r="U35" s="96">
        <v>372.09</v>
      </c>
      <c r="V35" s="96">
        <v>398.14</v>
      </c>
      <c r="W35" s="96">
        <v>426.01</v>
      </c>
      <c r="X35" s="96">
        <v>455.83</v>
      </c>
      <c r="Y35" s="96">
        <v>487.74</v>
      </c>
      <c r="Z35" s="96">
        <v>521.88</v>
      </c>
      <c r="AA35" s="96">
        <v>558.41</v>
      </c>
      <c r="AB35" s="96">
        <v>597.5</v>
      </c>
      <c r="AC35" s="96">
        <v>639.33000000000004</v>
      </c>
      <c r="AD35" s="33" t="s">
        <v>139</v>
      </c>
      <c r="AE35" s="33"/>
      <c r="AF35" s="33"/>
      <c r="AG35" s="33"/>
      <c r="AI35" s="3" t="str">
        <f>IFERROR(_xlfn.SINGLE(
IF(_xlfn.SINGLE(INDEX(TAB_Offres[Ressource 1],ROWS(Params!AI$2:$AI35)))=0,NA(),
INDEX(TAB_Offres[Ressource 1],ROWS(Params!AI$2:$AI35)))),
IFERROR(_xlfn.SINGLE(IF(_xlfn.SINGLE(INDEX(#REF!,ROWS(Params!AI$2:$AI35)-COUNTA(TAB_Offres[Ressource 1])))=0,NA(),
INDEX(#REF!,ROWS(Params!AI$2:$AI35)-COUNTA(TAB_Offres[Ressource 1])))),
IFERROR(_xlfn.SINGLE(IF(_xlfn.SINGLE(INDEX(#REF!,ROWS(Params!AI$2:$AI35)-COUNTA(#REF!)-COUNTA(TAB_Offres[Ressource 1])))=0,NA(),
INDEX(#REF!,ROWS(Params!AI$2:$AI35)-COUNTA(#REF!)-COUNTA(TAB_Offres[Ressource 1])))),""))
)</f>
        <v>GAGO CABEZAS, Irma</v>
      </c>
      <c r="AJ35" s="143">
        <f>IF(TAB_ressource[[#This Row],[Import Ressource]]="","",MAX(AJ$1:AJ34)+1)</f>
        <v>34</v>
      </c>
      <c r="AK35" s="176" t="str">
        <f>IFERROR(INDEX(TAB_ressource[Import Ressource],MATCH(ROW()-ROW($AK$1),TAB_ressource[ID Import ressources],0)),"")</f>
        <v>GAGO CABEZAS, Irma</v>
      </c>
      <c r="AM35" s="26" t="str">
        <v>DEBSKI, Tomasz</v>
      </c>
      <c r="AN35" s="26" t="str">
        <f>AM35</f>
        <v>DEBSKI, Tomasz</v>
      </c>
      <c r="AO35" s="234" t="s">
        <v>5428</v>
      </c>
      <c r="AQ35" s="114" t="s">
        <v>57</v>
      </c>
      <c r="AR35" s="115">
        <f>COUNTIF(TAB_CS[Profile],AQ35)</f>
        <v>0</v>
      </c>
      <c r="BD35" t="s">
        <v>715</v>
      </c>
      <c r="BE35" t="s">
        <v>716</v>
      </c>
      <c r="BF35" t="s">
        <v>717</v>
      </c>
      <c r="BG35" t="s">
        <v>715</v>
      </c>
    </row>
    <row r="36" spans="13:59" x14ac:dyDescent="0.25">
      <c r="M36" t="str">
        <f>_xlfn.IFNA(IF(VLOOKUP(TAB_Offres[[#This Row],[Reference]],TAB_Offres[[Reference]:[Request State]],COLUMNS(TAB_Offres[[Reference]:[Request State]]),FALSE)=D$6,TAB_Offres[[#This Row],[Reference]],""),"")</f>
        <v>DIGITTMII-004446-6000053863-REQ-01</v>
      </c>
      <c r="N36" t="str">
        <f>_xlfn.IFNA(IF(VLOOKUP(TAB_Offres[[#This Row],[Reference]],TAB_Offres[[Reference]:[Has Expenses?]],COLUMNS(TAB_Offres[[Reference]:[Has Expenses?]]),FALSE)=J$2,TAB_Offres[[#This Row],[Reference]],""),"")</f>
        <v/>
      </c>
      <c r="O36" t="str">
        <f>IF(Tableau19[[#This Row],[EXPENSES_REF]]="","",MAX(O$1:O35)+1)</f>
        <v/>
      </c>
      <c r="P36" t="str">
        <f t="shared" si="0"/>
        <v/>
      </c>
      <c r="R36" s="98" t="s">
        <v>58</v>
      </c>
      <c r="S36" s="2">
        <v>315.7</v>
      </c>
      <c r="T36" s="96">
        <v>337.8</v>
      </c>
      <c r="U36" s="96">
        <v>361.45</v>
      </c>
      <c r="V36" s="96">
        <v>386.75</v>
      </c>
      <c r="W36" s="96">
        <v>413.82</v>
      </c>
      <c r="X36" s="96">
        <v>442.79</v>
      </c>
      <c r="Y36" s="96">
        <v>473.79</v>
      </c>
      <c r="Z36" s="96">
        <v>506.96</v>
      </c>
      <c r="AA36" s="96">
        <v>542.45000000000005</v>
      </c>
      <c r="AB36" s="96">
        <v>580.41999999999996</v>
      </c>
      <c r="AC36" s="96">
        <v>621.04999999999995</v>
      </c>
      <c r="AD36" s="33" t="s">
        <v>139</v>
      </c>
      <c r="AE36" s="33"/>
      <c r="AF36" s="33"/>
      <c r="AG36" s="33"/>
      <c r="AI36" s="3" t="str">
        <f>IFERROR(_xlfn.SINGLE(
IF(_xlfn.SINGLE(INDEX(TAB_Offres[Ressource 1],ROWS(Params!AI$2:$AI36)))=0,NA(),
INDEX(TAB_Offres[Ressource 1],ROWS(Params!AI$2:$AI36)))),
IFERROR(_xlfn.SINGLE(IF(_xlfn.SINGLE(INDEX(#REF!,ROWS(Params!AI$2:$AI36)-COUNTA(TAB_Offres[Ressource 1])))=0,NA(),
INDEX(#REF!,ROWS(Params!AI$2:$AI36)-COUNTA(TAB_Offres[Ressource 1])))),
IFERROR(_xlfn.SINGLE(IF(_xlfn.SINGLE(INDEX(#REF!,ROWS(Params!AI$2:$AI36)-COUNTA(#REF!)-COUNTA(TAB_Offres[Ressource 1])))=0,NA(),
INDEX(#REF!,ROWS(Params!AI$2:$AI36)-COUNTA(#REF!)-COUNTA(TAB_Offres[Ressource 1])))),""))
)</f>
        <v>DEVLEESCHOUWER, Sophie</v>
      </c>
      <c r="AJ36" s="143">
        <f>IF(TAB_ressource[[#This Row],[Import Ressource]]="","",MAX(AJ$1:AJ35)+1)</f>
        <v>35</v>
      </c>
      <c r="AK36" s="176" t="str">
        <f>IFERROR(INDEX(TAB_ressource[Import Ressource],MATCH(ROW()-ROW($AK$1),TAB_ressource[ID Import ressources],0)),"")</f>
        <v>DEVLEESCHOUWER, Sophie</v>
      </c>
      <c r="AM36" s="26" t="str">
        <v>ADESANYA, Kehinde</v>
      </c>
      <c r="AN36" s="26" t="str">
        <f t="shared" si="1"/>
        <v>ADESANYA, Kehinde</v>
      </c>
      <c r="AO36" s="235" t="s">
        <v>5429</v>
      </c>
      <c r="AQ36" s="116" t="s">
        <v>58</v>
      </c>
      <c r="AR36" s="117">
        <f>COUNTIF(TAB_CS[Profile],AQ36)</f>
        <v>0</v>
      </c>
      <c r="BD36" t="s">
        <v>718</v>
      </c>
      <c r="BE36" t="s">
        <v>719</v>
      </c>
      <c r="BF36" t="s">
        <v>720</v>
      </c>
      <c r="BG36" t="s">
        <v>718</v>
      </c>
    </row>
    <row r="37" spans="13:59" x14ac:dyDescent="0.25">
      <c r="M37" t="str">
        <f>_xlfn.IFNA(IF(VLOOKUP(TAB_Offres[[#This Row],[Reference]],TAB_Offres[[Reference]:[Request State]],COLUMNS(TAB_Offres[[Reference]:[Request State]]),FALSE)=D$6,TAB_Offres[[#This Row],[Reference]],""),"")</f>
        <v>DIGITTMII-004465-6000053863-REQ-01</v>
      </c>
      <c r="N37" t="str">
        <f>_xlfn.IFNA(IF(VLOOKUP(TAB_Offres[[#This Row],[Reference]],TAB_Offres[[Reference]:[Has Expenses?]],COLUMNS(TAB_Offres[[Reference]:[Has Expenses?]]),FALSE)=J$2,TAB_Offres[[#This Row],[Reference]],""),"")</f>
        <v>DIGITTMII-004465-6000053863-REQ-01</v>
      </c>
      <c r="O37">
        <f>IF(Tableau19[[#This Row],[EXPENSES_REF]]="","",MAX(O$1:O36)+1)</f>
        <v>4</v>
      </c>
      <c r="P37" t="str">
        <f t="shared" si="0"/>
        <v/>
      </c>
      <c r="R37" s="99" t="s">
        <v>59</v>
      </c>
      <c r="S37" s="2">
        <v>315.7</v>
      </c>
      <c r="T37" s="96">
        <v>337.8</v>
      </c>
      <c r="U37" s="96">
        <v>361.45</v>
      </c>
      <c r="V37" s="96">
        <v>386.75</v>
      </c>
      <c r="W37" s="96">
        <v>413.82</v>
      </c>
      <c r="X37" s="96">
        <v>442.79</v>
      </c>
      <c r="Y37" s="96">
        <v>473.79</v>
      </c>
      <c r="Z37" s="96">
        <v>506.96</v>
      </c>
      <c r="AA37" s="96">
        <v>542.45000000000005</v>
      </c>
      <c r="AB37" s="96">
        <v>580.41999999999996</v>
      </c>
      <c r="AC37" s="96">
        <v>621.04999999999995</v>
      </c>
      <c r="AD37" s="33" t="s">
        <v>139</v>
      </c>
      <c r="AE37" s="33"/>
      <c r="AF37" s="33"/>
      <c r="AG37" s="33"/>
      <c r="AI37" s="3" t="str">
        <f>IFERROR(_xlfn.SINGLE(
IF(_xlfn.SINGLE(INDEX(TAB_Offres[Ressource 1],ROWS(Params!AI$2:$AI37)))=0,NA(),
INDEX(TAB_Offres[Ressource 1],ROWS(Params!AI$2:$AI37)))),
IFERROR(_xlfn.SINGLE(IF(_xlfn.SINGLE(INDEX(#REF!,ROWS(Params!AI$2:$AI37)-COUNTA(TAB_Offres[Ressource 1])))=0,NA(),
INDEX(#REF!,ROWS(Params!AI$2:$AI37)-COUNTA(TAB_Offres[Ressource 1])))),
IFERROR(_xlfn.SINGLE(IF(_xlfn.SINGLE(INDEX(#REF!,ROWS(Params!AI$2:$AI37)-COUNTA(#REF!)-COUNTA(TAB_Offres[Ressource 1])))=0,NA(),
INDEX(#REF!,ROWS(Params!AI$2:$AI37)-COUNTA(#REF!)-COUNTA(TAB_Offres[Ressource 1])))),""))
)</f>
        <v>DEBSKI, Tomasz</v>
      </c>
      <c r="AJ37" s="143">
        <f>IF(TAB_ressource[[#This Row],[Import Ressource]]="","",MAX(AJ$1:AJ36)+1)</f>
        <v>36</v>
      </c>
      <c r="AK37" s="176" t="str">
        <f>IFERROR(INDEX(TAB_ressource[Import Ressource],MATCH(ROW()-ROW($AK$1),TAB_ressource[ID Import ressources],0)),"")</f>
        <v>DEBSKI, Tomasz</v>
      </c>
      <c r="AM37" s="26" t="str">
        <v>DI GIACOMO, Debora</v>
      </c>
      <c r="AN37" s="26" t="str">
        <f t="shared" si="1"/>
        <v>DI GIACOMO, Debora</v>
      </c>
      <c r="AO37" s="154" t="s">
        <v>5426</v>
      </c>
      <c r="AQ37" s="114" t="s">
        <v>59</v>
      </c>
      <c r="AR37" s="115">
        <f>COUNTIF(TAB_CS[Profile],AQ37)</f>
        <v>0</v>
      </c>
      <c r="BD37" t="s">
        <v>721</v>
      </c>
      <c r="BE37" t="s">
        <v>722</v>
      </c>
      <c r="BF37" t="s">
        <v>723</v>
      </c>
      <c r="BG37" t="s">
        <v>721</v>
      </c>
    </row>
    <row r="38" spans="13:59" x14ac:dyDescent="0.25">
      <c r="M38" t="str">
        <f>_xlfn.IFNA(IF(VLOOKUP(TAB_Offres[[#This Row],[Reference]],TAB_Offres[[Reference]:[Request State]],COLUMNS(TAB_Offres[[Reference]:[Request State]]),FALSE)=D$6,TAB_Offres[[#This Row],[Reference]],""),"")</f>
        <v>DIGITTMII-004504-6000053863-REQ-01</v>
      </c>
      <c r="N38" t="str">
        <f>_xlfn.IFNA(IF(VLOOKUP(TAB_Offres[[#This Row],[Reference]],TAB_Offres[[Reference]:[Has Expenses?]],COLUMNS(TAB_Offres[[Reference]:[Has Expenses?]]),FALSE)=J$2,TAB_Offres[[#This Row],[Reference]],""),"")</f>
        <v/>
      </c>
      <c r="O38" t="str">
        <f>IF(Tableau19[[#This Row],[EXPENSES_REF]]="","",MAX(O$1:O37)+1)</f>
        <v/>
      </c>
      <c r="P38" t="str">
        <f t="shared" si="0"/>
        <v/>
      </c>
      <c r="R38" s="106" t="s">
        <v>60</v>
      </c>
      <c r="S38" s="107">
        <v>315.7</v>
      </c>
      <c r="T38" s="108">
        <v>337.8</v>
      </c>
      <c r="U38" s="108">
        <v>361.45</v>
      </c>
      <c r="V38" s="108">
        <v>386.75</v>
      </c>
      <c r="W38" s="108">
        <v>413.82</v>
      </c>
      <c r="X38" s="108">
        <v>442.79</v>
      </c>
      <c r="Y38" s="108">
        <v>473.79</v>
      </c>
      <c r="Z38" s="108">
        <v>506.96</v>
      </c>
      <c r="AA38" s="108">
        <v>542.45000000000005</v>
      </c>
      <c r="AB38" s="108">
        <v>580.41999999999996</v>
      </c>
      <c r="AC38" s="108">
        <v>621.04999999999995</v>
      </c>
      <c r="AD38" s="33" t="s">
        <v>139</v>
      </c>
      <c r="AE38" s="33"/>
      <c r="AF38" s="33"/>
      <c r="AG38" s="33"/>
      <c r="AI38" s="3" t="str">
        <f>IFERROR(_xlfn.SINGLE(
IF(_xlfn.SINGLE(INDEX(TAB_Offres[Ressource 1],ROWS(Params!AI$2:$AI38)))=0,NA(),
INDEX(TAB_Offres[Ressource 1],ROWS(Params!AI$2:$AI38)))),
IFERROR(_xlfn.SINGLE(IF(_xlfn.SINGLE(INDEX(#REF!,ROWS(Params!AI$2:$AI38)-COUNTA(TAB_Offres[Ressource 1])))=0,NA(),
INDEX(#REF!,ROWS(Params!AI$2:$AI38)-COUNTA(TAB_Offres[Ressource 1])))),
IFERROR(_xlfn.SINGLE(IF(_xlfn.SINGLE(INDEX(#REF!,ROWS(Params!AI$2:$AI38)-COUNTA(#REF!)-COUNTA(TAB_Offres[Ressource 1])))=0,NA(),
INDEX(#REF!,ROWS(Params!AI$2:$AI38)-COUNTA(#REF!)-COUNTA(TAB_Offres[Ressource 1])))),""))
)</f>
        <v>ADESANYA, Kehinde</v>
      </c>
      <c r="AJ38" s="143">
        <f>IF(TAB_ressource[[#This Row],[Import Ressource]]="","",MAX(AJ$1:AJ37)+1)</f>
        <v>37</v>
      </c>
      <c r="AK38" s="176" t="str">
        <f>IFERROR(INDEX(TAB_ressource[Import Ressource],MATCH(ROW()-ROW($AK$1),TAB_ressource[ID Import ressources],0)),"")</f>
        <v>ADESANYA, Kehinde</v>
      </c>
      <c r="AM38" s="26" t="str">
        <v>BINTZ, Adrien</v>
      </c>
      <c r="AN38" s="26" t="str">
        <f t="shared" si="1"/>
        <v>BINTZ, Adrien</v>
      </c>
      <c r="AO38" s="235" t="s">
        <v>5429</v>
      </c>
      <c r="AQ38" s="114" t="s">
        <v>60</v>
      </c>
      <c r="AR38" s="115">
        <f>COUNTIF(TAB_CS[Profile],AQ38)</f>
        <v>0</v>
      </c>
      <c r="BD38" t="s">
        <v>724</v>
      </c>
      <c r="BE38" t="s">
        <v>725</v>
      </c>
      <c r="BF38" t="s">
        <v>726</v>
      </c>
      <c r="BG38" t="s">
        <v>724</v>
      </c>
    </row>
    <row r="39" spans="13:59" x14ac:dyDescent="0.25">
      <c r="M39" t="str">
        <f>_xlfn.IFNA(IF(VLOOKUP(TAB_Offres[[#This Row],[Reference]],TAB_Offres[[Reference]:[Request State]],COLUMNS(TAB_Offres[[Reference]:[Request State]]),FALSE)=D$6,TAB_Offres[[#This Row],[Reference]],""),"")</f>
        <v>DIGITTMII-005085-6000053863-REQ-01</v>
      </c>
      <c r="N39" t="str">
        <f>_xlfn.IFNA(IF(VLOOKUP(TAB_Offres[[#This Row],[Reference]],TAB_Offres[[Reference]:[Has Expenses?]],COLUMNS(TAB_Offres[[Reference]:[Has Expenses?]]),FALSE)=J$2,TAB_Offres[[#This Row],[Reference]],""),"")</f>
        <v>DIGITTMII-005085-6000053863-REQ-01</v>
      </c>
      <c r="O39">
        <f>IF(Tableau19[[#This Row],[EXPENSES_REF]]="","",MAX(O$1:O38)+1)</f>
        <v>5</v>
      </c>
      <c r="P39" t="str">
        <f t="shared" si="0"/>
        <v/>
      </c>
      <c r="R39" s="103" t="s">
        <v>61</v>
      </c>
      <c r="S39" s="107">
        <v>315.7</v>
      </c>
      <c r="T39" s="96">
        <v>337.8</v>
      </c>
      <c r="U39" s="96">
        <v>361.45</v>
      </c>
      <c r="V39" s="96">
        <v>386.75</v>
      </c>
      <c r="W39" s="96">
        <v>413.82</v>
      </c>
      <c r="X39" s="96">
        <v>442.79</v>
      </c>
      <c r="Y39" s="96">
        <v>473.79</v>
      </c>
      <c r="Z39" s="96">
        <v>506.96</v>
      </c>
      <c r="AA39" s="96">
        <v>542.45000000000005</v>
      </c>
      <c r="AB39" s="96">
        <v>580.41999999999996</v>
      </c>
      <c r="AC39" s="96">
        <v>621.04999999999995</v>
      </c>
      <c r="AD39" s="33" t="s">
        <v>139</v>
      </c>
      <c r="AE39" s="33"/>
      <c r="AF39" s="33"/>
      <c r="AG39" s="33"/>
      <c r="AI39" s="3" t="str">
        <f>IFERROR(_xlfn.SINGLE(
IF(_xlfn.SINGLE(INDEX(TAB_Offres[Ressource 1],ROWS(Params!AI$2:$AI39)))=0,NA(),
INDEX(TAB_Offres[Ressource 1],ROWS(Params!AI$2:$AI39)))),
IFERROR(_xlfn.SINGLE(IF(_xlfn.SINGLE(INDEX(#REF!,ROWS(Params!AI$2:$AI39)-COUNTA(TAB_Offres[Ressource 1])))=0,NA(),
INDEX(#REF!,ROWS(Params!AI$2:$AI39)-COUNTA(TAB_Offres[Ressource 1])))),
IFERROR(_xlfn.SINGLE(IF(_xlfn.SINGLE(INDEX(#REF!,ROWS(Params!AI$2:$AI39)-COUNTA(#REF!)-COUNTA(TAB_Offres[Ressource 1])))=0,NA(),
INDEX(#REF!,ROWS(Params!AI$2:$AI39)-COUNTA(#REF!)-COUNTA(TAB_Offres[Ressource 1])))),""))
)</f>
        <v>KIRIMLIDOU, Dimoula</v>
      </c>
      <c r="AJ39" s="143">
        <f>IF(TAB_ressource[[#This Row],[Import Ressource]]="","",MAX(AJ$1:AJ38)+1)</f>
        <v>38</v>
      </c>
      <c r="AK39" s="176" t="str">
        <f>IFERROR(INDEX(TAB_ressource[Import Ressource],MATCH(ROW()-ROW($AK$1),TAB_ressource[ID Import ressources],0)),"")</f>
        <v>KIRIMLIDOU, Dimoula</v>
      </c>
      <c r="AM39" s="26" t="str">
        <v>VISICH, Valeryy</v>
      </c>
      <c r="AN39" s="26" t="str">
        <f t="shared" si="1"/>
        <v>VISICH, Valeryy</v>
      </c>
      <c r="AO39" s="234" t="s">
        <v>5430</v>
      </c>
      <c r="AQ39" s="114" t="s">
        <v>61</v>
      </c>
      <c r="AR39" s="115">
        <f>COUNTIF(TAB_CS[Profile],AQ39)</f>
        <v>0</v>
      </c>
      <c r="BD39" t="s">
        <v>727</v>
      </c>
      <c r="BE39" t="s">
        <v>728</v>
      </c>
      <c r="BF39" t="s">
        <v>729</v>
      </c>
      <c r="BG39" t="s">
        <v>727</v>
      </c>
    </row>
    <row r="40" spans="13:59" x14ac:dyDescent="0.25">
      <c r="M40" t="str">
        <f>_xlfn.IFNA(IF(VLOOKUP(TAB_Offres[[#This Row],[Reference]],TAB_Offres[[Reference]:[Request State]],COLUMNS(TAB_Offres[[Reference]:[Request State]]),FALSE)=D$6,TAB_Offres[[#This Row],[Reference]],""),"")</f>
        <v>DIGITTMII-005154-6000053863-REQ-01</v>
      </c>
      <c r="N40" t="str">
        <f>_xlfn.IFNA(IF(VLOOKUP(TAB_Offres[[#This Row],[Reference]],TAB_Offres[[Reference]:[Has Expenses?]],COLUMNS(TAB_Offres[[Reference]:[Has Expenses?]]),FALSE)=J$2,TAB_Offres[[#This Row],[Reference]],""),"")</f>
        <v>DIGITTMII-005154-6000053863-REQ-01</v>
      </c>
      <c r="O40">
        <f>IF(Tableau19[[#This Row],[EXPENSES_REF]]="","",MAX(O$1:O39)+1)</f>
        <v>6</v>
      </c>
      <c r="P40" t="str">
        <f t="shared" si="0"/>
        <v/>
      </c>
      <c r="R40" s="103" t="s">
        <v>62</v>
      </c>
      <c r="S40" s="107">
        <v>315.7</v>
      </c>
      <c r="T40" s="96">
        <v>337.8</v>
      </c>
      <c r="U40" s="96">
        <v>361.45</v>
      </c>
      <c r="V40" s="96">
        <v>386.75</v>
      </c>
      <c r="W40" s="96">
        <v>413.82</v>
      </c>
      <c r="X40" s="96">
        <v>442.79</v>
      </c>
      <c r="Y40" s="96">
        <v>473.79</v>
      </c>
      <c r="Z40" s="96">
        <v>506.96</v>
      </c>
      <c r="AA40" s="96">
        <v>542.45000000000005</v>
      </c>
      <c r="AB40" s="96">
        <v>580.41999999999996</v>
      </c>
      <c r="AC40" s="96">
        <v>621.04999999999995</v>
      </c>
      <c r="AD40" s="33" t="s">
        <v>139</v>
      </c>
      <c r="AE40" s="33"/>
      <c r="AF40" s="33"/>
      <c r="AG40" s="33"/>
      <c r="AI40" s="3" t="str">
        <f>IFERROR(_xlfn.SINGLE(
IF(_xlfn.SINGLE(INDEX(TAB_Offres[Ressource 1],ROWS(Params!AI$2:$AI40)))=0,NA(),
INDEX(TAB_Offres[Ressource 1],ROWS(Params!AI$2:$AI40)))),
IFERROR(_xlfn.SINGLE(IF(_xlfn.SINGLE(INDEX(#REF!,ROWS(Params!AI$2:$AI40)-COUNTA(TAB_Offres[Ressource 1])))=0,NA(),
INDEX(#REF!,ROWS(Params!AI$2:$AI40)-COUNTA(TAB_Offres[Ressource 1])))),
IFERROR(_xlfn.SINGLE(IF(_xlfn.SINGLE(INDEX(#REF!,ROWS(Params!AI$2:$AI40)-COUNTA(#REF!)-COUNTA(TAB_Offres[Ressource 1])))=0,NA(),
INDEX(#REF!,ROWS(Params!AI$2:$AI40)-COUNTA(#REF!)-COUNTA(TAB_Offres[Ressource 1])))),""))
)</f>
        <v>DI GIACOMO, Debora</v>
      </c>
      <c r="AJ40" s="143">
        <f>IF(TAB_ressource[[#This Row],[Import Ressource]]="","",MAX(AJ$1:AJ39)+1)</f>
        <v>39</v>
      </c>
      <c r="AK40" s="176" t="str">
        <f>IFERROR(INDEX(TAB_ressource[Import Ressource],MATCH(ROW()-ROW($AK$1),TAB_ressource[ID Import ressources],0)),"")</f>
        <v>DI GIACOMO, Debora</v>
      </c>
      <c r="AM40" s="26" t="str">
        <v>FERNANDEZ GUERRERO, Ivan</v>
      </c>
      <c r="AN40" s="26" t="str">
        <f t="shared" si="1"/>
        <v>FERNANDEZ GUERRERO, Ivan</v>
      </c>
      <c r="AO40" s="234" t="s">
        <v>5431</v>
      </c>
      <c r="AQ40" s="114" t="s">
        <v>62</v>
      </c>
      <c r="AR40" s="115">
        <f>COUNTIF(TAB_CS[Profile],AQ40)</f>
        <v>0</v>
      </c>
      <c r="BD40" t="s">
        <v>730</v>
      </c>
      <c r="BE40" t="s">
        <v>731</v>
      </c>
      <c r="BF40" t="s">
        <v>732</v>
      </c>
      <c r="BG40" t="s">
        <v>730</v>
      </c>
    </row>
    <row r="41" spans="13:59" x14ac:dyDescent="0.25">
      <c r="M41" t="str">
        <f>_xlfn.IFNA(IF(VLOOKUP(TAB_Offres[[#This Row],[Reference]],TAB_Offres[[Reference]:[Request State]],COLUMNS(TAB_Offres[[Reference]:[Request State]]),FALSE)=D$6,TAB_Offres[[#This Row],[Reference]],""),"")</f>
        <v>DIGITTMII-005232-6000053863-REQ-01</v>
      </c>
      <c r="N41" t="str">
        <f>_xlfn.IFNA(IF(VLOOKUP(TAB_Offres[[#This Row],[Reference]],TAB_Offres[[Reference]:[Has Expenses?]],COLUMNS(TAB_Offres[[Reference]:[Has Expenses?]]),FALSE)=J$2,TAB_Offres[[#This Row],[Reference]],""),"")</f>
        <v>DIGITTMII-005232-6000053863-REQ-01</v>
      </c>
      <c r="O41">
        <f>IF(Tableau19[[#This Row],[EXPENSES_REF]]="","",MAX(O$1:O40)+1)</f>
        <v>7</v>
      </c>
      <c r="P41" t="str">
        <f t="shared" si="0"/>
        <v/>
      </c>
      <c r="R41" s="103" t="s">
        <v>63</v>
      </c>
      <c r="S41" s="107">
        <v>315.7</v>
      </c>
      <c r="T41" s="96">
        <v>337.8</v>
      </c>
      <c r="U41" s="96">
        <v>361.45</v>
      </c>
      <c r="V41" s="96">
        <v>386.75</v>
      </c>
      <c r="W41" s="96">
        <v>413.82</v>
      </c>
      <c r="X41" s="96">
        <v>442.79</v>
      </c>
      <c r="Y41" s="96">
        <v>473.79</v>
      </c>
      <c r="Z41" s="96">
        <v>506.96</v>
      </c>
      <c r="AA41" s="96">
        <v>542.45000000000005</v>
      </c>
      <c r="AB41" s="96">
        <v>580.41999999999996</v>
      </c>
      <c r="AC41" s="96">
        <v>621.04999999999995</v>
      </c>
      <c r="AD41" s="33" t="s">
        <v>139</v>
      </c>
      <c r="AE41" s="33"/>
      <c r="AF41" s="33"/>
      <c r="AG41" s="33"/>
      <c r="AI41" s="3" t="str">
        <f>IFERROR(_xlfn.SINGLE(
IF(_xlfn.SINGLE(INDEX(TAB_Offres[Ressource 1],ROWS(Params!AI$2:$AI41)))=0,NA(),
INDEX(TAB_Offres[Ressource 1],ROWS(Params!AI$2:$AI41)))),
IFERROR(_xlfn.SINGLE(IF(_xlfn.SINGLE(INDEX(#REF!,ROWS(Params!AI$2:$AI41)-COUNTA(TAB_Offres[Ressource 1])))=0,NA(),
INDEX(#REF!,ROWS(Params!AI$2:$AI41)-COUNTA(TAB_Offres[Ressource 1])))),
IFERROR(_xlfn.SINGLE(IF(_xlfn.SINGLE(INDEX(#REF!,ROWS(Params!AI$2:$AI41)-COUNTA(#REF!)-COUNTA(TAB_Offres[Ressource 1])))=0,NA(),
INDEX(#REF!,ROWS(Params!AI$2:$AI41)-COUNTA(#REF!)-COUNTA(TAB_Offres[Ressource 1])))),""))
)</f>
        <v>WHYE, Gregory</v>
      </c>
      <c r="AJ41" s="143">
        <f>IF(TAB_ressource[[#This Row],[Import Ressource]]="","",MAX(AJ$1:AJ40)+1)</f>
        <v>40</v>
      </c>
      <c r="AK41" s="176" t="str">
        <f>IFERROR(INDEX(TAB_ressource[Import Ressource],MATCH(ROW()-ROW($AK$1),TAB_ressource[ID Import ressources],0)),"")</f>
        <v>WHYE, Gregory</v>
      </c>
      <c r="AM41" s="26" t="str">
        <v>MARCELLINO, Costanza</v>
      </c>
      <c r="AN41" s="26" t="str">
        <f t="shared" si="1"/>
        <v>MARCELLINO, Costanza</v>
      </c>
      <c r="AO41" s="234" t="s">
        <v>5431</v>
      </c>
      <c r="AQ41" s="114" t="s">
        <v>63</v>
      </c>
      <c r="AR41" s="115">
        <f>COUNTIF(TAB_CS[Profile],AQ41)</f>
        <v>0</v>
      </c>
      <c r="BD41" t="s">
        <v>733</v>
      </c>
      <c r="BE41" t="s">
        <v>734</v>
      </c>
      <c r="BF41" t="s">
        <v>735</v>
      </c>
      <c r="BG41" t="s">
        <v>733</v>
      </c>
    </row>
    <row r="42" spans="13:59" x14ac:dyDescent="0.25">
      <c r="M42" t="str">
        <f>_xlfn.IFNA(IF(VLOOKUP(TAB_Offres[[#This Row],[Reference]],TAB_Offres[[Reference]:[Request State]],COLUMNS(TAB_Offres[[Reference]:[Request State]]),FALSE)=D$6,TAB_Offres[[#This Row],[Reference]],""),"")</f>
        <v>DIGITTMII-005337-6000053863-REQ-01</v>
      </c>
      <c r="N42" t="str">
        <f>_xlfn.IFNA(IF(VLOOKUP(TAB_Offres[[#This Row],[Reference]],TAB_Offres[[Reference]:[Has Expenses?]],COLUMNS(TAB_Offres[[Reference]:[Has Expenses?]]),FALSE)=J$2,TAB_Offres[[#This Row],[Reference]],""),"")</f>
        <v/>
      </c>
      <c r="O42" t="str">
        <f>IF(Tableau19[[#This Row],[EXPENSES_REF]]="","",MAX(O$1:O41)+1)</f>
        <v/>
      </c>
      <c r="P42" t="str">
        <f t="shared" si="0"/>
        <v/>
      </c>
      <c r="R42" s="103" t="s">
        <v>64</v>
      </c>
      <c r="S42" s="107">
        <v>315.7</v>
      </c>
      <c r="T42" s="96">
        <v>337.8</v>
      </c>
      <c r="U42" s="96">
        <v>361.45</v>
      </c>
      <c r="V42" s="96">
        <v>386.75</v>
      </c>
      <c r="W42" s="96">
        <v>413.82</v>
      </c>
      <c r="X42" s="96">
        <v>442.79</v>
      </c>
      <c r="Y42" s="96">
        <v>473.79</v>
      </c>
      <c r="Z42" s="96">
        <v>506.96</v>
      </c>
      <c r="AA42" s="96">
        <v>542.45000000000005</v>
      </c>
      <c r="AB42" s="96">
        <v>580.41999999999996</v>
      </c>
      <c r="AC42" s="96">
        <v>621.04999999999995</v>
      </c>
      <c r="AD42" s="33" t="s">
        <v>139</v>
      </c>
      <c r="AE42" s="33"/>
      <c r="AF42" s="33"/>
      <c r="AG42" s="33"/>
      <c r="AI42" s="3" t="str">
        <f>IFERROR(_xlfn.SINGLE(
IF(_xlfn.SINGLE(INDEX(TAB_Offres[Ressource 1],ROWS(Params!AI$2:$AI42)))=0,NA(),
INDEX(TAB_Offres[Ressource 1],ROWS(Params!AI$2:$AI42)))),
IFERROR(_xlfn.SINGLE(IF(_xlfn.SINGLE(INDEX(#REF!,ROWS(Params!AI$2:$AI42)-COUNTA(TAB_Offres[Ressource 1])))=0,NA(),
INDEX(#REF!,ROWS(Params!AI$2:$AI42)-COUNTA(TAB_Offres[Ressource 1])))),
IFERROR(_xlfn.SINGLE(IF(_xlfn.SINGLE(INDEX(#REF!,ROWS(Params!AI$2:$AI42)-COUNTA(#REF!)-COUNTA(TAB_Offres[Ressource 1])))=0,NA(),
INDEX(#REF!,ROWS(Params!AI$2:$AI42)-COUNTA(#REF!)-COUNTA(TAB_Offres[Ressource 1])))),""))
)</f>
        <v>BINTZ, Adrien</v>
      </c>
      <c r="AJ42" s="143">
        <f>IF(TAB_ressource[[#This Row],[Import Ressource]]="","",MAX(AJ$1:AJ41)+1)</f>
        <v>41</v>
      </c>
      <c r="AK42" s="176" t="str">
        <f>IFERROR(INDEX(TAB_ressource[Import Ressource],MATCH(ROW()-ROW($AK$1),TAB_ressource[ID Import ressources],0)),"")</f>
        <v>BINTZ, Adrien</v>
      </c>
      <c r="AM42" s="26" t="str">
        <v>AFONSO, Leonardo</v>
      </c>
      <c r="AN42" s="26" t="str">
        <f t="shared" si="1"/>
        <v>AFONSO, Leonardo</v>
      </c>
      <c r="AO42" s="154" t="s">
        <v>5426</v>
      </c>
      <c r="AQ42" s="114" t="s">
        <v>64</v>
      </c>
      <c r="AR42" s="115">
        <f>COUNTIF(TAB_CS[Profile],AQ42)</f>
        <v>0</v>
      </c>
      <c r="BD42" t="s">
        <v>736</v>
      </c>
      <c r="BE42" t="s">
        <v>737</v>
      </c>
      <c r="BF42" t="s">
        <v>738</v>
      </c>
      <c r="BG42" t="s">
        <v>736</v>
      </c>
    </row>
    <row r="43" spans="13:59" x14ac:dyDescent="0.25">
      <c r="M43" t="str">
        <f>_xlfn.IFNA(IF(VLOOKUP(TAB_Offres[[#This Row],[Reference]],TAB_Offres[[Reference]:[Request State]],COLUMNS(TAB_Offres[[Reference]:[Request State]]),FALSE)=D$6,TAB_Offres[[#This Row],[Reference]],""),"")</f>
        <v>DIGITTMII-005400-DIGITTMII-001940-EXT-01-6000053863-REQ-01</v>
      </c>
      <c r="N43" t="str">
        <f>_xlfn.IFNA(IF(VLOOKUP(TAB_Offres[[#This Row],[Reference]],TAB_Offres[[Reference]:[Has Expenses?]],COLUMNS(TAB_Offres[[Reference]:[Has Expenses?]]),FALSE)=J$2,TAB_Offres[[#This Row],[Reference]],""),"")</f>
        <v/>
      </c>
      <c r="O43" t="str">
        <f>IF(Tableau19[[#This Row],[EXPENSES_REF]]="","",MAX(O$1:O42)+1)</f>
        <v/>
      </c>
      <c r="P43" t="str">
        <f t="shared" si="0"/>
        <v/>
      </c>
      <c r="R43" s="103" t="s">
        <v>65</v>
      </c>
      <c r="S43" s="107">
        <v>315.7</v>
      </c>
      <c r="T43" s="96">
        <v>337.8</v>
      </c>
      <c r="U43" s="96">
        <v>361.45</v>
      </c>
      <c r="V43" s="96">
        <v>386.75</v>
      </c>
      <c r="W43" s="96">
        <v>413.82</v>
      </c>
      <c r="X43" s="96">
        <v>442.79</v>
      </c>
      <c r="Y43" s="96">
        <v>473.79</v>
      </c>
      <c r="Z43" s="96">
        <v>506.96</v>
      </c>
      <c r="AA43" s="96">
        <v>542.45000000000005</v>
      </c>
      <c r="AB43" s="96">
        <v>580.41999999999996</v>
      </c>
      <c r="AC43" s="96">
        <v>621.04999999999995</v>
      </c>
      <c r="AD43" s="33" t="s">
        <v>139</v>
      </c>
      <c r="AE43" s="33"/>
      <c r="AF43" s="33"/>
      <c r="AG43" s="33"/>
      <c r="AI43" s="3" t="str">
        <f>IFERROR(_xlfn.SINGLE(
IF(_xlfn.SINGLE(INDEX(TAB_Offres[Ressource 1],ROWS(Params!AI$2:$AI43)))=0,NA(),
INDEX(TAB_Offres[Ressource 1],ROWS(Params!AI$2:$AI43)))),
IFERROR(_xlfn.SINGLE(IF(_xlfn.SINGLE(INDEX(#REF!,ROWS(Params!AI$2:$AI43)-COUNTA(TAB_Offres[Ressource 1])))=0,NA(),
INDEX(#REF!,ROWS(Params!AI$2:$AI43)-COUNTA(TAB_Offres[Ressource 1])))),
IFERROR(_xlfn.SINGLE(IF(_xlfn.SINGLE(INDEX(#REF!,ROWS(Params!AI$2:$AI43)-COUNTA(#REF!)-COUNTA(TAB_Offres[Ressource 1])))=0,NA(),
INDEX(#REF!,ROWS(Params!AI$2:$AI43)-COUNTA(#REF!)-COUNTA(TAB_Offres[Ressource 1])))),""))
)</f>
        <v>COOKE, Justin</v>
      </c>
      <c r="AJ43" s="143">
        <f>IF(TAB_ressource[[#This Row],[Import Ressource]]="","",MAX(AJ$1:AJ42)+1)</f>
        <v>42</v>
      </c>
      <c r="AK43" s="176" t="str">
        <f>IFERROR(INDEX(TAB_ressource[Import Ressource],MATCH(ROW()-ROW($AK$1),TAB_ressource[ID Import ressources],0)),"")</f>
        <v>COOKE, Justin</v>
      </c>
      <c r="AM43" s="26" t="str">
        <v>VASILIKIOTIS, Themis</v>
      </c>
      <c r="AN43" s="26" t="str">
        <f t="shared" si="1"/>
        <v>VASILIKIOTIS, Themis</v>
      </c>
      <c r="AO43" s="235" t="s">
        <v>5429</v>
      </c>
      <c r="AQ43" s="114" t="s">
        <v>65</v>
      </c>
      <c r="AR43" s="115">
        <f>COUNTIF(TAB_CS[Profile],AQ43)</f>
        <v>0</v>
      </c>
      <c r="BD43" t="s">
        <v>739</v>
      </c>
      <c r="BE43" t="s">
        <v>740</v>
      </c>
      <c r="BF43" t="s">
        <v>741</v>
      </c>
      <c r="BG43" t="s">
        <v>739</v>
      </c>
    </row>
    <row r="44" spans="13:59" x14ac:dyDescent="0.25">
      <c r="M44" t="str">
        <f>_xlfn.IFNA(IF(VLOOKUP(TAB_Offres[[#This Row],[Reference]],TAB_Offres[[Reference]:[Request State]],COLUMNS(TAB_Offres[[Reference]:[Request State]]),FALSE)=D$6,TAB_Offres[[#This Row],[Reference]],""),"")</f>
        <v>DIGITTMII-005585-DIGITTMII-003344-EXT-01-6000053863-REQ-01</v>
      </c>
      <c r="N44" t="str">
        <f>_xlfn.IFNA(IF(VLOOKUP(TAB_Offres[[#This Row],[Reference]],TAB_Offres[[Reference]:[Has Expenses?]],COLUMNS(TAB_Offres[[Reference]:[Has Expenses?]]),FALSE)=J$2,TAB_Offres[[#This Row],[Reference]],""),"")</f>
        <v/>
      </c>
      <c r="O44" t="str">
        <f>IF(Tableau19[[#This Row],[EXPENSES_REF]]="","",MAX(O$1:O43)+1)</f>
        <v/>
      </c>
      <c r="P44" t="str">
        <f t="shared" si="0"/>
        <v/>
      </c>
      <c r="R44" s="103" t="s">
        <v>66</v>
      </c>
      <c r="S44" s="107">
        <v>324</v>
      </c>
      <c r="T44" s="96">
        <v>346.68</v>
      </c>
      <c r="U44" s="96">
        <v>370.95</v>
      </c>
      <c r="V44" s="96">
        <v>396.92</v>
      </c>
      <c r="W44" s="96">
        <v>424.7</v>
      </c>
      <c r="X44" s="96">
        <v>454.43</v>
      </c>
      <c r="Y44" s="96">
        <v>486.24</v>
      </c>
      <c r="Z44" s="96">
        <v>520.28</v>
      </c>
      <c r="AA44" s="96">
        <v>556.70000000000005</v>
      </c>
      <c r="AB44" s="96">
        <v>595.66999999999996</v>
      </c>
      <c r="AC44" s="96">
        <v>637.37</v>
      </c>
      <c r="AD44" s="33" t="s">
        <v>139</v>
      </c>
      <c r="AE44" s="33"/>
      <c r="AF44" s="33"/>
      <c r="AG44" s="33"/>
      <c r="AI44" s="3" t="str">
        <f>IFERROR(_xlfn.SINGLE(
IF(_xlfn.SINGLE(INDEX(TAB_Offres[Ressource 1],ROWS(Params!AI$2:$AI44)))=0,NA(),
INDEX(TAB_Offres[Ressource 1],ROWS(Params!AI$2:$AI44)))),
IFERROR(_xlfn.SINGLE(IF(_xlfn.SINGLE(INDEX(#REF!,ROWS(Params!AI$2:$AI44)-COUNTA(TAB_Offres[Ressource 1])))=0,NA(),
INDEX(#REF!,ROWS(Params!AI$2:$AI44)-COUNTA(TAB_Offres[Ressource 1])))),
IFERROR(_xlfn.SINGLE(IF(_xlfn.SINGLE(INDEX(#REF!,ROWS(Params!AI$2:$AI44)-COUNTA(#REF!)-COUNTA(TAB_Offres[Ressource 1])))=0,NA(),
INDEX(#REF!,ROWS(Params!AI$2:$AI44)-COUNTA(#REF!)-COUNTA(TAB_Offres[Ressource 1])))),""))
)</f>
        <v>MEDAN, Andrei</v>
      </c>
      <c r="AJ44" s="143">
        <f>IF(TAB_ressource[[#This Row],[Import Ressource]]="","",MAX(AJ$1:AJ43)+1)</f>
        <v>43</v>
      </c>
      <c r="AK44" s="176" t="str">
        <f>IFERROR(INDEX(TAB_ressource[Import Ressource],MATCH(ROW()-ROW($AK$1),TAB_ressource[ID Import ressources],0)),"")</f>
        <v>MEDAN, Andrei</v>
      </c>
      <c r="AM44" s="26" t="str">
        <v>ROSALES, Airy</v>
      </c>
      <c r="AN44" s="26" t="str">
        <f t="shared" si="1"/>
        <v>ROSALES, Airy</v>
      </c>
      <c r="AO44" s="235" t="s">
        <v>5427</v>
      </c>
      <c r="AQ44" s="114" t="s">
        <v>66</v>
      </c>
      <c r="AR44" s="115">
        <f>COUNTIF(TAB_CS[Profile],AQ44)</f>
        <v>0</v>
      </c>
      <c r="BD44" t="s">
        <v>742</v>
      </c>
      <c r="BE44" t="s">
        <v>743</v>
      </c>
      <c r="BF44" t="s">
        <v>744</v>
      </c>
      <c r="BG44" t="s">
        <v>742</v>
      </c>
    </row>
    <row r="45" spans="13:59" x14ac:dyDescent="0.25">
      <c r="M45" t="str">
        <f>_xlfn.IFNA(IF(VLOOKUP(TAB_Offres[[#This Row],[Reference]],TAB_Offres[[Reference]:[Request State]],COLUMNS(TAB_Offres[[Reference]:[Request State]]),FALSE)=D$6,TAB_Offres[[#This Row],[Reference]],""),"")</f>
        <v>DIGITTMII-005592-DIGITTMII-002150-EXT-01-6000053863-REQ-01</v>
      </c>
      <c r="N45" t="str">
        <f>_xlfn.IFNA(IF(VLOOKUP(TAB_Offres[[#This Row],[Reference]],TAB_Offres[[Reference]:[Has Expenses?]],COLUMNS(TAB_Offres[[Reference]:[Has Expenses?]]),FALSE)=J$2,TAB_Offres[[#This Row],[Reference]],""),"")</f>
        <v/>
      </c>
      <c r="O45" t="str">
        <f>IF(Tableau19[[#This Row],[EXPENSES_REF]]="","",MAX(O$1:O44)+1)</f>
        <v/>
      </c>
      <c r="P45" t="str">
        <f t="shared" si="0"/>
        <v/>
      </c>
      <c r="R45" s="103" t="s">
        <v>67</v>
      </c>
      <c r="S45" s="107">
        <v>315.7</v>
      </c>
      <c r="T45" s="96">
        <v>337.8</v>
      </c>
      <c r="U45" s="96">
        <v>361.45</v>
      </c>
      <c r="V45" s="96">
        <v>386.75</v>
      </c>
      <c r="W45" s="96">
        <v>413.82</v>
      </c>
      <c r="X45" s="96">
        <v>442.79</v>
      </c>
      <c r="Y45" s="96">
        <v>473.79</v>
      </c>
      <c r="Z45" s="96">
        <v>506.96</v>
      </c>
      <c r="AA45" s="96">
        <v>542.45000000000005</v>
      </c>
      <c r="AB45" s="96">
        <v>580.41999999999996</v>
      </c>
      <c r="AC45" s="96">
        <v>621.04999999999995</v>
      </c>
      <c r="AD45" s="33" t="s">
        <v>139</v>
      </c>
      <c r="AE45" s="33"/>
      <c r="AF45" s="33"/>
      <c r="AG45" s="33"/>
      <c r="AI45" s="3" t="str">
        <f>IFERROR(_xlfn.SINGLE(
IF(_xlfn.SINGLE(INDEX(TAB_Offres[Ressource 1],ROWS(Params!AI$2:$AI45)))=0,NA(),
INDEX(TAB_Offres[Ressource 1],ROWS(Params!AI$2:$AI45)))),
IFERROR(_xlfn.SINGLE(IF(_xlfn.SINGLE(INDEX(#REF!,ROWS(Params!AI$2:$AI45)-COUNTA(TAB_Offres[Ressource 1])))=0,NA(),
INDEX(#REF!,ROWS(Params!AI$2:$AI45)-COUNTA(TAB_Offres[Ressource 1])))),
IFERROR(_xlfn.SINGLE(IF(_xlfn.SINGLE(INDEX(#REF!,ROWS(Params!AI$2:$AI45)-COUNTA(#REF!)-COUNTA(TAB_Offres[Ressource 1])))=0,NA(),
INDEX(#REF!,ROWS(Params!AI$2:$AI45)-COUNTA(#REF!)-COUNTA(TAB_Offres[Ressource 1])))),""))
)</f>
        <v>NICULESCU, Calin</v>
      </c>
      <c r="AJ45" s="143">
        <f>IF(TAB_ressource[[#This Row],[Import Ressource]]="","",MAX(AJ$1:AJ44)+1)</f>
        <v>44</v>
      </c>
      <c r="AK45" s="176" t="str">
        <f>IFERROR(INDEX(TAB_ressource[Import Ressource],MATCH(ROW()-ROW($AK$1),TAB_ressource[ID Import ressources],0)),"")</f>
        <v>NICULESCU, Calin</v>
      </c>
      <c r="AM45" s="26" t="str">
        <v>LEFTER, Diana</v>
      </c>
      <c r="AN45" s="26" t="str">
        <f t="shared" si="1"/>
        <v>LEFTER, Diana</v>
      </c>
      <c r="AQ45" s="114" t="s">
        <v>67</v>
      </c>
      <c r="AR45" s="115">
        <f>COUNTIF(TAB_CS[Profile],AQ45)</f>
        <v>3</v>
      </c>
      <c r="BD45" t="s">
        <v>745</v>
      </c>
      <c r="BE45" t="s">
        <v>746</v>
      </c>
      <c r="BF45" t="s">
        <v>747</v>
      </c>
      <c r="BG45" t="s">
        <v>745</v>
      </c>
    </row>
    <row r="46" spans="13:59" x14ac:dyDescent="0.25">
      <c r="M46" t="str">
        <f>_xlfn.IFNA(IF(VLOOKUP(TAB_Offres[[#This Row],[Reference]],TAB_Offres[[Reference]:[Request State]],COLUMNS(TAB_Offres[[Reference]:[Request State]]),FALSE)=D$6,TAB_Offres[[#This Row],[Reference]],""),"")</f>
        <v>DIGITTMII-005727-DIGITTMII-000214-EXT-01-6000053863-REQ-01</v>
      </c>
      <c r="N46" t="str">
        <f>_xlfn.IFNA(IF(VLOOKUP(TAB_Offres[[#This Row],[Reference]],TAB_Offres[[Reference]:[Has Expenses?]],COLUMNS(TAB_Offres[[Reference]:[Has Expenses?]]),FALSE)=J$2,TAB_Offres[[#This Row],[Reference]],""),"")</f>
        <v/>
      </c>
      <c r="O46" t="str">
        <f>IF(Tableau19[[#This Row],[EXPENSES_REF]]="","",MAX(O$1:O45)+1)</f>
        <v/>
      </c>
      <c r="P46" t="str">
        <f t="shared" si="0"/>
        <v/>
      </c>
      <c r="R46" s="103" t="s">
        <v>68</v>
      </c>
      <c r="S46" s="107">
        <v>315.7</v>
      </c>
      <c r="T46" s="96">
        <v>337.8</v>
      </c>
      <c r="U46" s="96">
        <v>361.45</v>
      </c>
      <c r="V46" s="96">
        <v>386.75</v>
      </c>
      <c r="W46" s="96">
        <v>413.82</v>
      </c>
      <c r="X46" s="96">
        <v>442.79</v>
      </c>
      <c r="Y46" s="96">
        <v>473.79</v>
      </c>
      <c r="Z46" s="96">
        <v>506.96</v>
      </c>
      <c r="AA46" s="96">
        <v>542.45000000000005</v>
      </c>
      <c r="AB46" s="96">
        <v>580.41999999999996</v>
      </c>
      <c r="AC46" s="96">
        <v>621.04999999999995</v>
      </c>
      <c r="AD46" s="33" t="s">
        <v>139</v>
      </c>
      <c r="AE46" s="33"/>
      <c r="AF46" s="33"/>
      <c r="AG46" s="33"/>
      <c r="AI46" s="3" t="str">
        <f>IFERROR(_xlfn.SINGLE(
IF(_xlfn.SINGLE(INDEX(TAB_Offres[Ressource 1],ROWS(Params!AI$2:$AI46)))=0,NA(),
INDEX(TAB_Offres[Ressource 1],ROWS(Params!AI$2:$AI46)))),
IFERROR(_xlfn.SINGLE(IF(_xlfn.SINGLE(INDEX(#REF!,ROWS(Params!AI$2:$AI46)-COUNTA(TAB_Offres[Ressource 1])))=0,NA(),
INDEX(#REF!,ROWS(Params!AI$2:$AI46)-COUNTA(TAB_Offres[Ressource 1])))),
IFERROR(_xlfn.SINGLE(IF(_xlfn.SINGLE(INDEX(#REF!,ROWS(Params!AI$2:$AI46)-COUNTA(#REF!)-COUNTA(TAB_Offres[Ressource 1])))=0,NA(),
INDEX(#REF!,ROWS(Params!AI$2:$AI46)-COUNTA(#REF!)-COUNTA(TAB_Offres[Ressource 1])))),""))
)</f>
        <v>SAYTEE, Meatau Larry</v>
      </c>
      <c r="AJ46" s="143">
        <f>IF(TAB_ressource[[#This Row],[Import Ressource]]="","",MAX(AJ$1:AJ45)+1)</f>
        <v>45</v>
      </c>
      <c r="AK46" s="176" t="str">
        <f>IFERROR(INDEX(TAB_ressource[Import Ressource],MATCH(ROW()-ROW($AK$1),TAB_ressource[ID Import ressources],0)),"")</f>
        <v>SAYTEE, Meatau Larry</v>
      </c>
      <c r="AM46" s="26" t="str">
        <v>CHOUAIECH, Mohamed</v>
      </c>
      <c r="AN46" s="26" t="str">
        <f t="shared" si="1"/>
        <v>CHOUAIECH, Mohamed</v>
      </c>
      <c r="AQ46" s="114" t="s">
        <v>68</v>
      </c>
      <c r="AR46" s="115">
        <f>COUNTIF(TAB_CS[Profile],AQ46)</f>
        <v>0</v>
      </c>
      <c r="BD46" t="s">
        <v>748</v>
      </c>
      <c r="BE46" t="s">
        <v>749</v>
      </c>
      <c r="BF46" t="s">
        <v>750</v>
      </c>
      <c r="BG46" t="s">
        <v>748</v>
      </c>
    </row>
    <row r="47" spans="13:59" x14ac:dyDescent="0.25">
      <c r="M47" t="str">
        <f>_xlfn.IFNA(IF(VLOOKUP(TAB_Offres[[#This Row],[Reference]],TAB_Offres[[Reference]:[Request State]],COLUMNS(TAB_Offres[[Reference]:[Request State]]),FALSE)=D$6,TAB_Offres[[#This Row],[Reference]],""),"")</f>
        <v>DIGITTMII-005922-DIGITTMII-001415-EXT-01-6000053863-REQ-01</v>
      </c>
      <c r="N47" t="str">
        <f>_xlfn.IFNA(IF(VLOOKUP(TAB_Offres[[#This Row],[Reference]],TAB_Offres[[Reference]:[Has Expenses?]],COLUMNS(TAB_Offres[[Reference]:[Has Expenses?]]),FALSE)=J$2,TAB_Offres[[#This Row],[Reference]],""),"")</f>
        <v/>
      </c>
      <c r="O47" t="str">
        <f>IF(Tableau19[[#This Row],[EXPENSES_REF]]="","",MAX(O$1:O46)+1)</f>
        <v/>
      </c>
      <c r="P47" t="str">
        <f t="shared" si="0"/>
        <v/>
      </c>
      <c r="R47" s="104" t="s">
        <v>69</v>
      </c>
      <c r="S47" s="107">
        <v>315.7</v>
      </c>
      <c r="T47" s="96">
        <v>337.8</v>
      </c>
      <c r="U47" s="96">
        <v>361.45</v>
      </c>
      <c r="V47" s="96">
        <v>386.75</v>
      </c>
      <c r="W47" s="96">
        <v>413.82</v>
      </c>
      <c r="X47" s="96">
        <v>442.79</v>
      </c>
      <c r="Y47" s="96">
        <v>473.79</v>
      </c>
      <c r="Z47" s="96">
        <v>506.96</v>
      </c>
      <c r="AA47" s="96">
        <v>542.45000000000005</v>
      </c>
      <c r="AB47" s="96">
        <v>580.41999999999996</v>
      </c>
      <c r="AC47" s="96">
        <v>621.04999999999995</v>
      </c>
      <c r="AD47" s="33" t="s">
        <v>139</v>
      </c>
      <c r="AE47" s="33"/>
      <c r="AF47" s="33"/>
      <c r="AG47" s="33"/>
      <c r="AI47" s="3" t="str">
        <f>IFERROR(_xlfn.SINGLE(
IF(_xlfn.SINGLE(INDEX(TAB_Offres[Ressource 1],ROWS(Params!AI$2:$AI47)))=0,NA(),
INDEX(TAB_Offres[Ressource 1],ROWS(Params!AI$2:$AI47)))),
IFERROR(_xlfn.SINGLE(IF(_xlfn.SINGLE(INDEX(#REF!,ROWS(Params!AI$2:$AI47)-COUNTA(TAB_Offres[Ressource 1])))=0,NA(),
INDEX(#REF!,ROWS(Params!AI$2:$AI47)-COUNTA(TAB_Offres[Ressource 1])))),
IFERROR(_xlfn.SINGLE(IF(_xlfn.SINGLE(INDEX(#REF!,ROWS(Params!AI$2:$AI47)-COUNTA(#REF!)-COUNTA(TAB_Offres[Ressource 1])))=0,NA(),
INDEX(#REF!,ROWS(Params!AI$2:$AI47)-COUNTA(#REF!)-COUNTA(TAB_Offres[Ressource 1])))),""))
)</f>
        <v>SARBU, Cornelia</v>
      </c>
      <c r="AJ47" s="143">
        <f>IF(TAB_ressource[[#This Row],[Import Ressource]]="","",MAX(AJ$1:AJ46)+1)</f>
        <v>46</v>
      </c>
      <c r="AK47" s="176" t="str">
        <f>IFERROR(INDEX(TAB_ressource[Import Ressource],MATCH(ROW()-ROW($AK$1),TAB_ressource[ID Import ressources],0)),"")</f>
        <v>SARBU, Cornelia</v>
      </c>
      <c r="AM47" s="26" t="str">
        <v>MEJRI, Mohamed</v>
      </c>
      <c r="AN47" s="26" t="str">
        <f t="shared" si="1"/>
        <v>MEJRI, Mohamed</v>
      </c>
      <c r="AQ47" s="114" t="s">
        <v>69</v>
      </c>
      <c r="AR47" s="115">
        <f>COUNTIF(TAB_CS[Profile],AQ47)</f>
        <v>2</v>
      </c>
      <c r="BD47" t="s">
        <v>751</v>
      </c>
      <c r="BE47" t="s">
        <v>752</v>
      </c>
      <c r="BF47" t="s">
        <v>753</v>
      </c>
      <c r="BG47" t="s">
        <v>751</v>
      </c>
    </row>
    <row r="48" spans="13:59" x14ac:dyDescent="0.25">
      <c r="M48" t="str">
        <f>_xlfn.IFNA(IF(VLOOKUP(TAB_Offres[[#This Row],[Reference]],TAB_Offres[[Reference]:[Request State]],COLUMNS(TAB_Offres[[Reference]:[Request State]]),FALSE)=D$6,TAB_Offres[[#This Row],[Reference]],""),"")</f>
        <v>DIGITTMII-005981-DIGITTMII-003389-EXT-01-6000053863-REQ-01</v>
      </c>
      <c r="N48" t="str">
        <f>_xlfn.IFNA(IF(VLOOKUP(TAB_Offres[[#This Row],[Reference]],TAB_Offres[[Reference]:[Has Expenses?]],COLUMNS(TAB_Offres[[Reference]:[Has Expenses?]]),FALSE)=J$2,TAB_Offres[[#This Row],[Reference]],""),"")</f>
        <v/>
      </c>
      <c r="O48" t="str">
        <f>IF(Tableau19[[#This Row],[EXPENSES_REF]]="","",MAX(O$1:O47)+1)</f>
        <v/>
      </c>
      <c r="P48" t="str">
        <f t="shared" si="0"/>
        <v/>
      </c>
      <c r="R48" s="103"/>
      <c r="S48" s="107"/>
      <c r="T48" s="96"/>
      <c r="U48" s="96"/>
      <c r="V48" s="96"/>
      <c r="W48" s="96"/>
      <c r="X48" s="96"/>
      <c r="Y48" s="96"/>
      <c r="Z48" s="96"/>
      <c r="AA48" s="96"/>
      <c r="AB48" s="96"/>
      <c r="AC48" s="96"/>
      <c r="AD48" s="33"/>
      <c r="AE48" s="33"/>
      <c r="AF48" s="33"/>
      <c r="AG48" s="33"/>
      <c r="AI48" s="3" t="str">
        <f>IFERROR(_xlfn.SINGLE(
IF(_xlfn.SINGLE(INDEX(TAB_Offres[Ressource 1],ROWS(Params!AI$2:$AI48)))=0,NA(),
INDEX(TAB_Offres[Ressource 1],ROWS(Params!AI$2:$AI48)))),
IFERROR(_xlfn.SINGLE(IF(_xlfn.SINGLE(INDEX(#REF!,ROWS(Params!AI$2:$AI48)-COUNTA(TAB_Offres[Ressource 1])))=0,NA(),
INDEX(#REF!,ROWS(Params!AI$2:$AI48)-COUNTA(TAB_Offres[Ressource 1])))),
IFERROR(_xlfn.SINGLE(IF(_xlfn.SINGLE(INDEX(#REF!,ROWS(Params!AI$2:$AI48)-COUNTA(#REF!)-COUNTA(TAB_Offres[Ressource 1])))=0,NA(),
INDEX(#REF!,ROWS(Params!AI$2:$AI48)-COUNTA(#REF!)-COUNTA(TAB_Offres[Ressource 1])))),""))
)</f>
        <v>CHATTERJEE, Pallavi</v>
      </c>
      <c r="AJ48" s="143">
        <f>IF(TAB_ressource[[#This Row],[Import Ressource]]="","",MAX(AJ$1:AJ47)+1)</f>
        <v>47</v>
      </c>
      <c r="AK48" s="176" t="str">
        <f>IFERROR(INDEX(TAB_ressource[Import Ressource],MATCH(ROW()-ROW($AK$1),TAB_ressource[ID Import ressources],0)),"")</f>
        <v>CHATTERJEE, Pallavi</v>
      </c>
      <c r="AM48" s="26" t="str">
        <v>ESCRIBANO, Ruben</v>
      </c>
      <c r="AN48" s="26" t="str">
        <f t="shared" si="1"/>
        <v>ESCRIBANO, Ruben</v>
      </c>
      <c r="AQ48" s="114"/>
      <c r="AR48" s="115">
        <f>COUNTIF(TAB_CS[Profile],AQ48)</f>
        <v>0</v>
      </c>
      <c r="BD48" t="s">
        <v>754</v>
      </c>
      <c r="BE48" t="s">
        <v>755</v>
      </c>
      <c r="BF48" t="s">
        <v>756</v>
      </c>
      <c r="BG48" t="s">
        <v>754</v>
      </c>
    </row>
    <row r="49" spans="13:59" x14ac:dyDescent="0.25">
      <c r="M49" t="str">
        <f>_xlfn.IFNA(IF(VLOOKUP(TAB_Offres[[#This Row],[Reference]],TAB_Offres[[Reference]:[Request State]],COLUMNS(TAB_Offres[[Reference]:[Request State]]),FALSE)=D$6,TAB_Offres[[#This Row],[Reference]],""),"")</f>
        <v>DIGITTMII-006067-6000053863-REQ-01</v>
      </c>
      <c r="N49" t="str">
        <f>_xlfn.IFNA(IF(VLOOKUP(TAB_Offres[[#This Row],[Reference]],TAB_Offres[[Reference]:[Has Expenses?]],COLUMNS(TAB_Offres[[Reference]:[Has Expenses?]]),FALSE)=J$2,TAB_Offres[[#This Row],[Reference]],""),"")</f>
        <v>DIGITTMII-006067-6000053863-REQ-01</v>
      </c>
      <c r="O49">
        <f>IF(Tableau19[[#This Row],[EXPENSES_REF]]="","",MAX(O$1:O48)+1)</f>
        <v>8</v>
      </c>
      <c r="P49" t="str">
        <f t="shared" si="0"/>
        <v/>
      </c>
      <c r="R49" s="103" t="str">
        <f>R28&amp;"-FAR"</f>
        <v>Data base architect-FAR</v>
      </c>
      <c r="S49" s="107">
        <v>212.94</v>
      </c>
      <c r="T49" s="96">
        <v>227.85</v>
      </c>
      <c r="U49" s="96">
        <v>243.8</v>
      </c>
      <c r="V49" s="96">
        <v>260.87</v>
      </c>
      <c r="W49" s="96">
        <v>279.13</v>
      </c>
      <c r="X49" s="96">
        <v>298.67</v>
      </c>
      <c r="Y49" s="96">
        <v>319.58</v>
      </c>
      <c r="Z49" s="96">
        <v>341.95</v>
      </c>
      <c r="AA49" s="96">
        <v>365.89</v>
      </c>
      <c r="AB49" s="96">
        <v>391.5</v>
      </c>
      <c r="AC49" s="96">
        <v>418.91</v>
      </c>
      <c r="AD49" s="33" t="s">
        <v>139</v>
      </c>
      <c r="AE49" s="33"/>
      <c r="AF49" s="33"/>
      <c r="AG49" s="33"/>
      <c r="AI49" s="3" t="str">
        <f>IFERROR(_xlfn.SINGLE(
IF(_xlfn.SINGLE(INDEX(TAB_Offres[Ressource 1],ROWS(Params!AI$2:$AI49)))=0,NA(),
INDEX(TAB_Offres[Ressource 1],ROWS(Params!AI$2:$AI49)))),
IFERROR(_xlfn.SINGLE(IF(_xlfn.SINGLE(INDEX(#REF!,ROWS(Params!AI$2:$AI49)-COUNTA(TAB_Offres[Ressource 1])))=0,NA(),
INDEX(#REF!,ROWS(Params!AI$2:$AI49)-COUNTA(TAB_Offres[Ressource 1])))),
IFERROR(_xlfn.SINGLE(IF(_xlfn.SINGLE(INDEX(#REF!,ROWS(Params!AI$2:$AI49)-COUNTA(#REF!)-COUNTA(TAB_Offres[Ressource 1])))=0,NA(),
INDEX(#REF!,ROWS(Params!AI$2:$AI49)-COUNTA(#REF!)-COUNTA(TAB_Offres[Ressource 1])))),""))
)</f>
        <v>VISICH, Valeryy</v>
      </c>
      <c r="AJ49" s="143">
        <f>IF(TAB_ressource[[#This Row],[Import Ressource]]="","",MAX(AJ$1:AJ48)+1)</f>
        <v>48</v>
      </c>
      <c r="AK49" s="176" t="str">
        <f>IFERROR(INDEX(TAB_ressource[Import Ressource],MATCH(ROW()-ROW($AK$1),TAB_ressource[ID Import ressources],0)),"")</f>
        <v>VISICH, Valeryy</v>
      </c>
      <c r="AM49" s="26" t="str">
        <v>COLLING, Fabiano</v>
      </c>
      <c r="AN49" s="26" t="str">
        <f t="shared" si="1"/>
        <v>COLLING, Fabiano</v>
      </c>
      <c r="AQ49" s="114" t="s">
        <v>101</v>
      </c>
      <c r="AR49" s="115">
        <f>COUNTIF(TAB_CS[Profile],AQ49)</f>
        <v>0</v>
      </c>
      <c r="BD49" t="s">
        <v>757</v>
      </c>
      <c r="BE49" t="s">
        <v>758</v>
      </c>
      <c r="BF49" t="s">
        <v>759</v>
      </c>
      <c r="BG49" t="s">
        <v>757</v>
      </c>
    </row>
    <row r="50" spans="13:59" x14ac:dyDescent="0.25">
      <c r="M50" t="str">
        <f>_xlfn.IFNA(IF(VLOOKUP(TAB_Offres[[#This Row],[Reference]],TAB_Offres[[Reference]:[Request State]],COLUMNS(TAB_Offres[[Reference]:[Request State]]),FALSE)=D$6,TAB_Offres[[#This Row],[Reference]],""),"")</f>
        <v>DIGITTMII-006275-DIGITTMII-003533-EXT-01-6000053863-REQ-01</v>
      </c>
      <c r="N50" t="str">
        <f>_xlfn.IFNA(IF(VLOOKUP(TAB_Offres[[#This Row],[Reference]],TAB_Offres[[Reference]:[Has Expenses?]],COLUMNS(TAB_Offres[[Reference]:[Has Expenses?]]),FALSE)=J$2,TAB_Offres[[#This Row],[Reference]],""),"")</f>
        <v/>
      </c>
      <c r="O50" t="str">
        <f>IF(Tableau19[[#This Row],[EXPENSES_REF]]="","",MAX(O$1:O49)+1)</f>
        <v/>
      </c>
      <c r="P50" t="str">
        <f t="shared" si="0"/>
        <v/>
      </c>
      <c r="R50" s="103" t="str">
        <f t="shared" ref="R50:R67" si="5">R29&amp;"-FAR"</f>
        <v>Mobile developer-FAR</v>
      </c>
      <c r="S50" s="107">
        <v>212.94</v>
      </c>
      <c r="T50" s="96">
        <v>227.85</v>
      </c>
      <c r="U50" s="96">
        <v>243.8</v>
      </c>
      <c r="V50" s="96">
        <v>260.87</v>
      </c>
      <c r="W50" s="96">
        <v>279.13</v>
      </c>
      <c r="X50" s="96">
        <v>298.67</v>
      </c>
      <c r="Y50" s="96">
        <v>319.58</v>
      </c>
      <c r="Z50" s="96">
        <v>341.95</v>
      </c>
      <c r="AA50" s="96">
        <v>365.89</v>
      </c>
      <c r="AB50" s="96">
        <v>391.5</v>
      </c>
      <c r="AC50" s="96">
        <v>418.91</v>
      </c>
      <c r="AD50" s="33" t="s">
        <v>139</v>
      </c>
      <c r="AE50" s="33"/>
      <c r="AF50" s="33"/>
      <c r="AG50" s="33"/>
      <c r="AI50" s="3" t="str">
        <f>IFERROR(_xlfn.SINGLE(
IF(_xlfn.SINGLE(INDEX(TAB_Offres[Ressource 1],ROWS(Params!AI$2:$AI50)))=0,NA(),
INDEX(TAB_Offres[Ressource 1],ROWS(Params!AI$2:$AI50)))),
IFERROR(_xlfn.SINGLE(IF(_xlfn.SINGLE(INDEX(#REF!,ROWS(Params!AI$2:$AI50)-COUNTA(TAB_Offres[Ressource 1])))=0,NA(),
INDEX(#REF!,ROWS(Params!AI$2:$AI50)-COUNTA(TAB_Offres[Ressource 1])))),
IFERROR(_xlfn.SINGLE(IF(_xlfn.SINGLE(INDEX(#REF!,ROWS(Params!AI$2:$AI50)-COUNTA(#REF!)-COUNTA(TAB_Offres[Ressource 1])))=0,NA(),
INDEX(#REF!,ROWS(Params!AI$2:$AI50)-COUNTA(#REF!)-COUNTA(TAB_Offres[Ressource 1])))),""))
)</f>
        <v>OLLINGER, Yannick</v>
      </c>
      <c r="AJ50" s="143">
        <f>IF(TAB_ressource[[#This Row],[Import Ressource]]="","",MAX(AJ$1:AJ49)+1)</f>
        <v>49</v>
      </c>
      <c r="AK50" s="176" t="str">
        <f>IFERROR(INDEX(TAB_ressource[Import Ressource],MATCH(ROW()-ROW($AK$1),TAB_ressource[ID Import ressources],0)),"")</f>
        <v>OLLINGER, Yannick</v>
      </c>
      <c r="AM50" s="26" t="str">
        <v>ADESIDA, Yemi</v>
      </c>
      <c r="AN50" s="26" t="str">
        <f t="shared" si="1"/>
        <v>ADESIDA, Yemi</v>
      </c>
      <c r="AQ50" s="114" t="s">
        <v>102</v>
      </c>
      <c r="AR50" s="115">
        <f>COUNTIF(TAB_CS[Profile],AQ50)</f>
        <v>0</v>
      </c>
      <c r="BD50" t="s">
        <v>760</v>
      </c>
      <c r="BE50" t="s">
        <v>761</v>
      </c>
      <c r="BF50" t="s">
        <v>762</v>
      </c>
      <c r="BG50" t="s">
        <v>760</v>
      </c>
    </row>
    <row r="51" spans="13:59" x14ac:dyDescent="0.25">
      <c r="M51" t="str">
        <f>_xlfn.IFNA(IF(VLOOKUP(TAB_Offres[[#This Row],[Reference]],TAB_Offres[[Reference]:[Request State]],COLUMNS(TAB_Offres[[Reference]:[Request State]]),FALSE)=D$6,TAB_Offres[[#This Row],[Reference]],""),"")</f>
        <v>DIGITTMII-006278-6000053863-REQ-01</v>
      </c>
      <c r="N51" t="str">
        <f>_xlfn.IFNA(IF(VLOOKUP(TAB_Offres[[#This Row],[Reference]],TAB_Offres[[Reference]:[Has Expenses?]],COLUMNS(TAB_Offres[[Reference]:[Has Expenses?]]),FALSE)=J$2,TAB_Offres[[#This Row],[Reference]],""),"")</f>
        <v/>
      </c>
      <c r="O51" t="str">
        <f>IF(Tableau19[[#This Row],[EXPENSES_REF]]="","",MAX(O$1:O50)+1)</f>
        <v/>
      </c>
      <c r="P51" t="str">
        <f t="shared" si="0"/>
        <v/>
      </c>
      <c r="R51" s="103" t="str">
        <f t="shared" si="5"/>
        <v>System integration and workflow specialist-FAR</v>
      </c>
      <c r="S51" s="107">
        <v>212.94</v>
      </c>
      <c r="T51" s="96">
        <v>227.85</v>
      </c>
      <c r="U51" s="96">
        <v>243.8</v>
      </c>
      <c r="V51" s="96">
        <v>260.87</v>
      </c>
      <c r="W51" s="96">
        <v>279.13</v>
      </c>
      <c r="X51" s="96">
        <v>298.67</v>
      </c>
      <c r="Y51" s="96">
        <v>319.58</v>
      </c>
      <c r="Z51" s="96">
        <v>341.95</v>
      </c>
      <c r="AA51" s="96">
        <v>365.89</v>
      </c>
      <c r="AB51" s="96">
        <v>391.5</v>
      </c>
      <c r="AC51" s="96">
        <v>418.91</v>
      </c>
      <c r="AD51" s="33" t="s">
        <v>139</v>
      </c>
      <c r="AE51" s="33"/>
      <c r="AF51" s="33"/>
      <c r="AG51" s="33"/>
      <c r="AI51" s="3" t="str">
        <f>IFERROR(_xlfn.SINGLE(
IF(_xlfn.SINGLE(INDEX(TAB_Offres[Ressource 1],ROWS(Params!AI$2:$AI51)))=0,NA(),
INDEX(TAB_Offres[Ressource 1],ROWS(Params!AI$2:$AI51)))),
IFERROR(_xlfn.SINGLE(IF(_xlfn.SINGLE(INDEX(#REF!,ROWS(Params!AI$2:$AI51)-COUNTA(TAB_Offres[Ressource 1])))=0,NA(),
INDEX(#REF!,ROWS(Params!AI$2:$AI51)-COUNTA(TAB_Offres[Ressource 1])))),
IFERROR(_xlfn.SINGLE(IF(_xlfn.SINGLE(INDEX(#REF!,ROWS(Params!AI$2:$AI51)-COUNTA(#REF!)-COUNTA(TAB_Offres[Ressource 1])))=0,NA(),
INDEX(#REF!,ROWS(Params!AI$2:$AI51)-COUNTA(#REF!)-COUNTA(TAB_Offres[Ressource 1])))),""))
)</f>
        <v>FERNANDEZ GUERRERO, Ivan</v>
      </c>
      <c r="AJ51" s="143">
        <f>IF(TAB_ressource[[#This Row],[Import Ressource]]="","",MAX(AJ$1:AJ50)+1)</f>
        <v>50</v>
      </c>
      <c r="AK51" s="176" t="str">
        <f>IFERROR(INDEX(TAB_ressource[Import Ressource],MATCH(ROW()-ROW($AK$1),TAB_ressource[ID Import ressources],0)),"")</f>
        <v>FERNANDEZ GUERRERO, Ivan</v>
      </c>
      <c r="AM51" s="26" t="str">
        <v>LORENC, Adrian</v>
      </c>
      <c r="AN51" s="26" t="str">
        <f t="shared" si="1"/>
        <v>LORENC, Adrian</v>
      </c>
      <c r="AQ51" s="114" t="s">
        <v>103</v>
      </c>
      <c r="AR51" s="115">
        <f>COUNTIF(TAB_CS[Profile],AQ51)</f>
        <v>0</v>
      </c>
      <c r="BD51" t="s">
        <v>763</v>
      </c>
      <c r="BE51" t="s">
        <v>764</v>
      </c>
      <c r="BF51" t="s">
        <v>765</v>
      </c>
      <c r="BG51" t="s">
        <v>763</v>
      </c>
    </row>
    <row r="52" spans="13:59" x14ac:dyDescent="0.25">
      <c r="M52" t="str">
        <f>_xlfn.IFNA(IF(VLOOKUP(TAB_Offres[[#This Row],[Reference]],TAB_Offres[[Reference]:[Request State]],COLUMNS(TAB_Offres[[Reference]:[Request State]]),FALSE)=D$6,TAB_Offres[[#This Row],[Reference]],""),"")</f>
        <v>DIGITTMII-006300-6000053863-REQ-01</v>
      </c>
      <c r="N52" t="str">
        <f>_xlfn.IFNA(IF(VLOOKUP(TAB_Offres[[#This Row],[Reference]],TAB_Offres[[Reference]:[Has Expenses?]],COLUMNS(TAB_Offres[[Reference]:[Has Expenses?]]),FALSE)=J$2,TAB_Offres[[#This Row],[Reference]],""),"")</f>
        <v/>
      </c>
      <c r="O52" t="str">
        <f>IF(Tableau19[[#This Row],[EXPENSES_REF]]="","",MAX(O$1:O51)+1)</f>
        <v/>
      </c>
      <c r="P52" t="str">
        <f t="shared" si="0"/>
        <v/>
      </c>
      <c r="R52" s="103" t="str">
        <f t="shared" si="5"/>
        <v>Application/Cloud architect-FAR</v>
      </c>
      <c r="S52" s="107">
        <v>212.94</v>
      </c>
      <c r="T52" s="96">
        <v>227.85</v>
      </c>
      <c r="U52" s="96">
        <v>243.8</v>
      </c>
      <c r="V52" s="96">
        <v>260.87</v>
      </c>
      <c r="W52" s="96">
        <v>279.13</v>
      </c>
      <c r="X52" s="96">
        <v>298.67</v>
      </c>
      <c r="Y52" s="96">
        <v>319.58</v>
      </c>
      <c r="Z52" s="96">
        <v>341.95</v>
      </c>
      <c r="AA52" s="96">
        <v>365.89</v>
      </c>
      <c r="AB52" s="96">
        <v>391.5</v>
      </c>
      <c r="AC52" s="96">
        <v>418.91</v>
      </c>
      <c r="AD52" s="33" t="s">
        <v>139</v>
      </c>
      <c r="AE52" s="33"/>
      <c r="AF52" s="33"/>
      <c r="AG52" s="33"/>
      <c r="AI52" s="3" t="str">
        <f>IFERROR(_xlfn.SINGLE(
IF(_xlfn.SINGLE(INDEX(TAB_Offres[Ressource 1],ROWS(Params!AI$2:$AI52)))=0,NA(),
INDEX(TAB_Offres[Ressource 1],ROWS(Params!AI$2:$AI52)))),
IFERROR(_xlfn.SINGLE(IF(_xlfn.SINGLE(INDEX(#REF!,ROWS(Params!AI$2:$AI52)-COUNTA(TAB_Offres[Ressource 1])))=0,NA(),
INDEX(#REF!,ROWS(Params!AI$2:$AI52)-COUNTA(TAB_Offres[Ressource 1])))),
IFERROR(_xlfn.SINGLE(IF(_xlfn.SINGLE(INDEX(#REF!,ROWS(Params!AI$2:$AI52)-COUNTA(#REF!)-COUNTA(TAB_Offres[Ressource 1])))=0,NA(),
INDEX(#REF!,ROWS(Params!AI$2:$AI52)-COUNTA(#REF!)-COUNTA(TAB_Offres[Ressource 1])))),""))
)</f>
        <v>MARCELLINO, Costanza</v>
      </c>
      <c r="AJ52" s="143">
        <f>IF(TAB_ressource[[#This Row],[Import Ressource]]="","",MAX(AJ$1:AJ51)+1)</f>
        <v>51</v>
      </c>
      <c r="AK52" s="176" t="str">
        <f>IFERROR(INDEX(TAB_ressource[Import Ressource],MATCH(ROW()-ROW($AK$1),TAB_ressource[ID Import ressources],0)),"")</f>
        <v>MARCELLINO, Costanza</v>
      </c>
      <c r="AM52" s="26" t="str">
        <v>TRANDAFIR, Tiberiu</v>
      </c>
      <c r="AN52" s="26" t="str">
        <f t="shared" si="1"/>
        <v>TRANDAFIR, Tiberiu</v>
      </c>
      <c r="AQ52" s="114" t="s">
        <v>104</v>
      </c>
      <c r="AR52" s="115">
        <f>COUNTIF(TAB_CS[Profile],AQ52)</f>
        <v>0</v>
      </c>
      <c r="BD52" t="s">
        <v>766</v>
      </c>
      <c r="BE52" t="s">
        <v>767</v>
      </c>
      <c r="BF52" t="s">
        <v>768</v>
      </c>
      <c r="BG52" t="s">
        <v>766</v>
      </c>
    </row>
    <row r="53" spans="13:59" x14ac:dyDescent="0.25">
      <c r="M53" t="str">
        <f>_xlfn.IFNA(IF(VLOOKUP(TAB_Offres[[#This Row],[Reference]],TAB_Offres[[Reference]:[Request State]],COLUMNS(TAB_Offres[[Reference]:[Request State]]),FALSE)=D$6,TAB_Offres[[#This Row],[Reference]],""),"")</f>
        <v>DIGITTMII-006302-6000053863-REQ-01</v>
      </c>
      <c r="N53" t="str">
        <f>_xlfn.IFNA(IF(VLOOKUP(TAB_Offres[[#This Row],[Reference]],TAB_Offres[[Reference]:[Has Expenses?]],COLUMNS(TAB_Offres[[Reference]:[Has Expenses?]]),FALSE)=J$2,TAB_Offres[[#This Row],[Reference]],""),"")</f>
        <v/>
      </c>
      <c r="O53" t="str">
        <f>IF(Tableau19[[#This Row],[EXPENSES_REF]]="","",MAX(O$1:O52)+1)</f>
        <v/>
      </c>
      <c r="P53" t="str">
        <f t="shared" si="0"/>
        <v/>
      </c>
      <c r="R53" s="103" t="str">
        <f t="shared" si="5"/>
        <v>Project Manager-FAR</v>
      </c>
      <c r="S53" s="101">
        <v>230</v>
      </c>
      <c r="T53" s="96">
        <v>246.1</v>
      </c>
      <c r="U53" s="96">
        <v>263.33</v>
      </c>
      <c r="V53" s="96">
        <v>281.76</v>
      </c>
      <c r="W53" s="96">
        <v>301.48</v>
      </c>
      <c r="X53" s="96">
        <v>322.58</v>
      </c>
      <c r="Y53" s="96">
        <v>345.16</v>
      </c>
      <c r="Z53" s="96">
        <v>369.32</v>
      </c>
      <c r="AA53" s="96">
        <v>395.17</v>
      </c>
      <c r="AB53" s="96">
        <v>422.83</v>
      </c>
      <c r="AC53" s="96">
        <v>452.43</v>
      </c>
      <c r="AD53" s="33" t="s">
        <v>139</v>
      </c>
      <c r="AE53" s="33"/>
      <c r="AF53" s="33"/>
      <c r="AG53" s="33"/>
      <c r="AI53" s="3" t="str">
        <f>IFERROR(_xlfn.SINGLE(
IF(_xlfn.SINGLE(INDEX(TAB_Offres[Ressource 1],ROWS(Params!AI$2:$AI53)))=0,NA(),
INDEX(TAB_Offres[Ressource 1],ROWS(Params!AI$2:$AI53)))),
IFERROR(_xlfn.SINGLE(IF(_xlfn.SINGLE(INDEX(#REF!,ROWS(Params!AI$2:$AI53)-COUNTA(TAB_Offres[Ressource 1])))=0,NA(),
INDEX(#REF!,ROWS(Params!AI$2:$AI53)-COUNTA(TAB_Offres[Ressource 1])))),
IFERROR(_xlfn.SINGLE(IF(_xlfn.SINGLE(INDEX(#REF!,ROWS(Params!AI$2:$AI53)-COUNTA(#REF!)-COUNTA(TAB_Offres[Ressource 1])))=0,NA(),
INDEX(#REF!,ROWS(Params!AI$2:$AI53)-COUNTA(#REF!)-COUNTA(TAB_Offres[Ressource 1])))),""))
)</f>
        <v>AFONSO, Leonardo</v>
      </c>
      <c r="AJ53" s="143">
        <f>IF(TAB_ressource[[#This Row],[Import Ressource]]="","",MAX(AJ$1:AJ52)+1)</f>
        <v>52</v>
      </c>
      <c r="AK53" s="176" t="str">
        <f>IFERROR(INDEX(TAB_ressource[Import Ressource],MATCH(ROW()-ROW($AK$1),TAB_ressource[ID Import ressources],0)),"")</f>
        <v>AFONSO, Leonardo</v>
      </c>
      <c r="AM53" s="26" t="str">
        <v>APETRI, Ioana</v>
      </c>
      <c r="AN53" s="26" t="str">
        <f t="shared" si="1"/>
        <v>APETRI, Ioana</v>
      </c>
      <c r="AQ53" s="114" t="s">
        <v>105</v>
      </c>
      <c r="AR53" s="115">
        <f>COUNTIF(TAB_CS[Profile],AQ53)</f>
        <v>0</v>
      </c>
      <c r="BD53" t="s">
        <v>769</v>
      </c>
      <c r="BE53" t="s">
        <v>770</v>
      </c>
      <c r="BF53" t="s">
        <v>771</v>
      </c>
      <c r="BG53" t="s">
        <v>769</v>
      </c>
    </row>
    <row r="54" spans="13:59" x14ac:dyDescent="0.25">
      <c r="M54" t="str">
        <f>_xlfn.IFNA(IF(VLOOKUP(TAB_Offres[[#This Row],[Reference]],TAB_Offres[[Reference]:[Request State]],COLUMNS(TAB_Offres[[Reference]:[Request State]]),FALSE)=D$6,TAB_Offres[[#This Row],[Reference]],""),"")</f>
        <v>DIGITTMII-006542-DIGITTMII-003463-EXT-01-6000053863-REQ-01</v>
      </c>
      <c r="N54" t="str">
        <f>_xlfn.IFNA(IF(VLOOKUP(TAB_Offres[[#This Row],[Reference]],TAB_Offres[[Reference]:[Has Expenses?]],COLUMNS(TAB_Offres[[Reference]:[Has Expenses?]]),FALSE)=J$2,TAB_Offres[[#This Row],[Reference]],""),"")</f>
        <v>DIGITTMII-006542-DIGITTMII-003463-EXT-01-6000053863-REQ-01</v>
      </c>
      <c r="O54">
        <f>IF(Tableau19[[#This Row],[EXPENSES_REF]]="","",MAX(O$1:O53)+1)</f>
        <v>9</v>
      </c>
      <c r="P54" t="str">
        <f t="shared" si="0"/>
        <v/>
      </c>
      <c r="R54" s="103" t="str">
        <f t="shared" si="5"/>
        <v>Interface designer-FAR</v>
      </c>
      <c r="S54" s="101">
        <v>212.94</v>
      </c>
      <c r="T54" s="96">
        <v>227.85</v>
      </c>
      <c r="U54" s="96">
        <v>243.8</v>
      </c>
      <c r="V54" s="96">
        <v>260.87</v>
      </c>
      <c r="W54" s="96">
        <v>279.13</v>
      </c>
      <c r="X54" s="96">
        <v>298.67</v>
      </c>
      <c r="Y54" s="96">
        <v>319.58</v>
      </c>
      <c r="Z54" s="96">
        <v>341.95</v>
      </c>
      <c r="AA54" s="96">
        <v>365.89</v>
      </c>
      <c r="AB54" s="96">
        <v>391.5</v>
      </c>
      <c r="AC54" s="96">
        <v>418.91</v>
      </c>
      <c r="AD54" s="33" t="s">
        <v>139</v>
      </c>
      <c r="AE54" s="33"/>
      <c r="AF54" s="33"/>
      <c r="AG54" s="33"/>
      <c r="AI54" s="3" t="str">
        <f>IFERROR(_xlfn.SINGLE(
IF(_xlfn.SINGLE(INDEX(TAB_Offres[Ressource 1],ROWS(Params!AI$2:$AI54)))=0,NA(),
INDEX(TAB_Offres[Ressource 1],ROWS(Params!AI$2:$AI54)))),
IFERROR(_xlfn.SINGLE(IF(_xlfn.SINGLE(INDEX(#REF!,ROWS(Params!AI$2:$AI54)-COUNTA(TAB_Offres[Ressource 1])))=0,NA(),
INDEX(#REF!,ROWS(Params!AI$2:$AI54)-COUNTA(TAB_Offres[Ressource 1])))),
IFERROR(_xlfn.SINGLE(IF(_xlfn.SINGLE(INDEX(#REF!,ROWS(Params!AI$2:$AI54)-COUNTA(#REF!)-COUNTA(TAB_Offres[Ressource 1])))=0,NA(),
INDEX(#REF!,ROWS(Params!AI$2:$AI54)-COUNTA(#REF!)-COUNTA(TAB_Offres[Ressource 1])))),""))
)</f>
        <v>MASTRANDREA, Barbara Maria</v>
      </c>
      <c r="AJ54" s="143">
        <f>IF(TAB_ressource[[#This Row],[Import Ressource]]="","",MAX(AJ$1:AJ53)+1)</f>
        <v>53</v>
      </c>
      <c r="AK54" s="176" t="str">
        <f>IFERROR(INDEX(TAB_ressource[Import Ressource],MATCH(ROW()-ROW($AK$1),TAB_ressource[ID Import ressources],0)),"")</f>
        <v>MASTRANDREA, Barbara Maria</v>
      </c>
      <c r="AM54" s="26" t="str">
        <v>SANDOVAL David</v>
      </c>
      <c r="AN54" s="26" t="str">
        <f t="shared" si="1"/>
        <v>SANDOVAL David</v>
      </c>
      <c r="AQ54" s="114" t="s">
        <v>106</v>
      </c>
      <c r="AR54" s="115">
        <f>COUNTIF(TAB_CS[Profile],AQ54)</f>
        <v>0</v>
      </c>
      <c r="BD54" t="s">
        <v>772</v>
      </c>
      <c r="BE54" t="s">
        <v>773</v>
      </c>
      <c r="BF54" t="s">
        <v>774</v>
      </c>
      <c r="BG54" t="s">
        <v>772</v>
      </c>
    </row>
    <row r="55" spans="13:59" x14ac:dyDescent="0.25">
      <c r="M55" t="str">
        <f>_xlfn.IFNA(IF(VLOOKUP(TAB_Offres[[#This Row],[Reference]],TAB_Offres[[Reference]:[Request State]],COLUMNS(TAB_Offres[[Reference]:[Request State]]),FALSE)=D$6,TAB_Offres[[#This Row],[Reference]],""),"")</f>
        <v>DIGITTMII-006621-DIGITTMII-002474-EXT-01-6000053863-REQ-01</v>
      </c>
      <c r="N55" t="str">
        <f>_xlfn.IFNA(IF(VLOOKUP(TAB_Offres[[#This Row],[Reference]],TAB_Offres[[Reference]:[Has Expenses?]],COLUMNS(TAB_Offres[[Reference]:[Has Expenses?]]),FALSE)=J$2,TAB_Offres[[#This Row],[Reference]],""),"")</f>
        <v/>
      </c>
      <c r="O55" t="str">
        <f>IF(Tableau19[[#This Row],[EXPENSES_REF]]="","",MAX(O$1:O54)+1)</f>
        <v/>
      </c>
      <c r="P55" t="str">
        <f t="shared" si="0"/>
        <v/>
      </c>
      <c r="R55" s="103" t="str">
        <f t="shared" si="5"/>
        <v>Business analyst-FAR</v>
      </c>
      <c r="S55" s="101">
        <v>273</v>
      </c>
      <c r="T55" s="96">
        <v>292.11</v>
      </c>
      <c r="U55" s="96">
        <v>312.56</v>
      </c>
      <c r="V55" s="96">
        <v>334.44</v>
      </c>
      <c r="W55" s="96">
        <v>357.85</v>
      </c>
      <c r="X55" s="96">
        <v>382.9</v>
      </c>
      <c r="Y55" s="96">
        <v>409.7</v>
      </c>
      <c r="Z55" s="96">
        <v>438.38</v>
      </c>
      <c r="AA55" s="96">
        <v>469.07</v>
      </c>
      <c r="AB55" s="96">
        <v>501.9</v>
      </c>
      <c r="AC55" s="96">
        <v>537.03</v>
      </c>
      <c r="AD55" s="33" t="s">
        <v>139</v>
      </c>
      <c r="AE55" s="33"/>
      <c r="AF55" s="33"/>
      <c r="AG55" s="33"/>
      <c r="AI55" s="3" t="str">
        <f>IFERROR(_xlfn.SINGLE(
IF(_xlfn.SINGLE(INDEX(TAB_Offres[Ressource 1],ROWS(Params!AI$2:$AI55)))=0,NA(),
INDEX(TAB_Offres[Ressource 1],ROWS(Params!AI$2:$AI55)))),
IFERROR(_xlfn.SINGLE(IF(_xlfn.SINGLE(INDEX(#REF!,ROWS(Params!AI$2:$AI55)-COUNTA(TAB_Offres[Ressource 1])))=0,NA(),
INDEX(#REF!,ROWS(Params!AI$2:$AI55)-COUNTA(TAB_Offres[Ressource 1])))),
IFERROR(_xlfn.SINGLE(IF(_xlfn.SINGLE(INDEX(#REF!,ROWS(Params!AI$2:$AI55)-COUNTA(#REF!)-COUNTA(TAB_Offres[Ressource 1])))=0,NA(),
INDEX(#REF!,ROWS(Params!AI$2:$AI55)-COUNTA(#REF!)-COUNTA(TAB_Offres[Ressource 1])))),""))
)</f>
        <v>ADAM, Nathalie</v>
      </c>
      <c r="AJ55" s="143">
        <f>IF(TAB_ressource[[#This Row],[Import Ressource]]="","",MAX(AJ$1:AJ54)+1)</f>
        <v>54</v>
      </c>
      <c r="AK55" s="176" t="str">
        <f>IFERROR(INDEX(TAB_ressource[Import Ressource],MATCH(ROW()-ROW($AK$1),TAB_ressource[ID Import ressources],0)),"")</f>
        <v>ADAM, Nathalie</v>
      </c>
      <c r="AM55" s="26" t="str">
        <v>URBINI Lorenzo</v>
      </c>
      <c r="AN55" s="26" t="str">
        <f t="shared" si="1"/>
        <v>URBINI Lorenzo</v>
      </c>
      <c r="AQ55" s="114" t="s">
        <v>107</v>
      </c>
      <c r="AR55" s="115">
        <f>COUNTIF(TAB_CS[Profile],AQ55)</f>
        <v>0</v>
      </c>
      <c r="BD55" t="s">
        <v>775</v>
      </c>
      <c r="BE55" t="s">
        <v>776</v>
      </c>
      <c r="BF55" t="s">
        <v>777</v>
      </c>
      <c r="BG55" t="s">
        <v>775</v>
      </c>
    </row>
    <row r="56" spans="13:59" ht="26.4" x14ac:dyDescent="0.25">
      <c r="M56" t="str">
        <f>_xlfn.IFNA(IF(VLOOKUP(TAB_Offres[[#This Row],[Reference]],TAB_Offres[[Reference]:[Request State]],COLUMNS(TAB_Offres[[Reference]:[Request State]]),FALSE)=D$6,TAB_Offres[[#This Row],[Reference]],""),"")</f>
        <v>DIGITTMII-006710-DIGITTMII-001957-EXT-01-6000053863-REQ-01</v>
      </c>
      <c r="N56" t="str">
        <f>_xlfn.IFNA(IF(VLOOKUP(TAB_Offres[[#This Row],[Reference]],TAB_Offres[[Reference]:[Has Expenses?]],COLUMNS(TAB_Offres[[Reference]:[Has Expenses?]]),FALSE)=J$2,TAB_Offres[[#This Row],[Reference]],""),"")</f>
        <v>DIGITTMII-006710-DIGITTMII-001957-EXT-01-6000053863-REQ-01</v>
      </c>
      <c r="O56">
        <f>IF(Tableau19[[#This Row],[EXPENSES_REF]]="","",MAX(O$1:O55)+1)</f>
        <v>10</v>
      </c>
      <c r="P56" t="str">
        <f t="shared" si="0"/>
        <v/>
      </c>
      <c r="R56" s="103" t="str">
        <f t="shared" si="5"/>
        <v>Customer relationship management specialist-FAR</v>
      </c>
      <c r="S56" s="101">
        <v>212.94</v>
      </c>
      <c r="T56" s="96">
        <v>227.85</v>
      </c>
      <c r="U56" s="96">
        <v>243.8</v>
      </c>
      <c r="V56" s="96">
        <v>260.87</v>
      </c>
      <c r="W56" s="96">
        <v>279.13</v>
      </c>
      <c r="X56" s="96">
        <v>298.67</v>
      </c>
      <c r="Y56" s="96">
        <v>319.58</v>
      </c>
      <c r="Z56" s="96">
        <v>341.95</v>
      </c>
      <c r="AA56" s="96">
        <v>365.89</v>
      </c>
      <c r="AB56" s="96">
        <v>391.5</v>
      </c>
      <c r="AC56" s="96">
        <v>418.91</v>
      </c>
      <c r="AD56" s="33" t="s">
        <v>139</v>
      </c>
      <c r="AE56" s="33"/>
      <c r="AF56" s="33"/>
      <c r="AG56" s="33"/>
      <c r="AI56" s="3" t="str">
        <f>IFERROR(_xlfn.SINGLE(
IF(_xlfn.SINGLE(INDEX(TAB_Offres[Ressource 1],ROWS(Params!AI$2:$AI56)))=0,NA(),
INDEX(TAB_Offres[Ressource 1],ROWS(Params!AI$2:$AI56)))),
IFERROR(_xlfn.SINGLE(IF(_xlfn.SINGLE(INDEX(#REF!,ROWS(Params!AI$2:$AI56)-COUNTA(TAB_Offres[Ressource 1])))=0,NA(),
INDEX(#REF!,ROWS(Params!AI$2:$AI56)-COUNTA(TAB_Offres[Ressource 1])))),
IFERROR(_xlfn.SINGLE(IF(_xlfn.SINGLE(INDEX(#REF!,ROWS(Params!AI$2:$AI56)-COUNTA(#REF!)-COUNTA(TAB_Offres[Ressource 1])))=0,NA(),
INDEX(#REF!,ROWS(Params!AI$2:$AI56)-COUNTA(#REF!)-COUNTA(TAB_Offres[Ressource 1])))),""))
)</f>
        <v>PIETRAS, Adam</v>
      </c>
      <c r="AJ56" s="143">
        <f>IF(TAB_ressource[[#This Row],[Import Ressource]]="","",MAX(AJ$1:AJ55)+1)</f>
        <v>55</v>
      </c>
      <c r="AK56" s="176" t="str">
        <f>IFERROR(INDEX(TAB_ressource[Import Ressource],MATCH(ROW()-ROW($AK$1),TAB_ressource[ID Import ressources],0)),"")</f>
        <v>PIETRAS, Adam</v>
      </c>
      <c r="AM56" s="26" t="str">
        <v>DECANINI, Barbara</v>
      </c>
      <c r="AN56" s="26" t="str">
        <f t="shared" si="1"/>
        <v>DECANINI, Barbara</v>
      </c>
      <c r="AQ56" s="114" t="s">
        <v>108</v>
      </c>
      <c r="AR56" s="115">
        <f>COUNTIF(TAB_CS[Profile],AQ56)</f>
        <v>0</v>
      </c>
      <c r="BD56" t="s">
        <v>778</v>
      </c>
      <c r="BE56" t="s">
        <v>779</v>
      </c>
      <c r="BF56" t="s">
        <v>780</v>
      </c>
      <c r="BG56" t="s">
        <v>778</v>
      </c>
    </row>
    <row r="57" spans="13:59" x14ac:dyDescent="0.25">
      <c r="M57" t="str">
        <f>_xlfn.IFNA(IF(VLOOKUP(TAB_Offres[[#This Row],[Reference]],TAB_Offres[[Reference]:[Request State]],COLUMNS(TAB_Offres[[Reference]:[Request State]]),FALSE)=D$6,TAB_Offres[[#This Row],[Reference]],""),"")</f>
        <v>DIGITTMII-006713-DIGITTMII-002931-EXT-01-6000053863-REQ-01</v>
      </c>
      <c r="N57" t="str">
        <f>_xlfn.IFNA(IF(VLOOKUP(TAB_Offres[[#This Row],[Reference]],TAB_Offres[[Reference]:[Has Expenses?]],COLUMNS(TAB_Offres[[Reference]:[Has Expenses?]]),FALSE)=J$2,TAB_Offres[[#This Row],[Reference]],""),"")</f>
        <v>DIGITTMII-006713-DIGITTMII-002931-EXT-01-6000053863-REQ-01</v>
      </c>
      <c r="O57">
        <f>IF(Tableau19[[#This Row],[EXPENSES_REF]]="","",MAX(O$1:O56)+1)</f>
        <v>11</v>
      </c>
      <c r="P57" t="str">
        <f t="shared" si="0"/>
        <v/>
      </c>
      <c r="R57" s="103" t="str">
        <f t="shared" si="5"/>
        <v>Support manager-FAR</v>
      </c>
      <c r="S57" s="101">
        <v>212.94</v>
      </c>
      <c r="T57" s="96">
        <v>227.85</v>
      </c>
      <c r="U57" s="96">
        <v>243.8</v>
      </c>
      <c r="V57" s="96">
        <v>260.87</v>
      </c>
      <c r="W57" s="96">
        <v>279.13</v>
      </c>
      <c r="X57" s="96">
        <v>298.67</v>
      </c>
      <c r="Y57" s="96">
        <v>319.58</v>
      </c>
      <c r="Z57" s="96">
        <v>341.95</v>
      </c>
      <c r="AA57" s="96">
        <v>365.89</v>
      </c>
      <c r="AB57" s="96">
        <v>391.5</v>
      </c>
      <c r="AC57" s="96">
        <v>418.91</v>
      </c>
      <c r="AD57" s="33" t="s">
        <v>139</v>
      </c>
      <c r="AE57" s="33"/>
      <c r="AF57" s="33"/>
      <c r="AG57" s="33"/>
      <c r="AI57" s="3" t="str">
        <f>IFERROR(_xlfn.SINGLE(
IF(_xlfn.SINGLE(INDEX(TAB_Offres[Ressource 1],ROWS(Params!AI$2:$AI57)))=0,NA(),
INDEX(TAB_Offres[Ressource 1],ROWS(Params!AI$2:$AI57)))),
IFERROR(_xlfn.SINGLE(IF(_xlfn.SINGLE(INDEX(#REF!,ROWS(Params!AI$2:$AI57)-COUNTA(TAB_Offres[Ressource 1])))=0,NA(),
INDEX(#REF!,ROWS(Params!AI$2:$AI57)-COUNTA(TAB_Offres[Ressource 1])))),
IFERROR(_xlfn.SINGLE(IF(_xlfn.SINGLE(INDEX(#REF!,ROWS(Params!AI$2:$AI57)-COUNTA(#REF!)-COUNTA(TAB_Offres[Ressource 1])))=0,NA(),
INDEX(#REF!,ROWS(Params!AI$2:$AI57)-COUNTA(#REF!)-COUNTA(TAB_Offres[Ressource 1])))),""))
)</f>
        <v>DOUHAIZENET, Gael</v>
      </c>
      <c r="AJ57" s="143">
        <f>IF(TAB_ressource[[#This Row],[Import Ressource]]="","",MAX(AJ$1:AJ56)+1)</f>
        <v>56</v>
      </c>
      <c r="AK57" s="176" t="str">
        <f>IFERROR(INDEX(TAB_ressource[Import Ressource],MATCH(ROW()-ROW($AK$1),TAB_ressource[ID Import ressources],0)),"")</f>
        <v>DOUHAIZENET, Gael</v>
      </c>
      <c r="AM57" s="26" t="str">
        <v>GOSMAN, Andrei</v>
      </c>
      <c r="AN57" s="26" t="str">
        <f t="shared" si="1"/>
        <v>GOSMAN, Andrei</v>
      </c>
      <c r="AQ57" s="114" t="s">
        <v>109</v>
      </c>
      <c r="AR57" s="115">
        <f>COUNTIF(TAB_CS[Profile],AQ57)</f>
        <v>0</v>
      </c>
      <c r="BD57" t="s">
        <v>781</v>
      </c>
      <c r="BE57" t="s">
        <v>782</v>
      </c>
      <c r="BF57" t="s">
        <v>783</v>
      </c>
      <c r="BG57" t="s">
        <v>781</v>
      </c>
    </row>
    <row r="58" spans="13:59" x14ac:dyDescent="0.25">
      <c r="M58" t="str">
        <f>_xlfn.IFNA(IF(VLOOKUP(TAB_Offres[[#This Row],[Reference]],TAB_Offres[[Reference]:[Request State]],COLUMNS(TAB_Offres[[Reference]:[Request State]]),FALSE)=D$6,TAB_Offres[[#This Row],[Reference]],""),"")</f>
        <v>DIGITTMII-006870-DIGITTMII-003743-EXT-01-6000053863-REQ-01</v>
      </c>
      <c r="N58" t="str">
        <f>_xlfn.IFNA(IF(VLOOKUP(TAB_Offres[[#This Row],[Reference]],TAB_Offres[[Reference]:[Has Expenses?]],COLUMNS(TAB_Offres[[Reference]:[Has Expenses?]]),FALSE)=J$2,TAB_Offres[[#This Row],[Reference]],""),"")</f>
        <v/>
      </c>
      <c r="O58" t="str">
        <f>IF(Tableau19[[#This Row],[EXPENSES_REF]]="","",MAX(O$1:O57)+1)</f>
        <v/>
      </c>
      <c r="P58" t="str">
        <f t="shared" si="0"/>
        <v/>
      </c>
      <c r="R58" s="103" t="str">
        <f t="shared" si="5"/>
        <v>Test automation specialist-FAR</v>
      </c>
      <c r="S58" s="107">
        <v>212.94</v>
      </c>
      <c r="T58" s="96">
        <v>227.85</v>
      </c>
      <c r="U58" s="96">
        <v>243.8</v>
      </c>
      <c r="V58" s="96">
        <v>260.87</v>
      </c>
      <c r="W58" s="96">
        <v>279.13</v>
      </c>
      <c r="X58" s="96">
        <v>298.67</v>
      </c>
      <c r="Y58" s="96">
        <v>319.58</v>
      </c>
      <c r="Z58" s="96">
        <v>341.95</v>
      </c>
      <c r="AA58" s="96">
        <v>365.89</v>
      </c>
      <c r="AB58" s="96">
        <v>391.5</v>
      </c>
      <c r="AC58" s="96">
        <v>418.91</v>
      </c>
      <c r="AD58" s="33" t="s">
        <v>139</v>
      </c>
      <c r="AE58" s="33"/>
      <c r="AF58" s="33"/>
      <c r="AG58" s="33"/>
      <c r="AI58" s="3" t="str">
        <f>IFERROR(_xlfn.SINGLE(
IF(_xlfn.SINGLE(INDEX(TAB_Offres[Ressource 1],ROWS(Params!AI$2:$AI58)))=0,NA(),
INDEX(TAB_Offres[Ressource 1],ROWS(Params!AI$2:$AI58)))),
IFERROR(_xlfn.SINGLE(IF(_xlfn.SINGLE(INDEX(#REF!,ROWS(Params!AI$2:$AI58)-COUNTA(TAB_Offres[Ressource 1])))=0,NA(),
INDEX(#REF!,ROWS(Params!AI$2:$AI58)-COUNTA(TAB_Offres[Ressource 1])))),
IFERROR(_xlfn.SINGLE(IF(_xlfn.SINGLE(INDEX(#REF!,ROWS(Params!AI$2:$AI58)-COUNTA(#REF!)-COUNTA(TAB_Offres[Ressource 1])))=0,NA(),
INDEX(#REF!,ROWS(Params!AI$2:$AI58)-COUNTA(#REF!)-COUNTA(TAB_Offres[Ressource 1])))),""))
)</f>
        <v>WHYE, Gregory</v>
      </c>
      <c r="AJ58" s="143">
        <f>IF(TAB_ressource[[#This Row],[Import Ressource]]="","",MAX(AJ$1:AJ57)+1)</f>
        <v>57</v>
      </c>
      <c r="AK58" s="176" t="str">
        <f>IFERROR(INDEX(TAB_ressource[Import Ressource],MATCH(ROW()-ROW($AK$1),TAB_ressource[ID Import ressources],0)),"")</f>
        <v>WHYE, Gregory</v>
      </c>
      <c r="AM58" s="26" t="str">
        <v>MEEUS, Alain</v>
      </c>
      <c r="AN58" s="26" t="str">
        <f t="shared" si="1"/>
        <v>MEEUS, Alain</v>
      </c>
      <c r="AQ58" s="114" t="s">
        <v>110</v>
      </c>
      <c r="AR58" s="115">
        <f>COUNTIF(TAB_CS[Profile],AQ58)</f>
        <v>0</v>
      </c>
      <c r="BD58" t="s">
        <v>784</v>
      </c>
      <c r="BE58" t="s">
        <v>785</v>
      </c>
      <c r="BF58" t="s">
        <v>786</v>
      </c>
      <c r="BG58" t="s">
        <v>784</v>
      </c>
    </row>
    <row r="59" spans="13:59" x14ac:dyDescent="0.25">
      <c r="M59" t="str">
        <f>_xlfn.IFNA(IF(VLOOKUP(TAB_Offres[[#This Row],[Reference]],TAB_Offres[[Reference]:[Request State]],COLUMNS(TAB_Offres[[Reference]:[Request State]]),FALSE)=D$6,TAB_Offres[[#This Row],[Reference]],""),"")</f>
        <v>DIGITTMII-006985-DIGITTMII-001410-EXT-01-6000053863-REQ-01</v>
      </c>
      <c r="N59" t="str">
        <f>_xlfn.IFNA(IF(VLOOKUP(TAB_Offres[[#This Row],[Reference]],TAB_Offres[[Reference]:[Has Expenses?]],COLUMNS(TAB_Offres[[Reference]:[Has Expenses?]]),FALSE)=J$2,TAB_Offres[[#This Row],[Reference]],""),"")</f>
        <v>DIGITTMII-006985-DIGITTMII-001410-EXT-01-6000053863-REQ-01</v>
      </c>
      <c r="O59">
        <f>IF(Tableau19[[#This Row],[EXPENSES_REF]]="","",MAX(O$1:O58)+1)</f>
        <v>12</v>
      </c>
      <c r="P59" t="str">
        <f t="shared" si="0"/>
        <v/>
      </c>
      <c r="R59" s="103" t="str">
        <f t="shared" si="5"/>
        <v>Quality assurance manager-FAR</v>
      </c>
      <c r="S59" s="107">
        <v>213</v>
      </c>
      <c r="T59" s="96">
        <v>227.91</v>
      </c>
      <c r="U59" s="96">
        <v>243.86</v>
      </c>
      <c r="V59" s="96">
        <v>260.93</v>
      </c>
      <c r="W59" s="96">
        <v>279.2</v>
      </c>
      <c r="X59" s="96">
        <v>298.74</v>
      </c>
      <c r="Y59" s="96">
        <v>319.64999999999998</v>
      </c>
      <c r="Z59" s="96">
        <v>342.03</v>
      </c>
      <c r="AA59" s="96">
        <v>365.97</v>
      </c>
      <c r="AB59" s="96">
        <v>391.59</v>
      </c>
      <c r="AC59" s="96">
        <v>419</v>
      </c>
      <c r="AD59" s="33" t="s">
        <v>139</v>
      </c>
      <c r="AE59" s="33"/>
      <c r="AF59" s="33"/>
      <c r="AG59" s="33"/>
      <c r="AI59" s="3" t="str">
        <f>IFERROR(_xlfn.SINGLE(
IF(_xlfn.SINGLE(INDEX(TAB_Offres[Ressource 1],ROWS(Params!AI$2:$AI59)))=0,NA(),
INDEX(TAB_Offres[Ressource 1],ROWS(Params!AI$2:$AI59)))),
IFERROR(_xlfn.SINGLE(IF(_xlfn.SINGLE(INDEX(#REF!,ROWS(Params!AI$2:$AI59)-COUNTA(TAB_Offres[Ressource 1])))=0,NA(),
INDEX(#REF!,ROWS(Params!AI$2:$AI59)-COUNTA(TAB_Offres[Ressource 1])))),
IFERROR(_xlfn.SINGLE(IF(_xlfn.SINGLE(INDEX(#REF!,ROWS(Params!AI$2:$AI59)-COUNTA(#REF!)-COUNTA(TAB_Offres[Ressource 1])))=0,NA(),
INDEX(#REF!,ROWS(Params!AI$2:$AI59)-COUNTA(#REF!)-COUNTA(TAB_Offres[Ressource 1])))),""))
)</f>
        <v>VASILIKIOTIS, Themis</v>
      </c>
      <c r="AJ59" s="143">
        <f>IF(TAB_ressource[[#This Row],[Import Ressource]]="","",MAX(AJ$1:AJ58)+1)</f>
        <v>58</v>
      </c>
      <c r="AK59" s="176" t="str">
        <f>IFERROR(INDEX(TAB_ressource[Import Ressource],MATCH(ROW()-ROW($AK$1),TAB_ressource[ID Import ressources],0)),"")</f>
        <v>VASILIKIOTIS, Themis</v>
      </c>
      <c r="AM59" s="26" t="str">
        <v>PAISE, Radu</v>
      </c>
      <c r="AN59" s="26" t="str">
        <f t="shared" si="1"/>
        <v>PAISE, Radu</v>
      </c>
      <c r="AQ59" s="114" t="s">
        <v>111</v>
      </c>
      <c r="AR59" s="115">
        <f>COUNTIF(TAB_CS[Profile],AQ59)</f>
        <v>0</v>
      </c>
      <c r="BD59" t="s">
        <v>787</v>
      </c>
      <c r="BE59" t="s">
        <v>788</v>
      </c>
      <c r="BF59" t="s">
        <v>789</v>
      </c>
      <c r="BG59" t="s">
        <v>787</v>
      </c>
    </row>
    <row r="60" spans="13:59" x14ac:dyDescent="0.25">
      <c r="M60" t="str">
        <f>_xlfn.IFNA(IF(VLOOKUP(TAB_Offres[[#This Row],[Reference]],TAB_Offres[[Reference]:[Request State]],COLUMNS(TAB_Offres[[Reference]:[Request State]]),FALSE)=D$6,TAB_Offres[[#This Row],[Reference]],""),"")</f>
        <v>DIGITTMII-006994-DIGITTMII-001416-EXT-01-6000053863-REQ-01</v>
      </c>
      <c r="N60" t="str">
        <f>_xlfn.IFNA(IF(VLOOKUP(TAB_Offres[[#This Row],[Reference]],TAB_Offres[[Reference]:[Has Expenses?]],COLUMNS(TAB_Offres[[Reference]:[Has Expenses?]]),FALSE)=J$2,TAB_Offres[[#This Row],[Reference]],""),"")</f>
        <v/>
      </c>
      <c r="O60" t="str">
        <f>IF(Tableau19[[#This Row],[EXPENSES_REF]]="","",MAX(O$1:O59)+1)</f>
        <v/>
      </c>
      <c r="P60" t="str">
        <f t="shared" si="0"/>
        <v/>
      </c>
      <c r="R60" s="103" t="str">
        <f t="shared" si="5"/>
        <v>Database/application administrator-FAR</v>
      </c>
      <c r="S60" s="107">
        <v>212.94</v>
      </c>
      <c r="T60" s="96">
        <v>227.85</v>
      </c>
      <c r="U60" s="96">
        <v>243.8</v>
      </c>
      <c r="V60" s="96">
        <v>260.87</v>
      </c>
      <c r="W60" s="96">
        <v>279.13</v>
      </c>
      <c r="X60" s="96">
        <v>298.67</v>
      </c>
      <c r="Y60" s="96">
        <v>319.58</v>
      </c>
      <c r="Z60" s="96">
        <v>341.95</v>
      </c>
      <c r="AA60" s="96">
        <v>365.89</v>
      </c>
      <c r="AB60" s="96">
        <v>391.5</v>
      </c>
      <c r="AC60" s="96">
        <v>418.91</v>
      </c>
      <c r="AD60" s="33" t="s">
        <v>139</v>
      </c>
      <c r="AE60" s="33"/>
      <c r="AF60" s="33"/>
      <c r="AG60" s="33"/>
      <c r="AI60" s="3" t="str">
        <f>IFERROR(_xlfn.SINGLE(
IF(_xlfn.SINGLE(INDEX(TAB_Offres[Ressource 1],ROWS(Params!AI$2:$AI60)))=0,NA(),
INDEX(TAB_Offres[Ressource 1],ROWS(Params!AI$2:$AI60)))),
IFERROR(_xlfn.SINGLE(IF(_xlfn.SINGLE(INDEX(#REF!,ROWS(Params!AI$2:$AI60)-COUNTA(TAB_Offres[Ressource 1])))=0,NA(),
INDEX(#REF!,ROWS(Params!AI$2:$AI60)-COUNTA(TAB_Offres[Ressource 1])))),
IFERROR(_xlfn.SINGLE(IF(_xlfn.SINGLE(INDEX(#REF!,ROWS(Params!AI$2:$AI60)-COUNTA(#REF!)-COUNTA(TAB_Offres[Ressource 1])))=0,NA(),
INDEX(#REF!,ROWS(Params!AI$2:$AI60)-COUNTA(#REF!)-COUNTA(TAB_Offres[Ressource 1])))),""))
)</f>
        <v>DIAZ MUNOZ, Jaime</v>
      </c>
      <c r="AJ60" s="143">
        <f>IF(TAB_ressource[[#This Row],[Import Ressource]]="","",MAX(AJ$1:AJ59)+1)</f>
        <v>59</v>
      </c>
      <c r="AK60" s="176" t="str">
        <f>IFERROR(INDEX(TAB_ressource[Import Ressource],MATCH(ROW()-ROW($AK$1),TAB_ressource[ID Import ressources],0)),"")</f>
        <v>DIAZ MUNOZ, Jaime</v>
      </c>
      <c r="AM60" s="26" t="str">
        <v>IACOBESCU, Radu</v>
      </c>
      <c r="AN60" s="26" t="str">
        <f t="shared" si="1"/>
        <v>IACOBESCU, Radu</v>
      </c>
      <c r="AQ60" s="114" t="s">
        <v>112</v>
      </c>
      <c r="AR60" s="115">
        <f>COUNTIF(TAB_CS[Profile],AQ60)</f>
        <v>0</v>
      </c>
      <c r="BD60" t="s">
        <v>790</v>
      </c>
      <c r="BE60" t="s">
        <v>791</v>
      </c>
      <c r="BF60" t="s">
        <v>792</v>
      </c>
      <c r="BG60" t="s">
        <v>790</v>
      </c>
    </row>
    <row r="61" spans="13:59" x14ac:dyDescent="0.25">
      <c r="M61" t="str">
        <f>_xlfn.IFNA(IF(VLOOKUP(TAB_Offres[[#This Row],[Reference]],TAB_Offres[[Reference]:[Request State]],COLUMNS(TAB_Offres[[Reference]:[Request State]]),FALSE)=D$6,TAB_Offres[[#This Row],[Reference]],""),"")</f>
        <v>DIGITTMII-007373-DIGITTMII-002906-EXT-01-6000053863-REQ-01</v>
      </c>
      <c r="N61" t="str">
        <f>_xlfn.IFNA(IF(VLOOKUP(TAB_Offres[[#This Row],[Reference]],TAB_Offres[[Reference]:[Has Expenses?]],COLUMNS(TAB_Offres[[Reference]:[Has Expenses?]]),FALSE)=J$2,TAB_Offres[[#This Row],[Reference]],""),"")</f>
        <v/>
      </c>
      <c r="O61" t="str">
        <f>IF(Tableau19[[#This Row],[EXPENSES_REF]]="","",MAX(O$1:O60)+1)</f>
        <v/>
      </c>
      <c r="P61" t="str">
        <f t="shared" si="0"/>
        <v/>
      </c>
      <c r="R61" s="103" t="str">
        <f t="shared" si="5"/>
        <v>System administrator-FAR</v>
      </c>
      <c r="S61" s="107">
        <v>212.94</v>
      </c>
      <c r="T61" s="96">
        <v>227.85</v>
      </c>
      <c r="U61" s="96">
        <v>243.8</v>
      </c>
      <c r="V61" s="96">
        <v>260.87</v>
      </c>
      <c r="W61" s="96">
        <v>279.13</v>
      </c>
      <c r="X61" s="96">
        <v>298.67</v>
      </c>
      <c r="Y61" s="96">
        <v>319.58</v>
      </c>
      <c r="Z61" s="96">
        <v>341.95</v>
      </c>
      <c r="AA61" s="96">
        <v>365.89</v>
      </c>
      <c r="AB61" s="96">
        <v>391.5</v>
      </c>
      <c r="AC61" s="96">
        <v>418.91</v>
      </c>
      <c r="AD61" s="33" t="s">
        <v>139</v>
      </c>
      <c r="AE61" s="33"/>
      <c r="AF61" s="33"/>
      <c r="AG61" s="33"/>
      <c r="AI61" s="3" t="str">
        <f>IFERROR(_xlfn.SINGLE(
IF(_xlfn.SINGLE(INDEX(TAB_Offres[Ressource 1],ROWS(Params!AI$2:$AI61)))=0,NA(),
INDEX(TAB_Offres[Ressource 1],ROWS(Params!AI$2:$AI61)))),
IFERROR(_xlfn.SINGLE(IF(_xlfn.SINGLE(INDEX(#REF!,ROWS(Params!AI$2:$AI61)-COUNTA(TAB_Offres[Ressource 1])))=0,NA(),
INDEX(#REF!,ROWS(Params!AI$2:$AI61)-COUNTA(TAB_Offres[Ressource 1])))),
IFERROR(_xlfn.SINGLE(IF(_xlfn.SINGLE(INDEX(#REF!,ROWS(Params!AI$2:$AI61)-COUNTA(#REF!)-COUNTA(TAB_Offres[Ressource 1])))=0,NA(),
INDEX(#REF!,ROWS(Params!AI$2:$AI61)-COUNTA(#REF!)-COUNTA(TAB_Offres[Ressource 1])))),""))
)</f>
        <v xml:space="preserve">TURCITU, Mihai-Alexandru </v>
      </c>
      <c r="AJ61" s="174">
        <f>IF(TAB_ressource[[#This Row],[Import Ressource]]="","",MAX(AJ$1:AJ60)+1)</f>
        <v>60</v>
      </c>
      <c r="AK61" s="176" t="str">
        <f>IFERROR(INDEX(TAB_ressource[Import Ressource],MATCH(ROW()-ROW($AK$1),TAB_ressource[ID Import ressources],0)),"")</f>
        <v xml:space="preserve">TURCITU, Mihai-Alexandru </v>
      </c>
      <c r="AM61" s="26" t="str">
        <v>BOUDIA, Amel</v>
      </c>
      <c r="AN61" s="26" t="str">
        <f t="shared" si="1"/>
        <v>BOUDIA, Amel</v>
      </c>
      <c r="AQ61" s="114" t="s">
        <v>113</v>
      </c>
      <c r="AR61" s="115">
        <f>COUNTIF(TAB_CS[Profile],AQ61)</f>
        <v>0</v>
      </c>
      <c r="BD61" t="s">
        <v>793</v>
      </c>
      <c r="BE61" t="s">
        <v>794</v>
      </c>
      <c r="BF61" t="s">
        <v>795</v>
      </c>
      <c r="BG61" t="s">
        <v>793</v>
      </c>
    </row>
    <row r="62" spans="13:59" x14ac:dyDescent="0.25">
      <c r="M62" t="str">
        <f>_xlfn.IFNA(IF(VLOOKUP(TAB_Offres[[#This Row],[Reference]],TAB_Offres[[Reference]:[Request State]],COLUMNS(TAB_Offres[[Reference]:[Request State]]),FALSE)=D$6,TAB_Offres[[#This Row],[Reference]],""),"")</f>
        <v>DIGITTMII-007384-DIGITTMII-002098-EXT-01-6000053863-REQ-01</v>
      </c>
      <c r="N62" t="str">
        <f>_xlfn.IFNA(IF(VLOOKUP(TAB_Offres[[#This Row],[Reference]],TAB_Offres[[Reference]:[Has Expenses?]],COLUMNS(TAB_Offres[[Reference]:[Has Expenses?]]),FALSE)=J$2,TAB_Offres[[#This Row],[Reference]],""),"")</f>
        <v/>
      </c>
      <c r="O62" t="str">
        <f>IF(Tableau19[[#This Row],[EXPENSES_REF]]="","",MAX(O$1:O61)+1)</f>
        <v/>
      </c>
      <c r="P62" t="str">
        <f t="shared" si="0"/>
        <v/>
      </c>
      <c r="R62" s="103" t="str">
        <f t="shared" si="5"/>
        <v>Software packaging engineer-FAR</v>
      </c>
      <c r="S62" s="107">
        <v>212.94</v>
      </c>
      <c r="T62" s="96">
        <v>227.85</v>
      </c>
      <c r="U62" s="96">
        <v>243.8</v>
      </c>
      <c r="V62" s="96">
        <v>260.87</v>
      </c>
      <c r="W62" s="96">
        <v>279.13</v>
      </c>
      <c r="X62" s="96">
        <v>298.67</v>
      </c>
      <c r="Y62" s="96">
        <v>319.58</v>
      </c>
      <c r="Z62" s="96">
        <v>341.95</v>
      </c>
      <c r="AA62" s="96">
        <v>365.89</v>
      </c>
      <c r="AB62" s="96">
        <v>391.5</v>
      </c>
      <c r="AC62" s="96">
        <v>418.91</v>
      </c>
      <c r="AD62" s="33" t="s">
        <v>139</v>
      </c>
      <c r="AE62" s="33"/>
      <c r="AF62" s="33"/>
      <c r="AG62" s="33"/>
      <c r="AI62" s="3" t="str">
        <f>IFERROR(_xlfn.SINGLE(
IF(_xlfn.SINGLE(INDEX(TAB_Offres[Ressource 1],ROWS(Params!AI$2:$AI62)))=0,NA(),
INDEX(TAB_Offres[Ressource 1],ROWS(Params!AI$2:$AI62)))),
IFERROR(_xlfn.SINGLE(IF(_xlfn.SINGLE(INDEX(#REF!,ROWS(Params!AI$2:$AI62)-COUNTA(TAB_Offres[Ressource 1])))=0,NA(),
INDEX(#REF!,ROWS(Params!AI$2:$AI62)-COUNTA(TAB_Offres[Ressource 1])))),
IFERROR(_xlfn.SINGLE(IF(_xlfn.SINGLE(INDEX(#REF!,ROWS(Params!AI$2:$AI62)-COUNTA(#REF!)-COUNTA(TAB_Offres[Ressource 1])))=0,NA(),
INDEX(#REF!,ROWS(Params!AI$2:$AI62)-COUNTA(#REF!)-COUNTA(TAB_Offres[Ressource 1])))),""))
)</f>
        <v>DE ANDRES DEL CASTILLO, David</v>
      </c>
      <c r="AJ62" s="174">
        <f>IF(TAB_ressource[[#This Row],[Import Ressource]]="","",MAX(AJ$1:AJ61)+1)</f>
        <v>61</v>
      </c>
      <c r="AK62" s="176" t="str">
        <f>IFERROR(INDEX(TAB_ressource[Import Ressource],MATCH(ROW()-ROW($AK$1),TAB_ressource[ID Import ressources],0)),"")</f>
        <v>DE ANDRES DEL CASTILLO, David</v>
      </c>
      <c r="AM62" s="26" t="str">
        <v>NOVOA, Guilherme</v>
      </c>
      <c r="AN62" s="26" t="str">
        <f t="shared" si="1"/>
        <v>NOVOA, Guilherme</v>
      </c>
      <c r="AQ62" s="114" t="s">
        <v>114</v>
      </c>
      <c r="AR62" s="115">
        <f>COUNTIF(TAB_CS[Profile],AQ62)</f>
        <v>0</v>
      </c>
      <c r="BD62" t="s">
        <v>796</v>
      </c>
      <c r="BE62" t="s">
        <v>797</v>
      </c>
      <c r="BF62" t="s">
        <v>798</v>
      </c>
      <c r="BG62" t="s">
        <v>796</v>
      </c>
    </row>
    <row r="63" spans="13:59" x14ac:dyDescent="0.25">
      <c r="M63" t="str">
        <f>_xlfn.IFNA(IF(VLOOKUP(TAB_Offres[[#This Row],[Reference]],TAB_Offres[[Reference]:[Request State]],COLUMNS(TAB_Offres[[Reference]:[Request State]]),FALSE)=D$6,TAB_Offres[[#This Row],[Reference]],""),"")</f>
        <v>DIGITTMII-007455-DIGITTMII-002819-EXT-01-6000053863-REQ-01</v>
      </c>
      <c r="N63" t="str">
        <f>_xlfn.IFNA(IF(VLOOKUP(TAB_Offres[[#This Row],[Reference]],TAB_Offres[[Reference]:[Has Expenses?]],COLUMNS(TAB_Offres[[Reference]:[Has Expenses?]]),FALSE)=J$2,TAB_Offres[[#This Row],[Reference]],""),"")</f>
        <v/>
      </c>
      <c r="O63" t="str">
        <f>IF(Tableau19[[#This Row],[EXPENSES_REF]]="","",MAX(O$1:O62)+1)</f>
        <v/>
      </c>
      <c r="P63" t="str">
        <f t="shared" si="0"/>
        <v/>
      </c>
      <c r="R63" s="103" t="str">
        <f t="shared" si="5"/>
        <v>SOA operations specialist-FAR</v>
      </c>
      <c r="S63" s="107">
        <v>212.94</v>
      </c>
      <c r="T63" s="96">
        <v>227.85</v>
      </c>
      <c r="U63" s="96">
        <v>243.8</v>
      </c>
      <c r="V63" s="96">
        <v>260.87</v>
      </c>
      <c r="W63" s="96">
        <v>279.13</v>
      </c>
      <c r="X63" s="96">
        <v>298.67</v>
      </c>
      <c r="Y63" s="96">
        <v>319.58</v>
      </c>
      <c r="Z63" s="96">
        <v>341.95</v>
      </c>
      <c r="AA63" s="96">
        <v>365.89</v>
      </c>
      <c r="AB63" s="96">
        <v>391.5</v>
      </c>
      <c r="AC63" s="96">
        <v>418.91</v>
      </c>
      <c r="AD63" s="33" t="s">
        <v>139</v>
      </c>
      <c r="AE63" s="33"/>
      <c r="AF63" s="33"/>
      <c r="AG63" s="33"/>
      <c r="AI63" s="3" t="str">
        <f>IFERROR(_xlfn.SINGLE(
IF(_xlfn.SINGLE(INDEX(TAB_Offres[Ressource 1],ROWS(Params!AI$2:$AI63)))=0,NA(),
INDEX(TAB_Offres[Ressource 1],ROWS(Params!AI$2:$AI63)))),
IFERROR(_xlfn.SINGLE(IF(_xlfn.SINGLE(INDEX(#REF!,ROWS(Params!AI$2:$AI63)-COUNTA(TAB_Offres[Ressource 1])))=0,NA(),
INDEX(#REF!,ROWS(Params!AI$2:$AI63)-COUNTA(TAB_Offres[Ressource 1])))),
IFERROR(_xlfn.SINGLE(IF(_xlfn.SINGLE(INDEX(#REF!,ROWS(Params!AI$2:$AI63)-COUNTA(#REF!)-COUNTA(TAB_Offres[Ressource 1])))=0,NA(),
INDEX(#REF!,ROWS(Params!AI$2:$AI63)-COUNTA(#REF!)-COUNTA(TAB_Offres[Ressource 1])))),""))
)</f>
        <v>POCHON, Régis</v>
      </c>
      <c r="AJ63" s="174">
        <f>IF(TAB_ressource[[#This Row],[Import Ressource]]="","",MAX(AJ$1:AJ62)+1)</f>
        <v>62</v>
      </c>
      <c r="AK63" s="176" t="str">
        <f>IFERROR(INDEX(TAB_ressource[Import Ressource],MATCH(ROW()-ROW($AK$1),TAB_ressource[ID Import ressources],0)),"")</f>
        <v>POCHON, Régis</v>
      </c>
      <c r="AM63" s="26" t="str">
        <v>PRISECARU, Marian</v>
      </c>
      <c r="AN63" s="26" t="str">
        <f t="shared" si="1"/>
        <v>PRISECARU, Marian</v>
      </c>
      <c r="AQ63" s="114" t="s">
        <v>115</v>
      </c>
      <c r="AR63" s="115">
        <f>COUNTIF(TAB_CS[Profile],AQ63)</f>
        <v>0</v>
      </c>
      <c r="BD63" t="s">
        <v>799</v>
      </c>
      <c r="BE63" t="s">
        <v>800</v>
      </c>
      <c r="BF63" t="s">
        <v>801</v>
      </c>
      <c r="BG63" t="s">
        <v>799</v>
      </c>
    </row>
    <row r="64" spans="13:59" x14ac:dyDescent="0.25">
      <c r="M64" t="str">
        <f>_xlfn.IFNA(IF(VLOOKUP(TAB_Offres[[#This Row],[Reference]],TAB_Offres[[Reference]:[Request State]],COLUMNS(TAB_Offres[[Reference]:[Request State]]),FALSE)=D$6,TAB_Offres[[#This Row],[Reference]],""),"")</f>
        <v>DIGITTMII-007512-DIGITTMII-001772-EXT-01-6000053863-REQ-01</v>
      </c>
      <c r="N64" t="str">
        <f>_xlfn.IFNA(IF(VLOOKUP(TAB_Offres[[#This Row],[Reference]],TAB_Offres[[Reference]:[Has Expenses?]],COLUMNS(TAB_Offres[[Reference]:[Has Expenses?]]),FALSE)=J$2,TAB_Offres[[#This Row],[Reference]],""),"")</f>
        <v/>
      </c>
      <c r="O64" t="str">
        <f>IF(Tableau19[[#This Row],[EXPENSES_REF]]="","",MAX(O$1:O63)+1)</f>
        <v/>
      </c>
      <c r="P64" t="str">
        <f t="shared" si="0"/>
        <v/>
      </c>
      <c r="R64" s="103" t="str">
        <f t="shared" si="5"/>
        <v>CLOUD operations specialist-FAR</v>
      </c>
      <c r="S64" s="110">
        <v>212.94</v>
      </c>
      <c r="T64" s="96">
        <v>227.85</v>
      </c>
      <c r="U64" s="96">
        <v>243.8</v>
      </c>
      <c r="V64" s="96">
        <v>260.87</v>
      </c>
      <c r="W64" s="96">
        <v>279.13</v>
      </c>
      <c r="X64" s="96">
        <v>298.67</v>
      </c>
      <c r="Y64" s="96">
        <v>319.58</v>
      </c>
      <c r="Z64" s="96">
        <v>341.95</v>
      </c>
      <c r="AA64" s="96">
        <v>365.89</v>
      </c>
      <c r="AB64" s="96">
        <v>391.5</v>
      </c>
      <c r="AC64" s="96">
        <v>418.91</v>
      </c>
      <c r="AD64" s="33" t="s">
        <v>139</v>
      </c>
      <c r="AE64" s="33"/>
      <c r="AF64" s="33"/>
      <c r="AG64" s="33"/>
      <c r="AI64" s="3" t="str">
        <f>IFERROR(_xlfn.SINGLE(
IF(_xlfn.SINGLE(INDEX(TAB_Offres[Ressource 1],ROWS(Params!AI$2:$AI64)))=0,NA(),
INDEX(TAB_Offres[Ressource 1],ROWS(Params!AI$2:$AI64)))),
IFERROR(_xlfn.SINGLE(IF(_xlfn.SINGLE(INDEX(#REF!,ROWS(Params!AI$2:$AI64)-COUNTA(TAB_Offres[Ressource 1])))=0,NA(),
INDEX(#REF!,ROWS(Params!AI$2:$AI64)-COUNTA(TAB_Offres[Ressource 1])))),
IFERROR(_xlfn.SINGLE(IF(_xlfn.SINGLE(INDEX(#REF!,ROWS(Params!AI$2:$AI64)-COUNTA(#REF!)-COUNTA(TAB_Offres[Ressource 1])))=0,NA(),
INDEX(#REF!,ROWS(Params!AI$2:$AI64)-COUNTA(#REF!)-COUNTA(TAB_Offres[Ressource 1])))),""))
)</f>
        <v>KATHAL, Tanisha</v>
      </c>
      <c r="AJ64" s="174">
        <f>IF(TAB_ressource[[#This Row],[Import Ressource]]="","",MAX(AJ$1:AJ63)+1)</f>
        <v>63</v>
      </c>
      <c r="AK64" s="176" t="str">
        <f>IFERROR(INDEX(TAB_ressource[Import Ressource],MATCH(ROW()-ROW($AK$1),TAB_ressource[ID Import ressources],0)),"")</f>
        <v>KATHAL, Tanisha</v>
      </c>
      <c r="AM64" s="26" t="str">
        <v>Global PES request</v>
      </c>
      <c r="AN64" s="26" t="str">
        <f t="shared" si="1"/>
        <v>Global PES request</v>
      </c>
      <c r="AQ64" s="114" t="s">
        <v>116</v>
      </c>
      <c r="AR64" s="115">
        <f>COUNTIF(TAB_CS[Profile],AQ64)</f>
        <v>0</v>
      </c>
      <c r="BD64" t="s">
        <v>802</v>
      </c>
      <c r="BE64" t="s">
        <v>803</v>
      </c>
      <c r="BF64" t="s">
        <v>804</v>
      </c>
      <c r="BG64" t="s">
        <v>802</v>
      </c>
    </row>
    <row r="65" spans="13:59" x14ac:dyDescent="0.25">
      <c r="M65" t="str">
        <f>_xlfn.IFNA(IF(VLOOKUP(TAB_Offres[[#This Row],[Reference]],TAB_Offres[[Reference]:[Request State]],COLUMNS(TAB_Offres[[Reference]:[Request State]]),FALSE)=D$6,TAB_Offres[[#This Row],[Reference]],""),"")</f>
        <v>DIGITTMII-007670-6000053863-REQ-01</v>
      </c>
      <c r="N65" t="str">
        <f>_xlfn.IFNA(IF(VLOOKUP(TAB_Offres[[#This Row],[Reference]],TAB_Offres[[Reference]:[Has Expenses?]],COLUMNS(TAB_Offres[[Reference]:[Has Expenses?]]),FALSE)=J$2,TAB_Offres[[#This Row],[Reference]],""),"")</f>
        <v/>
      </c>
      <c r="O65" t="str">
        <f>IF(Tableau19[[#This Row],[EXPENSES_REF]]="","",MAX(O$1:O64)+1)</f>
        <v/>
      </c>
      <c r="P65" t="str">
        <f t="shared" si="0"/>
        <v/>
      </c>
      <c r="R65" s="103" t="str">
        <f t="shared" si="5"/>
        <v>Data warehouse and reporting developer-FAR</v>
      </c>
      <c r="S65" s="109">
        <v>273</v>
      </c>
      <c r="T65" s="105">
        <v>292.11</v>
      </c>
      <c r="U65" s="105">
        <v>312.56</v>
      </c>
      <c r="V65" s="105">
        <v>334.44</v>
      </c>
      <c r="W65" s="105">
        <v>357.85</v>
      </c>
      <c r="X65" s="105">
        <v>382.9</v>
      </c>
      <c r="Y65" s="105">
        <v>409.7</v>
      </c>
      <c r="Z65" s="105">
        <v>438.38</v>
      </c>
      <c r="AA65" s="105">
        <v>469.07</v>
      </c>
      <c r="AB65" s="105">
        <v>501.9</v>
      </c>
      <c r="AC65" s="105">
        <v>537.03</v>
      </c>
      <c r="AD65" s="33" t="s">
        <v>139</v>
      </c>
      <c r="AE65" s="33"/>
      <c r="AF65" s="33"/>
      <c r="AG65" s="33"/>
      <c r="AI65" s="3" t="str">
        <f>IFERROR(_xlfn.SINGLE(
IF(_xlfn.SINGLE(INDEX(TAB_Offres[Ressource 1],ROWS(Params!AI$2:$AI65)))=0,NA(),
INDEX(TAB_Offres[Ressource 1],ROWS(Params!AI$2:$AI65)))),
IFERROR(_xlfn.SINGLE(IF(_xlfn.SINGLE(INDEX(#REF!,ROWS(Params!AI$2:$AI65)-COUNTA(TAB_Offres[Ressource 1])))=0,NA(),
INDEX(#REF!,ROWS(Params!AI$2:$AI65)-COUNTA(TAB_Offres[Ressource 1])))),
IFERROR(_xlfn.SINGLE(IF(_xlfn.SINGLE(INDEX(#REF!,ROWS(Params!AI$2:$AI65)-COUNTA(#REF!)-COUNTA(TAB_Offres[Ressource 1])))=0,NA(),
INDEX(#REF!,ROWS(Params!AI$2:$AI65)-COUNTA(#REF!)-COUNTA(TAB_Offres[Ressource 1])))),""))
)</f>
        <v>ROSALES, Airy</v>
      </c>
      <c r="AJ65" s="174">
        <f>IF(TAB_ressource[[#This Row],[Import Ressource]]="","",MAX(AJ$1:AJ64)+1)</f>
        <v>64</v>
      </c>
      <c r="AK65" s="176" t="str">
        <f>IFERROR(INDEX(TAB_ressource[Import Ressource],MATCH(ROW()-ROW($AK$1),TAB_ressource[ID Import ressources],0)),"")</f>
        <v>ROSALES, Airy</v>
      </c>
      <c r="AM65" s="26" t="str">
        <v>QUINTANILHA RAMOS Cleber</v>
      </c>
      <c r="AN65" s="26" t="str">
        <f t="shared" si="1"/>
        <v>QUINTANILHA RAMOS Cleber</v>
      </c>
      <c r="AQ65" s="114" t="s">
        <v>117</v>
      </c>
      <c r="AR65" s="115">
        <f>COUNTIF(TAB_CS[Profile],AQ65)</f>
        <v>2</v>
      </c>
      <c r="BD65" t="s">
        <v>805</v>
      </c>
      <c r="BE65" t="s">
        <v>806</v>
      </c>
      <c r="BF65" t="s">
        <v>807</v>
      </c>
      <c r="BG65" t="s">
        <v>805</v>
      </c>
    </row>
    <row r="66" spans="13:59" x14ac:dyDescent="0.25">
      <c r="M66" t="str">
        <f>_xlfn.IFNA(IF(VLOOKUP(TAB_Offres[[#This Row],[Reference]],TAB_Offres[[Reference]:[Request State]],COLUMNS(TAB_Offres[[Reference]:[Request State]]),FALSE)=D$6,TAB_Offres[[#This Row],[Reference]],""),"")</f>
        <v>DIGITTMII-007691-DIGITTMII-004504-MOD-05-6000053863-REQ-01</v>
      </c>
      <c r="N66" t="str">
        <f>_xlfn.IFNA(IF(VLOOKUP(TAB_Offres[[#This Row],[Reference]],TAB_Offres[[Reference]:[Has Expenses?]],COLUMNS(TAB_Offres[[Reference]:[Has Expenses?]]),FALSE)=J$2,TAB_Offres[[#This Row],[Reference]],""),"")</f>
        <v/>
      </c>
      <c r="O66" t="str">
        <f>IF(Tableau19[[#This Row],[EXPENSES_REF]]="","",MAX(O$1:O65)+1)</f>
        <v/>
      </c>
      <c r="P66" t="str">
        <f t="shared" ref="P66:P129" si="6">IFERROR(INDEX($N$2:$N$1001,MATCH(ROW()-ROW($P$1),$O$2:$O$1001,0)),"")</f>
        <v/>
      </c>
      <c r="R66" s="103" t="str">
        <f t="shared" si="5"/>
        <v>Data Scientist-FAR</v>
      </c>
      <c r="S66" s="107">
        <v>212.94</v>
      </c>
      <c r="T66" s="96">
        <v>227.85</v>
      </c>
      <c r="U66" s="96">
        <v>243.8</v>
      </c>
      <c r="V66" s="96">
        <v>260.87</v>
      </c>
      <c r="W66" s="96">
        <v>279.13</v>
      </c>
      <c r="X66" s="96">
        <v>298.67</v>
      </c>
      <c r="Y66" s="96">
        <v>319.58</v>
      </c>
      <c r="Z66" s="96">
        <v>341.95</v>
      </c>
      <c r="AA66" s="96">
        <v>365.89</v>
      </c>
      <c r="AB66" s="96">
        <v>391.5</v>
      </c>
      <c r="AC66" s="96">
        <v>418.91</v>
      </c>
      <c r="AD66" s="33" t="s">
        <v>139</v>
      </c>
      <c r="AE66" s="33"/>
      <c r="AF66" s="33"/>
      <c r="AG66" s="33"/>
      <c r="AI66" s="3" t="str">
        <f>IFERROR(_xlfn.SINGLE(
IF(_xlfn.SINGLE(INDEX(TAB_Offres[Ressource 1],ROWS(Params!AI$2:$AI66)))=0,NA(),
INDEX(TAB_Offres[Ressource 1],ROWS(Params!AI$2:$AI66)))),
IFERROR(_xlfn.SINGLE(IF(_xlfn.SINGLE(INDEX(#REF!,ROWS(Params!AI$2:$AI66)-COUNTA(TAB_Offres[Ressource 1])))=0,NA(),
INDEX(#REF!,ROWS(Params!AI$2:$AI66)-COUNTA(TAB_Offres[Ressource 1])))),
IFERROR(_xlfn.SINGLE(IF(_xlfn.SINGLE(INDEX(#REF!,ROWS(Params!AI$2:$AI66)-COUNTA(#REF!)-COUNTA(TAB_Offres[Ressource 1])))=0,NA(),
INDEX(#REF!,ROWS(Params!AI$2:$AI66)-COUNTA(#REF!)-COUNTA(TAB_Offres[Ressource 1])))),""))
)</f>
        <v>LEFTER, Diana</v>
      </c>
      <c r="AJ66" s="174">
        <f>IF(TAB_ressource[[#This Row],[Import Ressource]]="","",MAX(AJ$1:AJ65)+1)</f>
        <v>65</v>
      </c>
      <c r="AK66" s="176" t="str">
        <f>IFERROR(INDEX(TAB_ressource[Import Ressource],MATCH(ROW()-ROW($AK$1),TAB_ressource[ID Import ressources],0)),"")</f>
        <v>LEFTER, Diana</v>
      </c>
      <c r="AM66" s="26" t="str">
        <v>MUNTEANU Gabriela Alina</v>
      </c>
      <c r="AN66" s="26" t="str">
        <f t="shared" si="1"/>
        <v>MUNTEANU Gabriela Alina</v>
      </c>
      <c r="AQ66" s="114" t="s">
        <v>118</v>
      </c>
      <c r="AR66" s="115">
        <f>COUNTIF(TAB_CS[Profile],AQ66)</f>
        <v>0</v>
      </c>
      <c r="BD66" t="s">
        <v>808</v>
      </c>
      <c r="BE66" t="s">
        <v>809</v>
      </c>
      <c r="BF66" t="s">
        <v>810</v>
      </c>
      <c r="BG66" t="s">
        <v>808</v>
      </c>
    </row>
    <row r="67" spans="13:59" x14ac:dyDescent="0.25">
      <c r="M67" t="str">
        <f>_xlfn.IFNA(IF(VLOOKUP(TAB_Offres[[#This Row],[Reference]],TAB_Offres[[Reference]:[Request State]],COLUMNS(TAB_Offres[[Reference]:[Request State]]),FALSE)=D$6,TAB_Offres[[#This Row],[Reference]],""),"")</f>
        <v>DIGITTMII-007936-6000053863-REQ-01</v>
      </c>
      <c r="N67" t="str">
        <f>_xlfn.IFNA(IF(VLOOKUP(TAB_Offres[[#This Row],[Reference]],TAB_Offres[[Reference]:[Has Expenses?]],COLUMNS(TAB_Offres[[Reference]:[Has Expenses?]]),FALSE)=J$2,TAB_Offres[[#This Row],[Reference]],""),"")</f>
        <v/>
      </c>
      <c r="O67" t="str">
        <f>IF(Tableau19[[#This Row],[EXPENSES_REF]]="","",MAX(O$1:O66)+1)</f>
        <v/>
      </c>
      <c r="P67" t="str">
        <f t="shared" si="6"/>
        <v/>
      </c>
      <c r="R67" s="103" t="str">
        <f t="shared" si="5"/>
        <v>Blockchain specialist -FAR</v>
      </c>
      <c r="S67" s="107">
        <v>213</v>
      </c>
      <c r="T67" s="96">
        <v>227.91</v>
      </c>
      <c r="U67" s="96">
        <v>243.86</v>
      </c>
      <c r="V67" s="96">
        <v>260.93</v>
      </c>
      <c r="W67" s="96">
        <v>279.2</v>
      </c>
      <c r="X67" s="96">
        <v>298.74</v>
      </c>
      <c r="Y67" s="96">
        <v>319.64999999999998</v>
      </c>
      <c r="Z67" s="96">
        <v>342.03</v>
      </c>
      <c r="AA67" s="96">
        <v>365.97</v>
      </c>
      <c r="AB67" s="96">
        <v>391.59</v>
      </c>
      <c r="AC67" s="96">
        <v>419</v>
      </c>
      <c r="AD67" s="33" t="s">
        <v>139</v>
      </c>
      <c r="AE67" s="33"/>
      <c r="AF67" s="33"/>
      <c r="AG67" s="33"/>
      <c r="AI67" s="3" t="str">
        <f>IFERROR(_xlfn.SINGLE(
IF(_xlfn.SINGLE(INDEX(TAB_Offres[Ressource 1],ROWS(Params!AI$2:$AI67)))=0,NA(),
INDEX(TAB_Offres[Ressource 1],ROWS(Params!AI$2:$AI67)))),
IFERROR(_xlfn.SINGLE(IF(_xlfn.SINGLE(INDEX(#REF!,ROWS(Params!AI$2:$AI67)-COUNTA(TAB_Offres[Ressource 1])))=0,NA(),
INDEX(#REF!,ROWS(Params!AI$2:$AI67)-COUNTA(TAB_Offres[Ressource 1])))),
IFERROR(_xlfn.SINGLE(IF(_xlfn.SINGLE(INDEX(#REF!,ROWS(Params!AI$2:$AI67)-COUNTA(#REF!)-COUNTA(TAB_Offres[Ressource 1])))=0,NA(),
INDEX(#REF!,ROWS(Params!AI$2:$AI67)-COUNTA(#REF!)-COUNTA(TAB_Offres[Ressource 1])))),""))
)</f>
        <v>CHOUAIECH, Mohamed</v>
      </c>
      <c r="AJ67" s="174">
        <f>IF(TAB_ressource[[#This Row],[Import Ressource]]="","",MAX(AJ$1:AJ66)+1)</f>
        <v>66</v>
      </c>
      <c r="AK67" s="176" t="str">
        <f>IFERROR(INDEX(TAB_ressource[Import Ressource],MATCH(ROW()-ROW($AK$1),TAB_ressource[ID Import ressources],0)),"")</f>
        <v>CHOUAIECH, Mohamed</v>
      </c>
      <c r="AM67" s="26" t="str">
        <v/>
      </c>
      <c r="AN67" s="26" t="str">
        <f t="shared" ref="AN67:AN130" si="7">AM67</f>
        <v/>
      </c>
      <c r="AQ67" s="114" t="s">
        <v>119</v>
      </c>
      <c r="AR67" s="115">
        <f>COUNTIF(TAB_CS[Profile],AQ67)</f>
        <v>0</v>
      </c>
      <c r="BD67" t="s">
        <v>811</v>
      </c>
      <c r="BE67" t="s">
        <v>812</v>
      </c>
      <c r="BF67" t="s">
        <v>813</v>
      </c>
      <c r="BG67" t="s">
        <v>811</v>
      </c>
    </row>
    <row r="68" spans="13:59" x14ac:dyDescent="0.25">
      <c r="M68" t="str">
        <f>_xlfn.IFNA(IF(VLOOKUP(TAB_Offres[[#This Row],[Reference]],TAB_Offres[[Reference]:[Request State]],COLUMNS(TAB_Offres[[Reference]:[Request State]]),FALSE)=D$6,TAB_Offres[[#This Row],[Reference]],""),"")</f>
        <v>DIGITTMII-008170-DIGITTMII-003129-EXT-01-6000053863-REQ-01</v>
      </c>
      <c r="N68" t="str">
        <f>_xlfn.IFNA(IF(VLOOKUP(TAB_Offres[[#This Row],[Reference]],TAB_Offres[[Reference]:[Has Expenses?]],COLUMNS(TAB_Offres[[Reference]:[Has Expenses?]]),FALSE)=J$2,TAB_Offres[[#This Row],[Reference]],""),"")</f>
        <v/>
      </c>
      <c r="O68" t="str">
        <f>IF(Tableau19[[#This Row],[EXPENSES_REF]]="","",MAX(O$1:O67)+1)</f>
        <v/>
      </c>
      <c r="P68" t="str">
        <f t="shared" si="6"/>
        <v/>
      </c>
      <c r="R68" s="103" t="str">
        <f>R47&amp;"-FAR"</f>
        <v>Workplace security specialist-FAR</v>
      </c>
      <c r="S68" s="107">
        <v>213</v>
      </c>
      <c r="T68" s="96">
        <v>227.91</v>
      </c>
      <c r="U68" s="96">
        <v>243.86</v>
      </c>
      <c r="V68" s="96">
        <v>260.93</v>
      </c>
      <c r="W68" s="96">
        <v>279.2</v>
      </c>
      <c r="X68" s="96">
        <v>298.74</v>
      </c>
      <c r="Y68" s="96">
        <v>319.64999999999998</v>
      </c>
      <c r="Z68" s="96">
        <v>342.03</v>
      </c>
      <c r="AA68" s="96">
        <v>365.97</v>
      </c>
      <c r="AB68" s="96">
        <v>391.59</v>
      </c>
      <c r="AC68" s="96">
        <v>419</v>
      </c>
      <c r="AD68" s="33" t="s">
        <v>139</v>
      </c>
      <c r="AE68" s="33"/>
      <c r="AF68" s="33"/>
      <c r="AG68" s="33"/>
      <c r="AI68" s="3" t="str">
        <f>IFERROR(_xlfn.SINGLE(
IF(_xlfn.SINGLE(INDEX(TAB_Offres[Ressource 1],ROWS(Params!AI$2:$AI68)))=0,NA(),
INDEX(TAB_Offres[Ressource 1],ROWS(Params!AI$2:$AI68)))),
IFERROR(_xlfn.SINGLE(IF(_xlfn.SINGLE(INDEX(#REF!,ROWS(Params!AI$2:$AI68)-COUNTA(TAB_Offres[Ressource 1])))=0,NA(),
INDEX(#REF!,ROWS(Params!AI$2:$AI68)-COUNTA(TAB_Offres[Ressource 1])))),
IFERROR(_xlfn.SINGLE(IF(_xlfn.SINGLE(INDEX(#REF!,ROWS(Params!AI$2:$AI68)-COUNTA(#REF!)-COUNTA(TAB_Offres[Ressource 1])))=0,NA(),
INDEX(#REF!,ROWS(Params!AI$2:$AI68)-COUNTA(#REF!)-COUNTA(TAB_Offres[Ressource 1])))),""))
)</f>
        <v>KIRIMLIDOU, Dimoula</v>
      </c>
      <c r="AJ68" s="174">
        <f>IF(TAB_ressource[[#This Row],[Import Ressource]]="","",MAX(AJ$1:AJ67)+1)</f>
        <v>67</v>
      </c>
      <c r="AK68" s="176" t="str">
        <f>IFERROR(INDEX(TAB_ressource[Import Ressource],MATCH(ROW()-ROW($AK$1),TAB_ressource[ID Import ressources],0)),"")</f>
        <v>KIRIMLIDOU, Dimoula</v>
      </c>
      <c r="AN68" s="26">
        <f t="shared" si="7"/>
        <v>0</v>
      </c>
      <c r="AQ68" s="114" t="s">
        <v>120</v>
      </c>
      <c r="AR68" s="115">
        <f>COUNTIF(TAB_CS[Profile],AQ68)</f>
        <v>0</v>
      </c>
      <c r="BD68" t="s">
        <v>814</v>
      </c>
      <c r="BE68" t="s">
        <v>815</v>
      </c>
      <c r="BF68" t="s">
        <v>816</v>
      </c>
      <c r="BG68" t="s">
        <v>814</v>
      </c>
    </row>
    <row r="69" spans="13:59" x14ac:dyDescent="0.25">
      <c r="M69" t="str">
        <f>_xlfn.IFNA(IF(VLOOKUP(TAB_Offres[[#This Row],[Reference]],TAB_Offres[[Reference]:[Request State]],COLUMNS(TAB_Offres[[Reference]:[Request State]]),FALSE)=D$6,TAB_Offres[[#This Row],[Reference]],""),"")</f>
        <v>DIGITTMII-008218-DIGITTMII-003431-EXT-01-6000053863-REQ-01</v>
      </c>
      <c r="N69" t="str">
        <f>_xlfn.IFNA(IF(VLOOKUP(TAB_Offres[[#This Row],[Reference]],TAB_Offres[[Reference]:[Has Expenses?]],COLUMNS(TAB_Offres[[Reference]:[Has Expenses?]]),FALSE)=J$2,TAB_Offres[[#This Row],[Reference]],""),"")</f>
        <v/>
      </c>
      <c r="O69" t="str">
        <f>IF(Tableau19[[#This Row],[EXPENSES_REF]]="","",MAX(O$1:O68)+1)</f>
        <v/>
      </c>
      <c r="P69" t="str">
        <f t="shared" si="6"/>
        <v/>
      </c>
      <c r="R69" s="184" t="s">
        <v>369</v>
      </c>
      <c r="S69" s="107"/>
      <c r="T69" s="96"/>
      <c r="U69" s="96"/>
      <c r="V69" s="96"/>
      <c r="W69" s="96"/>
      <c r="X69" s="96"/>
      <c r="Y69" s="96"/>
      <c r="Z69" s="96"/>
      <c r="AA69" s="96"/>
      <c r="AB69" s="96"/>
      <c r="AC69" s="96"/>
      <c r="AD69" s="102"/>
      <c r="AE69" s="102"/>
      <c r="AF69" s="102"/>
      <c r="AG69" s="102"/>
      <c r="AI69" s="3" t="str">
        <f>IFERROR(_xlfn.SINGLE(
IF(_xlfn.SINGLE(INDEX(TAB_Offres[Ressource 1],ROWS(Params!AI$2:$AI69)))=0,NA(),
INDEX(TAB_Offres[Ressource 1],ROWS(Params!AI$2:$AI69)))),
IFERROR(_xlfn.SINGLE(IF(_xlfn.SINGLE(INDEX(#REF!,ROWS(Params!AI$2:$AI69)-COUNTA(TAB_Offres[Ressource 1])))=0,NA(),
INDEX(#REF!,ROWS(Params!AI$2:$AI69)-COUNTA(TAB_Offres[Ressource 1])))),
IFERROR(_xlfn.SINGLE(IF(_xlfn.SINGLE(INDEX(#REF!,ROWS(Params!AI$2:$AI69)-COUNTA(#REF!)-COUNTA(TAB_Offres[Ressource 1])))=0,NA(),
INDEX(#REF!,ROWS(Params!AI$2:$AI69)-COUNTA(#REF!)-COUNTA(TAB_Offres[Ressource 1])))),""))
)</f>
        <v>MEJRI, Mohamed</v>
      </c>
      <c r="AJ69" s="174">
        <f>IF(TAB_ressource[[#This Row],[Import Ressource]]="","",MAX(AJ$1:AJ68)+1)</f>
        <v>68</v>
      </c>
      <c r="AK69" s="176" t="str">
        <f>IFERROR(INDEX(TAB_ressource[Import Ressource],MATCH(ROW()-ROW($AK$1),TAB_ressource[ID Import ressources],0)),"")</f>
        <v>MEJRI, Mohamed</v>
      </c>
      <c r="AN69" s="26">
        <f t="shared" si="7"/>
        <v>0</v>
      </c>
      <c r="AQ69" s="114"/>
      <c r="AR69" s="115">
        <f>COUNTIF(TAB_CS[Profile],AQ69)</f>
        <v>0</v>
      </c>
      <c r="BD69" t="s">
        <v>817</v>
      </c>
      <c r="BE69" t="s">
        <v>818</v>
      </c>
      <c r="BF69" t="s">
        <v>819</v>
      </c>
      <c r="BG69" t="s">
        <v>817</v>
      </c>
    </row>
    <row r="70" spans="13:59" x14ac:dyDescent="0.25">
      <c r="M70" t="str">
        <f>_xlfn.IFNA(IF(VLOOKUP(TAB_Offres[[#This Row],[Reference]],TAB_Offres[[Reference]:[Request State]],COLUMNS(TAB_Offres[[Reference]:[Request State]]),FALSE)=D$6,TAB_Offres[[#This Row],[Reference]],""),"")</f>
        <v>DIGITTMII-008426-DIGITTMII-003389-EXT-02-6000053863-REQ-01</v>
      </c>
      <c r="N70" t="str">
        <f>_xlfn.IFNA(IF(VLOOKUP(TAB_Offres[[#This Row],[Reference]],TAB_Offres[[Reference]:[Has Expenses?]],COLUMNS(TAB_Offres[[Reference]:[Has Expenses?]]),FALSE)=J$2,TAB_Offres[[#This Row],[Reference]],""),"")</f>
        <v/>
      </c>
      <c r="O70" t="str">
        <f>IF(Tableau19[[#This Row],[EXPENSES_REF]]="","",MAX(O$1:O69)+1)</f>
        <v/>
      </c>
      <c r="P70" t="str">
        <f t="shared" si="6"/>
        <v/>
      </c>
      <c r="R70" s="103" t="s">
        <v>70</v>
      </c>
      <c r="S70" s="107">
        <v>369.59999999999997</v>
      </c>
      <c r="T70" s="96">
        <v>395.47</v>
      </c>
      <c r="U70" s="96">
        <v>423.15</v>
      </c>
      <c r="V70" s="96">
        <v>452.77</v>
      </c>
      <c r="W70" s="96">
        <v>484.46</v>
      </c>
      <c r="X70" s="96">
        <v>518.37</v>
      </c>
      <c r="Y70" s="96">
        <v>554.66</v>
      </c>
      <c r="Z70" s="96">
        <v>593.49</v>
      </c>
      <c r="AA70" s="96">
        <v>635.03</v>
      </c>
      <c r="AB70" s="96">
        <v>679.48</v>
      </c>
      <c r="AC70" s="96">
        <v>727.04</v>
      </c>
      <c r="AD70" s="33" t="s">
        <v>140</v>
      </c>
      <c r="AE70" s="33"/>
      <c r="AF70" s="33"/>
      <c r="AG70" s="33"/>
      <c r="AI70" s="3" t="str">
        <f>IFERROR(_xlfn.SINGLE(
IF(_xlfn.SINGLE(INDEX(TAB_Offres[Ressource 1],ROWS(Params!AI$2:$AI70)))=0,NA(),
INDEX(TAB_Offres[Ressource 1],ROWS(Params!AI$2:$AI70)))),
IFERROR(_xlfn.SINGLE(IF(_xlfn.SINGLE(INDEX(#REF!,ROWS(Params!AI$2:$AI70)-COUNTA(TAB_Offres[Ressource 1])))=0,NA(),
INDEX(#REF!,ROWS(Params!AI$2:$AI70)-COUNTA(TAB_Offres[Ressource 1])))),
IFERROR(_xlfn.SINGLE(IF(_xlfn.SINGLE(INDEX(#REF!,ROWS(Params!AI$2:$AI70)-COUNTA(#REF!)-COUNTA(TAB_Offres[Ressource 1])))=0,NA(),
INDEX(#REF!,ROWS(Params!AI$2:$AI70)-COUNTA(#REF!)-COUNTA(TAB_Offres[Ressource 1])))),""))
)</f>
        <v>CHATTERJEE, Pallavi</v>
      </c>
      <c r="AJ70" s="174">
        <f>IF(TAB_ressource[[#This Row],[Import Ressource]]="","",MAX(AJ$1:AJ69)+1)</f>
        <v>69</v>
      </c>
      <c r="AK70" s="176" t="str">
        <f>IFERROR(INDEX(TAB_ressource[Import Ressource],MATCH(ROW()-ROW($AK$1),TAB_ressource[ID Import ressources],0)),"")</f>
        <v>CHATTERJEE, Pallavi</v>
      </c>
      <c r="AN70" s="26">
        <f t="shared" si="7"/>
        <v>0</v>
      </c>
      <c r="AQ70" s="114" t="s">
        <v>70</v>
      </c>
      <c r="AR70" s="115">
        <f>COUNTIF(TAB_CS[Profile],AQ70)</f>
        <v>0</v>
      </c>
      <c r="BD70" t="s">
        <v>820</v>
      </c>
      <c r="BE70" t="s">
        <v>821</v>
      </c>
      <c r="BF70" t="s">
        <v>822</v>
      </c>
      <c r="BG70" t="s">
        <v>820</v>
      </c>
    </row>
    <row r="71" spans="13:59" x14ac:dyDescent="0.25">
      <c r="M71" t="str">
        <f>_xlfn.IFNA(IF(VLOOKUP(TAB_Offres[[#This Row],[Reference]],TAB_Offres[[Reference]:[Request State]],COLUMNS(TAB_Offres[[Reference]:[Request State]]),FALSE)=D$6,TAB_Offres[[#This Row],[Reference]],""),"")</f>
        <v>DIGITTMII-008616-DIGITTMII-003241-EXT-01-6000053863-REQ-01</v>
      </c>
      <c r="N71" t="str">
        <f>_xlfn.IFNA(IF(VLOOKUP(TAB_Offres[[#This Row],[Reference]],TAB_Offres[[Reference]:[Has Expenses?]],COLUMNS(TAB_Offres[[Reference]:[Has Expenses?]]),FALSE)=J$2,TAB_Offres[[#This Row],[Reference]],""),"")</f>
        <v/>
      </c>
      <c r="O71" t="str">
        <f>IF(Tableau19[[#This Row],[EXPENSES_REF]]="","",MAX(O$1:O70)+1)</f>
        <v/>
      </c>
      <c r="P71" t="str">
        <f t="shared" si="6"/>
        <v/>
      </c>
      <c r="R71" s="103" t="s">
        <v>71</v>
      </c>
      <c r="S71" s="107">
        <v>369.59999999999997</v>
      </c>
      <c r="T71" s="96">
        <v>395.47</v>
      </c>
      <c r="U71" s="96">
        <v>423.15</v>
      </c>
      <c r="V71" s="96">
        <v>452.77</v>
      </c>
      <c r="W71" s="96">
        <v>484.46</v>
      </c>
      <c r="X71" s="96">
        <v>518.37</v>
      </c>
      <c r="Y71" s="96">
        <v>554.66</v>
      </c>
      <c r="Z71" s="96">
        <v>593.49</v>
      </c>
      <c r="AA71" s="96">
        <v>635.03</v>
      </c>
      <c r="AB71" s="96">
        <v>679.48</v>
      </c>
      <c r="AC71" s="96">
        <v>727.04</v>
      </c>
      <c r="AD71" s="33" t="s">
        <v>140</v>
      </c>
      <c r="AE71" s="33"/>
      <c r="AF71" s="33"/>
      <c r="AG71" s="33"/>
      <c r="AI71" s="3" t="str">
        <f>IFERROR(_xlfn.SINGLE(
IF(_xlfn.SINGLE(INDEX(TAB_Offres[Ressource 1],ROWS(Params!AI$2:$AI71)))=0,NA(),
INDEX(TAB_Offres[Ressource 1],ROWS(Params!AI$2:$AI71)))),
IFERROR(_xlfn.SINGLE(IF(_xlfn.SINGLE(INDEX(#REF!,ROWS(Params!AI$2:$AI71)-COUNTA(TAB_Offres[Ressource 1])))=0,NA(),
INDEX(#REF!,ROWS(Params!AI$2:$AI71)-COUNTA(TAB_Offres[Ressource 1])))),
IFERROR(_xlfn.SINGLE(IF(_xlfn.SINGLE(INDEX(#REF!,ROWS(Params!AI$2:$AI71)-COUNTA(#REF!)-COUNTA(TAB_Offres[Ressource 1])))=0,NA(),
INDEX(#REF!,ROWS(Params!AI$2:$AI71)-COUNTA(#REF!)-COUNTA(TAB_Offres[Ressource 1])))),""))
)</f>
        <v>ESCRIBANO, Ruben</v>
      </c>
      <c r="AJ71" s="174">
        <f>IF(TAB_ressource[[#This Row],[Import Ressource]]="","",MAX(AJ$1:AJ70)+1)</f>
        <v>70</v>
      </c>
      <c r="AK71" s="176" t="str">
        <f>IFERROR(INDEX(TAB_ressource[Import Ressource],MATCH(ROW()-ROW($AK$1),TAB_ressource[ID Import ressources],0)),"")</f>
        <v>ESCRIBANO, Ruben</v>
      </c>
      <c r="AN71" s="26">
        <f t="shared" si="7"/>
        <v>0</v>
      </c>
      <c r="AQ71" s="114" t="s">
        <v>71</v>
      </c>
      <c r="AR71" s="115">
        <f>COUNTIF(TAB_CS[Profile],AQ71)</f>
        <v>0</v>
      </c>
      <c r="BD71" t="s">
        <v>823</v>
      </c>
      <c r="BE71" t="s">
        <v>824</v>
      </c>
      <c r="BF71" t="s">
        <v>825</v>
      </c>
      <c r="BG71" t="s">
        <v>823</v>
      </c>
    </row>
    <row r="72" spans="13:59" x14ac:dyDescent="0.25">
      <c r="M72" t="str">
        <f>_xlfn.IFNA(IF(VLOOKUP(TAB_Offres[[#This Row],[Reference]],TAB_Offres[[Reference]:[Request State]],COLUMNS(TAB_Offres[[Reference]:[Request State]]),FALSE)=D$6,TAB_Offres[[#This Row],[Reference]],""),"")</f>
        <v>DIGITTMII-008641-6000053863-REQ-01</v>
      </c>
      <c r="N72" t="str">
        <f>_xlfn.IFNA(IF(VLOOKUP(TAB_Offres[[#This Row],[Reference]],TAB_Offres[[Reference]:[Has Expenses?]],COLUMNS(TAB_Offres[[Reference]:[Has Expenses?]]),FALSE)=J$2,TAB_Offres[[#This Row],[Reference]],""),"")</f>
        <v/>
      </c>
      <c r="O72" t="str">
        <f>IF(Tableau19[[#This Row],[EXPENSES_REF]]="","",MAX(O$1:O71)+1)</f>
        <v/>
      </c>
      <c r="P72" t="str">
        <f t="shared" si="6"/>
        <v/>
      </c>
      <c r="R72" s="103" t="s">
        <v>72</v>
      </c>
      <c r="S72" s="107">
        <v>369.59999999999997</v>
      </c>
      <c r="T72" s="96">
        <v>395.47</v>
      </c>
      <c r="U72" s="96">
        <v>423.15</v>
      </c>
      <c r="V72" s="96">
        <v>452.77</v>
      </c>
      <c r="W72" s="96">
        <v>484.46</v>
      </c>
      <c r="X72" s="96">
        <v>518.37</v>
      </c>
      <c r="Y72" s="96">
        <v>554.66</v>
      </c>
      <c r="Z72" s="96">
        <v>593.49</v>
      </c>
      <c r="AA72" s="96">
        <v>635.03</v>
      </c>
      <c r="AB72" s="96">
        <v>679.48</v>
      </c>
      <c r="AC72" s="96">
        <v>727.04</v>
      </c>
      <c r="AD72" s="33" t="s">
        <v>140</v>
      </c>
      <c r="AE72" s="33"/>
      <c r="AF72" s="33"/>
      <c r="AG72" s="33"/>
      <c r="AI72" s="3" t="str">
        <f>IFERROR(_xlfn.SINGLE(
IF(_xlfn.SINGLE(INDEX(TAB_Offres[Ressource 1],ROWS(Params!AI$2:$AI72)))=0,NA(),
INDEX(TAB_Offres[Ressource 1],ROWS(Params!AI$2:$AI72)))),
IFERROR(_xlfn.SINGLE(IF(_xlfn.SINGLE(INDEX(#REF!,ROWS(Params!AI$2:$AI72)-COUNTA(TAB_Offres[Ressource 1])))=0,NA(),
INDEX(#REF!,ROWS(Params!AI$2:$AI72)-COUNTA(TAB_Offres[Ressource 1])))),
IFERROR(_xlfn.SINGLE(IF(_xlfn.SINGLE(INDEX(#REF!,ROWS(Params!AI$2:$AI72)-COUNTA(#REF!)-COUNTA(TAB_Offres[Ressource 1])))=0,NA(),
INDEX(#REF!,ROWS(Params!AI$2:$AI72)-COUNTA(#REF!)-COUNTA(TAB_Offres[Ressource 1])))),""))
)</f>
        <v>COLLING, Fabiano</v>
      </c>
      <c r="AJ72" s="174">
        <f>IF(TAB_ressource[[#This Row],[Import Ressource]]="","",MAX(AJ$1:AJ71)+1)</f>
        <v>71</v>
      </c>
      <c r="AK72" s="176" t="str">
        <f>IFERROR(INDEX(TAB_ressource[Import Ressource],MATCH(ROW()-ROW($AK$1),TAB_ressource[ID Import ressources],0)),"")</f>
        <v>COLLING, Fabiano</v>
      </c>
      <c r="AN72" s="26">
        <f t="shared" si="7"/>
        <v>0</v>
      </c>
      <c r="AQ72" s="114" t="s">
        <v>72</v>
      </c>
      <c r="AR72" s="115">
        <f>COUNTIF(TAB_CS[Profile],AQ72)</f>
        <v>0</v>
      </c>
      <c r="BD72" t="s">
        <v>826</v>
      </c>
      <c r="BE72" t="s">
        <v>827</v>
      </c>
      <c r="BF72" t="s">
        <v>828</v>
      </c>
      <c r="BG72" t="s">
        <v>826</v>
      </c>
    </row>
    <row r="73" spans="13:59" x14ac:dyDescent="0.25">
      <c r="M73" t="str">
        <f>_xlfn.IFNA(IF(VLOOKUP(TAB_Offres[[#This Row],[Reference]],TAB_Offres[[Reference]:[Request State]],COLUMNS(TAB_Offres[[Reference]:[Request State]]),FALSE)=D$6,TAB_Offres[[#This Row],[Reference]],""),"")</f>
        <v>DIGITTMII-008866-DIGITTMII-001774-EXT-01-6000053863-REQ-01-OFF-01</v>
      </c>
      <c r="N73" t="str">
        <f>_xlfn.IFNA(IF(VLOOKUP(TAB_Offres[[#This Row],[Reference]],TAB_Offres[[Reference]:[Has Expenses?]],COLUMNS(TAB_Offres[[Reference]:[Has Expenses?]]),FALSE)=J$2,TAB_Offres[[#This Row],[Reference]],""),"")</f>
        <v/>
      </c>
      <c r="O73" t="str">
        <f>IF(Tableau19[[#This Row],[EXPENSES_REF]]="","",MAX(O$1:O72)+1)</f>
        <v/>
      </c>
      <c r="P73" t="str">
        <f t="shared" si="6"/>
        <v/>
      </c>
      <c r="R73" s="103" t="s">
        <v>73</v>
      </c>
      <c r="S73" s="107">
        <v>369.59999999999997</v>
      </c>
      <c r="T73" s="96">
        <v>395.47</v>
      </c>
      <c r="U73" s="96">
        <v>423.15</v>
      </c>
      <c r="V73" s="96">
        <v>452.77</v>
      </c>
      <c r="W73" s="96">
        <v>484.46</v>
      </c>
      <c r="X73" s="96">
        <v>518.37</v>
      </c>
      <c r="Y73" s="96">
        <v>554.66</v>
      </c>
      <c r="Z73" s="96">
        <v>593.49</v>
      </c>
      <c r="AA73" s="96">
        <v>635.03</v>
      </c>
      <c r="AB73" s="96">
        <v>679.48</v>
      </c>
      <c r="AC73" s="96">
        <v>727.04</v>
      </c>
      <c r="AD73" s="33" t="s">
        <v>140</v>
      </c>
      <c r="AE73" s="33"/>
      <c r="AF73" s="33"/>
      <c r="AG73" s="33"/>
      <c r="AI73" s="3" t="str">
        <f>IFERROR(_xlfn.SINGLE(
IF(_xlfn.SINGLE(INDEX(TAB_Offres[Ressource 1],ROWS(Params!AI$2:$AI73)))=0,NA(),
INDEX(TAB_Offres[Ressource 1],ROWS(Params!AI$2:$AI73)))),
IFERROR(_xlfn.SINGLE(IF(_xlfn.SINGLE(INDEX(#REF!,ROWS(Params!AI$2:$AI73)-COUNTA(TAB_Offres[Ressource 1])))=0,NA(),
INDEX(#REF!,ROWS(Params!AI$2:$AI73)-COUNTA(TAB_Offres[Ressource 1])))),
IFERROR(_xlfn.SINGLE(IF(_xlfn.SINGLE(INDEX(#REF!,ROWS(Params!AI$2:$AI73)-COUNTA(#REF!)-COUNTA(TAB_Offres[Ressource 1])))=0,NA(),
INDEX(#REF!,ROWS(Params!AI$2:$AI73)-COUNTA(#REF!)-COUNTA(TAB_Offres[Ressource 1])))),""))
)</f>
        <v>VAN DE GUCHT, Pascal</v>
      </c>
      <c r="AJ73" s="174">
        <f>IF(TAB_ressource[[#This Row],[Import Ressource]]="","",MAX(AJ$1:AJ72)+1)</f>
        <v>72</v>
      </c>
      <c r="AK73" s="176" t="str">
        <f>IFERROR(INDEX(TAB_ressource[Import Ressource],MATCH(ROW()-ROW($AK$1),TAB_ressource[ID Import ressources],0)),"")</f>
        <v>VAN DE GUCHT, Pascal</v>
      </c>
      <c r="AN73" s="26">
        <f t="shared" si="7"/>
        <v>0</v>
      </c>
      <c r="AQ73" s="114" t="s">
        <v>73</v>
      </c>
      <c r="AR73" s="115">
        <f>COUNTIF(TAB_CS[Profile],AQ73)</f>
        <v>1</v>
      </c>
      <c r="BD73" t="s">
        <v>829</v>
      </c>
      <c r="BE73" t="s">
        <v>830</v>
      </c>
      <c r="BF73" t="s">
        <v>831</v>
      </c>
      <c r="BG73" t="s">
        <v>829</v>
      </c>
    </row>
    <row r="74" spans="13:59" x14ac:dyDescent="0.25">
      <c r="M74" t="str">
        <f>_xlfn.IFNA(IF(VLOOKUP(TAB_Offres[[#This Row],[Reference]],TAB_Offres[[Reference]:[Request State]],COLUMNS(TAB_Offres[[Reference]:[Request State]]),FALSE)=D$6,TAB_Offres[[#This Row],[Reference]],""),"")</f>
        <v>DIGITTMII-009034-DIGITTMII-002416-EXT-02-6000053863-REQ-01</v>
      </c>
      <c r="N74" t="str">
        <f>_xlfn.IFNA(IF(VLOOKUP(TAB_Offres[[#This Row],[Reference]],TAB_Offres[[Reference]:[Has Expenses?]],COLUMNS(TAB_Offres[[Reference]:[Has Expenses?]]),FALSE)=J$2,TAB_Offres[[#This Row],[Reference]],""),"")</f>
        <v/>
      </c>
      <c r="O74" t="str">
        <f>IF(Tableau19[[#This Row],[EXPENSES_REF]]="","",MAX(O$1:O73)+1)</f>
        <v/>
      </c>
      <c r="P74" t="str">
        <f t="shared" si="6"/>
        <v/>
      </c>
      <c r="R74" s="103" t="s">
        <v>74</v>
      </c>
      <c r="S74" s="107">
        <v>440</v>
      </c>
      <c r="T74" s="96">
        <v>470.8</v>
      </c>
      <c r="U74" s="96">
        <v>503.76</v>
      </c>
      <c r="V74" s="96">
        <v>539.02</v>
      </c>
      <c r="W74" s="96">
        <v>576.75</v>
      </c>
      <c r="X74" s="96">
        <v>617.12</v>
      </c>
      <c r="Y74" s="96">
        <v>660.32</v>
      </c>
      <c r="Z74" s="96">
        <v>706.54</v>
      </c>
      <c r="AA74" s="96">
        <v>756</v>
      </c>
      <c r="AB74" s="96">
        <v>808.92</v>
      </c>
      <c r="AC74" s="96">
        <v>865.54</v>
      </c>
      <c r="AD74" s="33" t="s">
        <v>140</v>
      </c>
      <c r="AE74" s="33"/>
      <c r="AF74" s="33"/>
      <c r="AG74" s="33"/>
      <c r="AI74" s="3" t="str">
        <f>IFERROR(_xlfn.SINGLE(
IF(_xlfn.SINGLE(INDEX(TAB_Offres[Ressource 1],ROWS(Params!AI$2:$AI74)))=0,NA(),
INDEX(TAB_Offres[Ressource 1],ROWS(Params!AI$2:$AI74)))),
IFERROR(_xlfn.SINGLE(IF(_xlfn.SINGLE(INDEX(#REF!,ROWS(Params!AI$2:$AI74)-COUNTA(TAB_Offres[Ressource 1])))=0,NA(),
INDEX(#REF!,ROWS(Params!AI$2:$AI74)-COUNTA(TAB_Offres[Ressource 1])))),
IFERROR(_xlfn.SINGLE(IF(_xlfn.SINGLE(INDEX(#REF!,ROWS(Params!AI$2:$AI74)-COUNTA(#REF!)-COUNTA(TAB_Offres[Ressource 1])))=0,NA(),
INDEX(#REF!,ROWS(Params!AI$2:$AI74)-COUNTA(#REF!)-COUNTA(TAB_Offres[Ressource 1])))),""))
)</f>
        <v>BEN MILOUD, Djamila</v>
      </c>
      <c r="AJ74" s="174">
        <f>IF(TAB_ressource[[#This Row],[Import Ressource]]="","",MAX(AJ$1:AJ73)+1)</f>
        <v>73</v>
      </c>
      <c r="AK74" s="176" t="str">
        <f>IFERROR(INDEX(TAB_ressource[Import Ressource],MATCH(ROW()-ROW($AK$1),TAB_ressource[ID Import ressources],0)),"")</f>
        <v>BEN MILOUD, Djamila</v>
      </c>
      <c r="AN74" s="26">
        <f t="shared" si="7"/>
        <v>0</v>
      </c>
      <c r="AQ74" s="114" t="s">
        <v>74</v>
      </c>
      <c r="AR74" s="115">
        <f>COUNTIF(TAB_CS[Profile],AQ74)</f>
        <v>0</v>
      </c>
      <c r="BD74" t="s">
        <v>832</v>
      </c>
      <c r="BE74" t="s">
        <v>833</v>
      </c>
      <c r="BF74" t="s">
        <v>834</v>
      </c>
      <c r="BG74" t="s">
        <v>832</v>
      </c>
    </row>
    <row r="75" spans="13:59" x14ac:dyDescent="0.25">
      <c r="M75" t="str">
        <f>_xlfn.IFNA(IF(VLOOKUP(TAB_Offres[[#This Row],[Reference]],TAB_Offres[[Reference]:[Request State]],COLUMNS(TAB_Offres[[Reference]:[Request State]]),FALSE)=D$6,TAB_Offres[[#This Row],[Reference]],""),"")</f>
        <v>DIGITTMII-009146-6000053863-REQ-01</v>
      </c>
      <c r="N75" t="str">
        <f>_xlfn.IFNA(IF(VLOOKUP(TAB_Offres[[#This Row],[Reference]],TAB_Offres[[Reference]:[Has Expenses?]],COLUMNS(TAB_Offres[[Reference]:[Has Expenses?]]),FALSE)=J$2,TAB_Offres[[#This Row],[Reference]],""),"")</f>
        <v/>
      </c>
      <c r="O75" t="str">
        <f>IF(Tableau19[[#This Row],[EXPENSES_REF]]="","",MAX(O$1:O74)+1)</f>
        <v/>
      </c>
      <c r="P75" t="str">
        <f t="shared" si="6"/>
        <v/>
      </c>
      <c r="R75" s="103" t="s">
        <v>75</v>
      </c>
      <c r="S75" s="107">
        <v>369.59999999999997</v>
      </c>
      <c r="T75" s="96">
        <v>395.47</v>
      </c>
      <c r="U75" s="96">
        <v>423.15</v>
      </c>
      <c r="V75" s="96">
        <v>452.77</v>
      </c>
      <c r="W75" s="96">
        <v>484.46</v>
      </c>
      <c r="X75" s="96">
        <v>518.37</v>
      </c>
      <c r="Y75" s="96">
        <v>554.66</v>
      </c>
      <c r="Z75" s="96">
        <v>593.49</v>
      </c>
      <c r="AA75" s="96">
        <v>635.03</v>
      </c>
      <c r="AB75" s="96">
        <v>679.48</v>
      </c>
      <c r="AC75" s="96">
        <v>727.04</v>
      </c>
      <c r="AD75" s="33" t="s">
        <v>140</v>
      </c>
      <c r="AE75" s="33"/>
      <c r="AF75" s="33"/>
      <c r="AG75" s="33"/>
      <c r="AI75" s="3" t="str">
        <f>IFERROR(_xlfn.SINGLE(
IF(_xlfn.SINGLE(INDEX(TAB_Offres[Ressource 1],ROWS(Params!AI$2:$AI75)))=0,NA(),
INDEX(TAB_Offres[Ressource 1],ROWS(Params!AI$2:$AI75)))),
IFERROR(_xlfn.SINGLE(IF(_xlfn.SINGLE(INDEX(#REF!,ROWS(Params!AI$2:$AI75)-COUNTA(TAB_Offres[Ressource 1])))=0,NA(),
INDEX(#REF!,ROWS(Params!AI$2:$AI75)-COUNTA(TAB_Offres[Ressource 1])))),
IFERROR(_xlfn.SINGLE(IF(_xlfn.SINGLE(INDEX(#REF!,ROWS(Params!AI$2:$AI75)-COUNTA(#REF!)-COUNTA(TAB_Offres[Ressource 1])))=0,NA(),
INDEX(#REF!,ROWS(Params!AI$2:$AI75)-COUNTA(#REF!)-COUNTA(TAB_Offres[Ressource 1])))),""))
)</f>
        <v>ADESIDA, Yemi</v>
      </c>
      <c r="AJ75" s="174">
        <f>IF(TAB_ressource[[#This Row],[Import Ressource]]="","",MAX(AJ$1:AJ74)+1)</f>
        <v>74</v>
      </c>
      <c r="AK75" s="176" t="str">
        <f>IFERROR(INDEX(TAB_ressource[Import Ressource],MATCH(ROW()-ROW($AK$1),TAB_ressource[ID Import ressources],0)),"")</f>
        <v>ADESIDA, Yemi</v>
      </c>
      <c r="AN75" s="26">
        <f t="shared" si="7"/>
        <v>0</v>
      </c>
      <c r="AQ75" s="114" t="s">
        <v>75</v>
      </c>
      <c r="AR75" s="115">
        <f>COUNTIF(TAB_CS[Profile],AQ75)</f>
        <v>0</v>
      </c>
      <c r="BD75" t="s">
        <v>835</v>
      </c>
      <c r="BE75" t="s">
        <v>836</v>
      </c>
      <c r="BF75" t="s">
        <v>837</v>
      </c>
      <c r="BG75" t="s">
        <v>835</v>
      </c>
    </row>
    <row r="76" spans="13:59" x14ac:dyDescent="0.25">
      <c r="M76" t="str">
        <f>_xlfn.IFNA(IF(VLOOKUP(TAB_Offres[[#This Row],[Reference]],TAB_Offres[[Reference]:[Request State]],COLUMNS(TAB_Offres[[Reference]:[Request State]]),FALSE)=D$6,TAB_Offres[[#This Row],[Reference]],""),"")</f>
        <v>DIGITTMII-009161-DIGITTMII-003143-EXT-01-6000053863-REQ-01</v>
      </c>
      <c r="N76" t="str">
        <f>_xlfn.IFNA(IF(VLOOKUP(TAB_Offres[[#This Row],[Reference]],TAB_Offres[[Reference]:[Has Expenses?]],COLUMNS(TAB_Offres[[Reference]:[Has Expenses?]]),FALSE)=J$2,TAB_Offres[[#This Row],[Reference]],""),"")</f>
        <v/>
      </c>
      <c r="O76" t="str">
        <f>IF(Tableau19[[#This Row],[EXPENSES_REF]]="","",MAX(O$1:O75)+1)</f>
        <v/>
      </c>
      <c r="P76" t="str">
        <f t="shared" si="6"/>
        <v/>
      </c>
      <c r="R76" s="103" t="s">
        <v>76</v>
      </c>
      <c r="S76" s="107">
        <v>369.59999999999997</v>
      </c>
      <c r="T76" s="96">
        <v>395.47</v>
      </c>
      <c r="U76" s="96">
        <v>423.15</v>
      </c>
      <c r="V76" s="96">
        <v>452.77</v>
      </c>
      <c r="W76" s="96">
        <v>484.46</v>
      </c>
      <c r="X76" s="96">
        <v>518.37</v>
      </c>
      <c r="Y76" s="96">
        <v>554.66</v>
      </c>
      <c r="Z76" s="96">
        <v>593.49</v>
      </c>
      <c r="AA76" s="96">
        <v>635.03</v>
      </c>
      <c r="AB76" s="96">
        <v>679.48</v>
      </c>
      <c r="AC76" s="96">
        <v>727.04</v>
      </c>
      <c r="AD76" s="33" t="s">
        <v>140</v>
      </c>
      <c r="AE76" s="33"/>
      <c r="AF76" s="33"/>
      <c r="AG76" s="33"/>
      <c r="AI76" s="3" t="str">
        <f>IFERROR(_xlfn.SINGLE(
IF(_xlfn.SINGLE(INDEX(TAB_Offres[Ressource 1],ROWS(Params!AI$2:$AI76)))=0,NA(),
INDEX(TAB_Offres[Ressource 1],ROWS(Params!AI$2:$AI76)))),
IFERROR(_xlfn.SINGLE(IF(_xlfn.SINGLE(INDEX(#REF!,ROWS(Params!AI$2:$AI76)-COUNTA(TAB_Offres[Ressource 1])))=0,NA(),
INDEX(#REF!,ROWS(Params!AI$2:$AI76)-COUNTA(TAB_Offres[Ressource 1])))),
IFERROR(_xlfn.SINGLE(IF(_xlfn.SINGLE(INDEX(#REF!,ROWS(Params!AI$2:$AI76)-COUNTA(#REF!)-COUNTA(TAB_Offres[Ressource 1])))=0,NA(),
INDEX(#REF!,ROWS(Params!AI$2:$AI76)-COUNTA(#REF!)-COUNTA(TAB_Offres[Ressource 1])))),""))
)</f>
        <v>PAPASPYROU, Vasileios</v>
      </c>
      <c r="AJ76" s="174">
        <f>IF(TAB_ressource[[#This Row],[Import Ressource]]="","",MAX(AJ$1:AJ75)+1)</f>
        <v>75</v>
      </c>
      <c r="AK76" s="176" t="str">
        <f>IFERROR(INDEX(TAB_ressource[Import Ressource],MATCH(ROW()-ROW($AK$1),TAB_ressource[ID Import ressources],0)),"")</f>
        <v>PAPASPYROU, Vasileios</v>
      </c>
      <c r="AN76" s="26">
        <f t="shared" si="7"/>
        <v>0</v>
      </c>
      <c r="AQ76" s="114" t="s">
        <v>76</v>
      </c>
      <c r="AR76" s="115">
        <f>COUNTIF(TAB_CS[Profile],AQ76)</f>
        <v>0</v>
      </c>
      <c r="BD76" t="s">
        <v>838</v>
      </c>
      <c r="BE76" t="s">
        <v>839</v>
      </c>
      <c r="BF76" t="s">
        <v>840</v>
      </c>
      <c r="BG76" t="s">
        <v>838</v>
      </c>
    </row>
    <row r="77" spans="13:59" x14ac:dyDescent="0.25">
      <c r="M77" t="str">
        <f>_xlfn.IFNA(IF(VLOOKUP(TAB_Offres[[#This Row],[Reference]],TAB_Offres[[Reference]:[Request State]],COLUMNS(TAB_Offres[[Reference]:[Request State]]),FALSE)=D$6,TAB_Offres[[#This Row],[Reference]],""),"")</f>
        <v>DIGITTMII-009215-DIGITTMII-000659-EXT-01-6000053863-REQ-01</v>
      </c>
      <c r="N77" t="str">
        <f>_xlfn.IFNA(IF(VLOOKUP(TAB_Offres[[#This Row],[Reference]],TAB_Offres[[Reference]:[Has Expenses?]],COLUMNS(TAB_Offres[[Reference]:[Has Expenses?]]),FALSE)=J$2,TAB_Offres[[#This Row],[Reference]],""),"")</f>
        <v/>
      </c>
      <c r="O77" t="str">
        <f>IF(Tableau19[[#This Row],[EXPENSES_REF]]="","",MAX(O$1:O76)+1)</f>
        <v/>
      </c>
      <c r="P77" t="str">
        <f t="shared" si="6"/>
        <v/>
      </c>
      <c r="R77" s="103" t="s">
        <v>77</v>
      </c>
      <c r="S77" s="107">
        <v>369.59999999999997</v>
      </c>
      <c r="T77" s="96">
        <v>395.47</v>
      </c>
      <c r="U77" s="96">
        <v>423.15</v>
      </c>
      <c r="V77" s="96">
        <v>452.77</v>
      </c>
      <c r="W77" s="96">
        <v>484.46</v>
      </c>
      <c r="X77" s="96">
        <v>518.37</v>
      </c>
      <c r="Y77" s="96">
        <v>554.66</v>
      </c>
      <c r="Z77" s="96">
        <v>593.49</v>
      </c>
      <c r="AA77" s="96">
        <v>635.03</v>
      </c>
      <c r="AB77" s="96">
        <v>679.48</v>
      </c>
      <c r="AC77" s="96">
        <v>727.04</v>
      </c>
      <c r="AD77" s="33" t="s">
        <v>140</v>
      </c>
      <c r="AE77" s="33"/>
      <c r="AF77" s="33"/>
      <c r="AG77" s="33"/>
      <c r="AI77" s="3" t="str">
        <f>IFERROR(_xlfn.SINGLE(
IF(_xlfn.SINGLE(INDEX(TAB_Offres[Ressource 1],ROWS(Params!AI$2:$AI77)))=0,NA(),
INDEX(TAB_Offres[Ressource 1],ROWS(Params!AI$2:$AI77)))),
IFERROR(_xlfn.SINGLE(IF(_xlfn.SINGLE(INDEX(#REF!,ROWS(Params!AI$2:$AI77)-COUNTA(TAB_Offres[Ressource 1])))=0,NA(),
INDEX(#REF!,ROWS(Params!AI$2:$AI77)-COUNTA(TAB_Offres[Ressource 1])))),
IFERROR(_xlfn.SINGLE(IF(_xlfn.SINGLE(INDEX(#REF!,ROWS(Params!AI$2:$AI77)-COUNTA(#REF!)-COUNTA(TAB_Offres[Ressource 1])))=0,NA(),
INDEX(#REF!,ROWS(Params!AI$2:$AI77)-COUNTA(#REF!)-COUNTA(TAB_Offres[Ressource 1])))),""))
)</f>
        <v>LOPES GONÇALVES, Débora</v>
      </c>
      <c r="AJ77" s="174">
        <f>IF(TAB_ressource[[#This Row],[Import Ressource]]="","",MAX(AJ$1:AJ76)+1)</f>
        <v>76</v>
      </c>
      <c r="AK77" s="176" t="str">
        <f>IFERROR(INDEX(TAB_ressource[Import Ressource],MATCH(ROW()-ROW($AK$1),TAB_ressource[ID Import ressources],0)),"")</f>
        <v>LOPES GONÇALVES, Débora</v>
      </c>
      <c r="AN77" s="26">
        <f t="shared" si="7"/>
        <v>0</v>
      </c>
      <c r="AQ77" s="114" t="s">
        <v>77</v>
      </c>
      <c r="AR77" s="115">
        <f>COUNTIF(TAB_CS[Profile],AQ77)</f>
        <v>0</v>
      </c>
      <c r="BD77" t="s">
        <v>841</v>
      </c>
      <c r="BE77" t="s">
        <v>842</v>
      </c>
      <c r="BF77" t="s">
        <v>843</v>
      </c>
      <c r="BG77" t="s">
        <v>841</v>
      </c>
    </row>
    <row r="78" spans="13:59" x14ac:dyDescent="0.25">
      <c r="M78" t="str">
        <f>_xlfn.IFNA(IF(VLOOKUP(TAB_Offres[[#This Row],[Reference]],TAB_Offres[[Reference]:[Request State]],COLUMNS(TAB_Offres[[Reference]:[Request State]]),FALSE)=D$6,TAB_Offres[[#This Row],[Reference]],""),"")</f>
        <v>DIGITTMII-009438-DIGITTMII-001957-MOD-02-6000053863-REQ-01</v>
      </c>
      <c r="N78" t="str">
        <f>_xlfn.IFNA(IF(VLOOKUP(TAB_Offres[[#This Row],[Reference]],TAB_Offres[[Reference]:[Has Expenses?]],COLUMNS(TAB_Offres[[Reference]:[Has Expenses?]]),FALSE)=J$2,TAB_Offres[[#This Row],[Reference]],""),"")</f>
        <v/>
      </c>
      <c r="O78" t="str">
        <f>IF(Tableau19[[#This Row],[EXPENSES_REF]]="","",MAX(O$1:O77)+1)</f>
        <v/>
      </c>
      <c r="P78" t="str">
        <f t="shared" si="6"/>
        <v/>
      </c>
      <c r="R78" s="103" t="s">
        <v>78</v>
      </c>
      <c r="S78" s="107">
        <v>369.59999999999997</v>
      </c>
      <c r="T78" s="96">
        <v>395.47</v>
      </c>
      <c r="U78" s="96">
        <v>423.15</v>
      </c>
      <c r="V78" s="96">
        <v>452.77</v>
      </c>
      <c r="W78" s="96">
        <v>484.46</v>
      </c>
      <c r="X78" s="96">
        <v>518.37</v>
      </c>
      <c r="Y78" s="96">
        <v>554.66</v>
      </c>
      <c r="Z78" s="96">
        <v>593.49</v>
      </c>
      <c r="AA78" s="96">
        <v>635.03</v>
      </c>
      <c r="AB78" s="96">
        <v>679.48</v>
      </c>
      <c r="AC78" s="96">
        <v>727.04</v>
      </c>
      <c r="AD78" s="33" t="s">
        <v>140</v>
      </c>
      <c r="AE78" s="33"/>
      <c r="AF78" s="33"/>
      <c r="AG78" s="33"/>
      <c r="AI78" s="3" t="str">
        <f>IFERROR(_xlfn.SINGLE(
IF(_xlfn.SINGLE(INDEX(TAB_Offres[Ressource 1],ROWS(Params!AI$2:$AI78)))=0,NA(),
INDEX(TAB_Offres[Ressource 1],ROWS(Params!AI$2:$AI78)))),
IFERROR(_xlfn.SINGLE(IF(_xlfn.SINGLE(INDEX(#REF!,ROWS(Params!AI$2:$AI78)-COUNTA(TAB_Offres[Ressource 1])))=0,NA(),
INDEX(#REF!,ROWS(Params!AI$2:$AI78)-COUNTA(TAB_Offres[Ressource 1])))),
IFERROR(_xlfn.SINGLE(IF(_xlfn.SINGLE(INDEX(#REF!,ROWS(Params!AI$2:$AI78)-COUNTA(#REF!)-COUNTA(TAB_Offres[Ressource 1])))=0,NA(),
INDEX(#REF!,ROWS(Params!AI$2:$AI78)-COUNTA(#REF!)-COUNTA(TAB_Offres[Ressource 1])))),""))
)</f>
        <v>LORENC, Adrian</v>
      </c>
      <c r="AJ78" s="174">
        <f>IF(TAB_ressource[[#This Row],[Import Ressource]]="","",MAX(AJ$1:AJ77)+1)</f>
        <v>77</v>
      </c>
      <c r="AK78" s="176" t="str">
        <f>IFERROR(INDEX(TAB_ressource[Import Ressource],MATCH(ROW()-ROW($AK$1),TAB_ressource[ID Import ressources],0)),"")</f>
        <v>LORENC, Adrian</v>
      </c>
      <c r="AN78" s="26">
        <f t="shared" si="7"/>
        <v>0</v>
      </c>
      <c r="AQ78" s="114" t="s">
        <v>78</v>
      </c>
      <c r="AR78" s="115">
        <f>COUNTIF(TAB_CS[Profile],AQ78)</f>
        <v>0</v>
      </c>
      <c r="BD78" t="s">
        <v>844</v>
      </c>
      <c r="BE78" t="s">
        <v>845</v>
      </c>
      <c r="BF78" t="s">
        <v>846</v>
      </c>
      <c r="BG78" t="s">
        <v>844</v>
      </c>
    </row>
    <row r="79" spans="13:59" x14ac:dyDescent="0.25">
      <c r="M79" t="str">
        <f>_xlfn.IFNA(IF(VLOOKUP(TAB_Offres[[#This Row],[Reference]],TAB_Offres[[Reference]:[Request State]],COLUMNS(TAB_Offres[[Reference]:[Request State]]),FALSE)=D$6,TAB_Offres[[#This Row],[Reference]],""),"")</f>
        <v>DIGITTMII-009632-6000053863-REQ-01</v>
      </c>
      <c r="N79" t="str">
        <f>_xlfn.IFNA(IF(VLOOKUP(TAB_Offres[[#This Row],[Reference]],TAB_Offres[[Reference]:[Has Expenses?]],COLUMNS(TAB_Offres[[Reference]:[Has Expenses?]]),FALSE)=J$2,TAB_Offres[[#This Row],[Reference]],""),"")</f>
        <v>DIGITTMII-009632-6000053863-REQ-01</v>
      </c>
      <c r="O79">
        <f>IF(Tableau19[[#This Row],[EXPENSES_REF]]="","",MAX(O$1:O78)+1)</f>
        <v>13</v>
      </c>
      <c r="P79" t="str">
        <f t="shared" si="6"/>
        <v/>
      </c>
      <c r="R79" s="103" t="s">
        <v>79</v>
      </c>
      <c r="S79" s="107">
        <v>440</v>
      </c>
      <c r="T79" s="96">
        <v>470.8</v>
      </c>
      <c r="U79" s="96">
        <v>503.76</v>
      </c>
      <c r="V79" s="96">
        <v>539.02</v>
      </c>
      <c r="W79" s="96">
        <v>576.75</v>
      </c>
      <c r="X79" s="96">
        <v>617.12</v>
      </c>
      <c r="Y79" s="96">
        <v>660.32</v>
      </c>
      <c r="Z79" s="96">
        <v>706.54</v>
      </c>
      <c r="AA79" s="96">
        <v>756</v>
      </c>
      <c r="AB79" s="96">
        <v>808.92</v>
      </c>
      <c r="AC79" s="96">
        <v>865.54</v>
      </c>
      <c r="AD79" s="33" t="s">
        <v>140</v>
      </c>
      <c r="AE79" s="33"/>
      <c r="AF79" s="33"/>
      <c r="AG79" s="33"/>
      <c r="AI79" s="3" t="str">
        <f>IFERROR(_xlfn.SINGLE(
IF(_xlfn.SINGLE(INDEX(TAB_Offres[Ressource 1],ROWS(Params!AI$2:$AI79)))=0,NA(),
INDEX(TAB_Offres[Ressource 1],ROWS(Params!AI$2:$AI79)))),
IFERROR(_xlfn.SINGLE(IF(_xlfn.SINGLE(INDEX(#REF!,ROWS(Params!AI$2:$AI79)-COUNTA(TAB_Offres[Ressource 1])))=0,NA(),
INDEX(#REF!,ROWS(Params!AI$2:$AI79)-COUNTA(TAB_Offres[Ressource 1])))),
IFERROR(_xlfn.SINGLE(IF(_xlfn.SINGLE(INDEX(#REF!,ROWS(Params!AI$2:$AI79)-COUNTA(#REF!)-COUNTA(TAB_Offres[Ressource 1])))=0,NA(),
INDEX(#REF!,ROWS(Params!AI$2:$AI79)-COUNTA(#REF!)-COUNTA(TAB_Offres[Ressource 1])))),""))
)</f>
        <v>TRANDAFIR, Tiberiu</v>
      </c>
      <c r="AJ79" s="174">
        <f>IF(TAB_ressource[[#This Row],[Import Ressource]]="","",MAX(AJ$1:AJ78)+1)</f>
        <v>78</v>
      </c>
      <c r="AK79" s="176" t="str">
        <f>IFERROR(INDEX(TAB_ressource[Import Ressource],MATCH(ROW()-ROW($AK$1),TAB_ressource[ID Import ressources],0)),"")</f>
        <v>TRANDAFIR, Tiberiu</v>
      </c>
      <c r="AN79" s="26">
        <f t="shared" si="7"/>
        <v>0</v>
      </c>
      <c r="AQ79" s="114" t="s">
        <v>79</v>
      </c>
      <c r="AR79" s="115">
        <f>COUNTIF(TAB_CS[Profile],AQ79)</f>
        <v>11</v>
      </c>
      <c r="BD79" t="s">
        <v>847</v>
      </c>
      <c r="BE79" t="s">
        <v>848</v>
      </c>
      <c r="BF79" t="s">
        <v>849</v>
      </c>
      <c r="BG79" t="s">
        <v>847</v>
      </c>
    </row>
    <row r="80" spans="13:59" ht="26.4" x14ac:dyDescent="0.25">
      <c r="M80" t="str">
        <f>_xlfn.IFNA(IF(VLOOKUP(TAB_Offres[[#This Row],[Reference]],TAB_Offres[[Reference]:[Request State]],COLUMNS(TAB_Offres[[Reference]:[Request State]]),FALSE)=D$6,TAB_Offres[[#This Row],[Reference]],""),"")</f>
        <v>DIGITTMII-009749-DIGITTMII-003344-EXT-02-6000053863-REQ-01</v>
      </c>
      <c r="N80" t="str">
        <f>_xlfn.IFNA(IF(VLOOKUP(TAB_Offres[[#This Row],[Reference]],TAB_Offres[[Reference]:[Has Expenses?]],COLUMNS(TAB_Offres[[Reference]:[Has Expenses?]]),FALSE)=J$2,TAB_Offres[[#This Row],[Reference]],""),"")</f>
        <v/>
      </c>
      <c r="O80" t="str">
        <f>IF(Tableau19[[#This Row],[EXPENSES_REF]]="","",MAX(O$1:O79)+1)</f>
        <v/>
      </c>
      <c r="P80" t="str">
        <f t="shared" si="6"/>
        <v/>
      </c>
      <c r="R80" s="103" t="s">
        <v>80</v>
      </c>
      <c r="S80" s="107">
        <v>369.59999999999997</v>
      </c>
      <c r="T80" s="96">
        <v>395.47</v>
      </c>
      <c r="U80" s="96">
        <v>423.15</v>
      </c>
      <c r="V80" s="96">
        <v>452.77</v>
      </c>
      <c r="W80" s="96">
        <v>484.46</v>
      </c>
      <c r="X80" s="96">
        <v>518.37</v>
      </c>
      <c r="Y80" s="96">
        <v>554.66</v>
      </c>
      <c r="Z80" s="96">
        <v>593.49</v>
      </c>
      <c r="AA80" s="96">
        <v>635.03</v>
      </c>
      <c r="AB80" s="96">
        <v>679.48</v>
      </c>
      <c r="AC80" s="96">
        <v>727.04</v>
      </c>
      <c r="AD80" s="33" t="s">
        <v>140</v>
      </c>
      <c r="AE80" s="33"/>
      <c r="AF80" s="33"/>
      <c r="AG80" s="33"/>
      <c r="AI80" s="3" t="str">
        <f>IFERROR(_xlfn.SINGLE(
IF(_xlfn.SINGLE(INDEX(TAB_Offres[Ressource 1],ROWS(Params!AI$2:$AI80)))=0,NA(),
INDEX(TAB_Offres[Ressource 1],ROWS(Params!AI$2:$AI80)))),
IFERROR(_xlfn.SINGLE(IF(_xlfn.SINGLE(INDEX(#REF!,ROWS(Params!AI$2:$AI80)-COUNTA(TAB_Offres[Ressource 1])))=0,NA(),
INDEX(#REF!,ROWS(Params!AI$2:$AI80)-COUNTA(TAB_Offres[Ressource 1])))),
IFERROR(_xlfn.SINGLE(IF(_xlfn.SINGLE(INDEX(#REF!,ROWS(Params!AI$2:$AI80)-COUNTA(#REF!)-COUNTA(TAB_Offres[Ressource 1])))=0,NA(),
INDEX(#REF!,ROWS(Params!AI$2:$AI80)-COUNTA(#REF!)-COUNTA(TAB_Offres[Ressource 1])))),""))
)</f>
        <v>MEDAN, Andrei</v>
      </c>
      <c r="AJ80" s="174">
        <f>IF(TAB_ressource[[#This Row],[Import Ressource]]="","",MAX(AJ$1:AJ79)+1)</f>
        <v>79</v>
      </c>
      <c r="AK80" s="176" t="str">
        <f>IFERROR(INDEX(TAB_ressource[Import Ressource],MATCH(ROW()-ROW($AK$1),TAB_ressource[ID Import ressources],0)),"")</f>
        <v>MEDAN, Andrei</v>
      </c>
      <c r="AN80" s="26">
        <f t="shared" si="7"/>
        <v>0</v>
      </c>
      <c r="AQ80" s="114" t="s">
        <v>80</v>
      </c>
      <c r="AR80" s="115">
        <f>COUNTIF(TAB_CS[Profile],AQ80)</f>
        <v>0</v>
      </c>
      <c r="BD80" t="s">
        <v>850</v>
      </c>
      <c r="BE80" t="s">
        <v>851</v>
      </c>
      <c r="BF80" t="s">
        <v>852</v>
      </c>
      <c r="BG80" t="s">
        <v>850</v>
      </c>
    </row>
    <row r="81" spans="13:59" x14ac:dyDescent="0.25">
      <c r="M81" t="str">
        <f>_xlfn.IFNA(IF(VLOOKUP(TAB_Offres[[#This Row],[Reference]],TAB_Offres[[Reference]:[Request State]],COLUMNS(TAB_Offres[[Reference]:[Request State]]),FALSE)=D$6,TAB_Offres[[#This Row],[Reference]],""),"")</f>
        <v>DIGITTMII-009932-DIGITTMII-002829-EXT-01-6000053863-REQ-01</v>
      </c>
      <c r="N81" t="str">
        <f>_xlfn.IFNA(IF(VLOOKUP(TAB_Offres[[#This Row],[Reference]],TAB_Offres[[Reference]:[Has Expenses?]],COLUMNS(TAB_Offres[[Reference]:[Has Expenses?]]),FALSE)=J$2,TAB_Offres[[#This Row],[Reference]],""),"")</f>
        <v>DIGITTMII-009932-DIGITTMII-002829-EXT-01-6000053863-REQ-01</v>
      </c>
      <c r="O81">
        <f>IF(Tableau19[[#This Row],[EXPENSES_REF]]="","",MAX(O$1:O80)+1)</f>
        <v>14</v>
      </c>
      <c r="P81" t="str">
        <f t="shared" si="6"/>
        <v/>
      </c>
      <c r="R81" s="103" t="s">
        <v>81</v>
      </c>
      <c r="S81" s="107">
        <v>400</v>
      </c>
      <c r="T81" s="96">
        <v>428</v>
      </c>
      <c r="U81" s="96">
        <v>457.96</v>
      </c>
      <c r="V81" s="96">
        <v>490.02</v>
      </c>
      <c r="W81" s="96">
        <v>524.32000000000005</v>
      </c>
      <c r="X81" s="96">
        <v>561.02</v>
      </c>
      <c r="Y81" s="96">
        <v>600.29</v>
      </c>
      <c r="Z81" s="96">
        <v>642.30999999999995</v>
      </c>
      <c r="AA81" s="96">
        <v>687.27</v>
      </c>
      <c r="AB81" s="96">
        <v>735.38</v>
      </c>
      <c r="AC81" s="96">
        <v>786.86</v>
      </c>
      <c r="AD81" s="33" t="s">
        <v>140</v>
      </c>
      <c r="AE81" s="33"/>
      <c r="AF81" s="33"/>
      <c r="AG81" s="33"/>
      <c r="AI81" s="3" t="str">
        <f>IFERROR(_xlfn.SINGLE(
IF(_xlfn.SINGLE(INDEX(TAB_Offres[Ressource 1],ROWS(Params!AI$2:$AI81)))=0,NA(),
INDEX(TAB_Offres[Ressource 1],ROWS(Params!AI$2:$AI81)))),
IFERROR(_xlfn.SINGLE(IF(_xlfn.SINGLE(INDEX(#REF!,ROWS(Params!AI$2:$AI81)-COUNTA(TAB_Offres[Ressource 1])))=0,NA(),
INDEX(#REF!,ROWS(Params!AI$2:$AI81)-COUNTA(TAB_Offres[Ressource 1])))),
IFERROR(_xlfn.SINGLE(IF(_xlfn.SINGLE(INDEX(#REF!,ROWS(Params!AI$2:$AI81)-COUNTA(#REF!)-COUNTA(TAB_Offres[Ressource 1])))=0,NA(),
INDEX(#REF!,ROWS(Params!AI$2:$AI81)-COUNTA(#REF!)-COUNTA(TAB_Offres[Ressource 1])))),""))
)</f>
        <v>TRINDADE-SALGUEIRO, Nuno</v>
      </c>
      <c r="AJ81" s="174">
        <f>IF(TAB_ressource[[#This Row],[Import Ressource]]="","",MAX(AJ$1:AJ80)+1)</f>
        <v>80</v>
      </c>
      <c r="AK81" s="176" t="str">
        <f>IFERROR(INDEX(TAB_ressource[Import Ressource],MATCH(ROW()-ROW($AK$1),TAB_ressource[ID Import ressources],0)),"")</f>
        <v>TRINDADE-SALGUEIRO, Nuno</v>
      </c>
      <c r="AN81" s="26">
        <f t="shared" si="7"/>
        <v>0</v>
      </c>
      <c r="AQ81" s="114" t="s">
        <v>81</v>
      </c>
      <c r="AR81" s="115">
        <f>COUNTIF(TAB_CS[Profile],AQ81)</f>
        <v>4</v>
      </c>
      <c r="BD81" t="s">
        <v>853</v>
      </c>
      <c r="BE81" t="s">
        <v>854</v>
      </c>
      <c r="BF81" t="s">
        <v>855</v>
      </c>
      <c r="BG81" t="s">
        <v>853</v>
      </c>
    </row>
    <row r="82" spans="13:59" x14ac:dyDescent="0.25">
      <c r="M82" t="str">
        <f>_xlfn.IFNA(IF(VLOOKUP(TAB_Offres[[#This Row],[Reference]],TAB_Offres[[Reference]:[Request State]],COLUMNS(TAB_Offres[[Reference]:[Request State]]),FALSE)=D$6,TAB_Offres[[#This Row],[Reference]],""),"")</f>
        <v>DIGITTMII-010163-6000053863-REQ-01</v>
      </c>
      <c r="N82" t="str">
        <f>_xlfn.IFNA(IF(VLOOKUP(TAB_Offres[[#This Row],[Reference]],TAB_Offres[[Reference]:[Has Expenses?]],COLUMNS(TAB_Offres[[Reference]:[Has Expenses?]]),FALSE)=J$2,TAB_Offres[[#This Row],[Reference]],""),"")</f>
        <v>DIGITTMII-010163-6000053863-REQ-01</v>
      </c>
      <c r="O82">
        <f>IF(Tableau19[[#This Row],[EXPENSES_REF]]="","",MAX(O$1:O81)+1)</f>
        <v>15</v>
      </c>
      <c r="P82" t="str">
        <f t="shared" si="6"/>
        <v/>
      </c>
      <c r="R82" s="103" t="s">
        <v>82</v>
      </c>
      <c r="S82" s="107">
        <v>369.59999999999997</v>
      </c>
      <c r="T82" s="96">
        <v>395.47</v>
      </c>
      <c r="U82" s="96">
        <v>423.15</v>
      </c>
      <c r="V82" s="96">
        <v>452.77</v>
      </c>
      <c r="W82" s="96">
        <v>484.46</v>
      </c>
      <c r="X82" s="96">
        <v>518.37</v>
      </c>
      <c r="Y82" s="96">
        <v>554.66</v>
      </c>
      <c r="Z82" s="96">
        <v>593.49</v>
      </c>
      <c r="AA82" s="96">
        <v>635.03</v>
      </c>
      <c r="AB82" s="96">
        <v>679.48</v>
      </c>
      <c r="AC82" s="96">
        <v>727.04</v>
      </c>
      <c r="AD82" s="33" t="s">
        <v>140</v>
      </c>
      <c r="AE82" s="33"/>
      <c r="AF82" s="33"/>
      <c r="AG82" s="33"/>
      <c r="AI82" s="3" t="str">
        <f>IFERROR(_xlfn.SINGLE(
IF(_xlfn.SINGLE(INDEX(TAB_Offres[Ressource 1],ROWS(Params!AI$2:$AI82)))=0,NA(),
INDEX(TAB_Offres[Ressource 1],ROWS(Params!AI$2:$AI82)))),
IFERROR(_xlfn.SINGLE(IF(_xlfn.SINGLE(INDEX(#REF!,ROWS(Params!AI$2:$AI82)-COUNTA(TAB_Offres[Ressource 1])))=0,NA(),
INDEX(#REF!,ROWS(Params!AI$2:$AI82)-COUNTA(TAB_Offres[Ressource 1])))),
IFERROR(_xlfn.SINGLE(IF(_xlfn.SINGLE(INDEX(#REF!,ROWS(Params!AI$2:$AI82)-COUNTA(#REF!)-COUNTA(TAB_Offres[Ressource 1])))=0,NA(),
INDEX(#REF!,ROWS(Params!AI$2:$AI82)-COUNTA(#REF!)-COUNTA(TAB_Offres[Ressource 1])))),""))
)</f>
        <v>WHYE, Gregory</v>
      </c>
      <c r="AJ82" s="174">
        <f>IF(TAB_ressource[[#This Row],[Import Ressource]]="","",MAX(AJ$1:AJ81)+1)</f>
        <v>81</v>
      </c>
      <c r="AK82" s="176" t="str">
        <f>IFERROR(INDEX(TAB_ressource[Import Ressource],MATCH(ROW()-ROW($AK$1),TAB_ressource[ID Import ressources],0)),"")</f>
        <v>WHYE, Gregory</v>
      </c>
      <c r="AN82" s="26">
        <f t="shared" si="7"/>
        <v>0</v>
      </c>
      <c r="AQ82" s="114" t="s">
        <v>82</v>
      </c>
      <c r="AR82" s="115">
        <f>COUNTIF(TAB_CS[Profile],AQ82)</f>
        <v>0</v>
      </c>
      <c r="BD82" t="s">
        <v>856</v>
      </c>
      <c r="BE82" t="s">
        <v>857</v>
      </c>
      <c r="BF82" t="s">
        <v>858</v>
      </c>
      <c r="BG82" t="s">
        <v>856</v>
      </c>
    </row>
    <row r="83" spans="13:59" x14ac:dyDescent="0.25">
      <c r="M83" t="str">
        <f>_xlfn.IFNA(IF(VLOOKUP(TAB_Offres[[#This Row],[Reference]],TAB_Offres[[Reference]:[Request State]],COLUMNS(TAB_Offres[[Reference]:[Request State]]),FALSE)=D$6,TAB_Offres[[#This Row],[Reference]],""),"")</f>
        <v>DIGITTMII-010281-DIGITTMII-004465-EXT-02-6000053863-REQ-01</v>
      </c>
      <c r="N83" t="str">
        <f>_xlfn.IFNA(IF(VLOOKUP(TAB_Offres[[#This Row],[Reference]],TAB_Offres[[Reference]:[Has Expenses?]],COLUMNS(TAB_Offres[[Reference]:[Has Expenses?]]),FALSE)=J$2,TAB_Offres[[#This Row],[Reference]],""),"")</f>
        <v>DIGITTMII-010281-DIGITTMII-004465-EXT-02-6000053863-REQ-01</v>
      </c>
      <c r="O83">
        <f>IF(Tableau19[[#This Row],[EXPENSES_REF]]="","",MAX(O$1:O82)+1)</f>
        <v>16</v>
      </c>
      <c r="P83" t="str">
        <f t="shared" si="6"/>
        <v/>
      </c>
      <c r="R83" s="103" t="s">
        <v>83</v>
      </c>
      <c r="S83" s="107">
        <v>369.59999999999997</v>
      </c>
      <c r="T83" s="96">
        <v>395.47</v>
      </c>
      <c r="U83" s="96">
        <v>423.15</v>
      </c>
      <c r="V83" s="96">
        <v>452.77</v>
      </c>
      <c r="W83" s="96">
        <v>484.46</v>
      </c>
      <c r="X83" s="96">
        <v>518.37</v>
      </c>
      <c r="Y83" s="96">
        <v>554.66</v>
      </c>
      <c r="Z83" s="96">
        <v>593.49</v>
      </c>
      <c r="AA83" s="96">
        <v>635.03</v>
      </c>
      <c r="AB83" s="96">
        <v>679.48</v>
      </c>
      <c r="AC83" s="96">
        <v>727.04</v>
      </c>
      <c r="AD83" s="33" t="s">
        <v>140</v>
      </c>
      <c r="AE83" s="33"/>
      <c r="AF83" s="33"/>
      <c r="AG83" s="33"/>
      <c r="AI83" s="3" t="str">
        <f>IFERROR(_xlfn.SINGLE(
IF(_xlfn.SINGLE(INDEX(TAB_Offres[Ressource 1],ROWS(Params!AI$2:$AI83)))=0,NA(),
INDEX(TAB_Offres[Ressource 1],ROWS(Params!AI$2:$AI83)))),
IFERROR(_xlfn.SINGLE(IF(_xlfn.SINGLE(INDEX(#REF!,ROWS(Params!AI$2:$AI83)-COUNTA(TAB_Offres[Ressource 1])))=0,NA(),
INDEX(#REF!,ROWS(Params!AI$2:$AI83)-COUNTA(TAB_Offres[Ressource 1])))),
IFERROR(_xlfn.SINGLE(IF(_xlfn.SINGLE(INDEX(#REF!,ROWS(Params!AI$2:$AI83)-COUNTA(#REF!)-COUNTA(TAB_Offres[Ressource 1])))=0,NA(),
INDEX(#REF!,ROWS(Params!AI$2:$AI83)-COUNTA(#REF!)-COUNTA(TAB_Offres[Ressource 1])))),""))
)</f>
        <v>DEBSKI, Tomasz</v>
      </c>
      <c r="AJ83" s="174">
        <f>IF(TAB_ressource[[#This Row],[Import Ressource]]="","",MAX(AJ$1:AJ82)+1)</f>
        <v>82</v>
      </c>
      <c r="AK83" s="176" t="str">
        <f>IFERROR(INDEX(TAB_ressource[Import Ressource],MATCH(ROW()-ROW($AK$1),TAB_ressource[ID Import ressources],0)),"")</f>
        <v>DEBSKI, Tomasz</v>
      </c>
      <c r="AN83" s="26">
        <f t="shared" si="7"/>
        <v>0</v>
      </c>
      <c r="AQ83" s="114" t="s">
        <v>83</v>
      </c>
      <c r="AR83" s="115">
        <f>COUNTIF(TAB_CS[Profile],AQ83)</f>
        <v>0</v>
      </c>
      <c r="BD83" t="s">
        <v>859</v>
      </c>
      <c r="BE83" t="s">
        <v>860</v>
      </c>
      <c r="BF83" t="s">
        <v>861</v>
      </c>
      <c r="BG83" t="s">
        <v>859</v>
      </c>
    </row>
    <row r="84" spans="13:59" x14ac:dyDescent="0.25">
      <c r="M84" t="str">
        <f>_xlfn.IFNA(IF(VLOOKUP(TAB_Offres[[#This Row],[Reference]],TAB_Offres[[Reference]:[Request State]],COLUMNS(TAB_Offres[[Reference]:[Request State]]),FALSE)=D$6,TAB_Offres[[#This Row],[Reference]],""),"")</f>
        <v>DIGITTMII-010435-DIGITTMII-004504-EXT-01-6000053863-REQ-01</v>
      </c>
      <c r="N84" t="str">
        <f>_xlfn.IFNA(IF(VLOOKUP(TAB_Offres[[#This Row],[Reference]],TAB_Offres[[Reference]:[Has Expenses?]],COLUMNS(TAB_Offres[[Reference]:[Has Expenses?]]),FALSE)=J$2,TAB_Offres[[#This Row],[Reference]],""),"")</f>
        <v/>
      </c>
      <c r="O84" t="str">
        <f>IF(Tableau19[[#This Row],[EXPENSES_REF]]="","",MAX(O$1:O83)+1)</f>
        <v/>
      </c>
      <c r="P84" t="str">
        <f t="shared" si="6"/>
        <v/>
      </c>
      <c r="R84" s="103" t="s">
        <v>84</v>
      </c>
      <c r="S84" s="107">
        <v>369.59999999999997</v>
      </c>
      <c r="T84" s="96">
        <v>395.47</v>
      </c>
      <c r="U84" s="96">
        <v>423.15</v>
      </c>
      <c r="V84" s="96">
        <v>452.77</v>
      </c>
      <c r="W84" s="96">
        <v>484.46</v>
      </c>
      <c r="X84" s="96">
        <v>518.37</v>
      </c>
      <c r="Y84" s="96">
        <v>554.66</v>
      </c>
      <c r="Z84" s="96">
        <v>593.49</v>
      </c>
      <c r="AA84" s="96">
        <v>635.03</v>
      </c>
      <c r="AB84" s="96">
        <v>679.48</v>
      </c>
      <c r="AC84" s="96">
        <v>727.04</v>
      </c>
      <c r="AD84" s="33" t="s">
        <v>140</v>
      </c>
      <c r="AE84" s="33"/>
      <c r="AF84" s="33"/>
      <c r="AG84" s="33"/>
      <c r="AI84" s="3" t="str">
        <f>IFERROR(_xlfn.SINGLE(
IF(_xlfn.SINGLE(INDEX(TAB_Offres[Ressource 1],ROWS(Params!AI$2:$AI84)))=0,NA(),
INDEX(TAB_Offres[Ressource 1],ROWS(Params!AI$2:$AI84)))),
IFERROR(_xlfn.SINGLE(IF(_xlfn.SINGLE(INDEX(#REF!,ROWS(Params!AI$2:$AI84)-COUNTA(TAB_Offres[Ressource 1])))=0,NA(),
INDEX(#REF!,ROWS(Params!AI$2:$AI84)-COUNTA(TAB_Offres[Ressource 1])))),
IFERROR(_xlfn.SINGLE(IF(_xlfn.SINGLE(INDEX(#REF!,ROWS(Params!AI$2:$AI84)-COUNTA(#REF!)-COUNTA(TAB_Offres[Ressource 1])))=0,NA(),
INDEX(#REF!,ROWS(Params!AI$2:$AI84)-COUNTA(#REF!)-COUNTA(TAB_Offres[Ressource 1])))),""))
)</f>
        <v>LEFTER, Diana</v>
      </c>
      <c r="AJ84" s="174">
        <f>IF(TAB_ressource[[#This Row],[Import Ressource]]="","",MAX(AJ$1:AJ83)+1)</f>
        <v>83</v>
      </c>
      <c r="AK84" s="176" t="str">
        <f>IFERROR(INDEX(TAB_ressource[Import Ressource],MATCH(ROW()-ROW($AK$1),TAB_ressource[ID Import ressources],0)),"")</f>
        <v>LEFTER, Diana</v>
      </c>
      <c r="AN84" s="26">
        <f t="shared" si="7"/>
        <v>0</v>
      </c>
      <c r="AQ84" s="114" t="s">
        <v>84</v>
      </c>
      <c r="AR84" s="115">
        <f>COUNTIF(TAB_CS[Profile],AQ84)</f>
        <v>0</v>
      </c>
      <c r="BD84" t="s">
        <v>862</v>
      </c>
      <c r="BE84" t="s">
        <v>863</v>
      </c>
      <c r="BF84" t="s">
        <v>864</v>
      </c>
      <c r="BG84" t="s">
        <v>862</v>
      </c>
    </row>
    <row r="85" spans="13:59" x14ac:dyDescent="0.25">
      <c r="M85" t="str">
        <f>_xlfn.IFNA(IF(VLOOKUP(TAB_Offres[[#This Row],[Reference]],TAB_Offres[[Reference]:[Request State]],COLUMNS(TAB_Offres[[Reference]:[Request State]]),FALSE)=D$6,TAB_Offres[[#This Row],[Reference]],""),"")</f>
        <v>DIGITTMII-010645-DIGITTMII-006710-MOD-03-6000053863-REQ-01</v>
      </c>
      <c r="N85" t="str">
        <f>_xlfn.IFNA(IF(VLOOKUP(TAB_Offres[[#This Row],[Reference]],TAB_Offres[[Reference]:[Has Expenses?]],COLUMNS(TAB_Offres[[Reference]:[Has Expenses?]]),FALSE)=J$2,TAB_Offres[[#This Row],[Reference]],""),"")</f>
        <v/>
      </c>
      <c r="O85" t="str">
        <f>IF(Tableau19[[#This Row],[EXPENSES_REF]]="","",MAX(O$1:O84)+1)</f>
        <v/>
      </c>
      <c r="P85" t="str">
        <f t="shared" si="6"/>
        <v/>
      </c>
      <c r="R85" s="103" t="s">
        <v>200</v>
      </c>
      <c r="S85" s="107">
        <v>100</v>
      </c>
      <c r="T85" s="96">
        <v>100</v>
      </c>
      <c r="U85" s="96">
        <v>100</v>
      </c>
      <c r="V85" s="96">
        <v>100</v>
      </c>
      <c r="W85" s="96">
        <v>100</v>
      </c>
      <c r="X85" s="107">
        <v>100</v>
      </c>
      <c r="Y85" s="96">
        <v>100</v>
      </c>
      <c r="Z85" s="96">
        <v>100</v>
      </c>
      <c r="AA85" s="96">
        <v>100</v>
      </c>
      <c r="AB85" s="96">
        <v>100</v>
      </c>
      <c r="AC85" s="96">
        <v>100</v>
      </c>
      <c r="AD85" s="33" t="s">
        <v>140</v>
      </c>
      <c r="AE85" s="102"/>
      <c r="AF85" s="102"/>
      <c r="AG85" s="102"/>
      <c r="AI85" s="3" t="str">
        <f>IFERROR(_xlfn.SINGLE(
IF(_xlfn.SINGLE(INDEX(TAB_Offres[Ressource 1],ROWS(Params!AI$2:$AI85)))=0,NA(),
INDEX(TAB_Offres[Ressource 1],ROWS(Params!AI$2:$AI85)))),
IFERROR(_xlfn.SINGLE(IF(_xlfn.SINGLE(INDEX(#REF!,ROWS(Params!AI$2:$AI85)-COUNTA(TAB_Offres[Ressource 1])))=0,NA(),
INDEX(#REF!,ROWS(Params!AI$2:$AI85)-COUNTA(TAB_Offres[Ressource 1])))),
IFERROR(_xlfn.SINGLE(IF(_xlfn.SINGLE(INDEX(#REF!,ROWS(Params!AI$2:$AI85)-COUNTA(#REF!)-COUNTA(TAB_Offres[Ressource 1])))=0,NA(),
INDEX(#REF!,ROWS(Params!AI$2:$AI85)-COUNTA(#REF!)-COUNTA(TAB_Offres[Ressource 1])))),""))
)</f>
        <v>APETRI, Ioana</v>
      </c>
      <c r="AJ85" s="174">
        <f>IF(TAB_ressource[[#This Row],[Import Ressource]]="","",MAX(AJ$1:AJ84)+1)</f>
        <v>84</v>
      </c>
      <c r="AK85" s="176" t="str">
        <f>IFERROR(INDEX(TAB_ressource[Import Ressource],MATCH(ROW()-ROW($AK$1),TAB_ressource[ID Import ressources],0)),"")</f>
        <v>APETRI, Ioana</v>
      </c>
      <c r="AN85" s="26">
        <f t="shared" si="7"/>
        <v>0</v>
      </c>
      <c r="AQ85" s="114"/>
      <c r="AR85" s="115">
        <f>COUNTIF(TAB_CS[Profile],AQ85)</f>
        <v>0</v>
      </c>
      <c r="BD85" t="s">
        <v>865</v>
      </c>
      <c r="BE85" t="s">
        <v>866</v>
      </c>
      <c r="BF85" t="s">
        <v>867</v>
      </c>
      <c r="BG85" t="s">
        <v>865</v>
      </c>
    </row>
    <row r="86" spans="13:59" x14ac:dyDescent="0.25">
      <c r="M86" t="str">
        <f>_xlfn.IFNA(IF(VLOOKUP(TAB_Offres[[#This Row],[Reference]],TAB_Offres[[Reference]:[Request State]],COLUMNS(TAB_Offres[[Reference]:[Request State]]),FALSE)=D$6,TAB_Offres[[#This Row],[Reference]],""),"")</f>
        <v>DIGITTMII-010695-DIGITTMII-003533-EXT-02-6000053863-REQ-01</v>
      </c>
      <c r="N86" t="str">
        <f>_xlfn.IFNA(IF(VLOOKUP(TAB_Offres[[#This Row],[Reference]],TAB_Offres[[Reference]:[Has Expenses?]],COLUMNS(TAB_Offres[[Reference]:[Has Expenses?]]),FALSE)=J$2,TAB_Offres[[#This Row],[Reference]],""),"")</f>
        <v/>
      </c>
      <c r="O86" t="str">
        <f>IF(Tableau19[[#This Row],[EXPENSES_REF]]="","",MAX(O$1:O85)+1)</f>
        <v/>
      </c>
      <c r="P86" t="str">
        <f t="shared" si="6"/>
        <v/>
      </c>
      <c r="R86" s="106"/>
      <c r="S86" s="134"/>
      <c r="T86" s="111"/>
      <c r="U86" s="111"/>
      <c r="V86" s="111"/>
      <c r="W86" s="111"/>
      <c r="X86" s="111"/>
      <c r="Y86" s="111"/>
      <c r="Z86" s="111"/>
      <c r="AA86" s="111"/>
      <c r="AB86" s="111"/>
      <c r="AC86" s="111"/>
      <c r="AD86" s="112"/>
      <c r="AE86" s="33"/>
      <c r="AF86" s="33"/>
      <c r="AG86" s="33"/>
      <c r="AI86" s="3" t="str">
        <f>IFERROR(_xlfn.SINGLE(
IF(_xlfn.SINGLE(INDEX(TAB_Offres[Ressource 1],ROWS(Params!AI$2:$AI86)))=0,NA(),
INDEX(TAB_Offres[Ressource 1],ROWS(Params!AI$2:$AI86)))),
IFERROR(_xlfn.SINGLE(IF(_xlfn.SINGLE(INDEX(#REF!,ROWS(Params!AI$2:$AI86)-COUNTA(TAB_Offres[Ressource 1])))=0,NA(),
INDEX(#REF!,ROWS(Params!AI$2:$AI86)-COUNTA(TAB_Offres[Ressource 1])))),
IFERROR(_xlfn.SINGLE(IF(_xlfn.SINGLE(INDEX(#REF!,ROWS(Params!AI$2:$AI86)-COUNTA(#REF!)-COUNTA(TAB_Offres[Ressource 1])))=0,NA(),
INDEX(#REF!,ROWS(Params!AI$2:$AI86)-COUNTA(#REF!)-COUNTA(TAB_Offres[Ressource 1])))),""))
)</f>
        <v>OLLINGER, Yannick</v>
      </c>
      <c r="AJ86" s="174">
        <f>IF(TAB_ressource[[#This Row],[Import Ressource]]="","",MAX(AJ$1:AJ85)+1)</f>
        <v>85</v>
      </c>
      <c r="AK86" s="176" t="str">
        <f>IFERROR(INDEX(TAB_ressource[Import Ressource],MATCH(ROW()-ROW($AK$1),TAB_ressource[ID Import ressources],0)),"")</f>
        <v>OLLINGER, Yannick</v>
      </c>
      <c r="AN86" s="26">
        <f t="shared" si="7"/>
        <v>0</v>
      </c>
      <c r="AQ86" s="114" t="s">
        <v>121</v>
      </c>
      <c r="AR86" s="115">
        <f>COUNTIF(TAB_CS[Profile],AQ86)</f>
        <v>0</v>
      </c>
      <c r="BD86" t="s">
        <v>868</v>
      </c>
      <c r="BE86" t="s">
        <v>869</v>
      </c>
      <c r="BF86" t="s">
        <v>870</v>
      </c>
      <c r="BG86" t="s">
        <v>868</v>
      </c>
    </row>
    <row r="87" spans="13:59" x14ac:dyDescent="0.25">
      <c r="M87" t="str">
        <f>_xlfn.IFNA(IF(VLOOKUP(TAB_Offres[[#This Row],[Reference]],TAB_Offres[[Reference]:[Request State]],COLUMNS(TAB_Offres[[Reference]:[Request State]]),FALSE)=D$6,TAB_Offres[[#This Row],[Reference]],""),"")</f>
        <v>DIGITTMII-010768-DIGITTMII-002098-EXT-02-6000053863-REQ-01</v>
      </c>
      <c r="N87" t="str">
        <f>_xlfn.IFNA(IF(VLOOKUP(TAB_Offres[[#This Row],[Reference]],TAB_Offres[[Reference]:[Has Expenses?]],COLUMNS(TAB_Offres[[Reference]:[Has Expenses?]]),FALSE)=J$2,TAB_Offres[[#This Row],[Reference]],""),"")</f>
        <v/>
      </c>
      <c r="O87" t="str">
        <f>IF(Tableau19[[#This Row],[EXPENSES_REF]]="","",MAX(O$1:O86)+1)</f>
        <v/>
      </c>
      <c r="P87" t="str">
        <f t="shared" si="6"/>
        <v/>
      </c>
      <c r="R87" s="106" t="str">
        <f t="shared" ref="R87:R102" si="8">R70&amp;"-FAR"</f>
        <v>Expert in DevSecOps-FAR</v>
      </c>
      <c r="S87" s="134">
        <v>252</v>
      </c>
      <c r="T87" s="111">
        <v>269.64</v>
      </c>
      <c r="U87" s="111">
        <v>288.51</v>
      </c>
      <c r="V87" s="111">
        <v>308.70999999999998</v>
      </c>
      <c r="W87" s="111">
        <v>330.32</v>
      </c>
      <c r="X87" s="111">
        <v>353.44</v>
      </c>
      <c r="Y87" s="111">
        <v>378.18</v>
      </c>
      <c r="Z87" s="111">
        <v>404.65</v>
      </c>
      <c r="AA87" s="111">
        <v>432.98</v>
      </c>
      <c r="AB87" s="111">
        <v>463.29</v>
      </c>
      <c r="AC87" s="111">
        <v>495.72</v>
      </c>
      <c r="AD87" s="135" t="s">
        <v>140</v>
      </c>
      <c r="AE87" s="33"/>
      <c r="AF87" s="33"/>
      <c r="AG87" s="33"/>
      <c r="AI87" s="3" t="str">
        <f>IFERROR(_xlfn.SINGLE(
IF(_xlfn.SINGLE(INDEX(TAB_Offres[Ressource 1],ROWS(Params!AI$2:$AI87)))=0,NA(),
INDEX(TAB_Offres[Ressource 1],ROWS(Params!AI$2:$AI87)))),
IFERROR(_xlfn.SINGLE(IF(_xlfn.SINGLE(INDEX(#REF!,ROWS(Params!AI$2:$AI87)-COUNTA(TAB_Offres[Ressource 1])))=0,NA(),
INDEX(#REF!,ROWS(Params!AI$2:$AI87)-COUNTA(TAB_Offres[Ressource 1])))),
IFERROR(_xlfn.SINGLE(IF(_xlfn.SINGLE(INDEX(#REF!,ROWS(Params!AI$2:$AI87)-COUNTA(#REF!)-COUNTA(TAB_Offres[Ressource 1])))=0,NA(),
INDEX(#REF!,ROWS(Params!AI$2:$AI87)-COUNTA(#REF!)-COUNTA(TAB_Offres[Ressource 1])))),""))
)</f>
        <v>DE ANDRES DEL CASTILLO, David</v>
      </c>
      <c r="AJ87" s="174">
        <f>IF(TAB_ressource[[#This Row],[Import Ressource]]="","",MAX(AJ$1:AJ86)+1)</f>
        <v>86</v>
      </c>
      <c r="AK87" s="176" t="str">
        <f>IFERROR(INDEX(TAB_ressource[Import Ressource],MATCH(ROW()-ROW($AK$1),TAB_ressource[ID Import ressources],0)),"")</f>
        <v>DE ANDRES DEL CASTILLO, David</v>
      </c>
      <c r="AN87" s="26">
        <f t="shared" si="7"/>
        <v>0</v>
      </c>
      <c r="AQ87" s="114" t="s">
        <v>122</v>
      </c>
      <c r="AR87" s="115">
        <f>COUNTIF(TAB_CS[Profile],AQ87)</f>
        <v>0</v>
      </c>
      <c r="BD87" t="s">
        <v>871</v>
      </c>
      <c r="BE87" t="s">
        <v>872</v>
      </c>
      <c r="BF87" t="s">
        <v>873</v>
      </c>
      <c r="BG87" t="s">
        <v>871</v>
      </c>
    </row>
    <row r="88" spans="13:59" x14ac:dyDescent="0.25">
      <c r="M88" t="str">
        <f>_xlfn.IFNA(IF(VLOOKUP(TAB_Offres[[#This Row],[Reference]],TAB_Offres[[Reference]:[Request State]],COLUMNS(TAB_Offres[[Reference]:[Request State]]),FALSE)=D$6,TAB_Offres[[#This Row],[Reference]],""),"")</f>
        <v>DIGITTMII-010947-DIGITTMII-003743-EXT-02-6000053863-REQ-01</v>
      </c>
      <c r="N88" t="str">
        <f>_xlfn.IFNA(IF(VLOOKUP(TAB_Offres[[#This Row],[Reference]],TAB_Offres[[Reference]:[Has Expenses?]],COLUMNS(TAB_Offres[[Reference]:[Has Expenses?]]),FALSE)=J$2,TAB_Offres[[#This Row],[Reference]],""),"")</f>
        <v/>
      </c>
      <c r="O88" t="str">
        <f>IF(Tableau19[[#This Row],[EXPENSES_REF]]="","",MAX(O$1:O87)+1)</f>
        <v/>
      </c>
      <c r="P88" t="str">
        <f t="shared" si="6"/>
        <v/>
      </c>
      <c r="R88" s="106" t="str">
        <f t="shared" si="8"/>
        <v>Expert in secure development-FAR</v>
      </c>
      <c r="S88" s="134">
        <v>252</v>
      </c>
      <c r="T88" s="111">
        <v>269.64</v>
      </c>
      <c r="U88" s="111">
        <v>288.51</v>
      </c>
      <c r="V88" s="111">
        <v>308.70999999999998</v>
      </c>
      <c r="W88" s="111">
        <v>330.32</v>
      </c>
      <c r="X88" s="111">
        <v>353.44</v>
      </c>
      <c r="Y88" s="111">
        <v>378.18</v>
      </c>
      <c r="Z88" s="111">
        <v>404.65</v>
      </c>
      <c r="AA88" s="111">
        <v>432.98</v>
      </c>
      <c r="AB88" s="111">
        <v>463.29</v>
      </c>
      <c r="AC88" s="111">
        <v>495.72</v>
      </c>
      <c r="AD88" s="135" t="s">
        <v>140</v>
      </c>
      <c r="AE88" s="33"/>
      <c r="AF88" s="33"/>
      <c r="AG88" s="33"/>
      <c r="AI88" s="3" t="str">
        <f>IFERROR(_xlfn.SINGLE(
IF(_xlfn.SINGLE(INDEX(TAB_Offres[Ressource 1],ROWS(Params!AI$2:$AI88)))=0,NA(),
INDEX(TAB_Offres[Ressource 1],ROWS(Params!AI$2:$AI88)))),
IFERROR(_xlfn.SINGLE(IF(_xlfn.SINGLE(INDEX(#REF!,ROWS(Params!AI$2:$AI88)-COUNTA(TAB_Offres[Ressource 1])))=0,NA(),
INDEX(#REF!,ROWS(Params!AI$2:$AI88)-COUNTA(TAB_Offres[Ressource 1])))),
IFERROR(_xlfn.SINGLE(IF(_xlfn.SINGLE(INDEX(#REF!,ROWS(Params!AI$2:$AI88)-COUNTA(#REF!)-COUNTA(TAB_Offres[Ressource 1])))=0,NA(),
INDEX(#REF!,ROWS(Params!AI$2:$AI88)-COUNTA(#REF!)-COUNTA(TAB_Offres[Ressource 1])))),""))
)</f>
        <v>WHYE, Gregory</v>
      </c>
      <c r="AJ88" s="174">
        <f>IF(TAB_ressource[[#This Row],[Import Ressource]]="","",MAX(AJ$1:AJ87)+1)</f>
        <v>87</v>
      </c>
      <c r="AK88" s="176" t="str">
        <f>IFERROR(INDEX(TAB_ressource[Import Ressource],MATCH(ROW()-ROW($AK$1),TAB_ressource[ID Import ressources],0)),"")</f>
        <v>WHYE, Gregory</v>
      </c>
      <c r="AN88" s="26">
        <f t="shared" si="7"/>
        <v>0</v>
      </c>
      <c r="AQ88" s="114" t="s">
        <v>123</v>
      </c>
      <c r="AR88" s="115">
        <f>COUNTIF(TAB_CS[Profile],AQ88)</f>
        <v>0</v>
      </c>
      <c r="BD88" t="s">
        <v>874</v>
      </c>
      <c r="BE88" t="s">
        <v>875</v>
      </c>
      <c r="BF88" t="s">
        <v>876</v>
      </c>
      <c r="BG88" t="s">
        <v>874</v>
      </c>
    </row>
    <row r="89" spans="13:59" x14ac:dyDescent="0.25">
      <c r="M89" t="str">
        <f>_xlfn.IFNA(IF(VLOOKUP(TAB_Offres[[#This Row],[Reference]],TAB_Offres[[Reference]:[Request State]],COLUMNS(TAB_Offres[[Reference]:[Request State]]),FALSE)=D$6,TAB_Offres[[#This Row],[Reference]],""),"")</f>
        <v xml:space="preserve">DIGITTMII-011049-DIGITTMII-002819-EXT-02-6000053863-REQ-01	</v>
      </c>
      <c r="N89" t="str">
        <f>_xlfn.IFNA(IF(VLOOKUP(TAB_Offres[[#This Row],[Reference]],TAB_Offres[[Reference]:[Has Expenses?]],COLUMNS(TAB_Offres[[Reference]:[Has Expenses?]]),FALSE)=J$2,TAB_Offres[[#This Row],[Reference]],""),"")</f>
        <v/>
      </c>
      <c r="O89" t="str">
        <f>IF(Tableau19[[#This Row],[EXPENSES_REF]]="","",MAX(O$1:O88)+1)</f>
        <v/>
      </c>
      <c r="P89" t="str">
        <f t="shared" si="6"/>
        <v/>
      </c>
      <c r="R89" s="106" t="str">
        <f t="shared" si="8"/>
        <v>Expert product owner-FAR</v>
      </c>
      <c r="S89" s="134">
        <v>300</v>
      </c>
      <c r="T89" s="111">
        <v>321</v>
      </c>
      <c r="U89" s="111">
        <v>343.47</v>
      </c>
      <c r="V89" s="111">
        <v>367.51</v>
      </c>
      <c r="W89" s="111">
        <v>393.24</v>
      </c>
      <c r="X89" s="111">
        <v>420.77</v>
      </c>
      <c r="Y89" s="111">
        <v>450.22</v>
      </c>
      <c r="Z89" s="111">
        <v>481.74</v>
      </c>
      <c r="AA89" s="111">
        <v>515.46</v>
      </c>
      <c r="AB89" s="111">
        <v>551.54</v>
      </c>
      <c r="AC89" s="111">
        <v>590.15</v>
      </c>
      <c r="AD89" s="135" t="s">
        <v>140</v>
      </c>
      <c r="AE89" s="33"/>
      <c r="AF89" s="33"/>
      <c r="AG89" s="33"/>
      <c r="AI89" s="3" t="str">
        <f>IFERROR(_xlfn.SINGLE(
IF(_xlfn.SINGLE(INDEX(TAB_Offres[Ressource 1],ROWS(Params!AI$2:$AI89)))=0,NA(),
INDEX(TAB_Offres[Ressource 1],ROWS(Params!AI$2:$AI89)))),
IFERROR(_xlfn.SINGLE(IF(_xlfn.SINGLE(INDEX(#REF!,ROWS(Params!AI$2:$AI89)-COUNTA(TAB_Offres[Ressource 1])))=0,NA(),
INDEX(#REF!,ROWS(Params!AI$2:$AI89)-COUNTA(TAB_Offres[Ressource 1])))),
IFERROR(_xlfn.SINGLE(IF(_xlfn.SINGLE(INDEX(#REF!,ROWS(Params!AI$2:$AI89)-COUNTA(#REF!)-COUNTA(TAB_Offres[Ressource 1])))=0,NA(),
INDEX(#REF!,ROWS(Params!AI$2:$AI89)-COUNTA(#REF!)-COUNTA(TAB_Offres[Ressource 1])))),""))
)</f>
        <v>POCHON, Régis</v>
      </c>
      <c r="AJ89" s="174">
        <f>IF(TAB_ressource[[#This Row],[Import Ressource]]="","",MAX(AJ$1:AJ88)+1)</f>
        <v>88</v>
      </c>
      <c r="AK89" s="176" t="str">
        <f>IFERROR(INDEX(TAB_ressource[Import Ressource],MATCH(ROW()-ROW($AK$1),TAB_ressource[ID Import ressources],0)),"")</f>
        <v>POCHON, Régis</v>
      </c>
      <c r="AN89" s="26">
        <f t="shared" si="7"/>
        <v>0</v>
      </c>
      <c r="AQ89" s="114" t="s">
        <v>124</v>
      </c>
      <c r="AR89" s="115">
        <f>COUNTIF(TAB_CS[Profile],AQ89)</f>
        <v>2</v>
      </c>
      <c r="BD89" t="s">
        <v>877</v>
      </c>
      <c r="BE89" t="s">
        <v>878</v>
      </c>
      <c r="BF89" t="s">
        <v>879</v>
      </c>
      <c r="BG89" t="s">
        <v>877</v>
      </c>
    </row>
    <row r="90" spans="13:59" x14ac:dyDescent="0.25">
      <c r="M90" t="str">
        <f>_xlfn.IFNA(IF(VLOOKUP(TAB_Offres[[#This Row],[Reference]],TAB_Offres[[Reference]:[Request State]],COLUMNS(TAB_Offres[[Reference]:[Request State]]),FALSE)=D$6,TAB_Offres[[#This Row],[Reference]],""),"")</f>
        <v>DIGITTMII-011065-DIGITTMII-004446-EXT-01-6000053863-REQ-01</v>
      </c>
      <c r="N90" t="str">
        <f>_xlfn.IFNA(IF(VLOOKUP(TAB_Offres[[#This Row],[Reference]],TAB_Offres[[Reference]:[Has Expenses?]],COLUMNS(TAB_Offres[[Reference]:[Has Expenses?]]),FALSE)=J$2,TAB_Offres[[#This Row],[Reference]],""),"")</f>
        <v>DIGITTMII-011065-DIGITTMII-004446-EXT-01-6000053863-REQ-01</v>
      </c>
      <c r="O90">
        <f>IF(Tableau19[[#This Row],[EXPENSES_REF]]="","",MAX(O$1:O89)+1)</f>
        <v>17</v>
      </c>
      <c r="P90" t="str">
        <f t="shared" si="6"/>
        <v/>
      </c>
      <c r="R90" s="106" t="str">
        <f t="shared" si="8"/>
        <v>Enterprise architect-FAR</v>
      </c>
      <c r="S90" s="134">
        <v>273</v>
      </c>
      <c r="T90" s="111">
        <v>292.11</v>
      </c>
      <c r="U90" s="111">
        <v>312.56</v>
      </c>
      <c r="V90" s="111">
        <v>334.44</v>
      </c>
      <c r="W90" s="111">
        <v>357.85</v>
      </c>
      <c r="X90" s="111">
        <v>382.9</v>
      </c>
      <c r="Y90" s="111">
        <v>409.7</v>
      </c>
      <c r="Z90" s="111">
        <v>438.38</v>
      </c>
      <c r="AA90" s="111">
        <v>469.07</v>
      </c>
      <c r="AB90" s="111">
        <v>501.9</v>
      </c>
      <c r="AC90" s="111">
        <v>537.03</v>
      </c>
      <c r="AD90" s="135" t="s">
        <v>140</v>
      </c>
      <c r="AE90" s="33"/>
      <c r="AF90" s="33"/>
      <c r="AG90" s="33"/>
      <c r="AI90" s="3" t="str">
        <f>IFERROR(_xlfn.SINGLE(
IF(_xlfn.SINGLE(INDEX(TAB_Offres[Ressource 1],ROWS(Params!AI$2:$AI90)))=0,NA(),
INDEX(TAB_Offres[Ressource 1],ROWS(Params!AI$2:$AI90)))),
IFERROR(_xlfn.SINGLE(IF(_xlfn.SINGLE(INDEX(#REF!,ROWS(Params!AI$2:$AI90)-COUNTA(TAB_Offres[Ressource 1])))=0,NA(),
INDEX(#REF!,ROWS(Params!AI$2:$AI90)-COUNTA(TAB_Offres[Ressource 1])))),
IFERROR(_xlfn.SINGLE(IF(_xlfn.SINGLE(INDEX(#REF!,ROWS(Params!AI$2:$AI90)-COUNTA(#REF!)-COUNTA(TAB_Offres[Ressource 1])))=0,NA(),
INDEX(#REF!,ROWS(Params!AI$2:$AI90)-COUNTA(#REF!)-COUNTA(TAB_Offres[Ressource 1])))),""))
)</f>
        <v>DEVLEESCHOUWER, Sophie</v>
      </c>
      <c r="AJ90" s="174">
        <f>IF(TAB_ressource[[#This Row],[Import Ressource]]="","",MAX(AJ$1:AJ89)+1)</f>
        <v>89</v>
      </c>
      <c r="AK90" s="176" t="str">
        <f>IFERROR(INDEX(TAB_ressource[Import Ressource],MATCH(ROW()-ROW($AK$1),TAB_ressource[ID Import ressources],0)),"")</f>
        <v>DEVLEESCHOUWER, Sophie</v>
      </c>
      <c r="AN90" s="26">
        <f t="shared" si="7"/>
        <v>0</v>
      </c>
      <c r="AQ90" s="114" t="s">
        <v>125</v>
      </c>
      <c r="AR90" s="115">
        <f>COUNTIF(TAB_CS[Profile],AQ90)</f>
        <v>0</v>
      </c>
      <c r="BD90" t="s">
        <v>880</v>
      </c>
      <c r="BE90" t="s">
        <v>881</v>
      </c>
      <c r="BF90" t="s">
        <v>882</v>
      </c>
      <c r="BG90" t="s">
        <v>880</v>
      </c>
    </row>
    <row r="91" spans="13:59" x14ac:dyDescent="0.25">
      <c r="M91" t="str">
        <f>_xlfn.IFNA(IF(VLOOKUP(TAB_Offres[[#This Row],[Reference]],TAB_Offres[[Reference]:[Request State]],COLUMNS(TAB_Offres[[Reference]:[Request State]]),FALSE)=D$6,TAB_Offres[[#This Row],[Reference]],""),"")</f>
        <v>DIGITTMII-011066-DIGITTMII-004430-EXT-01-6000053863-REQ-01</v>
      </c>
      <c r="N91" t="str">
        <f>_xlfn.IFNA(IF(VLOOKUP(TAB_Offres[[#This Row],[Reference]],TAB_Offres[[Reference]:[Has Expenses?]],COLUMNS(TAB_Offres[[Reference]:[Has Expenses?]]),FALSE)=J$2,TAB_Offres[[#This Row],[Reference]],""),"")</f>
        <v/>
      </c>
      <c r="O91" t="str">
        <f>IF(Tableau19[[#This Row],[EXPENSES_REF]]="","",MAX(O$1:O90)+1)</f>
        <v/>
      </c>
      <c r="P91" t="str">
        <f t="shared" si="6"/>
        <v/>
      </c>
      <c r="R91" s="106" t="str">
        <f t="shared" si="8"/>
        <v>User eXperience expert-FAR</v>
      </c>
      <c r="S91" s="134">
        <v>280</v>
      </c>
      <c r="T91" s="111">
        <v>299.60000000000002</v>
      </c>
      <c r="U91" s="111">
        <v>320.57</v>
      </c>
      <c r="V91" s="111">
        <v>343.01</v>
      </c>
      <c r="W91" s="111">
        <v>367.02</v>
      </c>
      <c r="X91" s="111">
        <v>392.71</v>
      </c>
      <c r="Y91" s="111">
        <v>420.2</v>
      </c>
      <c r="Z91" s="111">
        <v>449.61</v>
      </c>
      <c r="AA91" s="111">
        <v>481.08</v>
      </c>
      <c r="AB91" s="111">
        <v>514.76</v>
      </c>
      <c r="AC91" s="111">
        <v>550.79</v>
      </c>
      <c r="AD91" s="135" t="s">
        <v>140</v>
      </c>
      <c r="AE91" s="33"/>
      <c r="AF91" s="33"/>
      <c r="AG91" s="33"/>
      <c r="AI91" s="3" t="str">
        <f>IFERROR(_xlfn.SINGLE(
IF(_xlfn.SINGLE(INDEX(TAB_Offres[Ressource 1],ROWS(Params!AI$2:$AI91)))=0,NA(),
INDEX(TAB_Offres[Ressource 1],ROWS(Params!AI$2:$AI91)))),
IFERROR(_xlfn.SINGLE(IF(_xlfn.SINGLE(INDEX(#REF!,ROWS(Params!AI$2:$AI91)-COUNTA(TAB_Offres[Ressource 1])))=0,NA(),
INDEX(#REF!,ROWS(Params!AI$2:$AI91)-COUNTA(TAB_Offres[Ressource 1])))),
IFERROR(_xlfn.SINGLE(IF(_xlfn.SINGLE(INDEX(#REF!,ROWS(Params!AI$2:$AI91)-COUNTA(#REF!)-COUNTA(TAB_Offres[Ressource 1])))=0,NA(),
INDEX(#REF!,ROWS(Params!AI$2:$AI91)-COUNTA(#REF!)-COUNTA(TAB_Offres[Ressource 1])))),""))
)</f>
        <v>GAGO CABEZAS, Irma</v>
      </c>
      <c r="AJ91" s="174">
        <f>IF(TAB_ressource[[#This Row],[Import Ressource]]="","",MAX(AJ$1:AJ90)+1)</f>
        <v>90</v>
      </c>
      <c r="AK91" s="176" t="str">
        <f>IFERROR(INDEX(TAB_ressource[Import Ressource],MATCH(ROW()-ROW($AK$1),TAB_ressource[ID Import ressources],0)),"")</f>
        <v>GAGO CABEZAS, Irma</v>
      </c>
      <c r="AN91" s="26">
        <f t="shared" si="7"/>
        <v>0</v>
      </c>
      <c r="AQ91" s="114" t="s">
        <v>126</v>
      </c>
      <c r="AR91" s="115">
        <f>COUNTIF(TAB_CS[Profile],AQ91)</f>
        <v>0</v>
      </c>
      <c r="BD91" t="s">
        <v>883</v>
      </c>
      <c r="BE91" t="s">
        <v>884</v>
      </c>
      <c r="BF91" t="s">
        <v>885</v>
      </c>
      <c r="BG91" t="s">
        <v>883</v>
      </c>
    </row>
    <row r="92" spans="13:59" x14ac:dyDescent="0.25">
      <c r="M92" t="str">
        <f>_xlfn.IFNA(IF(VLOOKUP(TAB_Offres[[#This Row],[Reference]],TAB_Offres[[Reference]:[Request State]],COLUMNS(TAB_Offres[[Reference]:[Request State]]),FALSE)=D$6,TAB_Offres[[#This Row],[Reference]],""),"")</f>
        <v>DIGITTMII-011235-6000053863-REQ-01</v>
      </c>
      <c r="N92" t="str">
        <f>_xlfn.IFNA(IF(VLOOKUP(TAB_Offres[[#This Row],[Reference]],TAB_Offres[[Reference]:[Has Expenses?]],COLUMNS(TAB_Offres[[Reference]:[Has Expenses?]]),FALSE)=J$2,TAB_Offres[[#This Row],[Reference]],""),"")</f>
        <v/>
      </c>
      <c r="O92" t="str">
        <f>IF(Tableau19[[#This Row],[EXPENSES_REF]]="","",MAX(O$1:O91)+1)</f>
        <v/>
      </c>
      <c r="P92" t="str">
        <f t="shared" si="6"/>
        <v/>
      </c>
      <c r="R92" s="106" t="str">
        <f t="shared" si="8"/>
        <v>Security infrastructure architect-FAR</v>
      </c>
      <c r="S92" s="134">
        <v>252</v>
      </c>
      <c r="T92" s="111">
        <v>269.64</v>
      </c>
      <c r="U92" s="111">
        <v>288.51</v>
      </c>
      <c r="V92" s="111">
        <v>308.70999999999998</v>
      </c>
      <c r="W92" s="111">
        <v>330.32</v>
      </c>
      <c r="X92" s="111">
        <v>353.44</v>
      </c>
      <c r="Y92" s="111">
        <v>378.18</v>
      </c>
      <c r="Z92" s="111">
        <v>404.65</v>
      </c>
      <c r="AA92" s="111">
        <v>432.98</v>
      </c>
      <c r="AB92" s="111">
        <v>463.29</v>
      </c>
      <c r="AC92" s="111">
        <v>495.72</v>
      </c>
      <c r="AD92" s="135" t="s">
        <v>140</v>
      </c>
      <c r="AE92" s="33"/>
      <c r="AF92" s="33"/>
      <c r="AG92" s="33"/>
      <c r="AI92" s="3" t="str">
        <f>IFERROR(_xlfn.SINGLE(
IF(_xlfn.SINGLE(INDEX(TAB_Offres[Ressource 1],ROWS(Params!AI$2:$AI92)))=0,NA(),
INDEX(TAB_Offres[Ressource 1],ROWS(Params!AI$2:$AI92)))),
IFERROR(_xlfn.SINGLE(IF(_xlfn.SINGLE(INDEX(#REF!,ROWS(Params!AI$2:$AI92)-COUNTA(TAB_Offres[Ressource 1])))=0,NA(),
INDEX(#REF!,ROWS(Params!AI$2:$AI92)-COUNTA(TAB_Offres[Ressource 1])))),
IFERROR(_xlfn.SINGLE(IF(_xlfn.SINGLE(INDEX(#REF!,ROWS(Params!AI$2:$AI92)-COUNTA(#REF!)-COUNTA(TAB_Offres[Ressource 1])))=0,NA(),
INDEX(#REF!,ROWS(Params!AI$2:$AI92)-COUNTA(#REF!)-COUNTA(TAB_Offres[Ressource 1])))),""))
)</f>
        <v>VISICH, Valeryy</v>
      </c>
      <c r="AJ92" s="174">
        <f>IF(TAB_ressource[[#This Row],[Import Ressource]]="","",MAX(AJ$1:AJ91)+1)</f>
        <v>91</v>
      </c>
      <c r="AK92" s="176" t="str">
        <f>IFERROR(INDEX(TAB_ressource[Import Ressource],MATCH(ROW()-ROW($AK$1),TAB_ressource[ID Import ressources],0)),"")</f>
        <v>VISICH, Valeryy</v>
      </c>
      <c r="AN92" s="26">
        <f t="shared" si="7"/>
        <v>0</v>
      </c>
      <c r="AQ92" s="114" t="s">
        <v>127</v>
      </c>
      <c r="AR92" s="115">
        <f>COUNTIF(TAB_CS[Profile],AQ92)</f>
        <v>0</v>
      </c>
      <c r="BD92" t="s">
        <v>886</v>
      </c>
      <c r="BE92" t="s">
        <v>887</v>
      </c>
      <c r="BF92" t="s">
        <v>888</v>
      </c>
      <c r="BG92" t="s">
        <v>886</v>
      </c>
    </row>
    <row r="93" spans="13:59" x14ac:dyDescent="0.25">
      <c r="M93" t="str">
        <f>_xlfn.IFNA(IF(VLOOKUP(TAB_Offres[[#This Row],[Reference]],TAB_Offres[[Reference]:[Request State]],COLUMNS(TAB_Offres[[Reference]:[Request State]]),FALSE)=D$6,TAB_Offres[[#This Row],[Reference]],""),"")</f>
        <v>DIGITTMII-011244-6000053863-REQ-01</v>
      </c>
      <c r="N93" t="str">
        <f>_xlfn.IFNA(IF(VLOOKUP(TAB_Offres[[#This Row],[Reference]],TAB_Offres[[Reference]:[Has Expenses?]],COLUMNS(TAB_Offres[[Reference]:[Has Expenses?]]),FALSE)=J$2,TAB_Offres[[#This Row],[Reference]],""),"")</f>
        <v>DIGITTMII-011244-6000053863-REQ-01</v>
      </c>
      <c r="O93">
        <f>IF(Tableau19[[#This Row],[EXPENSES_REF]]="","",MAX(O$1:O92)+1)</f>
        <v>18</v>
      </c>
      <c r="P93" t="str">
        <f t="shared" si="6"/>
        <v/>
      </c>
      <c r="R93" s="106" t="str">
        <f t="shared" si="8"/>
        <v>DWP system engineer-FAR</v>
      </c>
      <c r="S93" s="134">
        <v>252</v>
      </c>
      <c r="T93" s="111">
        <v>269.64</v>
      </c>
      <c r="U93" s="111">
        <v>288.51</v>
      </c>
      <c r="V93" s="111">
        <v>308.70999999999998</v>
      </c>
      <c r="W93" s="111">
        <v>330.32</v>
      </c>
      <c r="X93" s="111">
        <v>353.44</v>
      </c>
      <c r="Y93" s="111">
        <v>378.18</v>
      </c>
      <c r="Z93" s="111">
        <v>404.65</v>
      </c>
      <c r="AA93" s="111">
        <v>432.98</v>
      </c>
      <c r="AB93" s="111">
        <v>463.29</v>
      </c>
      <c r="AC93" s="111">
        <v>495.72</v>
      </c>
      <c r="AD93" s="135" t="s">
        <v>140</v>
      </c>
      <c r="AE93" s="33"/>
      <c r="AF93" s="33"/>
      <c r="AG93" s="33"/>
      <c r="AI93" s="3" t="str">
        <f>IFERROR(_xlfn.SINGLE(
IF(_xlfn.SINGLE(INDEX(TAB_Offres[Ressource 1],ROWS(Params!AI$2:$AI93)))=0,NA(),
INDEX(TAB_Offres[Ressource 1],ROWS(Params!AI$2:$AI93)))),
IFERROR(_xlfn.SINGLE(IF(_xlfn.SINGLE(INDEX(#REF!,ROWS(Params!AI$2:$AI93)-COUNTA(TAB_Offres[Ressource 1])))=0,NA(),
INDEX(#REF!,ROWS(Params!AI$2:$AI93)-COUNTA(TAB_Offres[Ressource 1])))),
IFERROR(_xlfn.SINGLE(IF(_xlfn.SINGLE(INDEX(#REF!,ROWS(Params!AI$2:$AI93)-COUNTA(#REF!)-COUNTA(TAB_Offres[Ressource 1])))=0,NA(),
INDEX(#REF!,ROWS(Params!AI$2:$AI93)-COUNTA(#REF!)-COUNTA(TAB_Offres[Ressource 1])))),""))
)</f>
        <v>DEVLEESCHOUWER, Sophie</v>
      </c>
      <c r="AJ93" s="174">
        <f>IF(TAB_ressource[[#This Row],[Import Ressource]]="","",MAX(AJ$1:AJ92)+1)</f>
        <v>92</v>
      </c>
      <c r="AK93" s="176" t="str">
        <f>IFERROR(INDEX(TAB_ressource[Import Ressource],MATCH(ROW()-ROW($AK$1),TAB_ressource[ID Import ressources],0)),"")</f>
        <v>DEVLEESCHOUWER, Sophie</v>
      </c>
      <c r="AN93" s="26">
        <f t="shared" si="7"/>
        <v>0</v>
      </c>
      <c r="AQ93" s="114" t="s">
        <v>128</v>
      </c>
      <c r="AR93" s="115">
        <f>COUNTIF(TAB_CS[Profile],AQ93)</f>
        <v>0</v>
      </c>
      <c r="BD93" t="s">
        <v>889</v>
      </c>
      <c r="BE93" t="s">
        <v>890</v>
      </c>
      <c r="BF93" t="s">
        <v>891</v>
      </c>
      <c r="BG93" t="s">
        <v>889</v>
      </c>
    </row>
    <row r="94" spans="13:59" ht="26.4" x14ac:dyDescent="0.25">
      <c r="M94" t="str">
        <f>_xlfn.IFNA(IF(VLOOKUP(TAB_Offres[[#This Row],[Reference]],TAB_Offres[[Reference]:[Request State]],COLUMNS(TAB_Offres[[Reference]:[Request State]]),FALSE)=D$6,TAB_Offres[[#This Row],[Reference]],""),"")</f>
        <v>DIGITTMII-011326-DIGITTMII-002906-EXT-02-6000053863-REQ-01</v>
      </c>
      <c r="N94" t="str">
        <f>_xlfn.IFNA(IF(VLOOKUP(TAB_Offres[[#This Row],[Reference]],TAB_Offres[[Reference]:[Has Expenses?]],COLUMNS(TAB_Offres[[Reference]:[Has Expenses?]]),FALSE)=J$2,TAB_Offres[[#This Row],[Reference]],""),"")</f>
        <v/>
      </c>
      <c r="O94" t="str">
        <f>IF(Tableau19[[#This Row],[EXPENSES_REF]]="","",MAX(O$1:O93)+1)</f>
        <v/>
      </c>
      <c r="P94" t="str">
        <f t="shared" si="6"/>
        <v/>
      </c>
      <c r="R94" s="106" t="str">
        <f t="shared" si="8"/>
        <v>GIS expert-FAR</v>
      </c>
      <c r="S94" s="134">
        <v>252</v>
      </c>
      <c r="T94" s="111">
        <v>269.64</v>
      </c>
      <c r="U94" s="111">
        <v>288.51</v>
      </c>
      <c r="V94" s="111">
        <v>308.70999999999998</v>
      </c>
      <c r="W94" s="111">
        <v>330.32</v>
      </c>
      <c r="X94" s="111">
        <v>353.44</v>
      </c>
      <c r="Y94" s="111">
        <v>378.18</v>
      </c>
      <c r="Z94" s="111">
        <v>404.65</v>
      </c>
      <c r="AA94" s="111">
        <v>432.98</v>
      </c>
      <c r="AB94" s="111">
        <v>463.29</v>
      </c>
      <c r="AC94" s="111">
        <v>495.72</v>
      </c>
      <c r="AD94" s="135" t="s">
        <v>140</v>
      </c>
      <c r="AE94" s="33"/>
      <c r="AF94" s="33"/>
      <c r="AG94" s="33"/>
      <c r="AI94" s="3" t="str">
        <f>IFERROR(_xlfn.SINGLE(
IF(_xlfn.SINGLE(INDEX(TAB_Offres[Ressource 1],ROWS(Params!AI$2:$AI94)))=0,NA(),
INDEX(TAB_Offres[Ressource 1],ROWS(Params!AI$2:$AI94)))),
IFERROR(_xlfn.SINGLE(IF(_xlfn.SINGLE(INDEX(#REF!,ROWS(Params!AI$2:$AI94)-COUNTA(TAB_Offres[Ressource 1])))=0,NA(),
INDEX(#REF!,ROWS(Params!AI$2:$AI94)-COUNTA(TAB_Offres[Ressource 1])))),
IFERROR(_xlfn.SINGLE(IF(_xlfn.SINGLE(INDEX(#REF!,ROWS(Params!AI$2:$AI94)-COUNTA(#REF!)-COUNTA(TAB_Offres[Ressource 1])))=0,NA(),
INDEX(#REF!,ROWS(Params!AI$2:$AI94)-COUNTA(#REF!)-COUNTA(TAB_Offres[Ressource 1])))),""))
)</f>
        <v xml:space="preserve">TURCITU, Mihai-Alexandru </v>
      </c>
      <c r="AJ94" s="174">
        <f>IF(TAB_ressource[[#This Row],[Import Ressource]]="","",MAX(AJ$1:AJ93)+1)</f>
        <v>93</v>
      </c>
      <c r="AK94" s="176" t="str">
        <f>IFERROR(INDEX(TAB_ressource[Import Ressource],MATCH(ROW()-ROW($AK$1),TAB_ressource[ID Import ressources],0)),"")</f>
        <v xml:space="preserve">TURCITU, Mihai-Alexandru </v>
      </c>
      <c r="AN94" s="26">
        <f t="shared" si="7"/>
        <v>0</v>
      </c>
      <c r="AQ94" s="114" t="s">
        <v>129</v>
      </c>
      <c r="AR94" s="115">
        <f>COUNTIF(TAB_CS[Profile],AQ94)</f>
        <v>0</v>
      </c>
      <c r="BD94" t="s">
        <v>892</v>
      </c>
      <c r="BE94" t="s">
        <v>893</v>
      </c>
      <c r="BF94" t="s">
        <v>894</v>
      </c>
      <c r="BG94" t="s">
        <v>892</v>
      </c>
    </row>
    <row r="95" spans="13:59" x14ac:dyDescent="0.25">
      <c r="M95" t="str">
        <f>_xlfn.IFNA(IF(VLOOKUP(TAB_Offres[[#This Row],[Reference]],TAB_Offres[[Reference]:[Request State]],COLUMNS(TAB_Offres[[Reference]:[Request State]]),FALSE)=D$6,TAB_Offres[[#This Row],[Reference]],""),"")</f>
        <v>DIGITTMII-011457-DIGITTMII-002191-EXT-02-6000053863-REQ-01</v>
      </c>
      <c r="N95" t="str">
        <f>_xlfn.IFNA(IF(VLOOKUP(TAB_Offres[[#This Row],[Reference]],TAB_Offres[[Reference]:[Has Expenses?]],COLUMNS(TAB_Offres[[Reference]:[Has Expenses?]]),FALSE)=J$2,TAB_Offres[[#This Row],[Reference]],""),"")</f>
        <v/>
      </c>
      <c r="O95" t="str">
        <f>IF(Tableau19[[#This Row],[EXPENSES_REF]]="","",MAX(O$1:O94)+1)</f>
        <v/>
      </c>
      <c r="P95" t="str">
        <f t="shared" si="6"/>
        <v/>
      </c>
      <c r="R95" s="106" t="str">
        <f t="shared" si="8"/>
        <v>Expert in information &amp; document management-FAR</v>
      </c>
      <c r="S95" s="134">
        <v>252</v>
      </c>
      <c r="T95" s="111">
        <v>269.64</v>
      </c>
      <c r="U95" s="111">
        <v>288.51</v>
      </c>
      <c r="V95" s="111">
        <v>308.70999999999998</v>
      </c>
      <c r="W95" s="111">
        <v>330.32</v>
      </c>
      <c r="X95" s="111">
        <v>353.44</v>
      </c>
      <c r="Y95" s="111">
        <v>378.18</v>
      </c>
      <c r="Z95" s="111">
        <v>404.65</v>
      </c>
      <c r="AA95" s="111">
        <v>432.98</v>
      </c>
      <c r="AB95" s="111">
        <v>463.29</v>
      </c>
      <c r="AC95" s="111">
        <v>495.72</v>
      </c>
      <c r="AD95" s="135" t="s">
        <v>140</v>
      </c>
      <c r="AE95" s="33"/>
      <c r="AF95" s="33"/>
      <c r="AG95" s="33"/>
      <c r="AI95" s="3" t="str">
        <f>IFERROR(_xlfn.SINGLE(
IF(_xlfn.SINGLE(INDEX(TAB_Offres[Ressource 1],ROWS(Params!AI$2:$AI95)))=0,NA(),
INDEX(TAB_Offres[Ressource 1],ROWS(Params!AI$2:$AI95)))),
IFERROR(_xlfn.SINGLE(IF(_xlfn.SINGLE(INDEX(#REF!,ROWS(Params!AI$2:$AI95)-COUNTA(TAB_Offres[Ressource 1])))=0,NA(),
INDEX(#REF!,ROWS(Params!AI$2:$AI95)-COUNTA(TAB_Offres[Ressource 1])))),
IFERROR(_xlfn.SINGLE(IF(_xlfn.SINGLE(INDEX(#REF!,ROWS(Params!AI$2:$AI95)-COUNTA(#REF!)-COUNTA(TAB_Offres[Ressource 1])))=0,NA(),
INDEX(#REF!,ROWS(Params!AI$2:$AI95)-COUNTA(#REF!)-COUNTA(TAB_Offres[Ressource 1])))),""))
)</f>
        <v>FREIRE FERREIRA, Carlos Miguel</v>
      </c>
      <c r="AJ95" s="174">
        <f>IF(TAB_ressource[[#This Row],[Import Ressource]]="","",MAX(AJ$1:AJ94)+1)</f>
        <v>94</v>
      </c>
      <c r="AK95" s="176" t="str">
        <f>IFERROR(INDEX(TAB_ressource[Import Ressource],MATCH(ROW()-ROW($AK$1),TAB_ressource[ID Import ressources],0)),"")</f>
        <v>FREIRE FERREIRA, Carlos Miguel</v>
      </c>
      <c r="AN95" s="26">
        <f t="shared" si="7"/>
        <v>0</v>
      </c>
      <c r="AQ95" s="114" t="s">
        <v>130</v>
      </c>
      <c r="AR95" s="115">
        <f>COUNTIF(TAB_CS[Profile],AQ95)</f>
        <v>0</v>
      </c>
      <c r="BD95" t="s">
        <v>895</v>
      </c>
      <c r="BE95" t="s">
        <v>896</v>
      </c>
      <c r="BF95" t="s">
        <v>897</v>
      </c>
      <c r="BG95" t="s">
        <v>895</v>
      </c>
    </row>
    <row r="96" spans="13:59" ht="26.4" x14ac:dyDescent="0.25">
      <c r="M96" t="str">
        <f>_xlfn.IFNA(IF(VLOOKUP(TAB_Offres[[#This Row],[Reference]],TAB_Offres[[Reference]:[Request State]],COLUMNS(TAB_Offres[[Reference]:[Request State]]),FALSE)=D$6,TAB_Offres[[#This Row],[Reference]],""),"")</f>
        <v>DIGITTMII-011735-DIGITTMII-006302-EXT-01-6000053863-REQ-01</v>
      </c>
      <c r="N96" t="str">
        <f>_xlfn.IFNA(IF(VLOOKUP(TAB_Offres[[#This Row],[Reference]],TAB_Offres[[Reference]:[Has Expenses?]],COLUMNS(TAB_Offres[[Reference]:[Has Expenses?]]),FALSE)=J$2,TAB_Offres[[#This Row],[Reference]],""),"")</f>
        <v/>
      </c>
      <c r="O96" t="str">
        <f>IF(Tableau19[[#This Row],[EXPENSES_REF]]="","",MAX(O$1:O95)+1)</f>
        <v/>
      </c>
      <c r="P96" t="str">
        <f t="shared" si="6"/>
        <v/>
      </c>
      <c r="R96" s="106" t="str">
        <f t="shared" si="8"/>
        <v>Onboarding manager-FAR</v>
      </c>
      <c r="S96" s="134">
        <v>252</v>
      </c>
      <c r="T96" s="111">
        <v>269.64</v>
      </c>
      <c r="U96" s="111">
        <v>288.51</v>
      </c>
      <c r="V96" s="111">
        <v>308.70999999999998</v>
      </c>
      <c r="W96" s="111">
        <v>330.32</v>
      </c>
      <c r="X96" s="111">
        <v>353.44</v>
      </c>
      <c r="Y96" s="111">
        <v>378.18</v>
      </c>
      <c r="Z96" s="111">
        <v>404.65</v>
      </c>
      <c r="AA96" s="111">
        <v>432.98</v>
      </c>
      <c r="AB96" s="111">
        <v>463.29</v>
      </c>
      <c r="AC96" s="111">
        <v>495.72</v>
      </c>
      <c r="AD96" s="135" t="s">
        <v>140</v>
      </c>
      <c r="AE96" s="33"/>
      <c r="AF96" s="33"/>
      <c r="AG96" s="33"/>
      <c r="AI96" s="3" t="str">
        <f>IFERROR(_xlfn.SINGLE(
IF(_xlfn.SINGLE(INDEX(TAB_Offres[Ressource 1],ROWS(Params!AI$2:$AI96)))=0,NA(),
INDEX(TAB_Offres[Ressource 1],ROWS(Params!AI$2:$AI96)))),
IFERROR(_xlfn.SINGLE(IF(_xlfn.SINGLE(INDEX(#REF!,ROWS(Params!AI$2:$AI96)-COUNTA(TAB_Offres[Ressource 1])))=0,NA(),
INDEX(#REF!,ROWS(Params!AI$2:$AI96)-COUNTA(TAB_Offres[Ressource 1])))),
IFERROR(_xlfn.SINGLE(IF(_xlfn.SINGLE(INDEX(#REF!,ROWS(Params!AI$2:$AI96)-COUNTA(#REF!)-COUNTA(TAB_Offres[Ressource 1])))=0,NA(),
INDEX(#REF!,ROWS(Params!AI$2:$AI96)-COUNTA(#REF!)-COUNTA(TAB_Offres[Ressource 1])))),""))
)</f>
        <v>AFONSO, Leonardo</v>
      </c>
      <c r="AJ96" s="174">
        <f>IF(TAB_ressource[[#This Row],[Import Ressource]]="","",MAX(AJ$1:AJ95)+1)</f>
        <v>95</v>
      </c>
      <c r="AK96" s="176" t="str">
        <f>IFERROR(INDEX(TAB_ressource[Import Ressource],MATCH(ROW()-ROW($AK$1),TAB_ressource[ID Import ressources],0)),"")</f>
        <v>AFONSO, Leonardo</v>
      </c>
      <c r="AN96" s="26">
        <f t="shared" si="7"/>
        <v>0</v>
      </c>
      <c r="AQ96" s="114" t="s">
        <v>131</v>
      </c>
      <c r="AR96" s="115">
        <f>COUNTIF(TAB_CS[Profile],AQ96)</f>
        <v>0</v>
      </c>
      <c r="BD96" t="s">
        <v>898</v>
      </c>
      <c r="BE96" t="s">
        <v>899</v>
      </c>
      <c r="BF96" t="s">
        <v>900</v>
      </c>
      <c r="BG96" t="s">
        <v>898</v>
      </c>
    </row>
    <row r="97" spans="13:59" x14ac:dyDescent="0.25">
      <c r="M97" t="str">
        <f>_xlfn.IFNA(IF(VLOOKUP(TAB_Offres[[#This Row],[Reference]],TAB_Offres[[Reference]:[Request State]],COLUMNS(TAB_Offres[[Reference]:[Request State]]),FALSE)=D$6,TAB_Offres[[#This Row],[Reference]],""),"")</f>
        <v>DIGITTMII-011810-DIGITTMII-006278-EXT-01-6000053863-REQ-01</v>
      </c>
      <c r="N97" t="str">
        <f>_xlfn.IFNA(IF(VLOOKUP(TAB_Offres[[#This Row],[Reference]],TAB_Offres[[Reference]:[Has Expenses?]],COLUMNS(TAB_Offres[[Reference]:[Has Expenses?]]),FALSE)=J$2,TAB_Offres[[#This Row],[Reference]],""),"")</f>
        <v/>
      </c>
      <c r="O97" t="str">
        <f>IF(Tableau19[[#This Row],[EXPENSES_REF]]="","",MAX(O$1:O96)+1)</f>
        <v/>
      </c>
      <c r="P97" t="str">
        <f t="shared" si="6"/>
        <v/>
      </c>
      <c r="R97" s="106" t="str">
        <f t="shared" si="8"/>
        <v>Operating system deployment and update expert-FAR</v>
      </c>
      <c r="S97" s="134">
        <v>252</v>
      </c>
      <c r="T97" s="111">
        <v>269.64</v>
      </c>
      <c r="U97" s="111">
        <v>288.51</v>
      </c>
      <c r="V97" s="111">
        <v>308.70999999999998</v>
      </c>
      <c r="W97" s="111">
        <v>330.32</v>
      </c>
      <c r="X97" s="111">
        <v>353.44</v>
      </c>
      <c r="Y97" s="111">
        <v>378.18</v>
      </c>
      <c r="Z97" s="111">
        <v>404.65</v>
      </c>
      <c r="AA97" s="111">
        <v>432.98</v>
      </c>
      <c r="AB97" s="111">
        <v>463.29</v>
      </c>
      <c r="AC97" s="111">
        <v>495.72</v>
      </c>
      <c r="AD97" s="135" t="s">
        <v>140</v>
      </c>
      <c r="AE97" s="33"/>
      <c r="AF97" s="33"/>
      <c r="AG97" s="33"/>
      <c r="AI97" s="3" t="str">
        <f>IFERROR(_xlfn.SINGLE(
IF(_xlfn.SINGLE(INDEX(TAB_Offres[Ressource 1],ROWS(Params!AI$2:$AI97)))=0,NA(),
INDEX(TAB_Offres[Ressource 1],ROWS(Params!AI$2:$AI97)))),
IFERROR(_xlfn.SINGLE(IF(_xlfn.SINGLE(INDEX(#REF!,ROWS(Params!AI$2:$AI97)-COUNTA(TAB_Offres[Ressource 1])))=0,NA(),
INDEX(#REF!,ROWS(Params!AI$2:$AI97)-COUNTA(TAB_Offres[Ressource 1])))),
IFERROR(_xlfn.SINGLE(IF(_xlfn.SINGLE(INDEX(#REF!,ROWS(Params!AI$2:$AI97)-COUNTA(#REF!)-COUNTA(TAB_Offres[Ressource 1])))=0,NA(),
INDEX(#REF!,ROWS(Params!AI$2:$AI97)-COUNTA(#REF!)-COUNTA(TAB_Offres[Ressource 1])))),""))
)</f>
        <v>FERNANDEZ GUERRERO, Ivan</v>
      </c>
      <c r="AJ97" s="174">
        <f>IF(TAB_ressource[[#This Row],[Import Ressource]]="","",MAX(AJ$1:AJ96)+1)</f>
        <v>96</v>
      </c>
      <c r="AK97" s="176" t="str">
        <f>IFERROR(INDEX(TAB_ressource[Import Ressource],MATCH(ROW()-ROW($AK$1),TAB_ressource[ID Import ressources],0)),"")</f>
        <v>FERNANDEZ GUERRERO, Ivan</v>
      </c>
      <c r="AN97" s="26">
        <f t="shared" si="7"/>
        <v>0</v>
      </c>
      <c r="AQ97" s="114" t="s">
        <v>132</v>
      </c>
      <c r="AR97" s="115">
        <f>COUNTIF(TAB_CS[Profile],AQ97)</f>
        <v>2</v>
      </c>
      <c r="BD97" t="s">
        <v>901</v>
      </c>
      <c r="BE97" t="s">
        <v>902</v>
      </c>
      <c r="BF97" t="s">
        <v>903</v>
      </c>
      <c r="BG97" t="s">
        <v>901</v>
      </c>
    </row>
    <row r="98" spans="13:59" ht="26.4" x14ac:dyDescent="0.25">
      <c r="M98" t="str">
        <f>_xlfn.IFNA(IF(VLOOKUP(TAB_Offres[[#This Row],[Reference]],TAB_Offres[[Reference]:[Request State]],COLUMNS(TAB_Offres[[Reference]:[Request State]]),FALSE)=D$6,TAB_Offres[[#This Row],[Reference]],""),"")</f>
        <v>DIGITTMII-011888-DIGITTMII-001957-EXT-02-6000053863-REQ-01</v>
      </c>
      <c r="N98" t="str">
        <f>_xlfn.IFNA(IF(VLOOKUP(TAB_Offres[[#This Row],[Reference]],TAB_Offres[[Reference]:[Has Expenses?]],COLUMNS(TAB_Offres[[Reference]:[Has Expenses?]]),FALSE)=J$2,TAB_Offres[[#This Row],[Reference]],""),"")</f>
        <v/>
      </c>
      <c r="O98" t="str">
        <f>IF(Tableau19[[#This Row],[EXPENSES_REF]]="","",MAX(O$1:O97)+1)</f>
        <v/>
      </c>
      <c r="P98" t="str">
        <f t="shared" si="6"/>
        <v/>
      </c>
      <c r="R98" s="106" t="str">
        <f t="shared" si="8"/>
        <v>Business Intelligence expert-FAR</v>
      </c>
      <c r="S98" s="134">
        <v>300</v>
      </c>
      <c r="T98" s="111">
        <v>321</v>
      </c>
      <c r="U98" s="111">
        <v>343.47</v>
      </c>
      <c r="V98" s="111">
        <v>367.51</v>
      </c>
      <c r="W98" s="111">
        <v>393.24</v>
      </c>
      <c r="X98" s="111">
        <v>420.77</v>
      </c>
      <c r="Y98" s="111">
        <v>450.22</v>
      </c>
      <c r="Z98" s="111">
        <v>481.74</v>
      </c>
      <c r="AA98" s="111">
        <v>515.46</v>
      </c>
      <c r="AB98" s="111">
        <v>551.54</v>
      </c>
      <c r="AC98" s="111">
        <v>590.15</v>
      </c>
      <c r="AD98" s="135" t="s">
        <v>140</v>
      </c>
      <c r="AE98" s="33"/>
      <c r="AF98" s="33"/>
      <c r="AG98" s="33"/>
      <c r="AI98" s="3" t="str">
        <f>IFERROR(_xlfn.SINGLE(
IF(_xlfn.SINGLE(INDEX(TAB_Offres[Ressource 1],ROWS(Params!AI$2:$AI98)))=0,NA(),
INDEX(TAB_Offres[Ressource 1],ROWS(Params!AI$2:$AI98)))),
IFERROR(_xlfn.SINGLE(IF(_xlfn.SINGLE(INDEX(#REF!,ROWS(Params!AI$2:$AI98)-COUNTA(TAB_Offres[Ressource 1])))=0,NA(),
INDEX(#REF!,ROWS(Params!AI$2:$AI98)-COUNTA(TAB_Offres[Ressource 1])))),
IFERROR(_xlfn.SINGLE(IF(_xlfn.SINGLE(INDEX(#REF!,ROWS(Params!AI$2:$AI98)-COUNTA(#REF!)-COUNTA(TAB_Offres[Ressource 1])))=0,NA(),
INDEX(#REF!,ROWS(Params!AI$2:$AI98)-COUNTA(#REF!)-COUNTA(TAB_Offres[Ressource 1])))),""))
)</f>
        <v>APETRI, Ioana</v>
      </c>
      <c r="AJ98" s="174">
        <f>IF(TAB_ressource[[#This Row],[Import Ressource]]="","",MAX(AJ$1:AJ97)+1)</f>
        <v>97</v>
      </c>
      <c r="AK98" s="176" t="str">
        <f>IFERROR(INDEX(TAB_ressource[Import Ressource],MATCH(ROW()-ROW($AK$1),TAB_ressource[ID Import ressources],0)),"")</f>
        <v>APETRI, Ioana</v>
      </c>
      <c r="AN98" s="26">
        <f t="shared" si="7"/>
        <v>0</v>
      </c>
      <c r="AQ98" s="114" t="s">
        <v>133</v>
      </c>
      <c r="AR98" s="115">
        <f>COUNTIF(TAB_CS[Profile],AQ98)</f>
        <v>0</v>
      </c>
      <c r="BD98" t="s">
        <v>904</v>
      </c>
      <c r="BE98" t="s">
        <v>905</v>
      </c>
      <c r="BF98" t="s">
        <v>906</v>
      </c>
      <c r="BG98" t="s">
        <v>904</v>
      </c>
    </row>
    <row r="99" spans="13:59" x14ac:dyDescent="0.25">
      <c r="M99" t="str">
        <f>_xlfn.IFNA(IF(VLOOKUP(TAB_Offres[[#This Row],[Reference]],TAB_Offres[[Reference]:[Request State]],COLUMNS(TAB_Offres[[Reference]:[Request State]]),FALSE)=D$6,TAB_Offres[[#This Row],[Reference]],""),"")</f>
        <v>DIGITTMII-011993-DIGITTMII-003772-EXT-01-6000053863-REQ-01</v>
      </c>
      <c r="N99" t="str">
        <f>_xlfn.IFNA(IF(VLOOKUP(TAB_Offres[[#This Row],[Reference]],TAB_Offres[[Reference]:[Has Expenses?]],COLUMNS(TAB_Offres[[Reference]:[Has Expenses?]]),FALSE)=J$2,TAB_Offres[[#This Row],[Reference]],""),"")</f>
        <v/>
      </c>
      <c r="O99" t="str">
        <f>IF(Tableau19[[#This Row],[EXPENSES_REF]]="","",MAX(O$1:O98)+1)</f>
        <v/>
      </c>
      <c r="P99" t="str">
        <f t="shared" si="6"/>
        <v/>
      </c>
      <c r="R99" s="106" t="str">
        <f t="shared" si="8"/>
        <v>Secure data and document exchange expert-FAR</v>
      </c>
      <c r="S99" s="134">
        <v>252</v>
      </c>
      <c r="T99" s="111">
        <v>269.64</v>
      </c>
      <c r="U99" s="111">
        <v>288.51</v>
      </c>
      <c r="V99" s="111">
        <v>308.70999999999998</v>
      </c>
      <c r="W99" s="111">
        <v>330.32</v>
      </c>
      <c r="X99" s="111">
        <v>353.44</v>
      </c>
      <c r="Y99" s="111">
        <v>378.18</v>
      </c>
      <c r="Z99" s="111">
        <v>404.65</v>
      </c>
      <c r="AA99" s="111">
        <v>432.98</v>
      </c>
      <c r="AB99" s="111">
        <v>463.29</v>
      </c>
      <c r="AC99" s="111">
        <v>495.72</v>
      </c>
      <c r="AD99" s="135" t="s">
        <v>140</v>
      </c>
      <c r="AE99" s="33"/>
      <c r="AF99" s="33"/>
      <c r="AG99" s="33"/>
      <c r="AI99" s="3" t="str">
        <f>IFERROR(_xlfn.SINGLE(
IF(_xlfn.SINGLE(INDEX(TAB_Offres[Ressource 1],ROWS(Params!AI$2:$AI99)))=0,NA(),
INDEX(TAB_Offres[Ressource 1],ROWS(Params!AI$2:$AI99)))),
IFERROR(_xlfn.SINGLE(IF(_xlfn.SINGLE(INDEX(#REF!,ROWS(Params!AI$2:$AI99)-COUNTA(TAB_Offres[Ressource 1])))=0,NA(),
INDEX(#REF!,ROWS(Params!AI$2:$AI99)-COUNTA(TAB_Offres[Ressource 1])))),
IFERROR(_xlfn.SINGLE(IF(_xlfn.SINGLE(INDEX(#REF!,ROWS(Params!AI$2:$AI99)-COUNTA(#REF!)-COUNTA(TAB_Offres[Ressource 1])))=0,NA(),
INDEX(#REF!,ROWS(Params!AI$2:$AI99)-COUNTA(#REF!)-COUNTA(TAB_Offres[Ressource 1])))),""))
)</f>
        <v>IERVOLINO, Andrea</v>
      </c>
      <c r="AJ99" s="174">
        <f>IF(TAB_ressource[[#This Row],[Import Ressource]]="","",MAX(AJ$1:AJ98)+1)</f>
        <v>98</v>
      </c>
      <c r="AK99" s="176" t="str">
        <f>IFERROR(INDEX(TAB_ressource[Import Ressource],MATCH(ROW()-ROW($AK$1),TAB_ressource[ID Import ressources],0)),"")</f>
        <v>IERVOLINO, Andrea</v>
      </c>
      <c r="AN99" s="26">
        <f t="shared" si="7"/>
        <v>0</v>
      </c>
      <c r="AQ99" s="114" t="s">
        <v>134</v>
      </c>
      <c r="AR99" s="115">
        <f>COUNTIF(TAB_CS[Profile],AQ99)</f>
        <v>0</v>
      </c>
      <c r="BD99" t="s">
        <v>907</v>
      </c>
      <c r="BE99" t="s">
        <v>908</v>
      </c>
      <c r="BF99" t="s">
        <v>909</v>
      </c>
      <c r="BG99" t="s">
        <v>907</v>
      </c>
    </row>
    <row r="100" spans="13:59" x14ac:dyDescent="0.25">
      <c r="M100" t="str">
        <f>_xlfn.IFNA(IF(VLOOKUP(TAB_Offres[[#This Row],[Reference]],TAB_Offres[[Reference]:[Request State]],COLUMNS(TAB_Offres[[Reference]:[Request State]]),FALSE)=D$6,TAB_Offres[[#This Row],[Reference]],""),"")</f>
        <v>DIGITTMII-012394-DIGITTMII-002819-EXT-03-6000053863-REQ-01</v>
      </c>
      <c r="N100" t="str">
        <f>_xlfn.IFNA(IF(VLOOKUP(TAB_Offres[[#This Row],[Reference]],TAB_Offres[[Reference]:[Has Expenses?]],COLUMNS(TAB_Offres[[Reference]:[Has Expenses?]]),FALSE)=J$2,TAB_Offres[[#This Row],[Reference]],""),"")</f>
        <v/>
      </c>
      <c r="O100" t="str">
        <f>IF(Tableau19[[#This Row],[EXPENSES_REF]]="","",MAX(O$1:O99)+1)</f>
        <v/>
      </c>
      <c r="P100" t="str">
        <f t="shared" si="6"/>
        <v/>
      </c>
      <c r="R100" s="106" t="str">
        <f t="shared" si="8"/>
        <v>Expert in AI/ NLP/ ML-FAR</v>
      </c>
      <c r="S100" s="134">
        <v>300</v>
      </c>
      <c r="T100" s="111">
        <v>321</v>
      </c>
      <c r="U100" s="111">
        <v>343.47</v>
      </c>
      <c r="V100" s="111">
        <v>367.51</v>
      </c>
      <c r="W100" s="111">
        <v>393.24</v>
      </c>
      <c r="X100" s="111">
        <v>420.77</v>
      </c>
      <c r="Y100" s="111">
        <v>450.22</v>
      </c>
      <c r="Z100" s="111">
        <v>481.74</v>
      </c>
      <c r="AA100" s="111">
        <v>515.46</v>
      </c>
      <c r="AB100" s="111">
        <v>551.54</v>
      </c>
      <c r="AC100" s="111">
        <v>590.15</v>
      </c>
      <c r="AD100" s="135" t="s">
        <v>140</v>
      </c>
      <c r="AE100" s="33"/>
      <c r="AF100" s="33"/>
      <c r="AG100" s="33"/>
      <c r="AI100" s="3" t="str">
        <f>IFERROR(_xlfn.SINGLE(
IF(_xlfn.SINGLE(INDEX(TAB_Offres[Ressource 1],ROWS(Params!AI$2:$AI100)))=0,NA(),
INDEX(TAB_Offres[Ressource 1],ROWS(Params!AI$2:$AI100)))),
IFERROR(_xlfn.SINGLE(IF(_xlfn.SINGLE(INDEX(#REF!,ROWS(Params!AI$2:$AI100)-COUNTA(TAB_Offres[Ressource 1])))=0,NA(),
INDEX(#REF!,ROWS(Params!AI$2:$AI100)-COUNTA(TAB_Offres[Ressource 1])))),
IFERROR(_xlfn.SINGLE(IF(_xlfn.SINGLE(INDEX(#REF!,ROWS(Params!AI$2:$AI100)-COUNTA(#REF!)-COUNTA(TAB_Offres[Ressource 1])))=0,NA(),
INDEX(#REF!,ROWS(Params!AI$2:$AI100)-COUNTA(#REF!)-COUNTA(TAB_Offres[Ressource 1])))),""))
)</f>
        <v>POCHON, Régis</v>
      </c>
      <c r="AJ100" s="174">
        <f>IF(TAB_ressource[[#This Row],[Import Ressource]]="","",MAX(AJ$1:AJ99)+1)</f>
        <v>99</v>
      </c>
      <c r="AK100" s="176" t="str">
        <f>IFERROR(INDEX(TAB_ressource[Import Ressource],MATCH(ROW()-ROW($AK$1),TAB_ressource[ID Import ressources],0)),"")</f>
        <v>POCHON, Régis</v>
      </c>
      <c r="AN100" s="26">
        <f t="shared" si="7"/>
        <v>0</v>
      </c>
      <c r="AQ100" s="114" t="s">
        <v>135</v>
      </c>
      <c r="AR100" s="115">
        <f>COUNTIF(TAB_CS[Profile],AQ100)</f>
        <v>0</v>
      </c>
      <c r="BD100" t="s">
        <v>910</v>
      </c>
      <c r="BE100" t="s">
        <v>911</v>
      </c>
      <c r="BF100" t="s">
        <v>912</v>
      </c>
      <c r="BG100" t="s">
        <v>910</v>
      </c>
    </row>
    <row r="101" spans="13:59" x14ac:dyDescent="0.25">
      <c r="M101" t="str">
        <f>_xlfn.IFNA(IF(VLOOKUP(TAB_Offres[[#This Row],[Reference]],TAB_Offres[[Reference]:[Request State]],COLUMNS(TAB_Offres[[Reference]:[Request State]]),FALSE)=D$6,TAB_Offres[[#This Row],[Reference]],""),"")</f>
        <v>DIGITTMII-012573-DIGITTMII-005337-EXT-01-6000053863-REQ-01</v>
      </c>
      <c r="N101" t="str">
        <f>_xlfn.IFNA(IF(VLOOKUP(TAB_Offres[[#This Row],[Reference]],TAB_Offres[[Reference]:[Has Expenses?]],COLUMNS(TAB_Offres[[Reference]:[Has Expenses?]]),FALSE)=J$2,TAB_Offres[[#This Row],[Reference]],""),"")</f>
        <v/>
      </c>
      <c r="O101" t="str">
        <f>IF(Tableau19[[#This Row],[EXPENSES_REF]]="","",MAX(O$1:O100)+1)</f>
        <v/>
      </c>
      <c r="P101" t="str">
        <f t="shared" si="6"/>
        <v/>
      </c>
      <c r="R101" s="106" t="str">
        <f t="shared" si="8"/>
        <v>Augmented / Virtual Reality expert-FAR</v>
      </c>
      <c r="S101" s="107">
        <v>252</v>
      </c>
      <c r="T101" s="96">
        <v>269.64</v>
      </c>
      <c r="U101" s="96">
        <v>288.51</v>
      </c>
      <c r="V101" s="96">
        <v>308.70999999999998</v>
      </c>
      <c r="W101" s="96">
        <v>330.32</v>
      </c>
      <c r="X101" s="96">
        <v>353.44</v>
      </c>
      <c r="Y101" s="96">
        <v>378.18</v>
      </c>
      <c r="Z101" s="96">
        <v>404.65</v>
      </c>
      <c r="AA101" s="96">
        <v>432.98</v>
      </c>
      <c r="AB101" s="96">
        <v>463.29</v>
      </c>
      <c r="AC101" s="96">
        <v>495.72</v>
      </c>
      <c r="AD101" s="33" t="s">
        <v>140</v>
      </c>
      <c r="AE101" s="112"/>
      <c r="AF101" s="112"/>
      <c r="AG101" s="112"/>
      <c r="AI101" s="3" t="str">
        <f>IFERROR(_xlfn.SINGLE(
IF(_xlfn.SINGLE(INDEX(TAB_Offres[Ressource 1],ROWS(Params!AI$2:$AI101)))=0,NA(),
INDEX(TAB_Offres[Ressource 1],ROWS(Params!AI$2:$AI101)))),
IFERROR(_xlfn.SINGLE(IF(_xlfn.SINGLE(INDEX(#REF!,ROWS(Params!AI$2:$AI101)-COUNTA(TAB_Offres[Ressource 1])))=0,NA(),
INDEX(#REF!,ROWS(Params!AI$2:$AI101)-COUNTA(TAB_Offres[Ressource 1])))),
IFERROR(_xlfn.SINGLE(IF(_xlfn.SINGLE(INDEX(#REF!,ROWS(Params!AI$2:$AI101)-COUNTA(#REF!)-COUNTA(TAB_Offres[Ressource 1])))=0,NA(),
INDEX(#REF!,ROWS(Params!AI$2:$AI101)-COUNTA(#REF!)-COUNTA(TAB_Offres[Ressource 1])))),""))
)</f>
        <v>BINTZ, Adrien</v>
      </c>
      <c r="AJ101" s="174">
        <f>IF(TAB_ressource[[#This Row],[Import Ressource]]="","",MAX(AJ$1:AJ100)+1)</f>
        <v>100</v>
      </c>
      <c r="AK101" s="176" t="str">
        <f>IFERROR(INDEX(TAB_ressource[Import Ressource],MATCH(ROW()-ROW($AK$1),TAB_ressource[ID Import ressources],0)),"")</f>
        <v>BINTZ, Adrien</v>
      </c>
      <c r="AN101" s="26">
        <f t="shared" si="7"/>
        <v>0</v>
      </c>
      <c r="AQ101" s="114"/>
      <c r="AR101" s="115">
        <f>COUNTIF(TAB_CS[Profile],AQ101)</f>
        <v>0</v>
      </c>
      <c r="BD101" t="s">
        <v>913</v>
      </c>
      <c r="BE101" t="s">
        <v>914</v>
      </c>
      <c r="BF101" t="s">
        <v>915</v>
      </c>
      <c r="BG101" t="s">
        <v>913</v>
      </c>
    </row>
    <row r="102" spans="13:59" x14ac:dyDescent="0.25">
      <c r="M102" t="str">
        <f>_xlfn.IFNA(IF(VLOOKUP(TAB_Offres[[#This Row],[Reference]],TAB_Offres[[Reference]:[Request State]],COLUMNS(TAB_Offres[[Reference]:[Request State]]),FALSE)=D$6,TAB_Offres[[#This Row],[Reference]],""),"")</f>
        <v>DIGITTMII-012730-DIGITTMII-004019-EXT-01-6000053863-REQ-01</v>
      </c>
      <c r="N102" t="str">
        <f>_xlfn.IFNA(IF(VLOOKUP(TAB_Offres[[#This Row],[Reference]],TAB_Offres[[Reference]:[Has Expenses?]],COLUMNS(TAB_Offres[[Reference]:[Has Expenses?]]),FALSE)=J$2,TAB_Offres[[#This Row],[Reference]],""),"")</f>
        <v>DIGITTMII-012730-DIGITTMII-004019-EXT-01-6000053863-REQ-01</v>
      </c>
      <c r="O102">
        <f>IF(Tableau19[[#This Row],[EXPENSES_REF]]="","",MAX(O$1:O101)+1)</f>
        <v>19</v>
      </c>
      <c r="P102" t="str">
        <f t="shared" si="6"/>
        <v/>
      </c>
      <c r="R102" s="106" t="str">
        <f t="shared" si="8"/>
        <v>IT specialist / expert profile-FAR</v>
      </c>
      <c r="S102" s="113">
        <v>1000</v>
      </c>
      <c r="T102" s="96">
        <v>100</v>
      </c>
      <c r="U102" s="96">
        <v>100</v>
      </c>
      <c r="V102" s="96">
        <v>100</v>
      </c>
      <c r="W102" s="96">
        <v>100</v>
      </c>
      <c r="X102" s="96">
        <v>100</v>
      </c>
      <c r="Y102" s="96">
        <v>100</v>
      </c>
      <c r="Z102" s="96">
        <v>100</v>
      </c>
      <c r="AA102" s="96">
        <v>100</v>
      </c>
      <c r="AB102" s="113">
        <v>100</v>
      </c>
      <c r="AC102" s="113">
        <v>100</v>
      </c>
      <c r="AD102" s="112" t="s">
        <v>140</v>
      </c>
      <c r="AE102" s="112"/>
      <c r="AF102" s="112"/>
      <c r="AG102" s="112"/>
      <c r="AI102" s="3" t="str">
        <f>IFERROR(_xlfn.SINGLE(
IF(_xlfn.SINGLE(INDEX(TAB_Offres[Ressource 1],ROWS(Params!AI$2:$AI102)))=0,NA(),
INDEX(TAB_Offres[Ressource 1],ROWS(Params!AI$2:$AI102)))),
IFERROR(_xlfn.SINGLE(IF(_xlfn.SINGLE(INDEX(#REF!,ROWS(Params!AI$2:$AI102)-COUNTA(TAB_Offres[Ressource 1])))=0,NA(),
INDEX(#REF!,ROWS(Params!AI$2:$AI102)-COUNTA(TAB_Offres[Ressource 1])))),
IFERROR(_xlfn.SINGLE(IF(_xlfn.SINGLE(INDEX(#REF!,ROWS(Params!AI$2:$AI102)-COUNTA(#REF!)-COUNTA(TAB_Offres[Ressource 1])))=0,NA(),
INDEX(#REF!,ROWS(Params!AI$2:$AI102)-COUNTA(#REF!)-COUNTA(TAB_Offres[Ressource 1])))),""))
)</f>
        <v>DUMITRU, Florin-Gabriel</v>
      </c>
      <c r="AJ102" s="174">
        <f>IF(TAB_ressource[[#This Row],[Import Ressource]]="","",MAX(AJ$1:AJ101)+1)</f>
        <v>101</v>
      </c>
      <c r="AK102" s="176" t="str">
        <f>IFERROR(INDEX(TAB_ressource[Import Ressource],MATCH(ROW()-ROW($AK$1),TAB_ressource[ID Import ressources],0)),"")</f>
        <v>DUMITRU, Florin-Gabriel</v>
      </c>
      <c r="AN102" s="26">
        <f t="shared" si="7"/>
        <v>0</v>
      </c>
      <c r="AQ102" s="116" t="s">
        <v>14</v>
      </c>
      <c r="AR102" s="117">
        <f>COUNTIF(TAB_CS[Profile],AQ102)</f>
        <v>0</v>
      </c>
      <c r="BD102" t="s">
        <v>916</v>
      </c>
      <c r="BE102" t="s">
        <v>917</v>
      </c>
      <c r="BF102" t="s">
        <v>918</v>
      </c>
      <c r="BG102" t="s">
        <v>916</v>
      </c>
    </row>
    <row r="103" spans="13:59" x14ac:dyDescent="0.25">
      <c r="M103" t="str">
        <f>_xlfn.IFNA(IF(VLOOKUP(TAB_Offres[[#This Row],[Reference]],TAB_Offres[[Reference]:[Request State]],COLUMNS(TAB_Offres[[Reference]:[Request State]]),FALSE)=D$6,TAB_Offres[[#This Row],[Reference]],""),"")</f>
        <v>DIGITTMII-013723-DIGITTMII-002474-EXT-02-6000053863-REQ-01</v>
      </c>
      <c r="N103" t="str">
        <f>_xlfn.IFNA(IF(VLOOKUP(TAB_Offres[[#This Row],[Reference]],TAB_Offres[[Reference]:[Has Expenses?]],COLUMNS(TAB_Offres[[Reference]:[Has Expenses?]]),FALSE)=J$2,TAB_Offres[[#This Row],[Reference]],""),"")</f>
        <v/>
      </c>
      <c r="O103" t="str">
        <f>IF(Tableau19[[#This Row],[EXPENSES_REF]]="","",MAX(O$1:O102)+1)</f>
        <v/>
      </c>
      <c r="P103" t="str">
        <f t="shared" si="6"/>
        <v/>
      </c>
      <c r="R103" s="103"/>
      <c r="S103" s="101"/>
      <c r="T103" s="96"/>
      <c r="U103" s="96"/>
      <c r="V103" s="96"/>
      <c r="W103" s="96"/>
      <c r="X103" s="96"/>
      <c r="Y103" s="96"/>
      <c r="Z103" s="96"/>
      <c r="AA103" s="96"/>
      <c r="AB103" s="96"/>
      <c r="AC103" s="96"/>
      <c r="AD103" s="102"/>
      <c r="AI103" s="3" t="str">
        <f>IFERROR(_xlfn.SINGLE(
IF(_xlfn.SINGLE(INDEX(TAB_Offres[Ressource 1],ROWS(Params!AI$2:$AI103)))=0,NA(),
INDEX(TAB_Offres[Ressource 1],ROWS(Params!AI$2:$AI103)))),
IFERROR(_xlfn.SINGLE(IF(_xlfn.SINGLE(INDEX(#REF!,ROWS(Params!AI$2:$AI103)-COUNTA(TAB_Offres[Ressource 1])))=0,NA(),
INDEX(#REF!,ROWS(Params!AI$2:$AI103)-COUNTA(TAB_Offres[Ressource 1])))),
IFERROR(_xlfn.SINGLE(IF(_xlfn.SINGLE(INDEX(#REF!,ROWS(Params!AI$2:$AI103)-COUNTA(#REF!)-COUNTA(TAB_Offres[Ressource 1])))=0,NA(),
INDEX(#REF!,ROWS(Params!AI$2:$AI103)-COUNTA(#REF!)-COUNTA(TAB_Offres[Ressource 1])))),""))
)</f>
        <v>ADAM, Nathalie</v>
      </c>
      <c r="AJ103" s="174">
        <f>IF(TAB_ressource[[#This Row],[Import Ressource]]="","",MAX(AJ$1:AJ102)+1)</f>
        <v>102</v>
      </c>
      <c r="AK103" s="176" t="str">
        <f>IFERROR(INDEX(TAB_ressource[Import Ressource],MATCH(ROW()-ROW($AK$1),TAB_ressource[ID Import ressources],0)),"")</f>
        <v>ADAM, Nathalie</v>
      </c>
      <c r="AN103" s="26">
        <f t="shared" si="7"/>
        <v>0</v>
      </c>
      <c r="AQ103" s="116" t="s">
        <v>200</v>
      </c>
      <c r="AR103" s="117">
        <f>COUNTIF(TAB_CS[Profile],AQ103)</f>
        <v>0</v>
      </c>
      <c r="BD103" t="s">
        <v>919</v>
      </c>
      <c r="BE103" t="s">
        <v>920</v>
      </c>
      <c r="BF103" t="s">
        <v>921</v>
      </c>
      <c r="BG103" t="s">
        <v>919</v>
      </c>
    </row>
    <row r="104" spans="13:59" x14ac:dyDescent="0.25">
      <c r="M104" t="str">
        <f>_xlfn.IFNA(IF(VLOOKUP(TAB_Offres[[#This Row],[Reference]],TAB_Offres[[Reference]:[Request State]],COLUMNS(TAB_Offres[[Reference]:[Request State]]),FALSE)=D$6,TAB_Offres[[#This Row],[Reference]],""),"")</f>
        <v>DIGITTMII-008383-6000053863-REQ-01</v>
      </c>
      <c r="N104" t="str">
        <f>_xlfn.IFNA(IF(VLOOKUP(TAB_Offres[[#This Row],[Reference]],TAB_Offres[[Reference]:[Has Expenses?]],COLUMNS(TAB_Offres[[Reference]:[Has Expenses?]]),FALSE)=J$2,TAB_Offres[[#This Row],[Reference]],""),"")</f>
        <v/>
      </c>
      <c r="O104" t="str">
        <f>IF(Tableau19[[#This Row],[EXPENSES_REF]]="","",MAX(O$1:O103)+1)</f>
        <v/>
      </c>
      <c r="P104" t="str">
        <f t="shared" si="6"/>
        <v/>
      </c>
      <c r="R104" s="103" t="s">
        <v>317</v>
      </c>
      <c r="S104" s="101">
        <v>10</v>
      </c>
      <c r="T104" s="96"/>
      <c r="U104" s="96"/>
      <c r="V104" s="96"/>
      <c r="W104" s="96"/>
      <c r="X104" s="96"/>
      <c r="Y104" s="96"/>
      <c r="Z104" s="96"/>
      <c r="AA104" s="96"/>
      <c r="AB104" s="96"/>
      <c r="AC104" s="96"/>
      <c r="AD104" s="102"/>
      <c r="AI104" s="3" t="str">
        <f>IFERROR(_xlfn.SINGLE(
IF(_xlfn.SINGLE(INDEX(TAB_Offres[Ressource 1],ROWS(Params!AI$2:$AI104)))=0,NA(),
INDEX(TAB_Offres[Ressource 1],ROWS(Params!AI$2:$AI104)))),
IFERROR(_xlfn.SINGLE(IF(_xlfn.SINGLE(INDEX(#REF!,ROWS(Params!AI$2:$AI104)-COUNTA(TAB_Offres[Ressource 1])))=0,NA(),
INDEX(#REF!,ROWS(Params!AI$2:$AI104)-COUNTA(TAB_Offres[Ressource 1])))),
IFERROR(_xlfn.SINGLE(IF(_xlfn.SINGLE(INDEX(#REF!,ROWS(Params!AI$2:$AI104)-COUNTA(#REF!)-COUNTA(TAB_Offres[Ressource 1])))=0,NA(),
INDEX(#REF!,ROWS(Params!AI$2:$AI104)-COUNTA(#REF!)-COUNTA(TAB_Offres[Ressource 1])))),""))
)</f>
        <v>SANDOVAL David</v>
      </c>
      <c r="AJ104" s="174">
        <f>IF(TAB_ressource[[#This Row],[Import Ressource]]="","",MAX(AJ$1:AJ103)+1)</f>
        <v>103</v>
      </c>
      <c r="AK104" s="176" t="str">
        <f>IFERROR(INDEX(TAB_ressource[Import Ressource],MATCH(ROW()-ROW($AK$1),TAB_ressource[ID Import ressources],0)),"")</f>
        <v>SANDOVAL David</v>
      </c>
      <c r="AN104" s="26">
        <f t="shared" si="7"/>
        <v>0</v>
      </c>
      <c r="AQ104" s="116" t="s">
        <v>201</v>
      </c>
      <c r="AR104" s="117">
        <f>COUNTIF(TAB_CS[Profile],AQ104)</f>
        <v>1</v>
      </c>
      <c r="BD104" t="s">
        <v>922</v>
      </c>
      <c r="BE104" t="s">
        <v>923</v>
      </c>
      <c r="BF104" t="s">
        <v>924</v>
      </c>
      <c r="BG104" t="s">
        <v>922</v>
      </c>
    </row>
    <row r="105" spans="13:59" x14ac:dyDescent="0.25">
      <c r="M105" t="str">
        <f>_xlfn.IFNA(IF(VLOOKUP(TAB_Offres[[#This Row],[Reference]],TAB_Offres[[Reference]:[Request State]],COLUMNS(TAB_Offres[[Reference]:[Request State]]),FALSE)=D$6,TAB_Offres[[#This Row],[Reference]],""),"")</f>
        <v>DIGITTMII-012575-DIGITTMII-002191-EXT-03-6000053863-REQ-01</v>
      </c>
      <c r="N105" t="str">
        <f>_xlfn.IFNA(IF(VLOOKUP(TAB_Offres[[#This Row],[Reference]],TAB_Offres[[Reference]:[Has Expenses?]],COLUMNS(TAB_Offres[[Reference]:[Has Expenses?]]),FALSE)=J$2,TAB_Offres[[#This Row],[Reference]],""),"")</f>
        <v/>
      </c>
      <c r="O105" t="str">
        <f>IF(Tableau19[[#This Row],[EXPENSES_REF]]="","",MAX(O$1:O104)+1)</f>
        <v/>
      </c>
      <c r="P105" t="str">
        <f t="shared" si="6"/>
        <v/>
      </c>
      <c r="R105" s="103" t="s">
        <v>318</v>
      </c>
      <c r="S105" s="134">
        <v>30</v>
      </c>
      <c r="T105" s="111"/>
      <c r="U105" s="111"/>
      <c r="V105" s="111"/>
      <c r="W105" s="111"/>
      <c r="X105" s="111"/>
      <c r="Y105" s="111"/>
      <c r="Z105" s="111"/>
      <c r="AA105" s="111"/>
      <c r="AB105" s="111"/>
      <c r="AC105" s="111"/>
      <c r="AD105" s="112"/>
      <c r="AI105" s="3" t="str">
        <f>IFERROR(_xlfn.SINGLE(
IF(_xlfn.SINGLE(INDEX(TAB_Offres[Ressource 1],ROWS(Params!AI$2:$AI105)))=0,NA(),
INDEX(TAB_Offres[Ressource 1],ROWS(Params!AI$2:$AI105)))),
IFERROR(_xlfn.SINGLE(IF(_xlfn.SINGLE(INDEX(#REF!,ROWS(Params!AI$2:$AI105)-COUNTA(TAB_Offres[Ressource 1])))=0,NA(),
INDEX(#REF!,ROWS(Params!AI$2:$AI105)-COUNTA(TAB_Offres[Ressource 1])))),
IFERROR(_xlfn.SINGLE(IF(_xlfn.SINGLE(INDEX(#REF!,ROWS(Params!AI$2:$AI105)-COUNTA(#REF!)-COUNTA(TAB_Offres[Ressource 1])))=0,NA(),
INDEX(#REF!,ROWS(Params!AI$2:$AI105)-COUNTA(#REF!)-COUNTA(TAB_Offres[Ressource 1])))),""))
)</f>
        <v>FREIRE FERREIRA, Carlos Miguel</v>
      </c>
      <c r="AJ105" s="174">
        <f>IF(TAB_ressource[[#This Row],[Import Ressource]]="","",MAX(AJ$1:AJ104)+1)</f>
        <v>104</v>
      </c>
      <c r="AK105" s="176" t="str">
        <f>IFERROR(INDEX(TAB_ressource[Import Ressource],MATCH(ROW()-ROW($AK$1),TAB_ressource[ID Import ressources],0)),"")</f>
        <v>FREIRE FERREIRA, Carlos Miguel</v>
      </c>
      <c r="AN105" s="26">
        <f t="shared" si="7"/>
        <v>0</v>
      </c>
      <c r="BD105" t="s">
        <v>925</v>
      </c>
      <c r="BE105" t="s">
        <v>926</v>
      </c>
      <c r="BF105" t="s">
        <v>927</v>
      </c>
      <c r="BG105" t="s">
        <v>925</v>
      </c>
    </row>
    <row r="106" spans="13:59" x14ac:dyDescent="0.25">
      <c r="M106" t="str">
        <f>_xlfn.IFNA(IF(VLOOKUP(TAB_Offres[[#This Row],[Reference]],TAB_Offres[[Reference]:[Request State]],COLUMNS(TAB_Offres[[Reference]:[Request State]]),FALSE)=D$6,TAB_Offres[[#This Row],[Reference]],""),"")</f>
        <v>DIGITTMII-009597-6000053863-REQ-01</v>
      </c>
      <c r="N106" t="str">
        <f>_xlfn.IFNA(IF(VLOOKUP(TAB_Offres[[#This Row],[Reference]],TAB_Offres[[Reference]:[Has Expenses?]],COLUMNS(TAB_Offres[[Reference]:[Has Expenses?]]),FALSE)=J$2,TAB_Offres[[#This Row],[Reference]],""),"")</f>
        <v/>
      </c>
      <c r="O106" t="str">
        <f>IF(Tableau19[[#This Row],[EXPENSES_REF]]="","",MAX(O$1:O105)+1)</f>
        <v/>
      </c>
      <c r="P106" t="str">
        <f t="shared" si="6"/>
        <v/>
      </c>
      <c r="R106" s="104"/>
      <c r="S106" s="113"/>
      <c r="T106" s="113"/>
      <c r="U106" s="113"/>
      <c r="V106" s="113"/>
      <c r="W106" s="113"/>
      <c r="X106" s="113"/>
      <c r="Y106" s="113"/>
      <c r="Z106" s="113"/>
      <c r="AA106" s="113"/>
      <c r="AB106" s="113"/>
      <c r="AC106" s="113"/>
      <c r="AD106" s="112"/>
      <c r="AI106" s="3" t="str">
        <f>IFERROR(_xlfn.SINGLE(
IF(_xlfn.SINGLE(INDEX(TAB_Offres[Ressource 1],ROWS(Params!AI$2:$AI106)))=0,NA(),
INDEX(TAB_Offres[Ressource 1],ROWS(Params!AI$2:$AI106)))),
IFERROR(_xlfn.SINGLE(IF(_xlfn.SINGLE(INDEX(#REF!,ROWS(Params!AI$2:$AI106)-COUNTA(TAB_Offres[Ressource 1])))=0,NA(),
INDEX(#REF!,ROWS(Params!AI$2:$AI106)-COUNTA(TAB_Offres[Ressource 1])))),
IFERROR(_xlfn.SINGLE(IF(_xlfn.SINGLE(INDEX(#REF!,ROWS(Params!AI$2:$AI106)-COUNTA(#REF!)-COUNTA(TAB_Offres[Ressource 1])))=0,NA(),
INDEX(#REF!,ROWS(Params!AI$2:$AI106)-COUNTA(#REF!)-COUNTA(TAB_Offres[Ressource 1])))),""))
)</f>
        <v>URBINI Lorenzo</v>
      </c>
      <c r="AJ106" s="174">
        <f>IF(TAB_ressource[[#This Row],[Import Ressource]]="","",MAX(AJ$1:AJ105)+1)</f>
        <v>105</v>
      </c>
      <c r="AK106" s="176" t="str">
        <f>IFERROR(INDEX(TAB_ressource[Import Ressource],MATCH(ROW()-ROW($AK$1),TAB_ressource[ID Import ressources],0)),"")</f>
        <v>URBINI Lorenzo</v>
      </c>
      <c r="AN106" s="26">
        <f t="shared" si="7"/>
        <v>0</v>
      </c>
      <c r="BD106" t="s">
        <v>928</v>
      </c>
      <c r="BE106" t="s">
        <v>929</v>
      </c>
      <c r="BF106" t="s">
        <v>930</v>
      </c>
      <c r="BG106" t="s">
        <v>928</v>
      </c>
    </row>
    <row r="107" spans="13:59" x14ac:dyDescent="0.25">
      <c r="M107" t="str">
        <f>_xlfn.IFNA(IF(VLOOKUP(TAB_Offres[[#This Row],[Reference]],TAB_Offres[[Reference]:[Request State]],COLUMNS(TAB_Offres[[Reference]:[Request State]]),FALSE)=D$6,TAB_Offres[[#This Row],[Reference]],""),"")</f>
        <v>DIGITTMII-013640-DIGITTMII-001940-EXT-02-6000053863-REQ-01</v>
      </c>
      <c r="N107" t="str">
        <f>_xlfn.IFNA(IF(VLOOKUP(TAB_Offres[[#This Row],[Reference]],TAB_Offres[[Reference]:[Has Expenses?]],COLUMNS(TAB_Offres[[Reference]:[Has Expenses?]]),FALSE)=J$2,TAB_Offres[[#This Row],[Reference]],""),"")</f>
        <v/>
      </c>
      <c r="O107" t="str">
        <f>IF(Tableau19[[#This Row],[EXPENSES_REF]]="","",MAX(O$1:O106)+1)</f>
        <v/>
      </c>
      <c r="P107" t="str">
        <f t="shared" si="6"/>
        <v/>
      </c>
      <c r="R107" s="227"/>
      <c r="S107" s="101"/>
      <c r="T107" s="228"/>
      <c r="U107" s="228"/>
      <c r="V107" s="228"/>
      <c r="W107" s="228"/>
      <c r="X107" s="228"/>
      <c r="Y107" s="228"/>
      <c r="Z107" s="228"/>
      <c r="AA107" s="228"/>
      <c r="AB107" s="228"/>
      <c r="AC107" s="228"/>
      <c r="AD107" s="102"/>
      <c r="AI107" s="3" t="str">
        <f>IFERROR(_xlfn.SINGLE(
IF(_xlfn.SINGLE(INDEX(TAB_Offres[Ressource 1],ROWS(Params!AI$2:$AI107)))=0,NA(),
INDEX(TAB_Offres[Ressource 1],ROWS(Params!AI$2:$AI107)))),
IFERROR(_xlfn.SINGLE(IF(_xlfn.SINGLE(INDEX(#REF!,ROWS(Params!AI$2:$AI107)-COUNTA(TAB_Offres[Ressource 1])))=0,NA(),
INDEX(#REF!,ROWS(Params!AI$2:$AI107)-COUNTA(TAB_Offres[Ressource 1])))),
IFERROR(_xlfn.SINGLE(IF(_xlfn.SINGLE(INDEX(#REF!,ROWS(Params!AI$2:$AI107)-COUNTA(#REF!)-COUNTA(TAB_Offres[Ressource 1])))=0,NA(),
INDEX(#REF!,ROWS(Params!AI$2:$AI107)-COUNTA(#REF!)-COUNTA(TAB_Offres[Ressource 1])))),""))
)</f>
        <v>COOKE, Justin</v>
      </c>
      <c r="AJ107" s="174">
        <f>IF(TAB_ressource[[#This Row],[Import Ressource]]="","",MAX(AJ$1:AJ106)+1)</f>
        <v>106</v>
      </c>
      <c r="AK107" s="176" t="str">
        <f>IFERROR(INDEX(TAB_ressource[Import Ressource],MATCH(ROW()-ROW($AK$1),TAB_ressource[ID Import ressources],0)),"")</f>
        <v>COOKE, Justin</v>
      </c>
      <c r="AN107" s="26">
        <f t="shared" si="7"/>
        <v>0</v>
      </c>
      <c r="BD107" t="s">
        <v>931</v>
      </c>
      <c r="BE107" t="s">
        <v>932</v>
      </c>
      <c r="BF107" t="s">
        <v>933</v>
      </c>
      <c r="BG107" t="s">
        <v>931</v>
      </c>
    </row>
    <row r="108" spans="13:59" x14ac:dyDescent="0.25">
      <c r="M108" t="str">
        <f>_xlfn.IFNA(IF(VLOOKUP(TAB_Offres[[#This Row],[Reference]],TAB_Offres[[Reference]:[Request State]],COLUMNS(TAB_Offres[[Reference]:[Request State]]),FALSE)=D$6,TAB_Offres[[#This Row],[Reference]],""),"")</f>
        <v>DIGITTMII-013706-DIGITTMII-009146-EXT-01-6000053863-REQ-01</v>
      </c>
      <c r="N108" t="str">
        <f>_xlfn.IFNA(IF(VLOOKUP(TAB_Offres[[#This Row],[Reference]],TAB_Offres[[Reference]:[Has Expenses?]],COLUMNS(TAB_Offres[[Reference]:[Has Expenses?]]),FALSE)=J$2,TAB_Offres[[#This Row],[Reference]],""),"")</f>
        <v/>
      </c>
      <c r="O108" t="str">
        <f>IF(Tableau19[[#This Row],[EXPENSES_REF]]="","",MAX(O$1:O107)+1)</f>
        <v/>
      </c>
      <c r="P108" t="str">
        <f t="shared" si="6"/>
        <v/>
      </c>
      <c r="R108" s="229" t="s">
        <v>5415</v>
      </c>
      <c r="S108" s="101"/>
      <c r="T108" s="228"/>
      <c r="U108" s="228"/>
      <c r="V108" s="228"/>
      <c r="W108" s="228"/>
      <c r="X108" s="228"/>
      <c r="Y108" s="228"/>
      <c r="Z108" s="228"/>
      <c r="AA108" s="228"/>
      <c r="AB108" s="228"/>
      <c r="AC108" s="228"/>
      <c r="AD108" s="102"/>
      <c r="AI108" s="3" t="str">
        <f>IFERROR(_xlfn.SINGLE(
IF(_xlfn.SINGLE(INDEX(TAB_Offres[Ressource 1],ROWS(Params!AI$2:$AI108)))=0,NA(),
INDEX(TAB_Offres[Ressource 1],ROWS(Params!AI$2:$AI108)))),
IFERROR(_xlfn.SINGLE(IF(_xlfn.SINGLE(INDEX(#REF!,ROWS(Params!AI$2:$AI108)-COUNTA(TAB_Offres[Ressource 1])))=0,NA(),
INDEX(#REF!,ROWS(Params!AI$2:$AI108)-COUNTA(TAB_Offres[Ressource 1])))),
IFERROR(_xlfn.SINGLE(IF(_xlfn.SINGLE(INDEX(#REF!,ROWS(Params!AI$2:$AI108)-COUNTA(#REF!)-COUNTA(TAB_Offres[Ressource 1])))=0,NA(),
INDEX(#REF!,ROWS(Params!AI$2:$AI108)-COUNTA(#REF!)-COUNTA(TAB_Offres[Ressource 1])))),""))
)</f>
        <v>ADESIDA, Yemi</v>
      </c>
      <c r="AJ108" s="174">
        <f>IF(TAB_ressource[[#This Row],[Import Ressource]]="","",MAX(AJ$1:AJ107)+1)</f>
        <v>107</v>
      </c>
      <c r="AK108" s="176" t="str">
        <f>IFERROR(INDEX(TAB_ressource[Import Ressource],MATCH(ROW()-ROW($AK$1),TAB_ressource[ID Import ressources],0)),"")</f>
        <v>ADESIDA, Yemi</v>
      </c>
      <c r="AN108" s="26">
        <f t="shared" si="7"/>
        <v>0</v>
      </c>
      <c r="BD108" t="s">
        <v>934</v>
      </c>
      <c r="BE108" t="s">
        <v>935</v>
      </c>
      <c r="BF108" t="s">
        <v>936</v>
      </c>
      <c r="BG108" t="s">
        <v>934</v>
      </c>
    </row>
    <row r="109" spans="13:59" ht="16.95" customHeight="1" x14ac:dyDescent="0.25">
      <c r="M109" t="str">
        <f>_xlfn.IFNA(IF(VLOOKUP(TAB_Offres[[#This Row],[Reference]],TAB_Offres[[Reference]:[Request State]],COLUMNS(TAB_Offres[[Reference]:[Request State]]),FALSE)=D$6,TAB_Offres[[#This Row],[Reference]],""),"")</f>
        <v>DIGITTMII-013264-DIGITTMII-001772-EXT-02-6000053863-REQ-01</v>
      </c>
      <c r="N109" t="str">
        <f>_xlfn.IFNA(IF(VLOOKUP(TAB_Offres[[#This Row],[Reference]],TAB_Offres[[Reference]:[Has Expenses?]],COLUMNS(TAB_Offres[[Reference]:[Has Expenses?]]),FALSE)=J$2,TAB_Offres[[#This Row],[Reference]],""),"")</f>
        <v/>
      </c>
      <c r="O109" t="str">
        <f>IF(Tableau19[[#This Row],[EXPENSES_REF]]="","",MAX(O$1:O108)+1)</f>
        <v/>
      </c>
      <c r="P109" t="str">
        <f t="shared" si="6"/>
        <v/>
      </c>
      <c r="R109" s="229" t="s">
        <v>5416</v>
      </c>
      <c r="S109" s="101"/>
      <c r="T109" s="228"/>
      <c r="U109" s="228"/>
      <c r="V109" s="228"/>
      <c r="W109" s="228"/>
      <c r="X109" s="228"/>
      <c r="Y109" s="228"/>
      <c r="Z109" s="228"/>
      <c r="AA109" s="228"/>
      <c r="AB109" s="228"/>
      <c r="AC109" s="228"/>
      <c r="AD109" s="102"/>
      <c r="AI109" s="3" t="str">
        <f>IFERROR(_xlfn.SINGLE(
IF(_xlfn.SINGLE(INDEX(TAB_Offres[Ressource 1],ROWS(Params!AI$2:$AI109)))=0,NA(),
INDEX(TAB_Offres[Ressource 1],ROWS(Params!AI$2:$AI109)))),
IFERROR(_xlfn.SINGLE(IF(_xlfn.SINGLE(INDEX(#REF!,ROWS(Params!AI$2:$AI109)-COUNTA(TAB_Offres[Ressource 1])))=0,NA(),
INDEX(#REF!,ROWS(Params!AI$2:$AI109)-COUNTA(TAB_Offres[Ressource 1])))),
IFERROR(_xlfn.SINGLE(IF(_xlfn.SINGLE(INDEX(#REF!,ROWS(Params!AI$2:$AI109)-COUNTA(#REF!)-COUNTA(TAB_Offres[Ressource 1])))=0,NA(),
INDEX(#REF!,ROWS(Params!AI$2:$AI109)-COUNTA(#REF!)-COUNTA(TAB_Offres[Ressource 1])))),""))
)</f>
        <v>KATHAL, Tanisha</v>
      </c>
      <c r="AJ109" s="174">
        <f>IF(TAB_ressource[[#This Row],[Import Ressource]]="","",MAX(AJ$1:AJ108)+1)</f>
        <v>108</v>
      </c>
      <c r="AK109" s="176" t="str">
        <f>IFERROR(INDEX(TAB_ressource[Import Ressource],MATCH(ROW()-ROW($AK$1),TAB_ressource[ID Import ressources],0)),"")</f>
        <v>KATHAL, Tanisha</v>
      </c>
      <c r="AN109" s="26">
        <f t="shared" si="7"/>
        <v>0</v>
      </c>
      <c r="BD109" t="s">
        <v>937</v>
      </c>
      <c r="BE109" t="s">
        <v>938</v>
      </c>
      <c r="BF109" t="s">
        <v>939</v>
      </c>
      <c r="BG109" t="s">
        <v>937</v>
      </c>
    </row>
    <row r="110" spans="13:59" x14ac:dyDescent="0.25">
      <c r="M110" t="str">
        <f>_xlfn.IFNA(IF(VLOOKUP(TAB_Offres[[#This Row],[Reference]],TAB_Offres[[Reference]:[Request State]],COLUMNS(TAB_Offres[[Reference]:[Request State]]),FALSE)=D$6,TAB_Offres[[#This Row],[Reference]],""),"")</f>
        <v>DIGITTMII-013721-DIGITTMII-001415-EXT-02-6000053863-REQ-01</v>
      </c>
      <c r="N110" t="str">
        <f>_xlfn.IFNA(IF(VLOOKUP(TAB_Offres[[#This Row],[Reference]],TAB_Offres[[Reference]:[Has Expenses?]],COLUMNS(TAB_Offres[[Reference]:[Has Expenses?]]),FALSE)=J$2,TAB_Offres[[#This Row],[Reference]],""),"")</f>
        <v/>
      </c>
      <c r="O110" t="str">
        <f>IF(Tableau19[[#This Row],[EXPENSES_REF]]="","",MAX(O$1:O109)+1)</f>
        <v/>
      </c>
      <c r="P110" t="str">
        <f t="shared" si="6"/>
        <v/>
      </c>
      <c r="R110" s="227" t="s">
        <v>5684</v>
      </c>
      <c r="S110" s="230">
        <v>273.92</v>
      </c>
      <c r="T110" s="231">
        <v>293.08999999999997</v>
      </c>
      <c r="U110" s="231">
        <v>313.61</v>
      </c>
      <c r="V110" s="231">
        <v>335.56</v>
      </c>
      <c r="W110" s="231">
        <v>359.05</v>
      </c>
      <c r="X110" s="231">
        <v>384.18</v>
      </c>
      <c r="Y110" s="231">
        <v>411.07</v>
      </c>
      <c r="Z110" s="231">
        <v>439.84</v>
      </c>
      <c r="AA110" s="231">
        <v>470.63</v>
      </c>
      <c r="AB110" s="231">
        <v>503.57</v>
      </c>
      <c r="AC110" s="231">
        <v>538.82000000000005</v>
      </c>
      <c r="AD110" s="102"/>
      <c r="AI110" s="3" t="str">
        <f>IFERROR(_xlfn.SINGLE(
IF(_xlfn.SINGLE(INDEX(TAB_Offres[Ressource 1],ROWS(Params!AI$2:$AI110)))=0,NA(),
INDEX(TAB_Offres[Ressource 1],ROWS(Params!AI$2:$AI110)))),
IFERROR(_xlfn.SINGLE(IF(_xlfn.SINGLE(INDEX(#REF!,ROWS(Params!AI$2:$AI110)-COUNTA(TAB_Offres[Ressource 1])))=0,NA(),
INDEX(#REF!,ROWS(Params!AI$2:$AI110)-COUNTA(TAB_Offres[Ressource 1])))),
IFERROR(_xlfn.SINGLE(IF(_xlfn.SINGLE(INDEX(#REF!,ROWS(Params!AI$2:$AI110)-COUNTA(#REF!)-COUNTA(TAB_Offres[Ressource 1])))=0,NA(),
INDEX(#REF!,ROWS(Params!AI$2:$AI110)-COUNTA(#REF!)-COUNTA(TAB_Offres[Ressource 1])))),""))
)</f>
        <v>SARBU, Cornelia</v>
      </c>
      <c r="AJ110" s="174">
        <f>IF(TAB_ressource[[#This Row],[Import Ressource]]="","",MAX(AJ$1:AJ109)+1)</f>
        <v>109</v>
      </c>
      <c r="AK110" s="176" t="str">
        <f>IFERROR(INDEX(TAB_ressource[Import Ressource],MATCH(ROW()-ROW($AK$1),TAB_ressource[ID Import ressources],0)),"")</f>
        <v>SARBU, Cornelia</v>
      </c>
      <c r="AN110" s="26">
        <f t="shared" si="7"/>
        <v>0</v>
      </c>
      <c r="BD110" t="s">
        <v>940</v>
      </c>
      <c r="BE110" t="s">
        <v>941</v>
      </c>
      <c r="BF110" t="s">
        <v>942</v>
      </c>
      <c r="BG110" t="s">
        <v>940</v>
      </c>
    </row>
    <row r="111" spans="13:59" x14ac:dyDescent="0.25">
      <c r="M111" t="str">
        <f>_xlfn.IFNA(IF(VLOOKUP(TAB_Offres[[#This Row],[Reference]],TAB_Offres[[Reference]:[Request State]],COLUMNS(TAB_Offres[[Reference]:[Request State]]),FALSE)=D$6,TAB_Offres[[#This Row],[Reference]],""),"")</f>
        <v>DIGITTMII-013905-DIGITTMII-003463-EXT-02-6000053863-REQ-01</v>
      </c>
      <c r="N111" t="str">
        <f>_xlfn.IFNA(IF(VLOOKUP(TAB_Offres[[#This Row],[Reference]],TAB_Offres[[Reference]:[Has Expenses?]],COLUMNS(TAB_Offres[[Reference]:[Has Expenses?]]),FALSE)=J$2,TAB_Offres[[#This Row],[Reference]],""),"")</f>
        <v>DIGITTMII-013905-DIGITTMII-003463-EXT-02-6000053863-REQ-01</v>
      </c>
      <c r="O111">
        <f>IF(Tableau19[[#This Row],[EXPENSES_REF]]="","",MAX(O$1:O110)+1)</f>
        <v>20</v>
      </c>
      <c r="P111" t="str">
        <f t="shared" si="6"/>
        <v/>
      </c>
      <c r="R111" s="227" t="s">
        <v>5685</v>
      </c>
      <c r="S111" s="230">
        <v>273.92</v>
      </c>
      <c r="T111" s="231">
        <v>293.08999999999997</v>
      </c>
      <c r="U111" s="231">
        <v>313.61</v>
      </c>
      <c r="V111" s="231">
        <v>335.56</v>
      </c>
      <c r="W111" s="231">
        <v>359.05</v>
      </c>
      <c r="X111" s="231">
        <v>384.18</v>
      </c>
      <c r="Y111" s="231">
        <v>411.07</v>
      </c>
      <c r="Z111" s="231">
        <v>439.84</v>
      </c>
      <c r="AA111" s="231">
        <v>470.63</v>
      </c>
      <c r="AB111" s="231">
        <v>503.57</v>
      </c>
      <c r="AC111" s="231">
        <v>538.82000000000005</v>
      </c>
      <c r="AD111" s="102"/>
      <c r="AI111" s="3" t="str">
        <f>IFERROR(_xlfn.SINGLE(
IF(_xlfn.SINGLE(INDEX(TAB_Offres[Ressource 1],ROWS(Params!AI$2:$AI111)))=0,NA(),
INDEX(TAB_Offres[Ressource 1],ROWS(Params!AI$2:$AI111)))),
IFERROR(_xlfn.SINGLE(IF(_xlfn.SINGLE(INDEX(#REF!,ROWS(Params!AI$2:$AI111)-COUNTA(TAB_Offres[Ressource 1])))=0,NA(),
INDEX(#REF!,ROWS(Params!AI$2:$AI111)-COUNTA(TAB_Offres[Ressource 1])))),
IFERROR(_xlfn.SINGLE(IF(_xlfn.SINGLE(INDEX(#REF!,ROWS(Params!AI$2:$AI111)-COUNTA(#REF!)-COUNTA(TAB_Offres[Ressource 1])))=0,NA(),
INDEX(#REF!,ROWS(Params!AI$2:$AI111)-COUNTA(#REF!)-COUNTA(TAB_Offres[Ressource 1])))),""))
)</f>
        <v>MASTRANDREA, Barbara Maria</v>
      </c>
      <c r="AJ111" s="174">
        <f>IF(TAB_ressource[[#This Row],[Import Ressource]]="","",MAX(AJ$1:AJ110)+1)</f>
        <v>110</v>
      </c>
      <c r="AK111" s="176" t="str">
        <f>IFERROR(INDEX(TAB_ressource[Import Ressource],MATCH(ROW()-ROW($AK$1),TAB_ressource[ID Import ressources],0)),"")</f>
        <v>MASTRANDREA, Barbara Maria</v>
      </c>
      <c r="AN111" s="26">
        <f t="shared" si="7"/>
        <v>0</v>
      </c>
      <c r="BD111" t="s">
        <v>943</v>
      </c>
      <c r="BE111" t="s">
        <v>944</v>
      </c>
      <c r="BF111" t="s">
        <v>945</v>
      </c>
      <c r="BG111" t="s">
        <v>943</v>
      </c>
    </row>
    <row r="112" spans="13:59" x14ac:dyDescent="0.25">
      <c r="M112" t="str">
        <f>_xlfn.IFNA(IF(VLOOKUP(TAB_Offres[[#This Row],[Reference]],TAB_Offres[[Reference]:[Request State]],COLUMNS(TAB_Offres[[Reference]:[Request State]]),FALSE)=D$6,TAB_Offres[[#This Row],[Reference]],""),"")</f>
        <v>DIGITTMII-014031-DIGITTMII-003533-EXT-03-6000053863-REQ-01</v>
      </c>
      <c r="N112" t="str">
        <f>_xlfn.IFNA(IF(VLOOKUP(TAB_Offres[[#This Row],[Reference]],TAB_Offres[[Reference]:[Has Expenses?]],COLUMNS(TAB_Offres[[Reference]:[Has Expenses?]]),FALSE)=J$2,TAB_Offres[[#This Row],[Reference]],""),"")</f>
        <v/>
      </c>
      <c r="O112" t="str">
        <f>IF(Tableau19[[#This Row],[EXPENSES_REF]]="","",MAX(O$1:O111)+1)</f>
        <v/>
      </c>
      <c r="P112" t="str">
        <f t="shared" si="6"/>
        <v/>
      </c>
      <c r="R112" s="227" t="s">
        <v>5686</v>
      </c>
      <c r="S112" s="230">
        <v>352.59</v>
      </c>
      <c r="T112" s="231">
        <v>377.27</v>
      </c>
      <c r="U112" s="231">
        <v>403.68</v>
      </c>
      <c r="V112" s="231">
        <v>431.94</v>
      </c>
      <c r="W112" s="231">
        <v>462.18</v>
      </c>
      <c r="X112" s="231">
        <v>494.53</v>
      </c>
      <c r="Y112" s="231">
        <v>529.15</v>
      </c>
      <c r="Z112" s="231">
        <v>566.19000000000005</v>
      </c>
      <c r="AA112" s="231">
        <v>605.82000000000005</v>
      </c>
      <c r="AB112" s="231">
        <v>648.23</v>
      </c>
      <c r="AC112" s="231">
        <v>693.61</v>
      </c>
      <c r="AD112" s="102"/>
      <c r="AI112" s="3" t="str">
        <f>IFERROR(_xlfn.SINGLE(
IF(_xlfn.SINGLE(INDEX(TAB_Offres[Ressource 1],ROWS(Params!AI$2:$AI112)))=0,NA(),
INDEX(TAB_Offres[Ressource 1],ROWS(Params!AI$2:$AI112)))),
IFERROR(_xlfn.SINGLE(IF(_xlfn.SINGLE(INDEX(#REF!,ROWS(Params!AI$2:$AI112)-COUNTA(TAB_Offres[Ressource 1])))=0,NA(),
INDEX(#REF!,ROWS(Params!AI$2:$AI112)-COUNTA(TAB_Offres[Ressource 1])))),
IFERROR(_xlfn.SINGLE(IF(_xlfn.SINGLE(INDEX(#REF!,ROWS(Params!AI$2:$AI112)-COUNTA(#REF!)-COUNTA(TAB_Offres[Ressource 1])))=0,NA(),
INDEX(#REF!,ROWS(Params!AI$2:$AI112)-COUNTA(#REF!)-COUNTA(TAB_Offres[Ressource 1])))),""))
)</f>
        <v>OLLINGER, Yannick</v>
      </c>
      <c r="AJ112" s="174">
        <f>IF(TAB_ressource[[#This Row],[Import Ressource]]="","",MAX(AJ$1:AJ111)+1)</f>
        <v>111</v>
      </c>
      <c r="AK112" s="176" t="str">
        <f>IFERROR(INDEX(TAB_ressource[Import Ressource],MATCH(ROW()-ROW($AK$1),TAB_ressource[ID Import ressources],0)),"")</f>
        <v>OLLINGER, Yannick</v>
      </c>
      <c r="AN112" s="26">
        <f t="shared" si="7"/>
        <v>0</v>
      </c>
      <c r="BD112" t="s">
        <v>946</v>
      </c>
      <c r="BE112" t="s">
        <v>947</v>
      </c>
      <c r="BF112" t="s">
        <v>948</v>
      </c>
      <c r="BG112" t="s">
        <v>946</v>
      </c>
    </row>
    <row r="113" spans="13:59" x14ac:dyDescent="0.25">
      <c r="M113" t="str">
        <f>_xlfn.IFNA(IF(VLOOKUP(TAB_Offres[[#This Row],[Reference]],TAB_Offres[[Reference]:[Request State]],COLUMNS(TAB_Offres[[Reference]:[Request State]]),FALSE)=D$6,TAB_Offres[[#This Row],[Reference]],""),"")</f>
        <v>DIGITTMII-014090-DIGITTMII-003389-EXT-03-6000053863-REQ-01</v>
      </c>
      <c r="N113" t="str">
        <f>_xlfn.IFNA(IF(VLOOKUP(TAB_Offres[[#This Row],[Reference]],TAB_Offres[[Reference]:[Has Expenses?]],COLUMNS(TAB_Offres[[Reference]:[Has Expenses?]]),FALSE)=J$2,TAB_Offres[[#This Row],[Reference]],""),"")</f>
        <v/>
      </c>
      <c r="O113" t="str">
        <f>IF(Tableau19[[#This Row],[EXPENSES_REF]]="","",MAX(O$1:O112)+1)</f>
        <v/>
      </c>
      <c r="P113" t="str">
        <f t="shared" si="6"/>
        <v/>
      </c>
      <c r="R113" s="227" t="s">
        <v>5687</v>
      </c>
      <c r="S113" s="230">
        <v>355.75</v>
      </c>
      <c r="T113" s="231">
        <v>380.65</v>
      </c>
      <c r="U113" s="231">
        <v>407.3</v>
      </c>
      <c r="V113" s="231">
        <v>435.81</v>
      </c>
      <c r="W113" s="231">
        <v>466.32</v>
      </c>
      <c r="X113" s="231">
        <v>498.96</v>
      </c>
      <c r="Y113" s="231">
        <v>533.89</v>
      </c>
      <c r="Z113" s="231">
        <v>571.26</v>
      </c>
      <c r="AA113" s="231">
        <v>611.25</v>
      </c>
      <c r="AB113" s="231">
        <v>654.04</v>
      </c>
      <c r="AC113" s="231">
        <v>699.82</v>
      </c>
      <c r="AD113" s="102"/>
      <c r="AI113" s="3" t="str">
        <f>IFERROR(_xlfn.SINGLE(
IF(_xlfn.SINGLE(INDEX(TAB_Offres[Ressource 1],ROWS(Params!AI$2:$AI113)))=0,NA(),
INDEX(TAB_Offres[Ressource 1],ROWS(Params!AI$2:$AI113)))),
IFERROR(_xlfn.SINGLE(IF(_xlfn.SINGLE(INDEX(#REF!,ROWS(Params!AI$2:$AI113)-COUNTA(TAB_Offres[Ressource 1])))=0,NA(),
INDEX(#REF!,ROWS(Params!AI$2:$AI113)-COUNTA(TAB_Offres[Ressource 1])))),
IFERROR(_xlfn.SINGLE(IF(_xlfn.SINGLE(INDEX(#REF!,ROWS(Params!AI$2:$AI113)-COUNTA(#REF!)-COUNTA(TAB_Offres[Ressource 1])))=0,NA(),
INDEX(#REF!,ROWS(Params!AI$2:$AI113)-COUNTA(#REF!)-COUNTA(TAB_Offres[Ressource 1])))),""))
)</f>
        <v>CHATTERJEE, Pallavi</v>
      </c>
      <c r="AJ113" s="174">
        <f>IF(TAB_ressource[[#This Row],[Import Ressource]]="","",MAX(AJ$1:AJ112)+1)</f>
        <v>112</v>
      </c>
      <c r="AK113" s="176" t="str">
        <f>IFERROR(INDEX(TAB_ressource[Import Ressource],MATCH(ROW()-ROW($AK$1),TAB_ressource[ID Import ressources],0)),"")</f>
        <v>CHATTERJEE, Pallavi</v>
      </c>
      <c r="AN113" s="26">
        <f t="shared" si="7"/>
        <v>0</v>
      </c>
      <c r="BD113" t="s">
        <v>949</v>
      </c>
      <c r="BE113" t="s">
        <v>950</v>
      </c>
      <c r="BF113" t="s">
        <v>951</v>
      </c>
      <c r="BG113" t="s">
        <v>949</v>
      </c>
    </row>
    <row r="114" spans="13:59" x14ac:dyDescent="0.25">
      <c r="M114" t="str">
        <f>_xlfn.IFNA(IF(VLOOKUP(TAB_Offres[[#This Row],[Reference]],TAB_Offres[[Reference]:[Request State]],COLUMNS(TAB_Offres[[Reference]:[Request State]]),FALSE)=D$6,TAB_Offres[[#This Row],[Reference]],""),"")</f>
        <v>DIGITTMII-014261-DIGITTMII-007512-MOD-01-6000053863-REQ-01</v>
      </c>
      <c r="N114" t="str">
        <f>_xlfn.IFNA(IF(VLOOKUP(TAB_Offres[[#This Row],[Reference]],TAB_Offres[[Reference]:[Has Expenses?]],COLUMNS(TAB_Offres[[Reference]:[Has Expenses?]]),FALSE)=J$2,TAB_Offres[[#This Row],[Reference]],""),"")</f>
        <v/>
      </c>
      <c r="O114" t="str">
        <f>IF(Tableau19[[#This Row],[EXPENSES_REF]]="","",MAX(O$1:O113)+1)</f>
        <v/>
      </c>
      <c r="P114" t="str">
        <f t="shared" si="6"/>
        <v/>
      </c>
      <c r="R114" s="227" t="s">
        <v>5688</v>
      </c>
      <c r="S114" s="230">
        <v>273.64999999999998</v>
      </c>
      <c r="T114" s="231">
        <v>292.81</v>
      </c>
      <c r="U114" s="231">
        <v>313.31</v>
      </c>
      <c r="V114" s="231">
        <v>335.24</v>
      </c>
      <c r="W114" s="231">
        <v>358.71</v>
      </c>
      <c r="X114" s="231">
        <v>383.82</v>
      </c>
      <c r="Y114" s="231">
        <v>410.69</v>
      </c>
      <c r="Z114" s="231">
        <v>439.44</v>
      </c>
      <c r="AA114" s="231">
        <v>470.2</v>
      </c>
      <c r="AB114" s="231">
        <v>503.11</v>
      </c>
      <c r="AC114" s="231">
        <v>538.33000000000004</v>
      </c>
      <c r="AD114" s="102"/>
      <c r="AI114" s="3" t="str">
        <f>IFERROR(_xlfn.SINGLE(
IF(_xlfn.SINGLE(INDEX(TAB_Offres[Ressource 1],ROWS(Params!AI$2:$AI114)))=0,NA(),
INDEX(TAB_Offres[Ressource 1],ROWS(Params!AI$2:$AI114)))),
IFERROR(_xlfn.SINGLE(IF(_xlfn.SINGLE(INDEX(#REF!,ROWS(Params!AI$2:$AI114)-COUNTA(TAB_Offres[Ressource 1])))=0,NA(),
INDEX(#REF!,ROWS(Params!AI$2:$AI114)-COUNTA(TAB_Offres[Ressource 1])))),
IFERROR(_xlfn.SINGLE(IF(_xlfn.SINGLE(INDEX(#REF!,ROWS(Params!AI$2:$AI114)-COUNTA(#REF!)-COUNTA(TAB_Offres[Ressource 1])))=0,NA(),
INDEX(#REF!,ROWS(Params!AI$2:$AI114)-COUNTA(#REF!)-COUNTA(TAB_Offres[Ressource 1])))),""))
)</f>
        <v>KATHAL, Tanisha</v>
      </c>
      <c r="AJ114" s="174">
        <f>IF(TAB_ressource[[#This Row],[Import Ressource]]="","",MAX(AJ$1:AJ113)+1)</f>
        <v>113</v>
      </c>
      <c r="AK114" s="176" t="str">
        <f>IFERROR(INDEX(TAB_ressource[Import Ressource],MATCH(ROW()-ROW($AK$1),TAB_ressource[ID Import ressources],0)),"")</f>
        <v>KATHAL, Tanisha</v>
      </c>
      <c r="AN114" s="26">
        <f t="shared" si="7"/>
        <v>0</v>
      </c>
      <c r="BD114" t="s">
        <v>952</v>
      </c>
      <c r="BE114" t="s">
        <v>953</v>
      </c>
      <c r="BF114" t="s">
        <v>954</v>
      </c>
      <c r="BG114" t="s">
        <v>952</v>
      </c>
    </row>
    <row r="115" spans="13:59" x14ac:dyDescent="0.25">
      <c r="M115" t="str">
        <f>_xlfn.IFNA(IF(VLOOKUP(TAB_Offres[[#This Row],[Reference]],TAB_Offres[[Reference]:[Request State]],COLUMNS(TAB_Offres[[Reference]:[Request State]]),FALSE)=D$6,TAB_Offres[[#This Row],[Reference]],""),"")</f>
        <v>DIGITTMII-014457-DIGITTMII-000214-EXT-02-6000053863-REQ-01</v>
      </c>
      <c r="N115" t="str">
        <f>_xlfn.IFNA(IF(VLOOKUP(TAB_Offres[[#This Row],[Reference]],TAB_Offres[[Reference]:[Has Expenses?]],COLUMNS(TAB_Offres[[Reference]:[Has Expenses?]]),FALSE)=J$2,TAB_Offres[[#This Row],[Reference]],""),"")</f>
        <v/>
      </c>
      <c r="O115" t="str">
        <f>IF(Tableau19[[#This Row],[EXPENSES_REF]]="","",MAX(O$1:O114)+1)</f>
        <v/>
      </c>
      <c r="P115" t="str">
        <f t="shared" si="6"/>
        <v/>
      </c>
      <c r="R115" s="227" t="s">
        <v>5689</v>
      </c>
      <c r="S115" s="230">
        <v>273.92</v>
      </c>
      <c r="T115" s="231">
        <v>293.08999999999997</v>
      </c>
      <c r="U115" s="231">
        <v>313.61</v>
      </c>
      <c r="V115" s="231">
        <v>335.56</v>
      </c>
      <c r="W115" s="231">
        <v>359.05</v>
      </c>
      <c r="X115" s="231">
        <v>384.18</v>
      </c>
      <c r="Y115" s="231">
        <v>411.07</v>
      </c>
      <c r="Z115" s="231">
        <v>439.84</v>
      </c>
      <c r="AA115" s="231">
        <v>470.63</v>
      </c>
      <c r="AB115" s="231">
        <v>503.57</v>
      </c>
      <c r="AC115" s="231">
        <v>538.82000000000005</v>
      </c>
      <c r="AD115" s="102"/>
      <c r="AI115" s="3" t="str">
        <f>IFERROR(_xlfn.SINGLE(
IF(_xlfn.SINGLE(INDEX(TAB_Offres[Ressource 1],ROWS(Params!AI$2:$AI115)))=0,NA(),
INDEX(TAB_Offres[Ressource 1],ROWS(Params!AI$2:$AI115)))),
IFERROR(_xlfn.SINGLE(IF(_xlfn.SINGLE(INDEX(#REF!,ROWS(Params!AI$2:$AI115)-COUNTA(TAB_Offres[Ressource 1])))=0,NA(),
INDEX(#REF!,ROWS(Params!AI$2:$AI115)-COUNTA(TAB_Offres[Ressource 1])))),
IFERROR(_xlfn.SINGLE(IF(_xlfn.SINGLE(INDEX(#REF!,ROWS(Params!AI$2:$AI115)-COUNTA(#REF!)-COUNTA(TAB_Offres[Ressource 1])))=0,NA(),
INDEX(#REF!,ROWS(Params!AI$2:$AI115)-COUNTA(#REF!)-COUNTA(TAB_Offres[Ressource 1])))),""))
)</f>
        <v>SAYTEE, Meatau Larry</v>
      </c>
      <c r="AJ115" s="174">
        <f>IF(TAB_ressource[[#This Row],[Import Ressource]]="","",MAX(AJ$1:AJ114)+1)</f>
        <v>114</v>
      </c>
      <c r="AK115" s="176" t="str">
        <f>IFERROR(INDEX(TAB_ressource[Import Ressource],MATCH(ROW()-ROW($AK$1),TAB_ressource[ID Import ressources],0)),"")</f>
        <v>SAYTEE, Meatau Larry</v>
      </c>
      <c r="AN115" s="26">
        <f t="shared" si="7"/>
        <v>0</v>
      </c>
      <c r="BD115" t="s">
        <v>955</v>
      </c>
      <c r="BE115" t="s">
        <v>956</v>
      </c>
      <c r="BF115" t="s">
        <v>957</v>
      </c>
      <c r="BG115" t="s">
        <v>955</v>
      </c>
    </row>
    <row r="116" spans="13:59" x14ac:dyDescent="0.25">
      <c r="M116" t="str">
        <f>_xlfn.IFNA(IF(VLOOKUP(TAB_Offres[[#This Row],[Reference]],TAB_Offres[[Reference]:[Request State]],COLUMNS(TAB_Offres[[Reference]:[Request State]]),FALSE)=D$6,TAB_Offres[[#This Row],[Reference]],""),"")</f>
        <v>DIGITTMII-014656-DIGITTMII-003344-EXT-03-6000053863-REQ-0</v>
      </c>
      <c r="N116" t="str">
        <f>_xlfn.IFNA(IF(VLOOKUP(TAB_Offres[[#This Row],[Reference]],TAB_Offres[[Reference]:[Has Expenses?]],COLUMNS(TAB_Offres[[Reference]:[Has Expenses?]]),FALSE)=J$2,TAB_Offres[[#This Row],[Reference]],""),"")</f>
        <v/>
      </c>
      <c r="O116" t="str">
        <f>IF(Tableau19[[#This Row],[EXPENSES_REF]]="","",MAX(O$1:O115)+1)</f>
        <v/>
      </c>
      <c r="P116" t="str">
        <f t="shared" si="6"/>
        <v/>
      </c>
      <c r="R116" s="227" t="s">
        <v>5690</v>
      </c>
      <c r="S116" s="230">
        <v>273.92</v>
      </c>
      <c r="T116" s="231">
        <v>293.08999999999997</v>
      </c>
      <c r="U116" s="231">
        <v>313.61</v>
      </c>
      <c r="V116" s="231">
        <v>335.56</v>
      </c>
      <c r="W116" s="231">
        <v>359.05</v>
      </c>
      <c r="X116" s="231">
        <v>384.18</v>
      </c>
      <c r="Y116" s="231">
        <v>411.07</v>
      </c>
      <c r="Z116" s="231">
        <v>439.84</v>
      </c>
      <c r="AA116" s="231">
        <v>470.63</v>
      </c>
      <c r="AB116" s="231">
        <v>503.57</v>
      </c>
      <c r="AC116" s="231">
        <v>538.82000000000005</v>
      </c>
      <c r="AD116" s="102"/>
      <c r="AI116" s="3" t="str">
        <f>IFERROR(_xlfn.SINGLE(
IF(_xlfn.SINGLE(INDEX(TAB_Offres[Ressource 1],ROWS(Params!AI$2:$AI116)))=0,NA(),
INDEX(TAB_Offres[Ressource 1],ROWS(Params!AI$2:$AI116)))),
IFERROR(_xlfn.SINGLE(IF(_xlfn.SINGLE(INDEX(#REF!,ROWS(Params!AI$2:$AI116)-COUNTA(TAB_Offres[Ressource 1])))=0,NA(),
INDEX(#REF!,ROWS(Params!AI$2:$AI116)-COUNTA(TAB_Offres[Ressource 1])))),
IFERROR(_xlfn.SINGLE(IF(_xlfn.SINGLE(INDEX(#REF!,ROWS(Params!AI$2:$AI116)-COUNTA(#REF!)-COUNTA(TAB_Offres[Ressource 1])))=0,NA(),
INDEX(#REF!,ROWS(Params!AI$2:$AI116)-COUNTA(#REF!)-COUNTA(TAB_Offres[Ressource 1])))),""))
)</f>
        <v>MEDAN, Andrei</v>
      </c>
      <c r="AJ116" s="174">
        <f>IF(TAB_ressource[[#This Row],[Import Ressource]]="","",MAX(AJ$1:AJ115)+1)</f>
        <v>115</v>
      </c>
      <c r="AK116" s="176" t="str">
        <f>IFERROR(INDEX(TAB_ressource[Import Ressource],MATCH(ROW()-ROW($AK$1),TAB_ressource[ID Import ressources],0)),"")</f>
        <v>MEDAN, Andrei</v>
      </c>
      <c r="AN116" s="26">
        <f t="shared" si="7"/>
        <v>0</v>
      </c>
      <c r="BD116" t="s">
        <v>958</v>
      </c>
      <c r="BE116" t="s">
        <v>959</v>
      </c>
      <c r="BF116" t="s">
        <v>960</v>
      </c>
      <c r="BG116" t="s">
        <v>958</v>
      </c>
    </row>
    <row r="117" spans="13:59" x14ac:dyDescent="0.25">
      <c r="M117" t="str">
        <f>_xlfn.IFNA(IF(VLOOKUP(TAB_Offres[[#This Row],[Reference]],TAB_Offres[[Reference]:[Request State]],COLUMNS(TAB_Offres[[Reference]:[Request State]]),FALSE)=D$6,TAB_Offres[[#This Row],[Reference]],""),"")</f>
        <v>DIGITTMII-015280-DIGITTMII-003772-EXT-02-6000053863-REQ-0</v>
      </c>
      <c r="N117" t="str">
        <f>_xlfn.IFNA(IF(VLOOKUP(TAB_Offres[[#This Row],[Reference]],TAB_Offres[[Reference]:[Has Expenses?]],COLUMNS(TAB_Offres[[Reference]:[Has Expenses?]]),FALSE)=J$2,TAB_Offres[[#This Row],[Reference]],""),"")</f>
        <v/>
      </c>
      <c r="O117" t="str">
        <f>IF(Tableau19[[#This Row],[EXPENSES_REF]]="","",MAX(O$1:O116)+1)</f>
        <v/>
      </c>
      <c r="P117" t="str">
        <f t="shared" si="6"/>
        <v/>
      </c>
      <c r="R117" s="227" t="s">
        <v>5691</v>
      </c>
      <c r="S117" s="230">
        <v>273.92</v>
      </c>
      <c r="T117" s="231">
        <v>293.08999999999997</v>
      </c>
      <c r="U117" s="231">
        <v>313.61</v>
      </c>
      <c r="V117" s="231">
        <v>335.56</v>
      </c>
      <c r="W117" s="231">
        <v>359.05</v>
      </c>
      <c r="X117" s="231">
        <v>384.18</v>
      </c>
      <c r="Y117" s="231">
        <v>411.07</v>
      </c>
      <c r="Z117" s="231">
        <v>439.84</v>
      </c>
      <c r="AA117" s="231">
        <v>470.63</v>
      </c>
      <c r="AB117" s="231">
        <v>503.57</v>
      </c>
      <c r="AC117" s="231">
        <v>538.82000000000005</v>
      </c>
      <c r="AD117" s="102"/>
      <c r="AI117" s="3" t="str">
        <f>IFERROR(_xlfn.SINGLE(
IF(_xlfn.SINGLE(INDEX(TAB_Offres[Ressource 1],ROWS(Params!AI$2:$AI117)))=0,NA(),
INDEX(TAB_Offres[Ressource 1],ROWS(Params!AI$2:$AI117)))),
IFERROR(_xlfn.SINGLE(IF(_xlfn.SINGLE(INDEX(#REF!,ROWS(Params!AI$2:$AI117)-COUNTA(TAB_Offres[Ressource 1])))=0,NA(),
INDEX(#REF!,ROWS(Params!AI$2:$AI117)-COUNTA(TAB_Offres[Ressource 1])))),
IFERROR(_xlfn.SINGLE(IF(_xlfn.SINGLE(INDEX(#REF!,ROWS(Params!AI$2:$AI117)-COUNTA(#REF!)-COUNTA(TAB_Offres[Ressource 1])))=0,NA(),
INDEX(#REF!,ROWS(Params!AI$2:$AI117)-COUNTA(#REF!)-COUNTA(TAB_Offres[Ressource 1])))),""))
)</f>
        <v>IERVOLINO, Andrea</v>
      </c>
      <c r="AJ117" s="174">
        <f>IF(TAB_ressource[[#This Row],[Import Ressource]]="","",MAX(AJ$1:AJ116)+1)</f>
        <v>116</v>
      </c>
      <c r="AK117" s="176" t="str">
        <f>IFERROR(INDEX(TAB_ressource[Import Ressource],MATCH(ROW()-ROW($AK$1),TAB_ressource[ID Import ressources],0)),"")</f>
        <v>IERVOLINO, Andrea</v>
      </c>
      <c r="AN117" s="26">
        <f t="shared" si="7"/>
        <v>0</v>
      </c>
      <c r="BD117" t="s">
        <v>961</v>
      </c>
      <c r="BE117" t="s">
        <v>962</v>
      </c>
      <c r="BF117" t="s">
        <v>963</v>
      </c>
      <c r="BG117" t="s">
        <v>961</v>
      </c>
    </row>
    <row r="118" spans="13:59" x14ac:dyDescent="0.25">
      <c r="M118" t="str">
        <f>_xlfn.IFNA(IF(VLOOKUP(TAB_Offres[[#This Row],[Reference]],TAB_Offres[[Reference]:[Request State]],COLUMNS(TAB_Offres[[Reference]:[Request State]]),FALSE)=D$6,TAB_Offres[[#This Row],[Reference]],""),"")</f>
        <v>DIGITTMII-015256-DIGITTMII-002906-EXT-03-6000053863-REQ-01</v>
      </c>
      <c r="N118" t="str">
        <f>_xlfn.IFNA(IF(VLOOKUP(TAB_Offres[[#This Row],[Reference]],TAB_Offres[[Reference]:[Has Expenses?]],COLUMNS(TAB_Offres[[Reference]:[Has Expenses?]]),FALSE)=J$2,TAB_Offres[[#This Row],[Reference]],""),"")</f>
        <v/>
      </c>
      <c r="O118" t="str">
        <f>IF(Tableau19[[#This Row],[EXPENSES_REF]]="","",MAX(O$1:O117)+1)</f>
        <v/>
      </c>
      <c r="P118" t="str">
        <f t="shared" si="6"/>
        <v/>
      </c>
      <c r="R118" s="227" t="s">
        <v>5692</v>
      </c>
      <c r="S118" s="230">
        <v>273.92</v>
      </c>
      <c r="T118" s="231">
        <v>293.08999999999997</v>
      </c>
      <c r="U118" s="231">
        <v>313.61</v>
      </c>
      <c r="V118" s="231">
        <v>335.56</v>
      </c>
      <c r="W118" s="231">
        <v>359.05</v>
      </c>
      <c r="X118" s="231">
        <v>384.18</v>
      </c>
      <c r="Y118" s="231">
        <v>411.07</v>
      </c>
      <c r="Z118" s="231">
        <v>439.84</v>
      </c>
      <c r="AA118" s="231">
        <v>470.63</v>
      </c>
      <c r="AB118" s="231">
        <v>503.57</v>
      </c>
      <c r="AC118" s="231">
        <v>538.82000000000005</v>
      </c>
      <c r="AD118" s="102"/>
      <c r="AI118" s="3" t="str">
        <f>IFERROR(_xlfn.SINGLE(
IF(_xlfn.SINGLE(INDEX(TAB_Offres[Ressource 1],ROWS(Params!AI$2:$AI118)))=0,NA(),
INDEX(TAB_Offres[Ressource 1],ROWS(Params!AI$2:$AI118)))),
IFERROR(_xlfn.SINGLE(IF(_xlfn.SINGLE(INDEX(#REF!,ROWS(Params!AI$2:$AI118)-COUNTA(TAB_Offres[Ressource 1])))=0,NA(),
INDEX(#REF!,ROWS(Params!AI$2:$AI118)-COUNTA(TAB_Offres[Ressource 1])))),
IFERROR(_xlfn.SINGLE(IF(_xlfn.SINGLE(INDEX(#REF!,ROWS(Params!AI$2:$AI118)-COUNTA(#REF!)-COUNTA(TAB_Offres[Ressource 1])))=0,NA(),
INDEX(#REF!,ROWS(Params!AI$2:$AI118)-COUNTA(#REF!)-COUNTA(TAB_Offres[Ressource 1])))),""))
)</f>
        <v xml:space="preserve">TURCITU, Mihai-Alexandru </v>
      </c>
      <c r="AJ118" s="174">
        <f>IF(TAB_ressource[[#This Row],[Import Ressource]]="","",MAX(AJ$1:AJ117)+1)</f>
        <v>117</v>
      </c>
      <c r="AK118" s="176" t="str">
        <f>IFERROR(INDEX(TAB_ressource[Import Ressource],MATCH(ROW()-ROW($AK$1),TAB_ressource[ID Import ressources],0)),"")</f>
        <v xml:space="preserve">TURCITU, Mihai-Alexandru </v>
      </c>
      <c r="AN118" s="26">
        <f t="shared" si="7"/>
        <v>0</v>
      </c>
      <c r="BD118" t="s">
        <v>964</v>
      </c>
      <c r="BE118" t="s">
        <v>965</v>
      </c>
      <c r="BF118" t="s">
        <v>966</v>
      </c>
      <c r="BG118" t="s">
        <v>964</v>
      </c>
    </row>
    <row r="119" spans="13:59" x14ac:dyDescent="0.25">
      <c r="M119" t="str">
        <f>_xlfn.IFNA(IF(VLOOKUP(TAB_Offres[[#This Row],[Reference]],TAB_Offres[[Reference]:[Request State]],COLUMNS(TAB_Offres[[Reference]:[Request State]]),FALSE)=D$6,TAB_Offres[[#This Row],[Reference]],""),"")</f>
        <v>DIGITTMII-011608-DIGITTMII-009749-MOD-01-6000053863-REQ-01</v>
      </c>
      <c r="N119" t="str">
        <f>_xlfn.IFNA(IF(VLOOKUP(TAB_Offres[[#This Row],[Reference]],TAB_Offres[[Reference]:[Has Expenses?]],COLUMNS(TAB_Offres[[Reference]:[Has Expenses?]]),FALSE)=J$2,TAB_Offres[[#This Row],[Reference]],""),"")</f>
        <v/>
      </c>
      <c r="O119" t="str">
        <f>IF(Tableau19[[#This Row],[EXPENSES_REF]]="","",MAX(O$1:O118)+1)</f>
        <v/>
      </c>
      <c r="P119" t="str">
        <f t="shared" si="6"/>
        <v/>
      </c>
      <c r="R119" s="227" t="s">
        <v>5693</v>
      </c>
      <c r="S119" s="230">
        <v>273.92</v>
      </c>
      <c r="T119" s="231">
        <v>293.08999999999997</v>
      </c>
      <c r="U119" s="231">
        <v>313.61</v>
      </c>
      <c r="V119" s="231">
        <v>335.56</v>
      </c>
      <c r="W119" s="231">
        <v>359.05</v>
      </c>
      <c r="X119" s="231">
        <v>384.18</v>
      </c>
      <c r="Y119" s="231">
        <v>411.07</v>
      </c>
      <c r="Z119" s="231">
        <v>439.84</v>
      </c>
      <c r="AA119" s="231">
        <v>470.63</v>
      </c>
      <c r="AB119" s="231">
        <v>503.57</v>
      </c>
      <c r="AC119" s="231">
        <v>538.82000000000005</v>
      </c>
      <c r="AD119" s="102"/>
      <c r="AI119" s="3" t="str">
        <f>IFERROR(_xlfn.SINGLE(
IF(_xlfn.SINGLE(INDEX(TAB_Offres[Ressource 1],ROWS(Params!AI$2:$AI119)))=0,NA(),
INDEX(TAB_Offres[Ressource 1],ROWS(Params!AI$2:$AI119)))),
IFERROR(_xlfn.SINGLE(IF(_xlfn.SINGLE(INDEX(#REF!,ROWS(Params!AI$2:$AI119)-COUNTA(TAB_Offres[Ressource 1])))=0,NA(),
INDEX(#REF!,ROWS(Params!AI$2:$AI119)-COUNTA(TAB_Offres[Ressource 1])))),
IFERROR(_xlfn.SINGLE(IF(_xlfn.SINGLE(INDEX(#REF!,ROWS(Params!AI$2:$AI119)-COUNTA(#REF!)-COUNTA(TAB_Offres[Ressource 1])))=0,NA(),
INDEX(#REF!,ROWS(Params!AI$2:$AI119)-COUNTA(#REF!)-COUNTA(TAB_Offres[Ressource 1])))),""))
)</f>
        <v>MEDAN, Andrei</v>
      </c>
      <c r="AJ119" s="174">
        <f>IF(TAB_ressource[[#This Row],[Import Ressource]]="","",MAX(AJ$1:AJ118)+1)</f>
        <v>118</v>
      </c>
      <c r="AK119" s="176" t="str">
        <f>IFERROR(INDEX(TAB_ressource[Import Ressource],MATCH(ROW()-ROW($AK$1),TAB_ressource[ID Import ressources],0)),"")</f>
        <v>MEDAN, Andrei</v>
      </c>
      <c r="AN119" s="26">
        <f t="shared" si="7"/>
        <v>0</v>
      </c>
      <c r="BD119" t="s">
        <v>967</v>
      </c>
      <c r="BE119" t="s">
        <v>968</v>
      </c>
      <c r="BF119" t="s">
        <v>969</v>
      </c>
      <c r="BG119" t="s">
        <v>967</v>
      </c>
    </row>
    <row r="120" spans="13:59" x14ac:dyDescent="0.25">
      <c r="M120" t="str">
        <f>_xlfn.IFNA(IF(VLOOKUP(TAB_Offres[[#This Row],[Reference]],TAB_Offres[[Reference]:[Request State]],COLUMNS(TAB_Offres[[Reference]:[Request State]]),FALSE)=D$6,TAB_Offres[[#This Row],[Reference]],""),"")</f>
        <v>DIGITTMII-011653-6000053863-REQ-01</v>
      </c>
      <c r="N120" t="str">
        <f>_xlfn.IFNA(IF(VLOOKUP(TAB_Offres[[#This Row],[Reference]],TAB_Offres[[Reference]:[Has Expenses?]],COLUMNS(TAB_Offres[[Reference]:[Has Expenses?]]),FALSE)=J$2,TAB_Offres[[#This Row],[Reference]],""),"")</f>
        <v/>
      </c>
      <c r="O120" t="str">
        <f>IF(Tableau19[[#This Row],[EXPENSES_REF]]="","",MAX(O$1:O119)+1)</f>
        <v/>
      </c>
      <c r="P120" t="str">
        <f t="shared" si="6"/>
        <v/>
      </c>
      <c r="R120" s="227" t="s">
        <v>5694</v>
      </c>
      <c r="S120" s="230">
        <v>273.92</v>
      </c>
      <c r="T120" s="231">
        <v>293.08999999999997</v>
      </c>
      <c r="U120" s="231">
        <v>313.61</v>
      </c>
      <c r="V120" s="231">
        <v>335.56</v>
      </c>
      <c r="W120" s="231">
        <v>359.05</v>
      </c>
      <c r="X120" s="231">
        <v>384.18</v>
      </c>
      <c r="Y120" s="231">
        <v>411.07</v>
      </c>
      <c r="Z120" s="231">
        <v>439.84</v>
      </c>
      <c r="AA120" s="231">
        <v>470.63</v>
      </c>
      <c r="AB120" s="231">
        <v>503.57</v>
      </c>
      <c r="AC120" s="231">
        <v>538.82000000000005</v>
      </c>
      <c r="AD120" s="102"/>
      <c r="AI120" s="3" t="str">
        <f>IFERROR(_xlfn.SINGLE(
IF(_xlfn.SINGLE(INDEX(TAB_Offres[Ressource 1],ROWS(Params!AI$2:$AI120)))=0,NA(),
INDEX(TAB_Offres[Ressource 1],ROWS(Params!AI$2:$AI120)))),
IFERROR(_xlfn.SINGLE(IF(_xlfn.SINGLE(INDEX(#REF!,ROWS(Params!AI$2:$AI120)-COUNTA(TAB_Offres[Ressource 1])))=0,NA(),
INDEX(#REF!,ROWS(Params!AI$2:$AI120)-COUNTA(TAB_Offres[Ressource 1])))),
IFERROR(_xlfn.SINGLE(IF(_xlfn.SINGLE(INDEX(#REF!,ROWS(Params!AI$2:$AI120)-COUNTA(#REF!)-COUNTA(TAB_Offres[Ressource 1])))=0,NA(),
INDEX(#REF!,ROWS(Params!AI$2:$AI120)-COUNTA(#REF!)-COUNTA(TAB_Offres[Ressource 1])))),""))
)</f>
        <v>DECANINI, Barbara</v>
      </c>
      <c r="AJ120" s="174">
        <f>IF(TAB_ressource[[#This Row],[Import Ressource]]="","",MAX(AJ$1:AJ119)+1)</f>
        <v>119</v>
      </c>
      <c r="AK120" s="176" t="str">
        <f>IFERROR(INDEX(TAB_ressource[Import Ressource],MATCH(ROW()-ROW($AK$1),TAB_ressource[ID Import ressources],0)),"")</f>
        <v>DECANINI, Barbara</v>
      </c>
      <c r="AN120" s="26">
        <f t="shared" si="7"/>
        <v>0</v>
      </c>
      <c r="BD120" t="s">
        <v>970</v>
      </c>
      <c r="BE120" t="s">
        <v>971</v>
      </c>
      <c r="BF120" t="s">
        <v>972</v>
      </c>
      <c r="BG120" t="s">
        <v>970</v>
      </c>
    </row>
    <row r="121" spans="13:59" x14ac:dyDescent="0.25">
      <c r="M121" t="str">
        <f>_xlfn.IFNA(IF(VLOOKUP(TAB_Offres[[#This Row],[Reference]],TAB_Offres[[Reference]:[Request State]],COLUMNS(TAB_Offres[[Reference]:[Request State]]),FALSE)=D$6,TAB_Offres[[#This Row],[Reference]],""),"")</f>
        <v>DIGITTMII-015091-DIGITTMII-003431-EXT-02-6000053863-REQ-01</v>
      </c>
      <c r="N121" t="str">
        <f>_xlfn.IFNA(IF(VLOOKUP(TAB_Offres[[#This Row],[Reference]],TAB_Offres[[Reference]:[Has Expenses?]],COLUMNS(TAB_Offres[[Reference]:[Has Expenses?]]),FALSE)=J$2,TAB_Offres[[#This Row],[Reference]],""),"")</f>
        <v/>
      </c>
      <c r="O121" t="str">
        <f>IF(Tableau19[[#This Row],[EXPENSES_REF]]="","",MAX(O$1:O120)+1)</f>
        <v/>
      </c>
      <c r="P121" t="str">
        <f t="shared" si="6"/>
        <v/>
      </c>
      <c r="R121" s="227" t="s">
        <v>5695</v>
      </c>
      <c r="S121" s="230">
        <v>273.92</v>
      </c>
      <c r="T121" s="231">
        <v>293.08999999999997</v>
      </c>
      <c r="U121" s="231">
        <v>313.61</v>
      </c>
      <c r="V121" s="231">
        <v>335.56</v>
      </c>
      <c r="W121" s="231">
        <v>359.05</v>
      </c>
      <c r="X121" s="231">
        <v>384.18</v>
      </c>
      <c r="Y121" s="231">
        <v>411.07</v>
      </c>
      <c r="Z121" s="231">
        <v>439.84</v>
      </c>
      <c r="AA121" s="231">
        <v>470.63</v>
      </c>
      <c r="AB121" s="231">
        <v>503.57</v>
      </c>
      <c r="AC121" s="231">
        <v>538.82000000000005</v>
      </c>
      <c r="AD121" s="102"/>
      <c r="AI121" s="3" t="str">
        <f>IFERROR(_xlfn.SINGLE(
IF(_xlfn.SINGLE(INDEX(TAB_Offres[Ressource 1],ROWS(Params!AI$2:$AI121)))=0,NA(),
INDEX(TAB_Offres[Ressource 1],ROWS(Params!AI$2:$AI121)))),
IFERROR(_xlfn.SINGLE(IF(_xlfn.SINGLE(INDEX(#REF!,ROWS(Params!AI$2:$AI121)-COUNTA(TAB_Offres[Ressource 1])))=0,NA(),
INDEX(#REF!,ROWS(Params!AI$2:$AI121)-COUNTA(TAB_Offres[Ressource 1])))),
IFERROR(_xlfn.SINGLE(IF(_xlfn.SINGLE(INDEX(#REF!,ROWS(Params!AI$2:$AI121)-COUNTA(#REF!)-COUNTA(TAB_Offres[Ressource 1])))=0,NA(),
INDEX(#REF!,ROWS(Params!AI$2:$AI121)-COUNTA(#REF!)-COUNTA(TAB_Offres[Ressource 1])))),""))
)</f>
        <v>MEJRI, Mohamed</v>
      </c>
      <c r="AJ121" s="174">
        <f>IF(TAB_ressource[[#This Row],[Import Ressource]]="","",MAX(AJ$1:AJ120)+1)</f>
        <v>120</v>
      </c>
      <c r="AK121" s="176" t="str">
        <f>IFERROR(INDEX(TAB_ressource[Import Ressource],MATCH(ROW()-ROW($AK$1),TAB_ressource[ID Import ressources],0)),"")</f>
        <v>MEJRI, Mohamed</v>
      </c>
      <c r="AN121" s="26">
        <f t="shared" si="7"/>
        <v>0</v>
      </c>
      <c r="BD121" t="s">
        <v>973</v>
      </c>
      <c r="BE121" t="s">
        <v>974</v>
      </c>
      <c r="BF121" t="s">
        <v>975</v>
      </c>
      <c r="BG121" t="s">
        <v>973</v>
      </c>
    </row>
    <row r="122" spans="13:59" ht="15.6" customHeight="1" x14ac:dyDescent="0.25">
      <c r="M122" t="str">
        <f>_xlfn.IFNA(IF(VLOOKUP(TAB_Offres[[#This Row],[Reference]],TAB_Offres[[Reference]:[Request State]],COLUMNS(TAB_Offres[[Reference]:[Request State]]),FALSE)=D$6,TAB_Offres[[#This Row],[Reference]],""),"")</f>
        <v>DIGITTMII-015251-DIGITTMII-001410-EXT-02-6000053863-REQ-01</v>
      </c>
      <c r="N122" t="str">
        <f>_xlfn.IFNA(IF(VLOOKUP(TAB_Offres[[#This Row],[Reference]],TAB_Offres[[Reference]:[Has Expenses?]],COLUMNS(TAB_Offres[[Reference]:[Has Expenses?]]),FALSE)=J$2,TAB_Offres[[#This Row],[Reference]],""),"")</f>
        <v>DIGITTMII-015251-DIGITTMII-001410-EXT-02-6000053863-REQ-01</v>
      </c>
      <c r="O122">
        <f>IF(Tableau19[[#This Row],[EXPENSES_REF]]="","",MAX(O$1:O121)+1)</f>
        <v>21</v>
      </c>
      <c r="P122" t="str">
        <f t="shared" si="6"/>
        <v/>
      </c>
      <c r="R122" s="229" t="s">
        <v>5417</v>
      </c>
      <c r="S122" s="230"/>
      <c r="T122" s="231"/>
      <c r="U122" s="231"/>
      <c r="V122" s="231"/>
      <c r="W122" s="231"/>
      <c r="X122" s="231"/>
      <c r="Y122" s="231"/>
      <c r="Z122" s="231"/>
      <c r="AA122" s="231"/>
      <c r="AB122" s="231"/>
      <c r="AC122" s="231"/>
      <c r="AD122" s="102"/>
      <c r="AI122" s="3" t="str">
        <f>IFERROR(_xlfn.SINGLE(
IF(_xlfn.SINGLE(INDEX(TAB_Offres[Ressource 1],ROWS(Params!AI$2:$AI122)))=0,NA(),
INDEX(TAB_Offres[Ressource 1],ROWS(Params!AI$2:$AI122)))),
IFERROR(_xlfn.SINGLE(IF(_xlfn.SINGLE(INDEX(#REF!,ROWS(Params!AI$2:$AI122)-COUNTA(TAB_Offres[Ressource 1])))=0,NA(),
INDEX(#REF!,ROWS(Params!AI$2:$AI122)-COUNTA(TAB_Offres[Ressource 1])))),
IFERROR(_xlfn.SINGLE(IF(_xlfn.SINGLE(INDEX(#REF!,ROWS(Params!AI$2:$AI122)-COUNTA(#REF!)-COUNTA(TAB_Offres[Ressource 1])))=0,NA(),
INDEX(#REF!,ROWS(Params!AI$2:$AI122)-COUNTA(#REF!)-COUNTA(TAB_Offres[Ressource 1])))),""))
)</f>
        <v>VASILIKIOTIS, Themistoklis</v>
      </c>
      <c r="AJ122" s="174">
        <f>IF(TAB_ressource[[#This Row],[Import Ressource]]="","",MAX(AJ$1:AJ121)+1)</f>
        <v>121</v>
      </c>
      <c r="AK122" s="176" t="str">
        <f>IFERROR(INDEX(TAB_ressource[Import Ressource],MATCH(ROW()-ROW($AK$1),TAB_ressource[ID Import ressources],0)),"")</f>
        <v>VASILIKIOTIS, Themistoklis</v>
      </c>
      <c r="AN122" s="26">
        <f t="shared" si="7"/>
        <v>0</v>
      </c>
      <c r="BD122" t="s">
        <v>976</v>
      </c>
      <c r="BE122" t="s">
        <v>977</v>
      </c>
      <c r="BF122" t="s">
        <v>978</v>
      </c>
      <c r="BG122" t="s">
        <v>976</v>
      </c>
    </row>
    <row r="123" spans="13:59" x14ac:dyDescent="0.25">
      <c r="M123" t="str">
        <f>_xlfn.IFNA(IF(VLOOKUP(TAB_Offres[[#This Row],[Reference]],TAB_Offres[[Reference]:[Request State]],COLUMNS(TAB_Offres[[Reference]:[Request State]]),FALSE)=D$6,TAB_Offres[[#This Row],[Reference]],""),"")</f>
        <v>DIGITTMII-015440-DIGITTMII-002098-EXT-03-6000053863-REQ-01</v>
      </c>
      <c r="N123" t="str">
        <f>_xlfn.IFNA(IF(VLOOKUP(TAB_Offres[[#This Row],[Reference]],TAB_Offres[[Reference]:[Has Expenses?]],COLUMNS(TAB_Offres[[Reference]:[Has Expenses?]]),FALSE)=J$2,TAB_Offres[[#This Row],[Reference]],""),"")</f>
        <v/>
      </c>
      <c r="O123" t="str">
        <f>IF(Tableau19[[#This Row],[EXPENSES_REF]]="","",MAX(O$1:O122)+1)</f>
        <v/>
      </c>
      <c r="P123" t="str">
        <f t="shared" si="6"/>
        <v/>
      </c>
      <c r="R123" s="98" t="str">
        <f>R110&amp;"-FAR"</f>
        <v>Database developer#R1-FAR</v>
      </c>
      <c r="S123" s="230">
        <v>227.34</v>
      </c>
      <c r="T123" s="231">
        <v>243.25</v>
      </c>
      <c r="U123" s="231">
        <v>260.27999999999997</v>
      </c>
      <c r="V123" s="231">
        <v>278.5</v>
      </c>
      <c r="W123" s="231">
        <v>298</v>
      </c>
      <c r="X123" s="231">
        <v>318.86</v>
      </c>
      <c r="Y123" s="231">
        <v>341.18</v>
      </c>
      <c r="Z123" s="231">
        <v>365.06</v>
      </c>
      <c r="AA123" s="231">
        <v>390.61</v>
      </c>
      <c r="AB123" s="231">
        <v>417.95</v>
      </c>
      <c r="AC123" s="231">
        <v>447.21</v>
      </c>
      <c r="AD123" s="102"/>
      <c r="AI123" s="3" t="str">
        <f>IFERROR(_xlfn.SINGLE(
IF(_xlfn.SINGLE(INDEX(TAB_Offres[Ressource 1],ROWS(Params!AI$2:$AI123)))=0,NA(),
INDEX(TAB_Offres[Ressource 1],ROWS(Params!AI$2:$AI123)))),
IFERROR(_xlfn.SINGLE(IF(_xlfn.SINGLE(INDEX(#REF!,ROWS(Params!AI$2:$AI123)-COUNTA(TAB_Offres[Ressource 1])))=0,NA(),
INDEX(#REF!,ROWS(Params!AI$2:$AI123)-COUNTA(TAB_Offres[Ressource 1])))),
IFERROR(_xlfn.SINGLE(IF(_xlfn.SINGLE(INDEX(#REF!,ROWS(Params!AI$2:$AI123)-COUNTA(#REF!)-COUNTA(TAB_Offres[Ressource 1])))=0,NA(),
INDEX(#REF!,ROWS(Params!AI$2:$AI123)-COUNTA(#REF!)-COUNTA(TAB_Offres[Ressource 1])))),""))
)</f>
        <v>DE ANDRES DEL CASTILLO, David</v>
      </c>
      <c r="AJ123" s="174">
        <f>IF(TAB_ressource[[#This Row],[Import Ressource]]="","",MAX(AJ$1:AJ122)+1)</f>
        <v>122</v>
      </c>
      <c r="AK123" s="176" t="str">
        <f>IFERROR(INDEX(TAB_ressource[Import Ressource],MATCH(ROW()-ROW($AK$1),TAB_ressource[ID Import ressources],0)),"")</f>
        <v>DE ANDRES DEL CASTILLO, David</v>
      </c>
      <c r="AN123" s="26">
        <f t="shared" si="7"/>
        <v>0</v>
      </c>
      <c r="BD123" t="s">
        <v>979</v>
      </c>
      <c r="BE123" t="s">
        <v>980</v>
      </c>
      <c r="BF123" t="s">
        <v>981</v>
      </c>
      <c r="BG123" t="s">
        <v>979</v>
      </c>
    </row>
    <row r="124" spans="13:59" x14ac:dyDescent="0.25">
      <c r="M124" t="str">
        <f>_xlfn.IFNA(IF(VLOOKUP(TAB_Offres[[#This Row],[Reference]],TAB_Offres[[Reference]:[Request State]],COLUMNS(TAB_Offres[[Reference]:[Request State]]),FALSE)=D$6,TAB_Offres[[#This Row],[Reference]],""),"")</f>
        <v>DIGITTMII-015505-DIGITTMII-003743-EXT-03-6000053863-REQ-01</v>
      </c>
      <c r="N124" t="str">
        <f>_xlfn.IFNA(IF(VLOOKUP(TAB_Offres[[#This Row],[Reference]],TAB_Offres[[Reference]:[Has Expenses?]],COLUMNS(TAB_Offres[[Reference]:[Has Expenses?]]),FALSE)=J$2,TAB_Offres[[#This Row],[Reference]],""),"")</f>
        <v/>
      </c>
      <c r="O124" t="str">
        <f>IF(Tableau19[[#This Row],[EXPENSES_REF]]="","",MAX(O$1:O123)+1)</f>
        <v/>
      </c>
      <c r="P124" t="str">
        <f t="shared" si="6"/>
        <v/>
      </c>
      <c r="R124" s="98" t="str">
        <f t="shared" ref="R124:R134" si="9">R111&amp;"-FAR"</f>
        <v>Front-end developer#R1-FAR</v>
      </c>
      <c r="S124" s="232">
        <v>227.34</v>
      </c>
      <c r="T124" s="233">
        <v>243.25</v>
      </c>
      <c r="U124" s="233">
        <v>260.27999999999997</v>
      </c>
      <c r="V124" s="233">
        <v>278.5</v>
      </c>
      <c r="W124" s="233">
        <v>298</v>
      </c>
      <c r="X124" s="233">
        <v>318.86</v>
      </c>
      <c r="Y124" s="233">
        <v>341.18</v>
      </c>
      <c r="Z124" s="233">
        <v>365.06</v>
      </c>
      <c r="AA124" s="233">
        <v>390.61</v>
      </c>
      <c r="AB124" s="233">
        <v>417.95</v>
      </c>
      <c r="AC124" s="233">
        <v>447.21</v>
      </c>
      <c r="AD124" s="102"/>
      <c r="AI124" s="3" t="str">
        <f>IFERROR(_xlfn.SINGLE(
IF(_xlfn.SINGLE(INDEX(TAB_Offres[Ressource 1],ROWS(Params!AI$2:$AI124)))=0,NA(),
INDEX(TAB_Offres[Ressource 1],ROWS(Params!AI$2:$AI124)))),
IFERROR(_xlfn.SINGLE(IF(_xlfn.SINGLE(INDEX(#REF!,ROWS(Params!AI$2:$AI124)-COUNTA(TAB_Offres[Ressource 1])))=0,NA(),
INDEX(#REF!,ROWS(Params!AI$2:$AI124)-COUNTA(TAB_Offres[Ressource 1])))),
IFERROR(_xlfn.SINGLE(IF(_xlfn.SINGLE(INDEX(#REF!,ROWS(Params!AI$2:$AI124)-COUNTA(#REF!)-COUNTA(TAB_Offres[Ressource 1])))=0,NA(),
INDEX(#REF!,ROWS(Params!AI$2:$AI124)-COUNTA(#REF!)-COUNTA(TAB_Offres[Ressource 1])))),""))
)</f>
        <v>WHYE, Gregory</v>
      </c>
      <c r="AJ124" s="174">
        <f>IF(TAB_ressource[[#This Row],[Import Ressource]]="","",MAX(AJ$1:AJ123)+1)</f>
        <v>123</v>
      </c>
      <c r="AK124" s="176" t="str">
        <f>IFERROR(INDEX(TAB_ressource[Import Ressource],MATCH(ROW()-ROW($AK$1),TAB_ressource[ID Import ressources],0)),"")</f>
        <v>WHYE, Gregory</v>
      </c>
      <c r="AN124" s="26">
        <f t="shared" si="7"/>
        <v>0</v>
      </c>
      <c r="BD124" t="s">
        <v>982</v>
      </c>
      <c r="BE124" t="s">
        <v>983</v>
      </c>
      <c r="BF124" t="s">
        <v>984</v>
      </c>
      <c r="BG124" t="s">
        <v>982</v>
      </c>
    </row>
    <row r="125" spans="13:59" x14ac:dyDescent="0.25">
      <c r="M125" t="str">
        <f>_xlfn.IFNA(IF(VLOOKUP(TAB_Offres[[#This Row],[Reference]],TAB_Offres[[Reference]:[Request State]],COLUMNS(TAB_Offres[[Reference]:[Request State]]),FALSE)=D$6,TAB_Offres[[#This Row],[Reference]],""),"")</f>
        <v>DIGITTMII-015548-DIGITTMII-008641-EXT-01-6000053863-REQ-01</v>
      </c>
      <c r="N125" t="str">
        <f>_xlfn.IFNA(IF(VLOOKUP(TAB_Offres[[#This Row],[Reference]],TAB_Offres[[Reference]:[Has Expenses?]],COLUMNS(TAB_Offres[[Reference]:[Has Expenses?]]),FALSE)=J$2,TAB_Offres[[#This Row],[Reference]],""),"")</f>
        <v/>
      </c>
      <c r="O125" t="str">
        <f>IF(Tableau19[[#This Row],[EXPENSES_REF]]="","",MAX(O$1:O124)+1)</f>
        <v/>
      </c>
      <c r="P125" t="str">
        <f t="shared" si="6"/>
        <v/>
      </c>
      <c r="R125" s="98" t="str">
        <f t="shared" si="9"/>
        <v>Back-end developer#R1-FAR</v>
      </c>
      <c r="S125" s="230">
        <v>247.34</v>
      </c>
      <c r="T125" s="231">
        <v>264.64999999999998</v>
      </c>
      <c r="U125" s="231">
        <v>283.18</v>
      </c>
      <c r="V125" s="231">
        <v>303</v>
      </c>
      <c r="W125" s="231">
        <v>324.20999999999998</v>
      </c>
      <c r="X125" s="231">
        <v>346.9</v>
      </c>
      <c r="Y125" s="231">
        <v>371.18</v>
      </c>
      <c r="Z125" s="231">
        <v>397.16</v>
      </c>
      <c r="AA125" s="231">
        <v>424.96</v>
      </c>
      <c r="AB125" s="231">
        <v>454.71</v>
      </c>
      <c r="AC125" s="231">
        <v>486.54</v>
      </c>
      <c r="AD125" s="102"/>
      <c r="AI125" s="3" t="str">
        <f>IFERROR(_xlfn.SINGLE(
IF(_xlfn.SINGLE(INDEX(TAB_Offres[Ressource 1],ROWS(Params!AI$2:$AI125)))=0,NA(),
INDEX(TAB_Offres[Ressource 1],ROWS(Params!AI$2:$AI125)))),
IFERROR(_xlfn.SINGLE(IF(_xlfn.SINGLE(INDEX(#REF!,ROWS(Params!AI$2:$AI125)-COUNTA(TAB_Offres[Ressource 1])))=0,NA(),
INDEX(#REF!,ROWS(Params!AI$2:$AI125)-COUNTA(TAB_Offres[Ressource 1])))),
IFERROR(_xlfn.SINGLE(IF(_xlfn.SINGLE(INDEX(#REF!,ROWS(Params!AI$2:$AI125)-COUNTA(#REF!)-COUNTA(TAB_Offres[Ressource 1])))=0,NA(),
INDEX(#REF!,ROWS(Params!AI$2:$AI125)-COUNTA(#REF!)-COUNTA(TAB_Offres[Ressource 1])))),""))
)</f>
        <v>COLLING, Fabiano</v>
      </c>
      <c r="AJ125" s="174">
        <f>IF(TAB_ressource[[#This Row],[Import Ressource]]="","",MAX(AJ$1:AJ124)+1)</f>
        <v>124</v>
      </c>
      <c r="AK125" s="176" t="str">
        <f>IFERROR(INDEX(TAB_ressource[Import Ressource],MATCH(ROW()-ROW($AK$1),TAB_ressource[ID Import ressources],0)),"")</f>
        <v>COLLING, Fabiano</v>
      </c>
      <c r="AN125" s="26">
        <f t="shared" si="7"/>
        <v>0</v>
      </c>
      <c r="BD125" t="s">
        <v>985</v>
      </c>
      <c r="BE125" t="s">
        <v>986</v>
      </c>
      <c r="BF125" t="s">
        <v>987</v>
      </c>
      <c r="BG125" t="s">
        <v>985</v>
      </c>
    </row>
    <row r="126" spans="13:59" x14ac:dyDescent="0.25">
      <c r="M126" t="str">
        <f>_xlfn.IFNA(IF(VLOOKUP(TAB_Offres[[#This Row],[Reference]],TAB_Offres[[Reference]:[Request State]],COLUMNS(TAB_Offres[[Reference]:[Request State]]),FALSE)=D$6,TAB_Offres[[#This Row],[Reference]],""),"")</f>
        <v>DIGITTMII-015612-DIGITTMII-001957-EXT-03-6000053863-REQ-01</v>
      </c>
      <c r="N126" t="str">
        <f>_xlfn.IFNA(IF(VLOOKUP(TAB_Offres[[#This Row],[Reference]],TAB_Offres[[Reference]:[Has Expenses?]],COLUMNS(TAB_Offres[[Reference]:[Has Expenses?]]),FALSE)=J$2,TAB_Offres[[#This Row],[Reference]],""),"")</f>
        <v>DIGITTMII-015612-DIGITTMII-001957-EXT-03-6000053863-REQ-01</v>
      </c>
      <c r="O126">
        <f>IF(Tableau19[[#This Row],[EXPENSES_REF]]="","",MAX(O$1:O125)+1)</f>
        <v>22</v>
      </c>
      <c r="P126" t="str">
        <f t="shared" si="6"/>
        <v/>
      </c>
      <c r="R126" s="98" t="str">
        <f t="shared" si="9"/>
        <v>Full-stack developer#R1-FAR</v>
      </c>
      <c r="S126" s="230">
        <v>284.18</v>
      </c>
      <c r="T126" s="231">
        <v>304.07</v>
      </c>
      <c r="U126" s="231">
        <v>325.35000000000002</v>
      </c>
      <c r="V126" s="231">
        <v>348.12</v>
      </c>
      <c r="W126" s="231">
        <v>372.49</v>
      </c>
      <c r="X126" s="231">
        <v>398.56</v>
      </c>
      <c r="Y126" s="231">
        <v>426.46</v>
      </c>
      <c r="Z126" s="231">
        <v>456.31</v>
      </c>
      <c r="AA126" s="231">
        <v>488.25</v>
      </c>
      <c r="AB126" s="231">
        <v>522.42999999999995</v>
      </c>
      <c r="AC126" s="231">
        <v>559</v>
      </c>
      <c r="AD126" s="102"/>
      <c r="AI126" s="3" t="str">
        <f>IFERROR(_xlfn.SINGLE(
IF(_xlfn.SINGLE(INDEX(TAB_Offres[Ressource 1],ROWS(Params!AI$2:$AI126)))=0,NA(),
INDEX(TAB_Offres[Ressource 1],ROWS(Params!AI$2:$AI126)))),
IFERROR(_xlfn.SINGLE(IF(_xlfn.SINGLE(INDEX(#REF!,ROWS(Params!AI$2:$AI126)-COUNTA(TAB_Offres[Ressource 1])))=0,NA(),
INDEX(#REF!,ROWS(Params!AI$2:$AI126)-COUNTA(TAB_Offres[Ressource 1])))),
IFERROR(_xlfn.SINGLE(IF(_xlfn.SINGLE(INDEX(#REF!,ROWS(Params!AI$2:$AI126)-COUNTA(#REF!)-COUNTA(TAB_Offres[Ressource 1])))=0,NA(),
INDEX(#REF!,ROWS(Params!AI$2:$AI126)-COUNTA(#REF!)-COUNTA(TAB_Offres[Ressource 1])))),""))
)</f>
        <v>APETRI, Ioana</v>
      </c>
      <c r="AJ126" s="174">
        <f>IF(TAB_ressource[[#This Row],[Import Ressource]]="","",MAX(AJ$1:AJ125)+1)</f>
        <v>125</v>
      </c>
      <c r="AK126" s="176" t="str">
        <f>IFERROR(INDEX(TAB_ressource[Import Ressource],MATCH(ROW()-ROW($AK$1),TAB_ressource[ID Import ressources],0)),"")</f>
        <v>APETRI, Ioana</v>
      </c>
      <c r="AN126" s="26">
        <f t="shared" si="7"/>
        <v>0</v>
      </c>
      <c r="BD126" t="s">
        <v>988</v>
      </c>
      <c r="BE126" t="s">
        <v>989</v>
      </c>
      <c r="BF126" t="s">
        <v>990</v>
      </c>
      <c r="BG126" t="s">
        <v>988</v>
      </c>
    </row>
    <row r="127" spans="13:59" x14ac:dyDescent="0.25">
      <c r="M127" t="str">
        <f>_xlfn.IFNA(IF(VLOOKUP(TAB_Offres[[#This Row],[Reference]],TAB_Offres[[Reference]:[Request State]],COLUMNS(TAB_Offres[[Reference]:[Request State]]),FALSE)=D$6,TAB_Offres[[#This Row],[Reference]],""),"")</f>
        <v>DIGITTMII-015656-DIGITTMII-004446-EXT-02-6000053863-REQ-01</v>
      </c>
      <c r="N127" t="str">
        <f>_xlfn.IFNA(IF(VLOOKUP(TAB_Offres[[#This Row],[Reference]],TAB_Offres[[Reference]:[Has Expenses?]],COLUMNS(TAB_Offres[[Reference]:[Has Expenses?]]),FALSE)=J$2,TAB_Offres[[#This Row],[Reference]],""),"")</f>
        <v/>
      </c>
      <c r="O127" t="str">
        <f>IF(Tableau19[[#This Row],[EXPENSES_REF]]="","",MAX(O$1:O126)+1)</f>
        <v/>
      </c>
      <c r="P127" t="str">
        <f t="shared" si="6"/>
        <v/>
      </c>
      <c r="R127" s="98" t="str">
        <f t="shared" si="9"/>
        <v>Service desk agent#R1-FAR</v>
      </c>
      <c r="S127" s="230">
        <v>219.97</v>
      </c>
      <c r="T127" s="231">
        <v>235.37</v>
      </c>
      <c r="U127" s="231">
        <v>251.85</v>
      </c>
      <c r="V127" s="231">
        <v>269.48</v>
      </c>
      <c r="W127" s="231">
        <v>288.33999999999997</v>
      </c>
      <c r="X127" s="231">
        <v>308.52</v>
      </c>
      <c r="Y127" s="231">
        <v>330.12</v>
      </c>
      <c r="Z127" s="231">
        <v>353.23</v>
      </c>
      <c r="AA127" s="231">
        <v>377.96</v>
      </c>
      <c r="AB127" s="231">
        <v>404.42</v>
      </c>
      <c r="AC127" s="231">
        <v>432.73</v>
      </c>
      <c r="AD127" s="102"/>
      <c r="AI127" s="3" t="str">
        <f>IFERROR(_xlfn.SINGLE(
IF(_xlfn.SINGLE(INDEX(TAB_Offres[Ressource 1],ROWS(Params!AI$2:$AI127)))=0,NA(),
INDEX(TAB_Offres[Ressource 1],ROWS(Params!AI$2:$AI127)))),
IFERROR(_xlfn.SINGLE(IF(_xlfn.SINGLE(INDEX(#REF!,ROWS(Params!AI$2:$AI127)-COUNTA(TAB_Offres[Ressource 1])))=0,NA(),
INDEX(#REF!,ROWS(Params!AI$2:$AI127)-COUNTA(TAB_Offres[Ressource 1])))),
IFERROR(_xlfn.SINGLE(IF(_xlfn.SINGLE(INDEX(#REF!,ROWS(Params!AI$2:$AI127)-COUNTA(#REF!)-COUNTA(TAB_Offres[Ressource 1])))=0,NA(),
INDEX(#REF!,ROWS(Params!AI$2:$AI127)-COUNTA(#REF!)-COUNTA(TAB_Offres[Ressource 1])))),""))
)</f>
        <v>DEVLEESCHOUWER, Sophie</v>
      </c>
      <c r="AJ127" s="174">
        <f>IF(TAB_ressource[[#This Row],[Import Ressource]]="","",MAX(AJ$1:AJ126)+1)</f>
        <v>126</v>
      </c>
      <c r="AK127" s="176" t="str">
        <f>IFERROR(INDEX(TAB_ressource[Import Ressource],MATCH(ROW()-ROW($AK$1),TAB_ressource[ID Import ressources],0)),"")</f>
        <v>DEVLEESCHOUWER, Sophie</v>
      </c>
      <c r="AN127" s="26">
        <f t="shared" si="7"/>
        <v>0</v>
      </c>
      <c r="BD127" t="s">
        <v>991</v>
      </c>
      <c r="BE127" t="s">
        <v>992</v>
      </c>
      <c r="BF127" t="s">
        <v>993</v>
      </c>
      <c r="BG127" t="s">
        <v>991</v>
      </c>
    </row>
    <row r="128" spans="13:59" x14ac:dyDescent="0.25">
      <c r="M128" t="str">
        <f>_xlfn.IFNA(IF(VLOOKUP(TAB_Offres[[#This Row],[Reference]],TAB_Offres[[Reference]:[Request State]],COLUMNS(TAB_Offres[[Reference]:[Request State]]),FALSE)=D$6,TAB_Offres[[#This Row],[Reference]],""),"")</f>
        <v>DIGITTMII-015661-DIGITTMII-004430-EXT-02-6000053863-REQ-01</v>
      </c>
      <c r="N128" t="str">
        <f>_xlfn.IFNA(IF(VLOOKUP(TAB_Offres[[#This Row],[Reference]],TAB_Offres[[Reference]:[Has Expenses?]],COLUMNS(TAB_Offres[[Reference]:[Has Expenses?]]),FALSE)=J$2,TAB_Offres[[#This Row],[Reference]],""),"")</f>
        <v/>
      </c>
      <c r="O128" t="str">
        <f>IF(Tableau19[[#This Row],[EXPENSES_REF]]="","",MAX(O$1:O127)+1)</f>
        <v/>
      </c>
      <c r="P128" t="str">
        <f t="shared" si="6"/>
        <v/>
      </c>
      <c r="R128" s="98" t="str">
        <f t="shared" si="9"/>
        <v>User Documentation and Training person#R1-FAR</v>
      </c>
      <c r="S128" s="230">
        <v>219.97</v>
      </c>
      <c r="T128" s="231">
        <v>235.37</v>
      </c>
      <c r="U128" s="231">
        <v>251.85</v>
      </c>
      <c r="V128" s="231">
        <v>269.48</v>
      </c>
      <c r="W128" s="231">
        <v>288.33999999999997</v>
      </c>
      <c r="X128" s="231">
        <v>308.52</v>
      </c>
      <c r="Y128" s="231">
        <v>330.12</v>
      </c>
      <c r="Z128" s="231">
        <v>353.23</v>
      </c>
      <c r="AA128" s="231">
        <v>377.96</v>
      </c>
      <c r="AB128" s="231">
        <v>404.42</v>
      </c>
      <c r="AC128" s="231">
        <v>432.73</v>
      </c>
      <c r="AD128" s="102"/>
      <c r="AI128" s="3" t="str">
        <f>IFERROR(_xlfn.SINGLE(
IF(_xlfn.SINGLE(INDEX(TAB_Offres[Ressource 1],ROWS(Params!AI$2:$AI128)))=0,NA(),
INDEX(TAB_Offres[Ressource 1],ROWS(Params!AI$2:$AI128)))),
IFERROR(_xlfn.SINGLE(IF(_xlfn.SINGLE(INDEX(#REF!,ROWS(Params!AI$2:$AI128)-COUNTA(TAB_Offres[Ressource 1])))=0,NA(),
INDEX(#REF!,ROWS(Params!AI$2:$AI128)-COUNTA(TAB_Offres[Ressource 1])))),
IFERROR(_xlfn.SINGLE(IF(_xlfn.SINGLE(INDEX(#REF!,ROWS(Params!AI$2:$AI128)-COUNTA(#REF!)-COUNTA(TAB_Offres[Ressource 1])))=0,NA(),
INDEX(#REF!,ROWS(Params!AI$2:$AI128)-COUNTA(#REF!)-COUNTA(TAB_Offres[Ressource 1])))),""))
)</f>
        <v>GAGO CABEZAS, Irma</v>
      </c>
      <c r="AJ128" s="174">
        <f>IF(TAB_ressource[[#This Row],[Import Ressource]]="","",MAX(AJ$1:AJ127)+1)</f>
        <v>127</v>
      </c>
      <c r="AK128" s="176" t="str">
        <f>IFERROR(INDEX(TAB_ressource[Import Ressource],MATCH(ROW()-ROW($AK$1),TAB_ressource[ID Import ressources],0)),"")</f>
        <v>GAGO CABEZAS, Irma</v>
      </c>
      <c r="AN128" s="26">
        <f t="shared" si="7"/>
        <v>0</v>
      </c>
      <c r="BD128" t="s">
        <v>994</v>
      </c>
      <c r="BE128" t="s">
        <v>995</v>
      </c>
      <c r="BF128" t="s">
        <v>996</v>
      </c>
      <c r="BG128" t="s">
        <v>994</v>
      </c>
    </row>
    <row r="129" spans="13:59" x14ac:dyDescent="0.25">
      <c r="M129" t="str">
        <f>_xlfn.IFNA(IF(VLOOKUP(TAB_Offres[[#This Row],[Reference]],TAB_Offres[[Reference]:[Request State]],COLUMNS(TAB_Offres[[Reference]:[Request State]]),FALSE)=D$6,TAB_Offres[[#This Row],[Reference]],""),"")</f>
        <v>DIGITTMII-015688-DIGITTMII-001416-EXT-03-6000053863-REQ-01</v>
      </c>
      <c r="N129" t="str">
        <f>_xlfn.IFNA(IF(VLOOKUP(TAB_Offres[[#This Row],[Reference]],TAB_Offres[[Reference]:[Has Expenses?]],COLUMNS(TAB_Offres[[Reference]:[Has Expenses?]]),FALSE)=J$2,TAB_Offres[[#This Row],[Reference]],""),"")</f>
        <v/>
      </c>
      <c r="O129" t="str">
        <f>IF(Tableau19[[#This Row],[EXPENSES_REF]]="","",MAX(O$1:O128)+1)</f>
        <v/>
      </c>
      <c r="P129" t="str">
        <f t="shared" si="6"/>
        <v/>
      </c>
      <c r="R129" s="98" t="str">
        <f t="shared" si="9"/>
        <v>Web Operations Manager#R1-FAR</v>
      </c>
      <c r="S129" s="230">
        <v>227.34</v>
      </c>
      <c r="T129" s="231">
        <v>243.25</v>
      </c>
      <c r="U129" s="231">
        <v>260.27999999999997</v>
      </c>
      <c r="V129" s="231">
        <v>278.5</v>
      </c>
      <c r="W129" s="231">
        <v>298</v>
      </c>
      <c r="X129" s="231">
        <v>318.86</v>
      </c>
      <c r="Y129" s="231">
        <v>341.18</v>
      </c>
      <c r="Z129" s="231">
        <v>365.06</v>
      </c>
      <c r="AA129" s="231">
        <v>390.61</v>
      </c>
      <c r="AB129" s="231">
        <v>417.95</v>
      </c>
      <c r="AC129" s="231">
        <v>447.21</v>
      </c>
      <c r="AD129" s="102"/>
      <c r="AI129" s="3" t="str">
        <f>IFERROR(_xlfn.SINGLE(
IF(_xlfn.SINGLE(INDEX(TAB_Offres[Ressource 1],ROWS(Params!AI$2:$AI129)))=0,NA(),
INDEX(TAB_Offres[Ressource 1],ROWS(Params!AI$2:$AI129)))),
IFERROR(_xlfn.SINGLE(IF(_xlfn.SINGLE(INDEX(#REF!,ROWS(Params!AI$2:$AI129)-COUNTA(TAB_Offres[Ressource 1])))=0,NA(),
INDEX(#REF!,ROWS(Params!AI$2:$AI129)-COUNTA(TAB_Offres[Ressource 1])))),
IFERROR(_xlfn.SINGLE(IF(_xlfn.SINGLE(INDEX(#REF!,ROWS(Params!AI$2:$AI129)-COUNTA(#REF!)-COUNTA(TAB_Offres[Ressource 1])))=0,NA(),
INDEX(#REF!,ROWS(Params!AI$2:$AI129)-COUNTA(#REF!)-COUNTA(TAB_Offres[Ressource 1])))),""))
)</f>
        <v>DIAZ MUNOZ, Jaime</v>
      </c>
      <c r="AJ129" s="174">
        <f>IF(TAB_ressource[[#This Row],[Import Ressource]]="","",MAX(AJ$1:AJ128)+1)</f>
        <v>128</v>
      </c>
      <c r="AK129" s="176" t="str">
        <f>IFERROR(INDEX(TAB_ressource[Import Ressource],MATCH(ROW()-ROW($AK$1),TAB_ressource[ID Import ressources],0)),"")</f>
        <v>DIAZ MUNOZ, Jaime</v>
      </c>
      <c r="AN129" s="26">
        <f t="shared" si="7"/>
        <v>0</v>
      </c>
      <c r="BD129" t="s">
        <v>997</v>
      </c>
      <c r="BE129" t="s">
        <v>998</v>
      </c>
      <c r="BF129" t="s">
        <v>999</v>
      </c>
      <c r="BG129" t="s">
        <v>997</v>
      </c>
    </row>
    <row r="130" spans="13:59" x14ac:dyDescent="0.25">
      <c r="M130" t="str">
        <f>_xlfn.IFNA(IF(VLOOKUP(TAB_Offres[[#This Row],[Reference]],TAB_Offres[[Reference]:[Request State]],COLUMNS(TAB_Offres[[Reference]:[Request State]]),FALSE)=D$6,TAB_Offres[[#This Row],[Reference]],""),"")</f>
        <v>DIGITTMII-012876-6000053863-REQ-01</v>
      </c>
      <c r="N130" t="str">
        <f>_xlfn.IFNA(IF(VLOOKUP(TAB_Offres[[#This Row],[Reference]],TAB_Offres[[Reference]:[Has Expenses?]],COLUMNS(TAB_Offres[[Reference]:[Has Expenses?]]),FALSE)=J$2,TAB_Offres[[#This Row],[Reference]],""),"")</f>
        <v/>
      </c>
      <c r="O130" t="str">
        <f>IF(Tableau19[[#This Row],[EXPENSES_REF]]="","",MAX(O$1:O129)+1)</f>
        <v/>
      </c>
      <c r="P130" t="str">
        <f t="shared" ref="P130:P193" si="10">IFERROR(INDEX($N$2:$N$1001,MATCH(ROW()-ROW($P$1),$O$2:$O$1001,0)),"")</f>
        <v/>
      </c>
      <c r="R130" s="98" t="str">
        <f t="shared" si="9"/>
        <v>IS Tester#R1-FAR</v>
      </c>
      <c r="S130" s="230">
        <v>247.34</v>
      </c>
      <c r="T130" s="231">
        <v>264.64999999999998</v>
      </c>
      <c r="U130" s="231">
        <v>283.18</v>
      </c>
      <c r="V130" s="231">
        <v>303</v>
      </c>
      <c r="W130" s="231">
        <v>324.20999999999998</v>
      </c>
      <c r="X130" s="231">
        <v>346.9</v>
      </c>
      <c r="Y130" s="231">
        <v>371.18</v>
      </c>
      <c r="Z130" s="231">
        <v>397.16</v>
      </c>
      <c r="AA130" s="231">
        <v>424.96</v>
      </c>
      <c r="AB130" s="231">
        <v>454.71</v>
      </c>
      <c r="AC130" s="231">
        <v>486.54</v>
      </c>
      <c r="AD130" s="102"/>
      <c r="AI130" s="3" t="str">
        <f>IFERROR(_xlfn.SINGLE(
IF(_xlfn.SINGLE(INDEX(TAB_Offres[Ressource 1],ROWS(Params!AI$2:$AI130)))=0,NA(),
INDEX(TAB_Offres[Ressource 1],ROWS(Params!AI$2:$AI130)))),
IFERROR(_xlfn.SINGLE(IF(_xlfn.SINGLE(INDEX(#REF!,ROWS(Params!AI$2:$AI130)-COUNTA(TAB_Offres[Ressource 1])))=0,NA(),
INDEX(#REF!,ROWS(Params!AI$2:$AI130)-COUNTA(TAB_Offres[Ressource 1])))),
IFERROR(_xlfn.SINGLE(IF(_xlfn.SINGLE(INDEX(#REF!,ROWS(Params!AI$2:$AI130)-COUNTA(#REF!)-COUNTA(TAB_Offres[Ressource 1])))=0,NA(),
INDEX(#REF!,ROWS(Params!AI$2:$AI130)-COUNTA(#REF!)-COUNTA(TAB_Offres[Ressource 1])))),""))
)</f>
        <v>GOSMAN, Andrei</v>
      </c>
      <c r="AJ130" s="174">
        <f>IF(TAB_ressource[[#This Row],[Import Ressource]]="","",MAX(AJ$1:AJ129)+1)</f>
        <v>129</v>
      </c>
      <c r="AK130" s="176" t="str">
        <f>IFERROR(INDEX(TAB_ressource[Import Ressource],MATCH(ROW()-ROW($AK$1),TAB_ressource[ID Import ressources],0)),"")</f>
        <v>GOSMAN, Andrei</v>
      </c>
      <c r="AN130" s="26">
        <f t="shared" si="7"/>
        <v>0</v>
      </c>
      <c r="BD130" t="s">
        <v>1000</v>
      </c>
      <c r="BE130" t="s">
        <v>1001</v>
      </c>
      <c r="BF130" t="s">
        <v>1002</v>
      </c>
      <c r="BG130" t="s">
        <v>1000</v>
      </c>
    </row>
    <row r="131" spans="13:59" x14ac:dyDescent="0.25">
      <c r="M131" t="str">
        <f>_xlfn.IFNA(IF(VLOOKUP(TAB_Offres[[#This Row],[Reference]],TAB_Offres[[Reference]:[Request State]],COLUMNS(TAB_Offres[[Reference]:[Request State]]),FALSE)=D$6,TAB_Offres[[#This Row],[Reference]],""),"")</f>
        <v>DIGITTMII-016057-DIGITTMII-007029-EXT-01-6000053863-REQ-01</v>
      </c>
      <c r="N131" t="str">
        <f>_xlfn.IFNA(IF(VLOOKUP(TAB_Offres[[#This Row],[Reference]],TAB_Offres[[Reference]:[Has Expenses?]],COLUMNS(TAB_Offres[[Reference]:[Has Expenses?]]),FALSE)=J$2,TAB_Offres[[#This Row],[Reference]],""),"")</f>
        <v/>
      </c>
      <c r="O131" t="str">
        <f>IF(Tableau19[[#This Row],[EXPENSES_REF]]="","",MAX(O$1:O130)+1)</f>
        <v/>
      </c>
      <c r="P131" t="str">
        <f t="shared" si="10"/>
        <v/>
      </c>
      <c r="R131" s="98" t="str">
        <f t="shared" si="9"/>
        <v>Configuration / Deployment manager#R1-FAR</v>
      </c>
      <c r="S131" s="230">
        <v>219.97</v>
      </c>
      <c r="T131" s="231">
        <v>235.37</v>
      </c>
      <c r="U131" s="231">
        <v>251.85</v>
      </c>
      <c r="V131" s="231">
        <v>269.48</v>
      </c>
      <c r="W131" s="231">
        <v>288.33999999999997</v>
      </c>
      <c r="X131" s="231">
        <v>308.52</v>
      </c>
      <c r="Y131" s="231">
        <v>330.12</v>
      </c>
      <c r="Z131" s="231">
        <v>353.23</v>
      </c>
      <c r="AA131" s="231">
        <v>377.96</v>
      </c>
      <c r="AB131" s="231">
        <v>404.42</v>
      </c>
      <c r="AC131" s="231">
        <v>432.73</v>
      </c>
      <c r="AD131" s="102"/>
      <c r="AI131" s="3" t="str">
        <f>IFERROR(_xlfn.SINGLE(
IF(_xlfn.SINGLE(INDEX(TAB_Offres[Ressource 1],ROWS(Params!AI$2:$AI131)))=0,NA(),
INDEX(TAB_Offres[Ressource 1],ROWS(Params!AI$2:$AI131)))),
IFERROR(_xlfn.SINGLE(IF(_xlfn.SINGLE(INDEX(#REF!,ROWS(Params!AI$2:$AI131)-COUNTA(TAB_Offres[Ressource 1])))=0,NA(),
INDEX(#REF!,ROWS(Params!AI$2:$AI131)-COUNTA(TAB_Offres[Ressource 1])))),
IFERROR(_xlfn.SINGLE(IF(_xlfn.SINGLE(INDEX(#REF!,ROWS(Params!AI$2:$AI131)-COUNTA(#REF!)-COUNTA(TAB_Offres[Ressource 1])))=0,NA(),
INDEX(#REF!,ROWS(Params!AI$2:$AI131)-COUNTA(#REF!)-COUNTA(TAB_Offres[Ressource 1])))),""))
)</f>
        <v>SABĂU, Răzvan-Eugen</v>
      </c>
      <c r="AJ131" s="174">
        <f>IF(TAB_ressource[[#This Row],[Import Ressource]]="","",MAX(AJ$1:AJ130)+1)</f>
        <v>130</v>
      </c>
      <c r="AK131" s="176" t="str">
        <f>IFERROR(INDEX(TAB_ressource[Import Ressource],MATCH(ROW()-ROW($AK$1),TAB_ressource[ID Import ressources],0)),"")</f>
        <v>SABĂU, Răzvan-Eugen</v>
      </c>
      <c r="AN131" s="26">
        <f t="shared" ref="AN131:AN194" si="11">AM131</f>
        <v>0</v>
      </c>
      <c r="BD131" t="s">
        <v>1003</v>
      </c>
      <c r="BE131" t="s">
        <v>1004</v>
      </c>
      <c r="BF131" t="s">
        <v>1005</v>
      </c>
      <c r="BG131" t="s">
        <v>1003</v>
      </c>
    </row>
    <row r="132" spans="13:59" x14ac:dyDescent="0.25">
      <c r="M132" t="str">
        <f>_xlfn.IFNA(IF(VLOOKUP(TAB_Offres[[#This Row],[Reference]],TAB_Offres[[Reference]:[Request State]],COLUMNS(TAB_Offres[[Reference]:[Request State]]),FALSE)=D$6,TAB_Offres[[#This Row],[Reference]],""),"")</f>
        <v>DIGITTMII-016140-DIGITTMII-004504-EXT-02-6000053863-REQ-0</v>
      </c>
      <c r="N132" t="str">
        <f>_xlfn.IFNA(IF(VLOOKUP(TAB_Offres[[#This Row],[Reference]],TAB_Offres[[Reference]:[Has Expenses?]],COLUMNS(TAB_Offres[[Reference]:[Has Expenses?]]),FALSE)=J$2,TAB_Offres[[#This Row],[Reference]],""),"")</f>
        <v/>
      </c>
      <c r="O132" t="str">
        <f>IF(Tableau19[[#This Row],[EXPENSES_REF]]="","",MAX(O$1:O131)+1)</f>
        <v/>
      </c>
      <c r="P132" t="str">
        <f t="shared" si="10"/>
        <v/>
      </c>
      <c r="R132" s="98" t="str">
        <f t="shared" si="9"/>
        <v>Infrastructure System engineer#R1-FAR</v>
      </c>
      <c r="S132" s="230">
        <v>219.97</v>
      </c>
      <c r="T132" s="231">
        <v>235.37</v>
      </c>
      <c r="U132" s="231">
        <v>251.85</v>
      </c>
      <c r="V132" s="231">
        <v>269.48</v>
      </c>
      <c r="W132" s="231">
        <v>288.33999999999997</v>
      </c>
      <c r="X132" s="231">
        <v>308.52</v>
      </c>
      <c r="Y132" s="231">
        <v>330.12</v>
      </c>
      <c r="Z132" s="231">
        <v>353.23</v>
      </c>
      <c r="AA132" s="231">
        <v>377.96</v>
      </c>
      <c r="AB132" s="231">
        <v>404.42</v>
      </c>
      <c r="AC132" s="231">
        <v>432.73</v>
      </c>
      <c r="AD132" s="102"/>
      <c r="AI132" s="3" t="str">
        <f>IFERROR(_xlfn.SINGLE(
IF(_xlfn.SINGLE(INDEX(TAB_Offres[Ressource 1],ROWS(Params!AI$2:$AI132)))=0,NA(),
INDEX(TAB_Offres[Ressource 1],ROWS(Params!AI$2:$AI132)))),
IFERROR(_xlfn.SINGLE(IF(_xlfn.SINGLE(INDEX(#REF!,ROWS(Params!AI$2:$AI132)-COUNTA(TAB_Offres[Ressource 1])))=0,NA(),
INDEX(#REF!,ROWS(Params!AI$2:$AI132)-COUNTA(TAB_Offres[Ressource 1])))),
IFERROR(_xlfn.SINGLE(IF(_xlfn.SINGLE(INDEX(#REF!,ROWS(Params!AI$2:$AI132)-COUNTA(#REF!)-COUNTA(TAB_Offres[Ressource 1])))=0,NA(),
INDEX(#REF!,ROWS(Params!AI$2:$AI132)-COUNTA(#REF!)-COUNTA(TAB_Offres[Ressource 1])))),""))
)</f>
        <v>LEFTER, Diana</v>
      </c>
      <c r="AJ132" s="174">
        <f>IF(TAB_ressource[[#This Row],[Import Ressource]]="","",MAX(AJ$1:AJ131)+1)</f>
        <v>131</v>
      </c>
      <c r="AK132" s="176" t="str">
        <f>IFERROR(INDEX(TAB_ressource[Import Ressource],MATCH(ROW()-ROW($AK$1),TAB_ressource[ID Import ressources],0)),"")</f>
        <v>LEFTER, Diana</v>
      </c>
      <c r="AN132" s="26">
        <f t="shared" si="11"/>
        <v>0</v>
      </c>
      <c r="BD132" t="s">
        <v>1006</v>
      </c>
      <c r="BE132" t="s">
        <v>1007</v>
      </c>
      <c r="BF132" t="s">
        <v>1008</v>
      </c>
      <c r="BG132" t="s">
        <v>1006</v>
      </c>
    </row>
    <row r="133" spans="13:59" x14ac:dyDescent="0.25">
      <c r="M133" t="str">
        <f>_xlfn.IFNA(IF(VLOOKUP(TAB_Offres[[#This Row],[Reference]],TAB_Offres[[Reference]:[Request State]],COLUMNS(TAB_Offres[[Reference]:[Request State]]),FALSE)=D$6,TAB_Offres[[#This Row],[Reference]],""),"")</f>
        <v>DIGITTMII-016268-DIGITTMII-003241-EXT-03-6000053863-REQ-01</v>
      </c>
      <c r="N133" t="str">
        <f>_xlfn.IFNA(IF(VLOOKUP(TAB_Offres[[#This Row],[Reference]],TAB_Offres[[Reference]:[Has Expenses?]],COLUMNS(TAB_Offres[[Reference]:[Has Expenses?]]),FALSE)=J$2,TAB_Offres[[#This Row],[Reference]],""),"")</f>
        <v/>
      </c>
      <c r="O133" t="str">
        <f>IF(Tableau19[[#This Row],[EXPENSES_REF]]="","",MAX(O$1:O132)+1)</f>
        <v/>
      </c>
      <c r="P133" t="str">
        <f t="shared" si="10"/>
        <v/>
      </c>
      <c r="R133" s="98" t="str">
        <f t="shared" si="9"/>
        <v>Linux consultant#R1-FAR</v>
      </c>
      <c r="S133" s="230">
        <v>219.97</v>
      </c>
      <c r="T133" s="231">
        <v>235.37</v>
      </c>
      <c r="U133" s="231">
        <v>251.85</v>
      </c>
      <c r="V133" s="231">
        <v>269.48</v>
      </c>
      <c r="W133" s="231">
        <v>288.33999999999997</v>
      </c>
      <c r="X133" s="231">
        <v>308.52</v>
      </c>
      <c r="Y133" s="231">
        <v>330.12</v>
      </c>
      <c r="Z133" s="231">
        <v>353.23</v>
      </c>
      <c r="AA133" s="231">
        <v>377.96</v>
      </c>
      <c r="AB133" s="231">
        <v>404.42</v>
      </c>
      <c r="AC133" s="231">
        <v>432.73</v>
      </c>
      <c r="AD133" s="102"/>
      <c r="AI133" s="3" t="str">
        <f>IFERROR(_xlfn.SINGLE(
IF(_xlfn.SINGLE(INDEX(TAB_Offres[Ressource 1],ROWS(Params!AI$2:$AI133)))=0,NA(),
INDEX(TAB_Offres[Ressource 1],ROWS(Params!AI$2:$AI133)))),
IFERROR(_xlfn.SINGLE(IF(_xlfn.SINGLE(INDEX(#REF!,ROWS(Params!AI$2:$AI133)-COUNTA(TAB_Offres[Ressource 1])))=0,NA(),
INDEX(#REF!,ROWS(Params!AI$2:$AI133)-COUNTA(TAB_Offres[Ressource 1])))),
IFERROR(_xlfn.SINGLE(IF(_xlfn.SINGLE(INDEX(#REF!,ROWS(Params!AI$2:$AI133)-COUNTA(#REF!)-COUNTA(TAB_Offres[Ressource 1])))=0,NA(),
INDEX(#REF!,ROWS(Params!AI$2:$AI133)-COUNTA(#REF!)-COUNTA(TAB_Offres[Ressource 1])))),""))
)</f>
        <v>ESCRIBANO, Ruben</v>
      </c>
      <c r="AJ133" s="174">
        <f>IF(TAB_ressource[[#This Row],[Import Ressource]]="","",MAX(AJ$1:AJ132)+1)</f>
        <v>132</v>
      </c>
      <c r="AK133" s="176" t="str">
        <f>IFERROR(INDEX(TAB_ressource[Import Ressource],MATCH(ROW()-ROW($AK$1),TAB_ressource[ID Import ressources],0)),"")</f>
        <v>ESCRIBANO, Ruben</v>
      </c>
      <c r="AN133" s="26">
        <f t="shared" si="11"/>
        <v>0</v>
      </c>
      <c r="BD133" t="s">
        <v>1009</v>
      </c>
      <c r="BE133" t="s">
        <v>1010</v>
      </c>
      <c r="BF133" t="s">
        <v>1011</v>
      </c>
      <c r="BG133" t="s">
        <v>1009</v>
      </c>
    </row>
    <row r="134" spans="13:59" x14ac:dyDescent="0.25">
      <c r="M134" t="str">
        <f>_xlfn.IFNA(IF(VLOOKUP(TAB_Offres[[#This Row],[Reference]],TAB_Offres[[Reference]:[Request State]],COLUMNS(TAB_Offres[[Reference]:[Request State]]),FALSE)=D$6,TAB_Offres[[#This Row],[Reference]],""),"")</f>
        <v>DIGITTMII-015625-DIGITTMII-006278-EXT-02-6000053863-REQ-01</v>
      </c>
      <c r="N134" t="str">
        <f>_xlfn.IFNA(IF(VLOOKUP(TAB_Offres[[#This Row],[Reference]],TAB_Offres[[Reference]:[Has Expenses?]],COLUMNS(TAB_Offres[[Reference]:[Has Expenses?]]),FALSE)=J$2,TAB_Offres[[#This Row],[Reference]],""),"")</f>
        <v/>
      </c>
      <c r="O134" t="str">
        <f>IF(Tableau19[[#This Row],[EXPENSES_REF]]="","",MAX(O$1:O133)+1)</f>
        <v/>
      </c>
      <c r="P134" t="str">
        <f t="shared" si="10"/>
        <v/>
      </c>
      <c r="R134" s="98" t="str">
        <f t="shared" si="9"/>
        <v>MacOS consultant#R1-FAR</v>
      </c>
      <c r="S134" s="230">
        <v>219.97</v>
      </c>
      <c r="T134" s="231">
        <v>235.37</v>
      </c>
      <c r="U134" s="231">
        <v>251.85</v>
      </c>
      <c r="V134" s="231">
        <v>269.48</v>
      </c>
      <c r="W134" s="231">
        <v>288.33999999999997</v>
      </c>
      <c r="X134" s="231">
        <v>308.52</v>
      </c>
      <c r="Y134" s="231">
        <v>330.12</v>
      </c>
      <c r="Z134" s="231">
        <v>353.23</v>
      </c>
      <c r="AA134" s="231">
        <v>377.96</v>
      </c>
      <c r="AB134" s="231">
        <v>404.42</v>
      </c>
      <c r="AC134" s="231">
        <v>432.73</v>
      </c>
      <c r="AD134" s="102"/>
      <c r="AI134" s="3" t="str">
        <f>IFERROR(_xlfn.SINGLE(
IF(_xlfn.SINGLE(INDEX(TAB_Offres[Ressource 1],ROWS(Params!AI$2:$AI134)))=0,NA(),
INDEX(TAB_Offres[Ressource 1],ROWS(Params!AI$2:$AI134)))),
IFERROR(_xlfn.SINGLE(IF(_xlfn.SINGLE(INDEX(#REF!,ROWS(Params!AI$2:$AI134)-COUNTA(TAB_Offres[Ressource 1])))=0,NA(),
INDEX(#REF!,ROWS(Params!AI$2:$AI134)-COUNTA(TAB_Offres[Ressource 1])))),
IFERROR(_xlfn.SINGLE(IF(_xlfn.SINGLE(INDEX(#REF!,ROWS(Params!AI$2:$AI134)-COUNTA(#REF!)-COUNTA(TAB_Offres[Ressource 1])))=0,NA(),
INDEX(#REF!,ROWS(Params!AI$2:$AI134)-COUNTA(#REF!)-COUNTA(TAB_Offres[Ressource 1])))),""))
)</f>
        <v>FERNANDEZ GUERRERO, Ivan</v>
      </c>
      <c r="AJ134" s="174">
        <f>IF(TAB_ressource[[#This Row],[Import Ressource]]="","",MAX(AJ$1:AJ133)+1)</f>
        <v>133</v>
      </c>
      <c r="AK134" s="176" t="str">
        <f>IFERROR(INDEX(TAB_ressource[Import Ressource],MATCH(ROW()-ROW($AK$1),TAB_ressource[ID Import ressources],0)),"")</f>
        <v>FERNANDEZ GUERRERO, Ivan</v>
      </c>
      <c r="AN134" s="26">
        <f t="shared" si="11"/>
        <v>0</v>
      </c>
      <c r="BD134" t="s">
        <v>1012</v>
      </c>
      <c r="BE134" t="s">
        <v>1013</v>
      </c>
      <c r="BF134" t="s">
        <v>1014</v>
      </c>
      <c r="BG134" t="s">
        <v>1012</v>
      </c>
    </row>
    <row r="135" spans="13:59" ht="26.4" x14ac:dyDescent="0.25">
      <c r="M135" t="str">
        <f>_xlfn.IFNA(IF(VLOOKUP(TAB_Offres[[#This Row],[Reference]],TAB_Offres[[Reference]:[Request State]],COLUMNS(TAB_Offres[[Reference]:[Request State]]),FALSE)=D$6,TAB_Offres[[#This Row],[Reference]],""),"")</f>
        <v>DIGITTMII-014680-DIGITTMII-007936-EXT-01-6000053863-REQ-0</v>
      </c>
      <c r="N135" t="str">
        <f>_xlfn.IFNA(IF(VLOOKUP(TAB_Offres[[#This Row],[Reference]],TAB_Offres[[Reference]:[Has Expenses?]],COLUMNS(TAB_Offres[[Reference]:[Has Expenses?]]),FALSE)=J$2,TAB_Offres[[#This Row],[Reference]],""),"")</f>
        <v/>
      </c>
      <c r="O135" t="str">
        <f>IF(Tableau19[[#This Row],[EXPENSES_REF]]="","",MAX(O$1:O134)+1)</f>
        <v/>
      </c>
      <c r="P135" t="str">
        <f t="shared" si="10"/>
        <v/>
      </c>
      <c r="R135" s="229" t="s">
        <v>5418</v>
      </c>
      <c r="S135" s="230"/>
      <c r="T135" s="231"/>
      <c r="U135" s="231"/>
      <c r="V135" s="231"/>
      <c r="W135" s="231"/>
      <c r="X135" s="231"/>
      <c r="Y135" s="231"/>
      <c r="Z135" s="231"/>
      <c r="AA135" s="231"/>
      <c r="AB135" s="231"/>
      <c r="AC135" s="231"/>
      <c r="AD135" s="102"/>
      <c r="AI135" s="3" t="str">
        <f>IFERROR(_xlfn.SINGLE(
IF(_xlfn.SINGLE(INDEX(TAB_Offres[Ressource 1],ROWS(Params!AI$2:$AI135)))=0,NA(),
INDEX(TAB_Offres[Ressource 1],ROWS(Params!AI$2:$AI135)))),
IFERROR(_xlfn.SINGLE(IF(_xlfn.SINGLE(INDEX(#REF!,ROWS(Params!AI$2:$AI135)-COUNTA(TAB_Offres[Ressource 1])))=0,NA(),
INDEX(#REF!,ROWS(Params!AI$2:$AI135)-COUNTA(TAB_Offres[Ressource 1])))),
IFERROR(_xlfn.SINGLE(IF(_xlfn.SINGLE(INDEX(#REF!,ROWS(Params!AI$2:$AI135)-COUNTA(#REF!)-COUNTA(TAB_Offres[Ressource 1])))=0,NA(),
INDEX(#REF!,ROWS(Params!AI$2:$AI135)-COUNTA(#REF!)-COUNTA(TAB_Offres[Ressource 1])))),""))
)</f>
        <v>CHOUAIECH, Mohamed</v>
      </c>
      <c r="AJ135" s="174">
        <f>IF(TAB_ressource[[#This Row],[Import Ressource]]="","",MAX(AJ$1:AJ134)+1)</f>
        <v>134</v>
      </c>
      <c r="AK135" s="176" t="str">
        <f>IFERROR(INDEX(TAB_ressource[Import Ressource],MATCH(ROW()-ROW($AK$1),TAB_ressource[ID Import ressources],0)),"")</f>
        <v>CHOUAIECH, Mohamed</v>
      </c>
      <c r="AN135" s="26">
        <f t="shared" si="11"/>
        <v>0</v>
      </c>
      <c r="BD135" t="s">
        <v>1015</v>
      </c>
      <c r="BE135" t="s">
        <v>1016</v>
      </c>
      <c r="BF135" t="s">
        <v>1017</v>
      </c>
      <c r="BG135" t="s">
        <v>1015</v>
      </c>
    </row>
    <row r="136" spans="13:59" x14ac:dyDescent="0.25">
      <c r="M136" t="str">
        <f>_xlfn.IFNA(IF(VLOOKUP(TAB_Offres[[#This Row],[Reference]],TAB_Offres[[Reference]:[Request State]],COLUMNS(TAB_Offres[[Reference]:[Request State]]),FALSE)=D$6,TAB_Offres[[#This Row],[Reference]],""),"")</f>
        <v>DIGITTMII-016508-6000053863-REQ-01</v>
      </c>
      <c r="N136" t="str">
        <f>_xlfn.IFNA(IF(VLOOKUP(TAB_Offres[[#This Row],[Reference]],TAB_Offres[[Reference]:[Has Expenses?]],COLUMNS(TAB_Offres[[Reference]:[Has Expenses?]]),FALSE)=J$2,TAB_Offres[[#This Row],[Reference]],""),"")</f>
        <v>DIGITTMII-016508-6000053863-REQ-01</v>
      </c>
      <c r="O136">
        <f>IF(Tableau19[[#This Row],[EXPENSES_REF]]="","",MAX(O$1:O135)+1)</f>
        <v>23</v>
      </c>
      <c r="P136" t="str">
        <f t="shared" si="10"/>
        <v/>
      </c>
      <c r="R136" s="227" t="s">
        <v>5696</v>
      </c>
      <c r="S136" s="230">
        <v>332.27</v>
      </c>
      <c r="T136" s="231">
        <v>355.53</v>
      </c>
      <c r="U136" s="231">
        <v>380.42</v>
      </c>
      <c r="V136" s="231">
        <v>407.05</v>
      </c>
      <c r="W136" s="231">
        <v>435.54</v>
      </c>
      <c r="X136" s="231">
        <v>466.03</v>
      </c>
      <c r="Y136" s="231">
        <v>498.65</v>
      </c>
      <c r="Z136" s="231">
        <v>533.55999999999995</v>
      </c>
      <c r="AA136" s="231">
        <v>570.91</v>
      </c>
      <c r="AB136" s="231">
        <v>610.87</v>
      </c>
      <c r="AC136" s="231">
        <v>653.63</v>
      </c>
      <c r="AD136" s="102"/>
      <c r="AI136" s="3" t="str">
        <f>IFERROR(_xlfn.SINGLE(
IF(_xlfn.SINGLE(INDEX(TAB_Offres[Ressource 1],ROWS(Params!AI$2:$AI136)))=0,NA(),
INDEX(TAB_Offres[Ressource 1],ROWS(Params!AI$2:$AI136)))),
IFERROR(_xlfn.SINGLE(IF(_xlfn.SINGLE(INDEX(#REF!,ROWS(Params!AI$2:$AI136)-COUNTA(TAB_Offres[Ressource 1])))=0,NA(),
INDEX(#REF!,ROWS(Params!AI$2:$AI136)-COUNTA(TAB_Offres[Ressource 1])))),
IFERROR(_xlfn.SINGLE(IF(_xlfn.SINGLE(INDEX(#REF!,ROWS(Params!AI$2:$AI136)-COUNTA(#REF!)-COUNTA(TAB_Offres[Ressource 1])))=0,NA(),
INDEX(#REF!,ROWS(Params!AI$2:$AI136)-COUNTA(#REF!)-COUNTA(TAB_Offres[Ressource 1])))),""))
)</f>
        <v>GOSMAN, Andrei</v>
      </c>
      <c r="AJ136" s="175">
        <f>IF(TAB_ressource[[#This Row],[Import Ressource]]="","",MAX(AJ$1:AJ135)+1)</f>
        <v>135</v>
      </c>
      <c r="AK136" s="176" t="str">
        <f>IFERROR(INDEX(TAB_ressource[Import Ressource],MATCH(ROW()-ROW($AK$1),TAB_ressource[ID Import ressources],0)),"")</f>
        <v>GOSMAN, Andrei</v>
      </c>
      <c r="AN136" s="26">
        <f t="shared" si="11"/>
        <v>0</v>
      </c>
      <c r="BD136" t="s">
        <v>1018</v>
      </c>
      <c r="BE136" t="s">
        <v>1019</v>
      </c>
      <c r="BF136" t="s">
        <v>1020</v>
      </c>
      <c r="BG136" t="s">
        <v>1018</v>
      </c>
    </row>
    <row r="137" spans="13:59" x14ac:dyDescent="0.25">
      <c r="M137" t="str">
        <f>_xlfn.IFNA(IF(VLOOKUP(TAB_Offres[[#This Row],[Reference]],TAB_Offres[[Reference]:[Request State]],COLUMNS(TAB_Offres[[Reference]:[Request State]]),FALSE)=D$6,TAB_Offres[[#This Row],[Reference]],""),"")</f>
        <v>DIGITTMII-016730-DIGITTMII-006302-EXT-02-6000053863-REQ-01</v>
      </c>
      <c r="N137" t="str">
        <f>_xlfn.IFNA(IF(VLOOKUP(TAB_Offres[[#This Row],[Reference]],TAB_Offres[[Reference]:[Has Expenses?]],COLUMNS(TAB_Offres[[Reference]:[Has Expenses?]]),FALSE)=J$2,TAB_Offres[[#This Row],[Reference]],""),"")</f>
        <v/>
      </c>
      <c r="O137" t="str">
        <f>IF(Tableau19[[#This Row],[EXPENSES_REF]]="","",MAX(O$1:O136)+1)</f>
        <v/>
      </c>
      <c r="P137" t="str">
        <f t="shared" si="10"/>
        <v/>
      </c>
      <c r="R137" s="227" t="s">
        <v>5697</v>
      </c>
      <c r="S137" s="230">
        <v>332.27</v>
      </c>
      <c r="T137" s="231">
        <v>355.53</v>
      </c>
      <c r="U137" s="231">
        <v>380.42</v>
      </c>
      <c r="V137" s="231">
        <v>407.05</v>
      </c>
      <c r="W137" s="231">
        <v>435.54</v>
      </c>
      <c r="X137" s="231">
        <v>466.03</v>
      </c>
      <c r="Y137" s="231">
        <v>498.65</v>
      </c>
      <c r="Z137" s="231">
        <v>533.55999999999995</v>
      </c>
      <c r="AA137" s="231">
        <v>570.91</v>
      </c>
      <c r="AB137" s="231">
        <v>610.87</v>
      </c>
      <c r="AC137" s="231">
        <v>653.63</v>
      </c>
      <c r="AD137" s="102"/>
      <c r="AI137" s="181" t="str">
        <f>IFERROR(_xlfn.SINGLE(
IF(_xlfn.SINGLE(INDEX(TAB_Offres[Ressource 1],ROWS(Params!AI$2:$AI137)))=0,NA(),
INDEX(TAB_Offres[Ressource 1],ROWS(Params!AI$2:$AI137)))),
IFERROR(_xlfn.SINGLE(IF(_xlfn.SINGLE(INDEX(#REF!,ROWS(Params!AI$2:$AI137)-COUNTA(TAB_Offres[Ressource 1])))=0,NA(),
INDEX(#REF!,ROWS(Params!AI$2:$AI137)-COUNTA(TAB_Offres[Ressource 1])))),
IFERROR(_xlfn.SINGLE(IF(_xlfn.SINGLE(INDEX(#REF!,ROWS(Params!AI$2:$AI137)-COUNTA(#REF!)-COUNTA(TAB_Offres[Ressource 1])))=0,NA(),
INDEX(#REF!,ROWS(Params!AI$2:$AI137)-COUNTA(#REF!)-COUNTA(TAB_Offres[Ressource 1])))),""))
)</f>
        <v>AFONSO, Leonardo</v>
      </c>
      <c r="AJ137" s="182">
        <f>IF(TAB_ressource[[#This Row],[Import Ressource]]="","",MAX(AJ$1:AJ136)+1)</f>
        <v>136</v>
      </c>
      <c r="AK137" s="183" t="str">
        <f>IFERROR(INDEX(TAB_ressource[Import Ressource],MATCH(ROW()-ROW($AK$1),TAB_ressource[ID Import ressources],0)),"")</f>
        <v>AFONSO, Leonardo</v>
      </c>
      <c r="AN137" s="26">
        <f t="shared" si="11"/>
        <v>0</v>
      </c>
      <c r="BD137" t="s">
        <v>1021</v>
      </c>
      <c r="BE137" t="s">
        <v>1022</v>
      </c>
      <c r="BF137" t="s">
        <v>1023</v>
      </c>
      <c r="BG137" t="s">
        <v>1021</v>
      </c>
    </row>
    <row r="138" spans="13:59" x14ac:dyDescent="0.25">
      <c r="M138" t="str">
        <f>_xlfn.IFNA(IF(VLOOKUP(TAB_Offres[[#This Row],[Reference]],TAB_Offres[[Reference]:[Request State]],COLUMNS(TAB_Offres[[Reference]:[Request State]]),FALSE)=D$6,TAB_Offres[[#This Row],[Reference]],""),"")</f>
        <v>DIGITTMII-016208-DIGITTMII-003129-EXT-02-6000053863-REQ-01</v>
      </c>
      <c r="N138" t="str">
        <f>_xlfn.IFNA(IF(VLOOKUP(TAB_Offres[[#This Row],[Reference]],TAB_Offres[[Reference]:[Has Expenses?]],COLUMNS(TAB_Offres[[Reference]:[Has Expenses?]]),FALSE)=J$2,TAB_Offres[[#This Row],[Reference]],""),"")</f>
        <v/>
      </c>
      <c r="O138" t="str">
        <f>IF(Tableau19[[#This Row],[EXPENSES_REF]]="","",MAX(O$1:O137)+1)</f>
        <v/>
      </c>
      <c r="P138" t="str">
        <f t="shared" si="10"/>
        <v/>
      </c>
      <c r="R138" s="227" t="s">
        <v>5698</v>
      </c>
      <c r="S138" s="230">
        <v>332.27</v>
      </c>
      <c r="T138" s="231">
        <v>355.53</v>
      </c>
      <c r="U138" s="231">
        <v>380.42</v>
      </c>
      <c r="V138" s="231">
        <v>407.05</v>
      </c>
      <c r="W138" s="231">
        <v>435.54</v>
      </c>
      <c r="X138" s="231">
        <v>466.03</v>
      </c>
      <c r="Y138" s="231">
        <v>498.65</v>
      </c>
      <c r="Z138" s="231">
        <v>533.55999999999995</v>
      </c>
      <c r="AA138" s="231">
        <v>570.91</v>
      </c>
      <c r="AB138" s="231">
        <v>610.87</v>
      </c>
      <c r="AC138" s="231">
        <v>653.63</v>
      </c>
      <c r="AD138" s="102"/>
      <c r="AI138" s="180" t="str">
        <f>IFERROR(_xlfn.SINGLE(
IF(_xlfn.SINGLE(INDEX(TAB_Offres[Ressource 1],ROWS(Params!AI$2:$AI138)))=0,NA(),
INDEX(TAB_Offres[Ressource 1],ROWS(Params!AI$2:$AI138)))),
IFERROR(_xlfn.SINGLE(IF(_xlfn.SINGLE(INDEX(#REF!,ROWS(Params!AI$2:$AI138)-COUNTA(TAB_Offres[Ressource 1])))=0,NA(),
INDEX(#REF!,ROWS(Params!AI$2:$AI138)-COUNTA(TAB_Offres[Ressource 1])))),
IFERROR(_xlfn.SINGLE(IF(_xlfn.SINGLE(INDEX(#REF!,ROWS(Params!AI$2:$AI138)-COUNTA(#REF!)-COUNTA(TAB_Offres[Ressource 1])))=0,NA(),
INDEX(#REF!,ROWS(Params!AI$2:$AI138)-COUNTA(#REF!)-COUNTA(TAB_Offres[Ressource 1])))),""))
)</f>
        <v>KIRIMLIDOU, Dimoula</v>
      </c>
      <c r="AJ138" s="174">
        <f>IF(TAB_ressource[[#This Row],[Import Ressource]]="","",MAX(AJ$1:AJ137)+1)</f>
        <v>137</v>
      </c>
      <c r="AK138" s="177" t="str">
        <f>IFERROR(INDEX(TAB_ressource[Import Ressource],MATCH(ROW()-ROW($AK$1),TAB_ressource[ID Import ressources],0)),"")</f>
        <v>KIRIMLIDOU, Dimoula</v>
      </c>
      <c r="AN138" s="26">
        <f t="shared" si="11"/>
        <v>0</v>
      </c>
      <c r="BD138" t="s">
        <v>1024</v>
      </c>
      <c r="BE138" t="s">
        <v>1025</v>
      </c>
      <c r="BF138" t="s">
        <v>1026</v>
      </c>
      <c r="BG138" t="s">
        <v>1024</v>
      </c>
    </row>
    <row r="139" spans="13:59" x14ac:dyDescent="0.25">
      <c r="M139" t="str">
        <f>_xlfn.IFNA(IF(VLOOKUP(TAB_Offres[[#This Row],[Reference]],TAB_Offres[[Reference]:[Request State]],COLUMNS(TAB_Offres[[Reference]:[Request State]]),FALSE)=D$6,TAB_Offres[[#This Row],[Reference]],""),"")</f>
        <v>DIGITTMII-015865-6000053863-REQ-01</v>
      </c>
      <c r="N139" t="str">
        <f>_xlfn.IFNA(IF(VLOOKUP(TAB_Offres[[#This Row],[Reference]],TAB_Offres[[Reference]:[Has Expenses?]],COLUMNS(TAB_Offres[[Reference]:[Has Expenses?]]),FALSE)=J$2,TAB_Offres[[#This Row],[Reference]],""),"")</f>
        <v/>
      </c>
      <c r="O139" t="str">
        <f>IF(Tableau19[[#This Row],[EXPENSES_REF]]="","",MAX(O$1:O138)+1)</f>
        <v/>
      </c>
      <c r="P139" t="str">
        <f t="shared" si="10"/>
        <v/>
      </c>
      <c r="R139" s="227" t="s">
        <v>5699</v>
      </c>
      <c r="S139" s="230">
        <v>332.27</v>
      </c>
      <c r="T139" s="231">
        <v>355.53</v>
      </c>
      <c r="U139" s="231">
        <v>380.42</v>
      </c>
      <c r="V139" s="231">
        <v>407.05</v>
      </c>
      <c r="W139" s="231">
        <v>435.54</v>
      </c>
      <c r="X139" s="231">
        <v>466.03</v>
      </c>
      <c r="Y139" s="231">
        <v>498.65</v>
      </c>
      <c r="Z139" s="231">
        <v>533.55999999999995</v>
      </c>
      <c r="AA139" s="231">
        <v>570.91</v>
      </c>
      <c r="AB139" s="231">
        <v>610.87</v>
      </c>
      <c r="AC139" s="231">
        <v>653.63</v>
      </c>
      <c r="AD139" s="102"/>
      <c r="AI139" s="180" t="str">
        <f>IFERROR(_xlfn.SINGLE(
IF(_xlfn.SINGLE(INDEX(TAB_Offres[Ressource 1],ROWS(Params!AI$2:$AI139)))=0,NA(),
INDEX(TAB_Offres[Ressource 1],ROWS(Params!AI$2:$AI139)))),
IFERROR(_xlfn.SINGLE(IF(_xlfn.SINGLE(INDEX(#REF!,ROWS(Params!AI$2:$AI139)-COUNTA(TAB_Offres[Ressource 1])))=0,NA(),
INDEX(#REF!,ROWS(Params!AI$2:$AI139)-COUNTA(TAB_Offres[Ressource 1])))),
IFERROR(_xlfn.SINGLE(IF(_xlfn.SINGLE(INDEX(#REF!,ROWS(Params!AI$2:$AI139)-COUNTA(#REF!)-COUNTA(TAB_Offres[Ressource 1])))=0,NA(),
INDEX(#REF!,ROWS(Params!AI$2:$AI139)-COUNTA(#REF!)-COUNTA(TAB_Offres[Ressource 1])))),""))
)</f>
        <v>MEEUS, Alain</v>
      </c>
      <c r="AJ139" s="174">
        <f>IF(TAB_ressource[[#This Row],[Import Ressource]]="","",MAX(AJ$1:AJ138)+1)</f>
        <v>138</v>
      </c>
      <c r="AK139" s="177" t="str">
        <f>IFERROR(INDEX(TAB_ressource[Import Ressource],MATCH(ROW()-ROW($AK$1),TAB_ressource[ID Import ressources],0)),"")</f>
        <v>MEEUS, Alain</v>
      </c>
      <c r="AN139" s="26">
        <f t="shared" si="11"/>
        <v>0</v>
      </c>
      <c r="BD139" t="s">
        <v>1027</v>
      </c>
      <c r="BE139" t="s">
        <v>1028</v>
      </c>
      <c r="BF139" t="s">
        <v>1029</v>
      </c>
      <c r="BG139" t="s">
        <v>1027</v>
      </c>
    </row>
    <row r="140" spans="13:59" x14ac:dyDescent="0.25">
      <c r="M140" t="str">
        <f>_xlfn.IFNA(IF(VLOOKUP(TAB_Offres[[#This Row],[Reference]],TAB_Offres[[Reference]:[Request State]],COLUMNS(TAB_Offres[[Reference]:[Request State]]),FALSE)=D$6,TAB_Offres[[#This Row],[Reference]],""),"")</f>
        <v>DIGITTMII-013551-DIGITTMII-002150-EXT-02-6000053863-REQ-01</v>
      </c>
      <c r="N140" t="str">
        <f>_xlfn.IFNA(IF(VLOOKUP(TAB_Offres[[#This Row],[Reference]],TAB_Offres[[Reference]:[Has Expenses?]],COLUMNS(TAB_Offres[[Reference]:[Has Expenses?]]),FALSE)=J$2,TAB_Offres[[#This Row],[Reference]],""),"")</f>
        <v/>
      </c>
      <c r="O140" t="str">
        <f>IF(Tableau19[[#This Row],[EXPENSES_REF]]="","",MAX(O$1:O139)+1)</f>
        <v/>
      </c>
      <c r="P140" t="str">
        <f t="shared" si="10"/>
        <v/>
      </c>
      <c r="R140" s="227" t="s">
        <v>5700</v>
      </c>
      <c r="S140" s="230">
        <v>431.53</v>
      </c>
      <c r="T140" s="231">
        <v>461.74</v>
      </c>
      <c r="U140" s="231">
        <v>494.06</v>
      </c>
      <c r="V140" s="231">
        <v>528.64</v>
      </c>
      <c r="W140" s="231">
        <v>565.64</v>
      </c>
      <c r="X140" s="231">
        <v>605.23</v>
      </c>
      <c r="Y140" s="231">
        <v>647.6</v>
      </c>
      <c r="Z140" s="231">
        <v>692.93</v>
      </c>
      <c r="AA140" s="231">
        <v>741.44</v>
      </c>
      <c r="AB140" s="231">
        <v>793.34</v>
      </c>
      <c r="AC140" s="231">
        <v>848.87</v>
      </c>
      <c r="AD140" s="102"/>
      <c r="AI140" s="180" t="str">
        <f>IFERROR(_xlfn.SINGLE(
IF(_xlfn.SINGLE(INDEX(TAB_Offres[Ressource 1],ROWS(Params!AI$2:$AI140)))=0,NA(),
INDEX(TAB_Offres[Ressource 1],ROWS(Params!AI$2:$AI140)))),
IFERROR(_xlfn.SINGLE(IF(_xlfn.SINGLE(INDEX(#REF!,ROWS(Params!AI$2:$AI140)-COUNTA(TAB_Offres[Ressource 1])))=0,NA(),
INDEX(#REF!,ROWS(Params!AI$2:$AI140)-COUNTA(TAB_Offres[Ressource 1])))),
IFERROR(_xlfn.SINGLE(IF(_xlfn.SINGLE(INDEX(#REF!,ROWS(Params!AI$2:$AI140)-COUNTA(#REF!)-COUNTA(TAB_Offres[Ressource 1])))=0,NA(),
INDEX(#REF!,ROWS(Params!AI$2:$AI140)-COUNTA(#REF!)-COUNTA(TAB_Offres[Ressource 1])))),""))
)</f>
        <v>NICULESCU, Calin</v>
      </c>
      <c r="AJ140" s="174">
        <f>IF(TAB_ressource[[#This Row],[Import Ressource]]="","",MAX(AJ$1:AJ139)+1)</f>
        <v>139</v>
      </c>
      <c r="AK140" s="177" t="str">
        <f>IFERROR(INDEX(TAB_ressource[Import Ressource],MATCH(ROW()-ROW($AK$1),TAB_ressource[ID Import ressources],0)),"")</f>
        <v>NICULESCU, Calin</v>
      </c>
      <c r="AN140" s="26">
        <f t="shared" si="11"/>
        <v>0</v>
      </c>
      <c r="BD140" t="s">
        <v>1030</v>
      </c>
      <c r="BE140" t="s">
        <v>1031</v>
      </c>
      <c r="BF140" t="s">
        <v>1032</v>
      </c>
      <c r="BG140" t="s">
        <v>1030</v>
      </c>
    </row>
    <row r="141" spans="13:59" x14ac:dyDescent="0.25">
      <c r="M141" t="str">
        <f>_xlfn.IFNA(IF(VLOOKUP(TAB_Offres[[#This Row],[Reference]],TAB_Offres[[Reference]:[Request State]],COLUMNS(TAB_Offres[[Reference]:[Request State]]),FALSE)=D$6,TAB_Offres[[#This Row],[Reference]],""),"")</f>
        <v>DIGITTMII-014696-DIGITTMII-001774-EXT-02-6000053863-REQ-01</v>
      </c>
      <c r="N141" t="str">
        <f>_xlfn.IFNA(IF(VLOOKUP(TAB_Offres[[#This Row],[Reference]],TAB_Offres[[Reference]:[Has Expenses?]],COLUMNS(TAB_Offres[[Reference]:[Has Expenses?]]),FALSE)=J$2,TAB_Offres[[#This Row],[Reference]],""),"")</f>
        <v/>
      </c>
      <c r="O141" t="str">
        <f>IF(Tableau19[[#This Row],[EXPENSES_REF]]="","",MAX(O$1:O140)+1)</f>
        <v/>
      </c>
      <c r="P141" t="str">
        <f t="shared" si="10"/>
        <v/>
      </c>
      <c r="R141" s="227" t="s">
        <v>5701</v>
      </c>
      <c r="S141" s="230">
        <v>331.95</v>
      </c>
      <c r="T141" s="231">
        <v>355.19</v>
      </c>
      <c r="U141" s="231">
        <v>380.05</v>
      </c>
      <c r="V141" s="231">
        <v>406.65</v>
      </c>
      <c r="W141" s="231">
        <v>435.12</v>
      </c>
      <c r="X141" s="231">
        <v>465.58</v>
      </c>
      <c r="Y141" s="231">
        <v>498.17</v>
      </c>
      <c r="Z141" s="231">
        <v>533.04</v>
      </c>
      <c r="AA141" s="231">
        <v>570.35</v>
      </c>
      <c r="AB141" s="231">
        <v>610.27</v>
      </c>
      <c r="AC141" s="231">
        <v>652.99</v>
      </c>
      <c r="AD141" s="102"/>
      <c r="AI141" s="180" t="str">
        <f>IFERROR(_xlfn.SINGLE(
IF(_xlfn.SINGLE(INDEX(TAB_Offres[Ressource 1],ROWS(Params!AI$2:$AI141)))=0,NA(),
INDEX(TAB_Offres[Ressource 1],ROWS(Params!AI$2:$AI141)))),
IFERROR(_xlfn.SINGLE(IF(_xlfn.SINGLE(INDEX(#REF!,ROWS(Params!AI$2:$AI141)-COUNTA(TAB_Offres[Ressource 1])))=0,NA(),
INDEX(#REF!,ROWS(Params!AI$2:$AI141)-COUNTA(TAB_Offres[Ressource 1])))),
IFERROR(_xlfn.SINGLE(IF(_xlfn.SINGLE(INDEX(#REF!,ROWS(Params!AI$2:$AI141)-COUNTA(#REF!)-COUNTA(TAB_Offres[Ressource 1])))=0,NA(),
INDEX(#REF!,ROWS(Params!AI$2:$AI141)-COUNTA(#REF!)-COUNTA(TAB_Offres[Ressource 1])))),""))
)</f>
        <v>VAN DE GUCHT, Pascal</v>
      </c>
      <c r="AJ141" s="174">
        <f>IF(TAB_ressource[[#This Row],[Import Ressource]]="","",MAX(AJ$1:AJ140)+1)</f>
        <v>140</v>
      </c>
      <c r="AK141" s="177" t="str">
        <f>IFERROR(INDEX(TAB_ressource[Import Ressource],MATCH(ROW()-ROW($AK$1),TAB_ressource[ID Import ressources],0)),"")</f>
        <v>VAN DE GUCHT, Pascal</v>
      </c>
      <c r="AN141" s="26">
        <f t="shared" si="11"/>
        <v>0</v>
      </c>
      <c r="BD141" t="s">
        <v>1033</v>
      </c>
      <c r="BE141" t="s">
        <v>1034</v>
      </c>
      <c r="BF141" t="s">
        <v>1035</v>
      </c>
      <c r="BG141" t="s">
        <v>1033</v>
      </c>
    </row>
    <row r="142" spans="13:59" x14ac:dyDescent="0.25">
      <c r="M142" t="str">
        <f>_xlfn.IFNA(IF(VLOOKUP(TAB_Offres[[#This Row],[Reference]],TAB_Offres[[Reference]:[Request State]],COLUMNS(TAB_Offres[[Reference]:[Request State]]),FALSE)=D$6,TAB_Offres[[#This Row],[Reference]],""),"")</f>
        <v>DIGITTMII-010199-6000053863-REQ-01</v>
      </c>
      <c r="N142" t="str">
        <f>_xlfn.IFNA(IF(VLOOKUP(TAB_Offres[[#This Row],[Reference]],TAB_Offres[[Reference]:[Has Expenses?]],COLUMNS(TAB_Offres[[Reference]:[Has Expenses?]]),FALSE)=J$2,TAB_Offres[[#This Row],[Reference]],""),"")</f>
        <v/>
      </c>
      <c r="O142" t="str">
        <f>IF(Tableau19[[#This Row],[EXPENSES_REF]]="","",MAX(O$1:O141)+1)</f>
        <v/>
      </c>
      <c r="P142" t="str">
        <f t="shared" si="10"/>
        <v/>
      </c>
      <c r="R142" s="227" t="s">
        <v>5702</v>
      </c>
      <c r="S142" s="230">
        <v>342.06</v>
      </c>
      <c r="T142" s="231">
        <v>366</v>
      </c>
      <c r="U142" s="231">
        <v>391.62</v>
      </c>
      <c r="V142" s="231">
        <v>419.03</v>
      </c>
      <c r="W142" s="231">
        <v>448.36</v>
      </c>
      <c r="X142" s="231">
        <v>479.75</v>
      </c>
      <c r="Y142" s="231">
        <v>513.33000000000004</v>
      </c>
      <c r="Z142" s="231">
        <v>549.26</v>
      </c>
      <c r="AA142" s="231">
        <v>587.71</v>
      </c>
      <c r="AB142" s="231">
        <v>628.85</v>
      </c>
      <c r="AC142" s="231">
        <v>672.87</v>
      </c>
      <c r="AD142" s="102"/>
      <c r="AI142" s="180" t="str">
        <f>IFERROR(_xlfn.SINGLE(
IF(_xlfn.SINGLE(INDEX(TAB_Offres[Ressource 1],ROWS(Params!AI$2:$AI142)))=0,NA(),
INDEX(TAB_Offres[Ressource 1],ROWS(Params!AI$2:$AI142)))),
IFERROR(_xlfn.SINGLE(IF(_xlfn.SINGLE(INDEX(#REF!,ROWS(Params!AI$2:$AI142)-COUNTA(TAB_Offres[Ressource 1])))=0,NA(),
INDEX(#REF!,ROWS(Params!AI$2:$AI142)-COUNTA(TAB_Offres[Ressource 1])))),
IFERROR(_xlfn.SINGLE(IF(_xlfn.SINGLE(INDEX(#REF!,ROWS(Params!AI$2:$AI142)-COUNTA(#REF!)-COUNTA(TAB_Offres[Ressource 1])))=0,NA(),
INDEX(#REF!,ROWS(Params!AI$2:$AI142)-COUNTA(#REF!)-COUNTA(TAB_Offres[Ressource 1])))),""))
)</f>
        <v>PAISE, Radu</v>
      </c>
      <c r="AJ142" s="174">
        <f>IF(TAB_ressource[[#This Row],[Import Ressource]]="","",MAX(AJ$1:AJ141)+1)</f>
        <v>141</v>
      </c>
      <c r="AK142" s="177" t="str">
        <f>IFERROR(INDEX(TAB_ressource[Import Ressource],MATCH(ROW()-ROW($AK$1),TAB_ressource[ID Import ressources],0)),"")</f>
        <v>PAISE, Radu</v>
      </c>
      <c r="AN142" s="26">
        <f t="shared" si="11"/>
        <v>0</v>
      </c>
      <c r="BD142" t="s">
        <v>1036</v>
      </c>
      <c r="BE142" t="s">
        <v>1037</v>
      </c>
      <c r="BF142" t="s">
        <v>1038</v>
      </c>
      <c r="BG142" t="s">
        <v>1036</v>
      </c>
    </row>
    <row r="143" spans="13:59" x14ac:dyDescent="0.25">
      <c r="M143" t="str">
        <f>_xlfn.IFNA(IF(VLOOKUP(TAB_Offres[[#This Row],[Reference]],TAB_Offres[[Reference]:[Request State]],COLUMNS(TAB_Offres[[Reference]:[Request State]]),FALSE)=D$6,TAB_Offres[[#This Row],[Reference]],""),"")</f>
        <v>DIGITTMII-014553-6000053863-REQ-01</v>
      </c>
      <c r="N143" t="str">
        <f>_xlfn.IFNA(IF(VLOOKUP(TAB_Offres[[#This Row],[Reference]],TAB_Offres[[Reference]:[Has Expenses?]],COLUMNS(TAB_Offres[[Reference]:[Has Expenses?]]),FALSE)=J$2,TAB_Offres[[#This Row],[Reference]],""),"")</f>
        <v/>
      </c>
      <c r="O143" t="str">
        <f>IF(Tableau19[[#This Row],[EXPENSES_REF]]="","",MAX(O$1:O142)+1)</f>
        <v/>
      </c>
      <c r="P143" t="str">
        <f t="shared" si="10"/>
        <v/>
      </c>
      <c r="R143" s="227" t="s">
        <v>5703</v>
      </c>
      <c r="S143" s="230">
        <v>342.06</v>
      </c>
      <c r="T143" s="231">
        <v>366</v>
      </c>
      <c r="U143" s="231">
        <v>391.62</v>
      </c>
      <c r="V143" s="231">
        <v>419.03</v>
      </c>
      <c r="W143" s="231">
        <v>448.36</v>
      </c>
      <c r="X143" s="231">
        <v>479.75</v>
      </c>
      <c r="Y143" s="231">
        <v>513.33000000000004</v>
      </c>
      <c r="Z143" s="231">
        <v>549.26</v>
      </c>
      <c r="AA143" s="231">
        <v>587.71</v>
      </c>
      <c r="AB143" s="231">
        <v>628.85</v>
      </c>
      <c r="AC143" s="231">
        <v>672.87</v>
      </c>
      <c r="AD143" s="102"/>
      <c r="AI143" s="181" t="str">
        <f>IFERROR(_xlfn.SINGLE(
IF(_xlfn.SINGLE(INDEX(TAB_Offres[Ressource 1],ROWS(Params!AI$2:$AI143)))=0,NA(),
INDEX(TAB_Offres[Ressource 1],ROWS(Params!AI$2:$AI143)))),
IFERROR(_xlfn.SINGLE(IF(_xlfn.SINGLE(INDEX(#REF!,ROWS(Params!AI$2:$AI143)-COUNTA(TAB_Offres[Ressource 1])))=0,NA(),
INDEX(#REF!,ROWS(Params!AI$2:$AI143)-COUNTA(TAB_Offres[Ressource 1])))),
IFERROR(_xlfn.SINGLE(IF(_xlfn.SINGLE(INDEX(#REF!,ROWS(Params!AI$2:$AI143)-COUNTA(#REF!)-COUNTA(TAB_Offres[Ressource 1])))=0,NA(),
INDEX(#REF!,ROWS(Params!AI$2:$AI143)-COUNTA(#REF!)-COUNTA(TAB_Offres[Ressource 1])))),""))
)</f>
        <v>IACOBESCU, Radu</v>
      </c>
      <c r="AJ143" s="182">
        <f>IF(TAB_ressource[[#This Row],[Import Ressource]]="","",MAX(AJ$1:AJ142)+1)</f>
        <v>142</v>
      </c>
      <c r="AK143" s="183" t="str">
        <f>IFERROR(INDEX(TAB_ressource[Import Ressource],MATCH(ROW()-ROW($AK$1),TAB_ressource[ID Import ressources],0)),"")</f>
        <v>IACOBESCU, Radu</v>
      </c>
      <c r="AN143" s="26">
        <f t="shared" si="11"/>
        <v>0</v>
      </c>
      <c r="BD143" t="s">
        <v>1039</v>
      </c>
      <c r="BE143" t="s">
        <v>1040</v>
      </c>
      <c r="BF143" t="s">
        <v>1041</v>
      </c>
      <c r="BG143" t="s">
        <v>1039</v>
      </c>
    </row>
    <row r="144" spans="13:59" x14ac:dyDescent="0.25">
      <c r="M144" t="str">
        <f>_xlfn.IFNA(IF(VLOOKUP(TAB_Offres[[#This Row],[Reference]],TAB_Offres[[Reference]:[Request State]],COLUMNS(TAB_Offres[[Reference]:[Request State]]),FALSE)=D$6,TAB_Offres[[#This Row],[Reference]],""),"")</f>
        <v>DIGITTMII-017038-DIGITTMII-000659-EXT-02-6000053863-REQ-01</v>
      </c>
      <c r="N144" t="str">
        <f>_xlfn.IFNA(IF(VLOOKUP(TAB_Offres[[#This Row],[Reference]],TAB_Offres[[Reference]:[Has Expenses?]],COLUMNS(TAB_Offres[[Reference]:[Has Expenses?]]),FALSE)=J$2,TAB_Offres[[#This Row],[Reference]],""),"")</f>
        <v/>
      </c>
      <c r="O144" t="str">
        <f>IF(Tableau19[[#This Row],[EXPENSES_REF]]="","",MAX(O$1:O143)+1)</f>
        <v/>
      </c>
      <c r="P144" t="str">
        <f t="shared" si="10"/>
        <v/>
      </c>
      <c r="R144" s="227" t="s">
        <v>5704</v>
      </c>
      <c r="S144" s="230">
        <v>332.27</v>
      </c>
      <c r="T144" s="231">
        <v>355.53</v>
      </c>
      <c r="U144" s="231">
        <v>380.42</v>
      </c>
      <c r="V144" s="231">
        <v>407.05</v>
      </c>
      <c r="W144" s="231">
        <v>435.54</v>
      </c>
      <c r="X144" s="231">
        <v>466.03</v>
      </c>
      <c r="Y144" s="231">
        <v>498.65</v>
      </c>
      <c r="Z144" s="231">
        <v>533.55999999999995</v>
      </c>
      <c r="AA144" s="231">
        <v>570.91</v>
      </c>
      <c r="AB144" s="231">
        <v>610.87</v>
      </c>
      <c r="AC144" s="231">
        <v>653.63</v>
      </c>
      <c r="AD144" s="102"/>
      <c r="AI144" s="191" t="str">
        <f>IFERROR(_xlfn.SINGLE(
IF(_xlfn.SINGLE(INDEX(TAB_Offres[Ressource 1],ROWS(Params!AI$2:$AI144)))=0,NA(),
INDEX(TAB_Offres[Ressource 1],ROWS(Params!AI$2:$AI144)))),
IFERROR(_xlfn.SINGLE(IF(_xlfn.SINGLE(INDEX(#REF!,ROWS(Params!AI$2:$AI144)-COUNTA(TAB_Offres[Ressource 1])))=0,NA(),
INDEX(#REF!,ROWS(Params!AI$2:$AI144)-COUNTA(TAB_Offres[Ressource 1])))),
IFERROR(_xlfn.SINGLE(IF(_xlfn.SINGLE(INDEX(#REF!,ROWS(Params!AI$2:$AI144)-COUNTA(#REF!)-COUNTA(TAB_Offres[Ressource 1])))=0,NA(),
INDEX(#REF!,ROWS(Params!AI$2:$AI144)-COUNTA(#REF!)-COUNTA(TAB_Offres[Ressource 1])))),""))
)</f>
        <v>BOUDIA, Amel</v>
      </c>
      <c r="AJ144" s="192">
        <f>IF(TAB_ressource[[#This Row],[Import Ressource]]="","",MAX(AJ$1:AJ143)+1)</f>
        <v>143</v>
      </c>
      <c r="AK144" s="193" t="str">
        <f>IFERROR(INDEX(TAB_ressource[Import Ressource],MATCH(ROW()-ROW($AK$1),TAB_ressource[ID Import ressources],0)),"")</f>
        <v>BOUDIA, Amel</v>
      </c>
      <c r="AN144" s="26">
        <f t="shared" si="11"/>
        <v>0</v>
      </c>
      <c r="BD144" t="s">
        <v>1042</v>
      </c>
      <c r="BE144" t="s">
        <v>1043</v>
      </c>
      <c r="BF144" t="s">
        <v>1044</v>
      </c>
      <c r="BG144" t="s">
        <v>1042</v>
      </c>
    </row>
    <row r="145" spans="13:59" x14ac:dyDescent="0.25">
      <c r="M145" t="str">
        <f>_xlfn.IFNA(IF(VLOOKUP(TAB_Offres[[#This Row],[Reference]],TAB_Offres[[Reference]:[Request State]],COLUMNS(TAB_Offres[[Reference]:[Request State]]),FALSE)=D$6,TAB_Offres[[#This Row],[Reference]],""),"")</f>
        <v>DIGITTMII-017158-DIGITTMII-012876-EXT-01-6000053863-REQ-01</v>
      </c>
      <c r="N145" t="str">
        <f>_xlfn.IFNA(IF(VLOOKUP(TAB_Offres[[#This Row],[Reference]],TAB_Offres[[Reference]:[Has Expenses?]],COLUMNS(TAB_Offres[[Reference]:[Has Expenses?]]),FALSE)=J$2,TAB_Offres[[#This Row],[Reference]],""),"")</f>
        <v/>
      </c>
      <c r="O145" t="str">
        <f>IF(Tableau19[[#This Row],[EXPENSES_REF]]="","",MAX(O$1:O144)+1)</f>
        <v/>
      </c>
      <c r="P145" t="str">
        <f t="shared" si="10"/>
        <v/>
      </c>
      <c r="R145" s="227" t="s">
        <v>5705</v>
      </c>
      <c r="S145" s="230">
        <v>332.27</v>
      </c>
      <c r="T145" s="231">
        <v>355.53</v>
      </c>
      <c r="U145" s="231">
        <v>380.42</v>
      </c>
      <c r="V145" s="231">
        <v>407.05</v>
      </c>
      <c r="W145" s="231">
        <v>435.54</v>
      </c>
      <c r="X145" s="231">
        <v>466.03</v>
      </c>
      <c r="Y145" s="231">
        <v>498.65</v>
      </c>
      <c r="Z145" s="231">
        <v>533.55999999999995</v>
      </c>
      <c r="AA145" s="231">
        <v>570.91</v>
      </c>
      <c r="AB145" s="231">
        <v>610.87</v>
      </c>
      <c r="AC145" s="231">
        <v>653.63</v>
      </c>
      <c r="AD145" s="102"/>
      <c r="AI145" s="191" t="str">
        <f>IFERROR(_xlfn.SINGLE(
IF(_xlfn.SINGLE(INDEX(TAB_Offres[Ressource 1],ROWS(Params!AI$2:$AI145)))=0,NA(),
INDEX(TAB_Offres[Ressource 1],ROWS(Params!AI$2:$AI145)))),
IFERROR(_xlfn.SINGLE(IF(_xlfn.SINGLE(INDEX(#REF!,ROWS(Params!AI$2:$AI145)-COUNTA(TAB_Offres[Ressource 1])))=0,NA(),
INDEX(#REF!,ROWS(Params!AI$2:$AI145)-COUNTA(TAB_Offres[Ressource 1])))),
IFERROR(_xlfn.SINGLE(IF(_xlfn.SINGLE(INDEX(#REF!,ROWS(Params!AI$2:$AI145)-COUNTA(#REF!)-COUNTA(TAB_Offres[Ressource 1])))=0,NA(),
INDEX(#REF!,ROWS(Params!AI$2:$AI145)-COUNTA(#REF!)-COUNTA(TAB_Offres[Ressource 1])))),""))
)</f>
        <v>GOSMAN, Andrei</v>
      </c>
      <c r="AJ145" s="192">
        <f>IF(TAB_ressource[[#This Row],[Import Ressource]]="","",MAX(AJ$1:AJ144)+1)</f>
        <v>144</v>
      </c>
      <c r="AK145" s="193" t="str">
        <f>IFERROR(INDEX(TAB_ressource[Import Ressource],MATCH(ROW()-ROW($AK$1),TAB_ressource[ID Import ressources],0)),"")</f>
        <v>GOSMAN, Andrei</v>
      </c>
      <c r="AN145" s="26">
        <f t="shared" si="11"/>
        <v>0</v>
      </c>
      <c r="BD145" t="s">
        <v>1045</v>
      </c>
      <c r="BE145" t="s">
        <v>1046</v>
      </c>
      <c r="BF145" t="s">
        <v>1047</v>
      </c>
      <c r="BG145" t="s">
        <v>1045</v>
      </c>
    </row>
    <row r="146" spans="13:59" x14ac:dyDescent="0.25">
      <c r="M146" t="str">
        <f>_xlfn.IFNA(IF(VLOOKUP(TAB_Offres[[#This Row],[Reference]],TAB_Offres[[Reference]:[Request State]],COLUMNS(TAB_Offres[[Reference]:[Request State]]),FALSE)=D$6,TAB_Offres[[#This Row],[Reference]],""),"")</f>
        <v>DIGITTMII-017439-DIGITTMII-002819-EXT-04-6000053863-REQ-01</v>
      </c>
      <c r="N146" t="str">
        <f>_xlfn.IFNA(IF(VLOOKUP(TAB_Offres[[#This Row],[Reference]],TAB_Offres[[Reference]:[Has Expenses?]],COLUMNS(TAB_Offres[[Reference]:[Has Expenses?]]),FALSE)=J$2,TAB_Offres[[#This Row],[Reference]],""),"")</f>
        <v/>
      </c>
      <c r="O146" t="str">
        <f>IF(Tableau19[[#This Row],[EXPENSES_REF]]="","",MAX(O$1:O145)+1)</f>
        <v/>
      </c>
      <c r="P146" t="str">
        <f t="shared" si="10"/>
        <v/>
      </c>
      <c r="R146" s="227" t="s">
        <v>5706</v>
      </c>
      <c r="S146" s="230">
        <v>332.27</v>
      </c>
      <c r="T146" s="231">
        <v>355.53</v>
      </c>
      <c r="U146" s="231">
        <v>380.42</v>
      </c>
      <c r="V146" s="231">
        <v>407.05</v>
      </c>
      <c r="W146" s="231">
        <v>435.54</v>
      </c>
      <c r="X146" s="231">
        <v>466.03</v>
      </c>
      <c r="Y146" s="231">
        <v>498.65</v>
      </c>
      <c r="Z146" s="231">
        <v>533.55999999999995</v>
      </c>
      <c r="AA146" s="231">
        <v>570.91</v>
      </c>
      <c r="AB146" s="231">
        <v>610.87</v>
      </c>
      <c r="AC146" s="231">
        <v>653.63</v>
      </c>
      <c r="AD146" s="102"/>
      <c r="AI146" s="191" t="str">
        <f>IFERROR(_xlfn.SINGLE(
IF(_xlfn.SINGLE(INDEX(TAB_Offres[Ressource 1],ROWS(Params!AI$2:$AI146)))=0,NA(),
INDEX(TAB_Offres[Ressource 1],ROWS(Params!AI$2:$AI146)))),
IFERROR(_xlfn.SINGLE(IF(_xlfn.SINGLE(INDEX(#REF!,ROWS(Params!AI$2:$AI146)-COUNTA(TAB_Offres[Ressource 1])))=0,NA(),
INDEX(#REF!,ROWS(Params!AI$2:$AI146)-COUNTA(TAB_Offres[Ressource 1])))),
IFERROR(_xlfn.SINGLE(IF(_xlfn.SINGLE(INDEX(#REF!,ROWS(Params!AI$2:$AI146)-COUNTA(#REF!)-COUNTA(TAB_Offres[Ressource 1])))=0,NA(),
INDEX(#REF!,ROWS(Params!AI$2:$AI146)-COUNTA(#REF!)-COUNTA(TAB_Offres[Ressource 1])))),""))
)</f>
        <v>POCHON, Régis</v>
      </c>
      <c r="AJ146" s="192">
        <f>IF(TAB_ressource[[#This Row],[Import Ressource]]="","",MAX(AJ$1:AJ145)+1)</f>
        <v>145</v>
      </c>
      <c r="AK146" s="193" t="str">
        <f>IFERROR(INDEX(TAB_ressource[Import Ressource],MATCH(ROW()-ROW($AK$1),TAB_ressource[ID Import ressources],0)),"")</f>
        <v>POCHON, Régis</v>
      </c>
      <c r="AN146" s="26">
        <f t="shared" si="11"/>
        <v>0</v>
      </c>
      <c r="BD146" t="s">
        <v>1048</v>
      </c>
      <c r="BE146" t="s">
        <v>1049</v>
      </c>
      <c r="BF146" t="s">
        <v>1050</v>
      </c>
      <c r="BG146" t="s">
        <v>1048</v>
      </c>
    </row>
    <row r="147" spans="13:59" x14ac:dyDescent="0.25">
      <c r="M147" t="str">
        <f>_xlfn.IFNA(IF(VLOOKUP(TAB_Offres[[#This Row],[Reference]],TAB_Offres[[Reference]:[Request State]],COLUMNS(TAB_Offres[[Reference]:[Request State]]),FALSE)=D$6,TAB_Offres[[#This Row],[Reference]],""),"")</f>
        <v>DIGITTMII-016317-DIGITTMII-008383-EXT-01-6000053863-REQ-01</v>
      </c>
      <c r="N147" t="str">
        <f>_xlfn.IFNA(IF(VLOOKUP(TAB_Offres[[#This Row],[Reference]],TAB_Offres[[Reference]:[Has Expenses?]],COLUMNS(TAB_Offres[[Reference]:[Has Expenses?]]),FALSE)=J$2,TAB_Offres[[#This Row],[Reference]],""),"")</f>
        <v/>
      </c>
      <c r="O147" t="str">
        <f>IF(Tableau19[[#This Row],[EXPENSES_REF]]="","",MAX(O$1:O146)+1)</f>
        <v/>
      </c>
      <c r="P147" t="str">
        <f t="shared" si="10"/>
        <v/>
      </c>
      <c r="R147" s="227" t="s">
        <v>5707</v>
      </c>
      <c r="S147" s="230">
        <v>332.27</v>
      </c>
      <c r="T147" s="231">
        <v>355.53</v>
      </c>
      <c r="U147" s="231">
        <v>380.42</v>
      </c>
      <c r="V147" s="231">
        <v>407.05</v>
      </c>
      <c r="W147" s="231">
        <v>435.54</v>
      </c>
      <c r="X147" s="231">
        <v>466.03</v>
      </c>
      <c r="Y147" s="231">
        <v>498.65</v>
      </c>
      <c r="Z147" s="231">
        <v>533.55999999999995</v>
      </c>
      <c r="AA147" s="231">
        <v>570.91</v>
      </c>
      <c r="AB147" s="231">
        <v>610.87</v>
      </c>
      <c r="AC147" s="231">
        <v>653.63</v>
      </c>
      <c r="AD147" s="102"/>
      <c r="AI147" s="191" t="str">
        <f>IFERROR(_xlfn.SINGLE(
IF(_xlfn.SINGLE(INDEX(TAB_Offres[Ressource 1],ROWS(Params!AI$2:$AI147)))=0,NA(),
INDEX(TAB_Offres[Ressource 1],ROWS(Params!AI$2:$AI147)))),
IFERROR(_xlfn.SINGLE(IF(_xlfn.SINGLE(INDEX(#REF!,ROWS(Params!AI$2:$AI147)-COUNTA(TAB_Offres[Ressource 1])))=0,NA(),
INDEX(#REF!,ROWS(Params!AI$2:$AI147)-COUNTA(TAB_Offres[Ressource 1])))),
IFERROR(_xlfn.SINGLE(IF(_xlfn.SINGLE(INDEX(#REF!,ROWS(Params!AI$2:$AI147)-COUNTA(#REF!)-COUNTA(TAB_Offres[Ressource 1])))=0,NA(),
INDEX(#REF!,ROWS(Params!AI$2:$AI147)-COUNTA(#REF!)-COUNTA(TAB_Offres[Ressource 1])))),""))
)</f>
        <v>SANDOVAL David</v>
      </c>
      <c r="AJ147" s="192">
        <f>IF(TAB_ressource[[#This Row],[Import Ressource]]="","",MAX(AJ$1:AJ146)+1)</f>
        <v>146</v>
      </c>
      <c r="AK147" s="193" t="str">
        <f>IFERROR(INDEX(TAB_ressource[Import Ressource],MATCH(ROW()-ROW($AK$1),TAB_ressource[ID Import ressources],0)),"")</f>
        <v>SANDOVAL David</v>
      </c>
      <c r="AN147" s="26">
        <f t="shared" si="11"/>
        <v>0</v>
      </c>
      <c r="BD147" t="s">
        <v>1051</v>
      </c>
      <c r="BE147" t="s">
        <v>1052</v>
      </c>
      <c r="BF147" t="s">
        <v>1053</v>
      </c>
      <c r="BG147" t="s">
        <v>1051</v>
      </c>
    </row>
    <row r="148" spans="13:59" x14ac:dyDescent="0.25">
      <c r="M148" t="str">
        <f>_xlfn.IFNA(IF(VLOOKUP(TAB_Offres[[#This Row],[Reference]],TAB_Offres[[Reference]:[Request State]],COLUMNS(TAB_Offres[[Reference]:[Request State]]),FALSE)=D$6,TAB_Offres[[#This Row],[Reference]],""),"")</f>
        <v>DIGITTMII-017285-DIGITTMII-006300-EXT-01-6000053863-REQ-01</v>
      </c>
      <c r="N148" t="str">
        <f>_xlfn.IFNA(IF(VLOOKUP(TAB_Offres[[#This Row],[Reference]],TAB_Offres[[Reference]:[Has Expenses?]],COLUMNS(TAB_Offres[[Reference]:[Has Expenses?]]),FALSE)=J$2,TAB_Offres[[#This Row],[Reference]],""),"")</f>
        <v/>
      </c>
      <c r="O148" t="str">
        <f>IF(Tableau19[[#This Row],[EXPENSES_REF]]="","",MAX(O$1:O147)+1)</f>
        <v/>
      </c>
      <c r="P148" t="str">
        <f t="shared" si="10"/>
        <v/>
      </c>
      <c r="R148" s="227" t="s">
        <v>5708</v>
      </c>
      <c r="S148" s="230">
        <v>332.27</v>
      </c>
      <c r="T148" s="231">
        <v>355.53</v>
      </c>
      <c r="U148" s="231">
        <v>380.42</v>
      </c>
      <c r="V148" s="231">
        <v>407.05</v>
      </c>
      <c r="W148" s="231">
        <v>435.54</v>
      </c>
      <c r="X148" s="231">
        <v>466.03</v>
      </c>
      <c r="Y148" s="231">
        <v>498.65</v>
      </c>
      <c r="Z148" s="231">
        <v>533.55999999999995</v>
      </c>
      <c r="AA148" s="231">
        <v>570.91</v>
      </c>
      <c r="AB148" s="231">
        <v>610.87</v>
      </c>
      <c r="AC148" s="231">
        <v>653.63</v>
      </c>
      <c r="AD148" s="102"/>
      <c r="AI148" s="191" t="str">
        <f>IFERROR(_xlfn.SINGLE(
IF(_xlfn.SINGLE(INDEX(TAB_Offres[Ressource 1],ROWS(Params!AI$2:$AI148)))=0,NA(),
INDEX(TAB_Offres[Ressource 1],ROWS(Params!AI$2:$AI148)))),
IFERROR(_xlfn.SINGLE(IF(_xlfn.SINGLE(INDEX(#REF!,ROWS(Params!AI$2:$AI148)-COUNTA(TAB_Offres[Ressource 1])))=0,NA(),
INDEX(#REF!,ROWS(Params!AI$2:$AI148)-COUNTA(TAB_Offres[Ressource 1])))),
IFERROR(_xlfn.SINGLE(IF(_xlfn.SINGLE(INDEX(#REF!,ROWS(Params!AI$2:$AI148)-COUNTA(#REF!)-COUNTA(TAB_Offres[Ressource 1])))=0,NA(),
INDEX(#REF!,ROWS(Params!AI$2:$AI148)-COUNTA(#REF!)-COUNTA(TAB_Offres[Ressource 1])))),""))
)</f>
        <v>MARCELLINO, Costanza</v>
      </c>
      <c r="AJ148" s="192">
        <f>IF(TAB_ressource[[#This Row],[Import Ressource]]="","",MAX(AJ$1:AJ147)+1)</f>
        <v>147</v>
      </c>
      <c r="AK148" s="193" t="str">
        <f>IFERROR(INDEX(TAB_ressource[Import Ressource],MATCH(ROW()-ROW($AK$1),TAB_ressource[ID Import ressources],0)),"")</f>
        <v>MARCELLINO, Costanza</v>
      </c>
      <c r="AN148" s="26">
        <f t="shared" si="11"/>
        <v>0</v>
      </c>
      <c r="BD148" t="s">
        <v>1054</v>
      </c>
      <c r="BE148" t="s">
        <v>1055</v>
      </c>
      <c r="BF148" t="s">
        <v>1056</v>
      </c>
      <c r="BG148" t="s">
        <v>1054</v>
      </c>
    </row>
    <row r="149" spans="13:59" x14ac:dyDescent="0.25">
      <c r="M149" t="str">
        <f>_xlfn.IFNA(IF(VLOOKUP(TAB_Offres[[#This Row],[Reference]],TAB_Offres[[Reference]:[Request State]],COLUMNS(TAB_Offres[[Reference]:[Request State]]),FALSE)=D$6,TAB_Offres[[#This Row],[Reference]],""),"")</f>
        <v>DIGITTMII-017563-DIGITTMII-011653-EXT-01-6000053863-REQ-01</v>
      </c>
      <c r="N149" t="str">
        <f>_xlfn.IFNA(IF(VLOOKUP(TAB_Offres[[#This Row],[Reference]],TAB_Offres[[Reference]:[Has Expenses?]],COLUMNS(TAB_Offres[[Reference]:[Has Expenses?]]),FALSE)=J$2,TAB_Offres[[#This Row],[Reference]],""),"")</f>
        <v/>
      </c>
      <c r="O149" t="str">
        <f>IF(Tableau19[[#This Row],[EXPENSES_REF]]="","",MAX(O$1:O148)+1)</f>
        <v/>
      </c>
      <c r="P149" t="str">
        <f t="shared" si="10"/>
        <v/>
      </c>
      <c r="R149" s="227" t="s">
        <v>5709</v>
      </c>
      <c r="S149" s="230">
        <v>332.27</v>
      </c>
      <c r="T149" s="231">
        <v>355.53</v>
      </c>
      <c r="U149" s="231">
        <v>380.42</v>
      </c>
      <c r="V149" s="231">
        <v>407.05</v>
      </c>
      <c r="W149" s="231">
        <v>435.54</v>
      </c>
      <c r="X149" s="231">
        <v>466.03</v>
      </c>
      <c r="Y149" s="231">
        <v>498.65</v>
      </c>
      <c r="Z149" s="231">
        <v>533.55999999999995</v>
      </c>
      <c r="AA149" s="231">
        <v>570.91</v>
      </c>
      <c r="AB149" s="231">
        <v>610.87</v>
      </c>
      <c r="AC149" s="231">
        <v>653.63</v>
      </c>
      <c r="AD149" s="102"/>
      <c r="AI149" s="191" t="str">
        <f>IFERROR(_xlfn.SINGLE(
IF(_xlfn.SINGLE(INDEX(TAB_Offres[Ressource 1],ROWS(Params!AI$2:$AI149)))=0,NA(),
INDEX(TAB_Offres[Ressource 1],ROWS(Params!AI$2:$AI149)))),
IFERROR(_xlfn.SINGLE(IF(_xlfn.SINGLE(INDEX(#REF!,ROWS(Params!AI$2:$AI149)-COUNTA(TAB_Offres[Ressource 1])))=0,NA(),
INDEX(#REF!,ROWS(Params!AI$2:$AI149)-COUNTA(TAB_Offres[Ressource 1])))),
IFERROR(_xlfn.SINGLE(IF(_xlfn.SINGLE(INDEX(#REF!,ROWS(Params!AI$2:$AI149)-COUNTA(#REF!)-COUNTA(TAB_Offres[Ressource 1])))=0,NA(),
INDEX(#REF!,ROWS(Params!AI$2:$AI149)-COUNTA(#REF!)-COUNTA(TAB_Offres[Ressource 1])))),""))
)</f>
        <v>DECANINI, Barbara</v>
      </c>
      <c r="AJ149" s="192">
        <f>IF(TAB_ressource[[#This Row],[Import Ressource]]="","",MAX(AJ$1:AJ148)+1)</f>
        <v>148</v>
      </c>
      <c r="AK149" s="193" t="str">
        <f>IFERROR(INDEX(TAB_ressource[Import Ressource],MATCH(ROW()-ROW($AK$1),TAB_ressource[ID Import ressources],0)),"")</f>
        <v>DECANINI, Barbara</v>
      </c>
      <c r="AN149" s="26">
        <f t="shared" si="11"/>
        <v>0</v>
      </c>
      <c r="BD149" t="s">
        <v>1057</v>
      </c>
      <c r="BE149" t="s">
        <v>1058</v>
      </c>
      <c r="BF149" t="s">
        <v>1059</v>
      </c>
      <c r="BG149" t="s">
        <v>1057</v>
      </c>
    </row>
    <row r="150" spans="13:59" x14ac:dyDescent="0.25">
      <c r="M150" t="str">
        <f>_xlfn.IFNA(IF(VLOOKUP(TAB_Offres[[#This Row],[Reference]],TAB_Offres[[Reference]:[Request State]],COLUMNS(TAB_Offres[[Reference]:[Request State]]),FALSE)=D$6,TAB_Offres[[#This Row],[Reference]],""),"")</f>
        <v>DIGITTMII-015011-6000053863-REQ-01</v>
      </c>
      <c r="N150" t="str">
        <f>_xlfn.IFNA(IF(VLOOKUP(TAB_Offres[[#This Row],[Reference]],TAB_Offres[[Reference]:[Has Expenses?]],COLUMNS(TAB_Offres[[Reference]:[Has Expenses?]]),FALSE)=J$2,TAB_Offres[[#This Row],[Reference]],""),"")</f>
        <v/>
      </c>
      <c r="O150" t="str">
        <f>IF(Tableau19[[#This Row],[EXPENSES_REF]]="","",MAX(O$1:O149)+1)</f>
        <v/>
      </c>
      <c r="P150" t="str">
        <f t="shared" si="10"/>
        <v/>
      </c>
      <c r="R150" s="227" t="s">
        <v>5710</v>
      </c>
      <c r="S150" s="230">
        <v>332.27</v>
      </c>
      <c r="T150" s="231">
        <v>355.53</v>
      </c>
      <c r="U150" s="231">
        <v>380.42</v>
      </c>
      <c r="V150" s="231">
        <v>407.05</v>
      </c>
      <c r="W150" s="231">
        <v>435.54</v>
      </c>
      <c r="X150" s="231">
        <v>466.03</v>
      </c>
      <c r="Y150" s="231">
        <v>498.65</v>
      </c>
      <c r="Z150" s="231">
        <v>533.55999999999995</v>
      </c>
      <c r="AA150" s="231">
        <v>570.91</v>
      </c>
      <c r="AB150" s="231">
        <v>610.87</v>
      </c>
      <c r="AC150" s="231">
        <v>653.63</v>
      </c>
      <c r="AD150" s="102"/>
      <c r="AI150" s="191" t="str">
        <f>IFERROR(_xlfn.SINGLE(
IF(_xlfn.SINGLE(INDEX(TAB_Offres[Ressource 1],ROWS(Params!AI$2:$AI150)))=0,NA(),
INDEX(TAB_Offres[Ressource 1],ROWS(Params!AI$2:$AI150)))),
IFERROR(_xlfn.SINGLE(IF(_xlfn.SINGLE(INDEX(#REF!,ROWS(Params!AI$2:$AI150)-COUNTA(TAB_Offres[Ressource 1])))=0,NA(),
INDEX(#REF!,ROWS(Params!AI$2:$AI150)-COUNTA(TAB_Offres[Ressource 1])))),
IFERROR(_xlfn.SINGLE(IF(_xlfn.SINGLE(INDEX(#REF!,ROWS(Params!AI$2:$AI150)-COUNTA(#REF!)-COUNTA(TAB_Offres[Ressource 1])))=0,NA(),
INDEX(#REF!,ROWS(Params!AI$2:$AI150)-COUNTA(#REF!)-COUNTA(TAB_Offres[Ressource 1])))),""))
)</f>
        <v>NOVOA, Guilherme</v>
      </c>
      <c r="AJ150" s="192">
        <f>IF(TAB_ressource[[#This Row],[Import Ressource]]="","",MAX(AJ$1:AJ149)+1)</f>
        <v>149</v>
      </c>
      <c r="AK150" s="193" t="str">
        <f>IFERROR(INDEX(TAB_ressource[Import Ressource],MATCH(ROW()-ROW($AK$1),TAB_ressource[ID Import ressources],0)),"")</f>
        <v>NOVOA, Guilherme</v>
      </c>
      <c r="AN150" s="26">
        <f t="shared" si="11"/>
        <v>0</v>
      </c>
      <c r="BD150" t="s">
        <v>1060</v>
      </c>
      <c r="BE150" t="s">
        <v>1061</v>
      </c>
      <c r="BF150" t="s">
        <v>1062</v>
      </c>
      <c r="BG150" t="s">
        <v>1060</v>
      </c>
    </row>
    <row r="151" spans="13:59" x14ac:dyDescent="0.25">
      <c r="M151" t="str">
        <f>_xlfn.IFNA(IF(VLOOKUP(TAB_Offres[[#This Row],[Reference]],TAB_Offres[[Reference]:[Request State]],COLUMNS(TAB_Offres[[Reference]:[Request State]]),FALSE)=D$6,TAB_Offres[[#This Row],[Reference]],""),"")</f>
        <v>DIGITTMII-017717-DIGITTMII-004504-EXT-03-6000053863-REQ-01</v>
      </c>
      <c r="N151" t="str">
        <f>_xlfn.IFNA(IF(VLOOKUP(TAB_Offres[[#This Row],[Reference]],TAB_Offres[[Reference]:[Has Expenses?]],COLUMNS(TAB_Offres[[Reference]:[Has Expenses?]]),FALSE)=J$2,TAB_Offres[[#This Row],[Reference]],""),"")</f>
        <v/>
      </c>
      <c r="O151" t="str">
        <f>IF(Tableau19[[#This Row],[EXPENSES_REF]]="","",MAX(O$1:O150)+1)</f>
        <v/>
      </c>
      <c r="P151" t="str">
        <f t="shared" si="10"/>
        <v/>
      </c>
      <c r="R151" s="227" t="s">
        <v>5711</v>
      </c>
      <c r="S151" s="230">
        <v>332.27</v>
      </c>
      <c r="T151" s="231">
        <v>355.53</v>
      </c>
      <c r="U151" s="231">
        <v>380.42</v>
      </c>
      <c r="V151" s="231">
        <v>407.05</v>
      </c>
      <c r="W151" s="231">
        <v>435.54</v>
      </c>
      <c r="X151" s="231">
        <v>466.03</v>
      </c>
      <c r="Y151" s="231">
        <v>498.65</v>
      </c>
      <c r="Z151" s="231">
        <v>533.55999999999995</v>
      </c>
      <c r="AA151" s="231">
        <v>570.91</v>
      </c>
      <c r="AB151" s="231">
        <v>610.87</v>
      </c>
      <c r="AC151" s="231">
        <v>653.63</v>
      </c>
      <c r="AD151" s="102"/>
      <c r="AI151" s="191" t="str">
        <f>IFERROR(_xlfn.SINGLE(
IF(_xlfn.SINGLE(INDEX(TAB_Offres[Ressource 1],ROWS(Params!AI$2:$AI151)))=0,NA(),
INDEX(TAB_Offres[Ressource 1],ROWS(Params!AI$2:$AI151)))),
IFERROR(_xlfn.SINGLE(IF(_xlfn.SINGLE(INDEX(#REF!,ROWS(Params!AI$2:$AI151)-COUNTA(TAB_Offres[Ressource 1])))=0,NA(),
INDEX(#REF!,ROWS(Params!AI$2:$AI151)-COUNTA(TAB_Offres[Ressource 1])))),
IFERROR(_xlfn.SINGLE(IF(_xlfn.SINGLE(INDEX(#REF!,ROWS(Params!AI$2:$AI151)-COUNTA(#REF!)-COUNTA(TAB_Offres[Ressource 1])))=0,NA(),
INDEX(#REF!,ROWS(Params!AI$2:$AI151)-COUNTA(#REF!)-COUNTA(TAB_Offres[Ressource 1])))),""))
)</f>
        <v>LEFTER, Diana</v>
      </c>
      <c r="AJ151" s="192">
        <f>IF(TAB_ressource[[#This Row],[Import Ressource]]="","",MAX(AJ$1:AJ150)+1)</f>
        <v>150</v>
      </c>
      <c r="AK151" s="193" t="str">
        <f>IFERROR(INDEX(TAB_ressource[Import Ressource],MATCH(ROW()-ROW($AK$1),TAB_ressource[ID Import ressources],0)),"")</f>
        <v>LEFTER, Diana</v>
      </c>
      <c r="AN151" s="26">
        <f t="shared" si="11"/>
        <v>0</v>
      </c>
      <c r="BD151" t="s">
        <v>1063</v>
      </c>
      <c r="BE151" t="s">
        <v>1064</v>
      </c>
      <c r="BF151" t="s">
        <v>1065</v>
      </c>
      <c r="BG151" t="s">
        <v>1063</v>
      </c>
    </row>
    <row r="152" spans="13:59" x14ac:dyDescent="0.25">
      <c r="M152" t="str">
        <f>_xlfn.IFNA(IF(VLOOKUP(TAB_Offres[[#This Row],[Reference]],TAB_Offres[[Reference]:[Request State]],COLUMNS(TAB_Offres[[Reference]:[Request State]]),FALSE)=D$6,TAB_Offres[[#This Row],[Reference]],""),"")</f>
        <v>DIGITTMII-017719-DIGITTMII-003743-EXT-04-6000053863-REQ-01</v>
      </c>
      <c r="N152" t="str">
        <f>_xlfn.IFNA(IF(VLOOKUP(TAB_Offres[[#This Row],[Reference]],TAB_Offres[[Reference]:[Has Expenses?]],COLUMNS(TAB_Offres[[Reference]:[Has Expenses?]]),FALSE)=J$2,TAB_Offres[[#This Row],[Reference]],""),"")</f>
        <v/>
      </c>
      <c r="O152" t="str">
        <f>IF(Tableau19[[#This Row],[EXPENSES_REF]]="","",MAX(O$1:O151)+1)</f>
        <v/>
      </c>
      <c r="P152" t="str">
        <f t="shared" si="10"/>
        <v/>
      </c>
      <c r="R152" s="227" t="s">
        <v>5712</v>
      </c>
      <c r="S152" s="230">
        <v>341.01</v>
      </c>
      <c r="T152" s="231">
        <v>364.88</v>
      </c>
      <c r="U152" s="231">
        <v>390.42</v>
      </c>
      <c r="V152" s="231">
        <v>417.75</v>
      </c>
      <c r="W152" s="231">
        <v>446.99</v>
      </c>
      <c r="X152" s="231">
        <v>478.28</v>
      </c>
      <c r="Y152" s="231">
        <v>511.76</v>
      </c>
      <c r="Z152" s="231">
        <v>547.58000000000004</v>
      </c>
      <c r="AA152" s="231">
        <v>585.91</v>
      </c>
      <c r="AB152" s="231">
        <v>626.91999999999996</v>
      </c>
      <c r="AC152" s="231">
        <v>670.8</v>
      </c>
      <c r="AD152" s="102"/>
      <c r="AI152" s="191" t="str">
        <f>IFERROR(_xlfn.SINGLE(
IF(_xlfn.SINGLE(INDEX(TAB_Offres[Ressource 1],ROWS(Params!AI$2:$AI152)))=0,NA(),
INDEX(TAB_Offres[Ressource 1],ROWS(Params!AI$2:$AI152)))),
IFERROR(_xlfn.SINGLE(IF(_xlfn.SINGLE(INDEX(#REF!,ROWS(Params!AI$2:$AI152)-COUNTA(TAB_Offres[Ressource 1])))=0,NA(),
INDEX(#REF!,ROWS(Params!AI$2:$AI152)-COUNTA(TAB_Offres[Ressource 1])))),
IFERROR(_xlfn.SINGLE(IF(_xlfn.SINGLE(INDEX(#REF!,ROWS(Params!AI$2:$AI152)-COUNTA(#REF!)-COUNTA(TAB_Offres[Ressource 1])))=0,NA(),
INDEX(#REF!,ROWS(Params!AI$2:$AI152)-COUNTA(#REF!)-COUNTA(TAB_Offres[Ressource 1])))),""))
)</f>
        <v>WHYE, Gregory</v>
      </c>
      <c r="AJ152" s="192">
        <f>IF(TAB_ressource[[#This Row],[Import Ressource]]="","",MAX(AJ$1:AJ151)+1)</f>
        <v>151</v>
      </c>
      <c r="AK152" s="193" t="str">
        <f>IFERROR(INDEX(TAB_ressource[Import Ressource],MATCH(ROW()-ROW($AK$1),TAB_ressource[ID Import ressources],0)),"")</f>
        <v>WHYE, Gregory</v>
      </c>
      <c r="AN152" s="26">
        <f t="shared" si="11"/>
        <v>0</v>
      </c>
      <c r="BD152" t="s">
        <v>1066</v>
      </c>
      <c r="BE152" t="s">
        <v>1067</v>
      </c>
      <c r="BF152" t="s">
        <v>1068</v>
      </c>
      <c r="BG152" t="s">
        <v>1066</v>
      </c>
    </row>
    <row r="153" spans="13:59" x14ac:dyDescent="0.25">
      <c r="M153" t="str">
        <f>_xlfn.IFNA(IF(VLOOKUP(TAB_Offres[[#This Row],[Reference]],TAB_Offres[[Reference]:[Request State]],COLUMNS(TAB_Offres[[Reference]:[Request State]]),FALSE)=D$6,TAB_Offres[[#This Row],[Reference]],""),"")</f>
        <v>DIGITTMII-017918-DIGITTMII-002098-EXT-04-6000053863-REQ-01</v>
      </c>
      <c r="N153" t="str">
        <f>_xlfn.IFNA(IF(VLOOKUP(TAB_Offres[[#This Row],[Reference]],TAB_Offres[[Reference]:[Has Expenses?]],COLUMNS(TAB_Offres[[Reference]:[Has Expenses?]]),FALSE)=J$2,TAB_Offres[[#This Row],[Reference]],""),"")</f>
        <v/>
      </c>
      <c r="O153" t="str">
        <f>IF(Tableau19[[#This Row],[EXPENSES_REF]]="","",MAX(O$1:O152)+1)</f>
        <v/>
      </c>
      <c r="P153" t="str">
        <f t="shared" si="10"/>
        <v/>
      </c>
      <c r="R153" s="227" t="s">
        <v>5713</v>
      </c>
      <c r="S153" s="230">
        <v>332.27</v>
      </c>
      <c r="T153" s="231">
        <v>355.53</v>
      </c>
      <c r="U153" s="231">
        <v>380.42</v>
      </c>
      <c r="V153" s="231">
        <v>407.05</v>
      </c>
      <c r="W153" s="231">
        <v>435.54</v>
      </c>
      <c r="X153" s="231">
        <v>466.03</v>
      </c>
      <c r="Y153" s="231">
        <v>498.65</v>
      </c>
      <c r="Z153" s="231">
        <v>533.55999999999995</v>
      </c>
      <c r="AA153" s="231">
        <v>570.91</v>
      </c>
      <c r="AB153" s="231">
        <v>610.87</v>
      </c>
      <c r="AC153" s="231">
        <v>653.63</v>
      </c>
      <c r="AD153" s="102"/>
      <c r="AI153" s="191" t="str">
        <f>IFERROR(_xlfn.SINGLE(
IF(_xlfn.SINGLE(INDEX(TAB_Offres[Ressource 1],ROWS(Params!AI$2:$AI153)))=0,NA(),
INDEX(TAB_Offres[Ressource 1],ROWS(Params!AI$2:$AI153)))),
IFERROR(_xlfn.SINGLE(IF(_xlfn.SINGLE(INDEX(#REF!,ROWS(Params!AI$2:$AI153)-COUNTA(TAB_Offres[Ressource 1])))=0,NA(),
INDEX(#REF!,ROWS(Params!AI$2:$AI153)-COUNTA(TAB_Offres[Ressource 1])))),
IFERROR(_xlfn.SINGLE(IF(_xlfn.SINGLE(INDEX(#REF!,ROWS(Params!AI$2:$AI153)-COUNTA(#REF!)-COUNTA(TAB_Offres[Ressource 1])))=0,NA(),
INDEX(#REF!,ROWS(Params!AI$2:$AI153)-COUNTA(#REF!)-COUNTA(TAB_Offres[Ressource 1])))),""))
)</f>
        <v>DE ANDRES DEL CASTILLO, David</v>
      </c>
      <c r="AJ153" s="192">
        <f>IF(TAB_ressource[[#This Row],[Import Ressource]]="","",MAX(AJ$1:AJ152)+1)</f>
        <v>152</v>
      </c>
      <c r="AK153" s="193" t="str">
        <f>IFERROR(INDEX(TAB_ressource[Import Ressource],MATCH(ROW()-ROW($AK$1),TAB_ressource[ID Import ressources],0)),"")</f>
        <v>DE ANDRES DEL CASTILLO, David</v>
      </c>
      <c r="AN153" s="26">
        <f t="shared" si="11"/>
        <v>0</v>
      </c>
      <c r="BD153" t="s">
        <v>1069</v>
      </c>
      <c r="BE153" t="s">
        <v>1070</v>
      </c>
      <c r="BF153" t="s">
        <v>1071</v>
      </c>
      <c r="BG153" t="s">
        <v>1069</v>
      </c>
    </row>
    <row r="154" spans="13:59" x14ac:dyDescent="0.25">
      <c r="M154" t="str">
        <f>_xlfn.IFNA(IF(VLOOKUP(TAB_Offres[[#This Row],[Reference]],TAB_Offres[[Reference]:[Request State]],COLUMNS(TAB_Offres[[Reference]:[Request State]]),FALSE)=D$6,TAB_Offres[[#This Row],[Reference]],""),"")</f>
        <v>DIGITTMII-017243-6000053863-REQ-01</v>
      </c>
      <c r="N154" t="str">
        <f>_xlfn.IFNA(IF(VLOOKUP(TAB_Offres[[#This Row],[Reference]],TAB_Offres[[Reference]:[Has Expenses?]],COLUMNS(TAB_Offres[[Reference]:[Has Expenses?]]),FALSE)=J$2,TAB_Offres[[#This Row],[Reference]],""),"")</f>
        <v/>
      </c>
      <c r="O154" t="str">
        <f>IF(Tableau19[[#This Row],[EXPENSES_REF]]="","",MAX(O$1:O153)+1)</f>
        <v/>
      </c>
      <c r="P154" t="str">
        <f t="shared" si="10"/>
        <v/>
      </c>
      <c r="R154" s="227" t="s">
        <v>5714</v>
      </c>
      <c r="S154" s="230">
        <v>332.27</v>
      </c>
      <c r="T154" s="231">
        <v>355.53</v>
      </c>
      <c r="U154" s="231">
        <v>380.42</v>
      </c>
      <c r="V154" s="231">
        <v>407.05</v>
      </c>
      <c r="W154" s="231">
        <v>435.54</v>
      </c>
      <c r="X154" s="231">
        <v>466.03</v>
      </c>
      <c r="Y154" s="231">
        <v>498.65</v>
      </c>
      <c r="Z154" s="231">
        <v>533.55999999999995</v>
      </c>
      <c r="AA154" s="231">
        <v>570.91</v>
      </c>
      <c r="AB154" s="231">
        <v>610.87</v>
      </c>
      <c r="AC154" s="231">
        <v>653.63</v>
      </c>
      <c r="AD154" s="102"/>
      <c r="AI154" s="191" t="str">
        <f>IFERROR(_xlfn.SINGLE(
IF(_xlfn.SINGLE(INDEX(TAB_Offres[Ressource 1],ROWS(Params!AI$2:$AI154)))=0,NA(),
INDEX(TAB_Offres[Ressource 1],ROWS(Params!AI$2:$AI154)))),
IFERROR(_xlfn.SINGLE(IF(_xlfn.SINGLE(INDEX(#REF!,ROWS(Params!AI$2:$AI154)-COUNTA(TAB_Offres[Ressource 1])))=0,NA(),
INDEX(#REF!,ROWS(Params!AI$2:$AI154)-COUNTA(TAB_Offres[Ressource 1])))),
IFERROR(_xlfn.SINGLE(IF(_xlfn.SINGLE(INDEX(#REF!,ROWS(Params!AI$2:$AI154)-COUNTA(#REF!)-COUNTA(TAB_Offres[Ressource 1])))=0,NA(),
INDEX(#REF!,ROWS(Params!AI$2:$AI154)-COUNTA(#REF!)-COUNTA(TAB_Offres[Ressource 1])))),""))
)</f>
        <v>PRISECARU, Marian</v>
      </c>
      <c r="AJ154" s="192">
        <f>IF(TAB_ressource[[#This Row],[Import Ressource]]="","",MAX(AJ$1:AJ153)+1)</f>
        <v>153</v>
      </c>
      <c r="AK154" s="193" t="str">
        <f>IFERROR(INDEX(TAB_ressource[Import Ressource],MATCH(ROW()-ROW($AK$1),TAB_ressource[ID Import ressources],0)),"")</f>
        <v>PRISECARU, Marian</v>
      </c>
      <c r="AN154" s="26">
        <f t="shared" si="11"/>
        <v>0</v>
      </c>
      <c r="BD154" t="s">
        <v>1072</v>
      </c>
      <c r="BE154" t="s">
        <v>1073</v>
      </c>
      <c r="BF154" t="s">
        <v>1074</v>
      </c>
      <c r="BG154" t="s">
        <v>1072</v>
      </c>
    </row>
    <row r="155" spans="13:59" x14ac:dyDescent="0.25">
      <c r="M155" t="str">
        <f>_xlfn.IFNA(IF(VLOOKUP(TAB_Offres[[#This Row],[Reference]],TAB_Offres[[Reference]:[Request State]],COLUMNS(TAB_Offres[[Reference]:[Request State]]),FALSE)=D$6,TAB_Offres[[#This Row],[Reference]],""),"")</f>
        <v>DIGITTMII-017933-DIGITTMII-009632-EXT-01-6000053863-REQ-01</v>
      </c>
      <c r="N155" t="str">
        <f>_xlfn.IFNA(IF(VLOOKUP(TAB_Offres[[#This Row],[Reference]],TAB_Offres[[Reference]:[Has Expenses?]],COLUMNS(TAB_Offres[[Reference]:[Has Expenses?]]),FALSE)=J$2,TAB_Offres[[#This Row],[Reference]],""),"")</f>
        <v/>
      </c>
      <c r="O155" t="str">
        <f>IF(Tableau19[[#This Row],[EXPENSES_REF]]="","",MAX(O$1:O154)+1)</f>
        <v/>
      </c>
      <c r="P155" t="str">
        <f t="shared" si="10"/>
        <v/>
      </c>
      <c r="R155" s="227" t="s">
        <v>5715</v>
      </c>
      <c r="S155" s="230">
        <v>332.27</v>
      </c>
      <c r="T155" s="231">
        <v>355.53</v>
      </c>
      <c r="U155" s="231">
        <v>380.42</v>
      </c>
      <c r="V155" s="231">
        <v>407.05</v>
      </c>
      <c r="W155" s="231">
        <v>435.54</v>
      </c>
      <c r="X155" s="231">
        <v>466.03</v>
      </c>
      <c r="Y155" s="231">
        <v>498.65</v>
      </c>
      <c r="Z155" s="231">
        <v>533.55999999999995</v>
      </c>
      <c r="AA155" s="231">
        <v>570.91</v>
      </c>
      <c r="AB155" s="231">
        <v>610.87</v>
      </c>
      <c r="AC155" s="231">
        <v>653.63</v>
      </c>
      <c r="AD155" s="102"/>
      <c r="AI155" s="191" t="str">
        <f>IFERROR(_xlfn.SINGLE(
IF(_xlfn.SINGLE(INDEX(TAB_Offres[Ressource 1],ROWS(Params!AI$2:$AI155)))=0,NA(),
INDEX(TAB_Offres[Ressource 1],ROWS(Params!AI$2:$AI155)))),
IFERROR(_xlfn.SINGLE(IF(_xlfn.SINGLE(INDEX(#REF!,ROWS(Params!AI$2:$AI155)-COUNTA(TAB_Offres[Ressource 1])))=0,NA(),
INDEX(#REF!,ROWS(Params!AI$2:$AI155)-COUNTA(TAB_Offres[Ressource 1])))),
IFERROR(_xlfn.SINGLE(IF(_xlfn.SINGLE(INDEX(#REF!,ROWS(Params!AI$2:$AI155)-COUNTA(#REF!)-COUNTA(TAB_Offres[Ressource 1])))=0,NA(),
INDEX(#REF!,ROWS(Params!AI$2:$AI155)-COUNTA(#REF!)-COUNTA(TAB_Offres[Ressource 1])))),""))
)</f>
        <v>TRANDAFIR, Tiberiu</v>
      </c>
      <c r="AJ155" s="192">
        <f>IF(TAB_ressource[[#This Row],[Import Ressource]]="","",MAX(AJ$1:AJ154)+1)</f>
        <v>154</v>
      </c>
      <c r="AK155" s="193" t="str">
        <f>IFERROR(INDEX(TAB_ressource[Import Ressource],MATCH(ROW()-ROW($AK$1),TAB_ressource[ID Import ressources],0)),"")</f>
        <v>TRANDAFIR, Tiberiu</v>
      </c>
      <c r="AN155" s="26">
        <f t="shared" si="11"/>
        <v>0</v>
      </c>
      <c r="BD155" t="s">
        <v>1075</v>
      </c>
      <c r="BE155" t="s">
        <v>1076</v>
      </c>
      <c r="BF155" t="s">
        <v>1077</v>
      </c>
      <c r="BG155" t="s">
        <v>1075</v>
      </c>
    </row>
    <row r="156" spans="13:59" ht="26.4" x14ac:dyDescent="0.25">
      <c r="M156" t="str">
        <f>_xlfn.IFNA(IF(VLOOKUP(TAB_Offres[[#This Row],[Reference]],TAB_Offres[[Reference]:[Request State]],COLUMNS(TAB_Offres[[Reference]:[Request State]]),FALSE)=D$6,TAB_Offres[[#This Row],[Reference]],""),"")</f>
        <v>DIGITTMII-017817-DIGITTMII-000214-EXT-03-6000053863-REQ-01</v>
      </c>
      <c r="N156" t="str">
        <f>_xlfn.IFNA(IF(VLOOKUP(TAB_Offres[[#This Row],[Reference]],TAB_Offres[[Reference]:[Has Expenses?]],COLUMNS(TAB_Offres[[Reference]:[Has Expenses?]]),FALSE)=J$2,TAB_Offres[[#This Row],[Reference]],""),"")</f>
        <v/>
      </c>
      <c r="O156" t="str">
        <f>IF(Tableau19[[#This Row],[EXPENSES_REF]]="","",MAX(O$1:O155)+1)</f>
        <v/>
      </c>
      <c r="P156" t="str">
        <f t="shared" si="10"/>
        <v/>
      </c>
      <c r="R156" s="229" t="s">
        <v>5419</v>
      </c>
      <c r="S156" s="230"/>
      <c r="T156" s="231"/>
      <c r="U156" s="231"/>
      <c r="V156" s="231"/>
      <c r="W156" s="231"/>
      <c r="X156" s="231"/>
      <c r="Y156" s="231"/>
      <c r="Z156" s="231"/>
      <c r="AA156" s="231"/>
      <c r="AB156" s="231"/>
      <c r="AC156" s="231"/>
      <c r="AD156" s="102"/>
      <c r="AI156" s="191" t="str">
        <f>IFERROR(_xlfn.SINGLE(
IF(_xlfn.SINGLE(INDEX(TAB_Offres[Ressource 1],ROWS(Params!AI$2:$AI156)))=0,NA(),
INDEX(TAB_Offres[Ressource 1],ROWS(Params!AI$2:$AI156)))),
IFERROR(_xlfn.SINGLE(IF(_xlfn.SINGLE(INDEX(#REF!,ROWS(Params!AI$2:$AI156)-COUNTA(TAB_Offres[Ressource 1])))=0,NA(),
INDEX(#REF!,ROWS(Params!AI$2:$AI156)-COUNTA(TAB_Offres[Ressource 1])))),
IFERROR(_xlfn.SINGLE(IF(_xlfn.SINGLE(INDEX(#REF!,ROWS(Params!AI$2:$AI156)-COUNTA(#REF!)-COUNTA(TAB_Offres[Ressource 1])))=0,NA(),
INDEX(#REF!,ROWS(Params!AI$2:$AI156)-COUNTA(#REF!)-COUNTA(TAB_Offres[Ressource 1])))),""))
)</f>
        <v>SAYTEE, Meatau Larry</v>
      </c>
      <c r="AJ156" s="192">
        <f>IF(TAB_ressource[[#This Row],[Import Ressource]]="","",MAX(AJ$1:AJ155)+1)</f>
        <v>155</v>
      </c>
      <c r="AK156" s="193" t="str">
        <f>IFERROR(INDEX(TAB_ressource[Import Ressource],MATCH(ROW()-ROW($AK$1),TAB_ressource[ID Import ressources],0)),"")</f>
        <v>SAYTEE, Meatau Larry</v>
      </c>
      <c r="AN156" s="26">
        <f t="shared" si="11"/>
        <v>0</v>
      </c>
      <c r="BD156" t="s">
        <v>1078</v>
      </c>
      <c r="BE156" t="s">
        <v>1079</v>
      </c>
      <c r="BF156" t="s">
        <v>1080</v>
      </c>
      <c r="BG156" t="s">
        <v>1078</v>
      </c>
    </row>
    <row r="157" spans="13:59" x14ac:dyDescent="0.25">
      <c r="M157" t="str">
        <f>_xlfn.IFNA(IF(VLOOKUP(TAB_Offres[[#This Row],[Reference]],TAB_Offres[[Reference]:[Request State]],COLUMNS(TAB_Offres[[Reference]:[Request State]]),FALSE)=D$6,TAB_Offres[[#This Row],[Reference]],""),"")</f>
        <v>DIGITTMII-018153-DIGITTMII-007670-EXT-01-6000053863-REQ-01</v>
      </c>
      <c r="N157" t="str">
        <f>_xlfn.IFNA(IF(VLOOKUP(TAB_Offres[[#This Row],[Reference]],TAB_Offres[[Reference]:[Has Expenses?]],COLUMNS(TAB_Offres[[Reference]:[Has Expenses?]]),FALSE)=J$2,TAB_Offres[[#This Row],[Reference]],""),"")</f>
        <v/>
      </c>
      <c r="O157" t="str">
        <f>IF(Tableau19[[#This Row],[EXPENSES_REF]]="","",MAX(O$1:O156)+1)</f>
        <v/>
      </c>
      <c r="P157" t="str">
        <f t="shared" si="10"/>
        <v/>
      </c>
      <c r="R157" s="227" t="s">
        <v>5716</v>
      </c>
      <c r="S157" s="230">
        <v>224.12</v>
      </c>
      <c r="T157" s="231">
        <v>239.81</v>
      </c>
      <c r="U157" s="231">
        <v>256.60000000000002</v>
      </c>
      <c r="V157" s="231">
        <v>274.56</v>
      </c>
      <c r="W157" s="231">
        <v>293.77999999999997</v>
      </c>
      <c r="X157" s="231">
        <v>314.33999999999997</v>
      </c>
      <c r="Y157" s="231">
        <v>336.34</v>
      </c>
      <c r="Z157" s="231">
        <v>359.88</v>
      </c>
      <c r="AA157" s="231">
        <v>385.07</v>
      </c>
      <c r="AB157" s="231">
        <v>412.02</v>
      </c>
      <c r="AC157" s="231">
        <v>440.86</v>
      </c>
      <c r="AD157" s="102"/>
      <c r="AI157" s="191" t="str">
        <f>IFERROR(_xlfn.SINGLE(
IF(_xlfn.SINGLE(INDEX(TAB_Offres[Ressource 1],ROWS(Params!AI$2:$AI157)))=0,NA(),
INDEX(TAB_Offres[Ressource 1],ROWS(Params!AI$2:$AI157)))),
IFERROR(_xlfn.SINGLE(IF(_xlfn.SINGLE(INDEX(#REF!,ROWS(Params!AI$2:$AI157)-COUNTA(TAB_Offres[Ressource 1])))=0,NA(),
INDEX(#REF!,ROWS(Params!AI$2:$AI157)-COUNTA(TAB_Offres[Ressource 1])))),
IFERROR(_xlfn.SINGLE(IF(_xlfn.SINGLE(INDEX(#REF!,ROWS(Params!AI$2:$AI157)-COUNTA(#REF!)-COUNTA(TAB_Offres[Ressource 1])))=0,NA(),
INDEX(#REF!,ROWS(Params!AI$2:$AI157)-COUNTA(#REF!)-COUNTA(TAB_Offres[Ressource 1])))),""))
)</f>
        <v>ROSALES, Airy</v>
      </c>
      <c r="AJ157" s="192">
        <f>IF(TAB_ressource[[#This Row],[Import Ressource]]="","",MAX(AJ$1:AJ156)+1)</f>
        <v>156</v>
      </c>
      <c r="AK157" s="193" t="str">
        <f>IFERROR(INDEX(TAB_ressource[Import Ressource],MATCH(ROW()-ROW($AK$1),TAB_ressource[ID Import ressources],0)),"")</f>
        <v>ROSALES, Airy</v>
      </c>
      <c r="AN157" s="26">
        <f t="shared" si="11"/>
        <v>0</v>
      </c>
      <c r="BD157" t="s">
        <v>1081</v>
      </c>
      <c r="BE157" t="s">
        <v>1082</v>
      </c>
      <c r="BF157" t="s">
        <v>1083</v>
      </c>
      <c r="BG157" t="s">
        <v>1081</v>
      </c>
    </row>
    <row r="158" spans="13:59" x14ac:dyDescent="0.25">
      <c r="M158" t="str">
        <f>_xlfn.IFNA(IF(VLOOKUP(TAB_Offres[[#This Row],[Reference]],TAB_Offres[[Reference]:[Request State]],COLUMNS(TAB_Offres[[Reference]:[Request State]]),FALSE)=D$6,TAB_Offres[[#This Row],[Reference]],""),"")</f>
        <v>DIGITTMII-012508-6000053863-REQ-01</v>
      </c>
      <c r="N158" t="str">
        <f>_xlfn.IFNA(IF(VLOOKUP(TAB_Offres[[#This Row],[Reference]],TAB_Offres[[Reference]:[Has Expenses?]],COLUMNS(TAB_Offres[[Reference]:[Has Expenses?]]),FALSE)=J$2,TAB_Offres[[#This Row],[Reference]],""),"")</f>
        <v>DIGITTMII-012508-6000053863-REQ-01</v>
      </c>
      <c r="O158">
        <f>IF(Tableau19[[#This Row],[EXPENSES_REF]]="","",MAX(O$1:O157)+1)</f>
        <v>24</v>
      </c>
      <c r="P158" t="str">
        <f t="shared" si="10"/>
        <v/>
      </c>
      <c r="R158" s="227" t="s">
        <v>5717</v>
      </c>
      <c r="S158" s="230">
        <v>224.12</v>
      </c>
      <c r="T158" s="231">
        <v>239.81</v>
      </c>
      <c r="U158" s="231">
        <v>256.60000000000002</v>
      </c>
      <c r="V158" s="231">
        <v>274.56</v>
      </c>
      <c r="W158" s="231">
        <v>293.77999999999997</v>
      </c>
      <c r="X158" s="231">
        <v>314.33999999999997</v>
      </c>
      <c r="Y158" s="231">
        <v>336.34</v>
      </c>
      <c r="Z158" s="231">
        <v>359.88</v>
      </c>
      <c r="AA158" s="231">
        <v>385.07</v>
      </c>
      <c r="AB158" s="231">
        <v>412.02</v>
      </c>
      <c r="AC158" s="231">
        <v>440.86</v>
      </c>
      <c r="AD158" s="102"/>
      <c r="AI158" s="191" t="str">
        <f>IFERROR(_xlfn.SINGLE(
IF(_xlfn.SINGLE(INDEX(TAB_Offres[Ressource 1],ROWS(Params!AI$2:$AI158)))=0,NA(),
INDEX(TAB_Offres[Ressource 1],ROWS(Params!AI$2:$AI158)))),
IFERROR(_xlfn.SINGLE(IF(_xlfn.SINGLE(INDEX(#REF!,ROWS(Params!AI$2:$AI158)-COUNTA(TAB_Offres[Ressource 1])))=0,NA(),
INDEX(#REF!,ROWS(Params!AI$2:$AI158)-COUNTA(TAB_Offres[Ressource 1])))),
IFERROR(_xlfn.SINGLE(IF(_xlfn.SINGLE(INDEX(#REF!,ROWS(Params!AI$2:$AI158)-COUNTA(#REF!)-COUNTA(TAB_Offres[Ressource 1])))=0,NA(),
INDEX(#REF!,ROWS(Params!AI$2:$AI158)-COUNTA(#REF!)-COUNTA(TAB_Offres[Ressource 1])))),""))
)</f>
        <v>KIRIMLIDOU, Dimoula</v>
      </c>
      <c r="AJ158" s="192">
        <f>IF(TAB_ressource[[#This Row],[Import Ressource]]="","",MAX(AJ$1:AJ157)+1)</f>
        <v>157</v>
      </c>
      <c r="AK158" s="193" t="str">
        <f>IFERROR(INDEX(TAB_ressource[Import Ressource],MATCH(ROW()-ROW($AK$1),TAB_ressource[ID Import ressources],0)),"")</f>
        <v>KIRIMLIDOU, Dimoula</v>
      </c>
      <c r="AN158" s="26">
        <f t="shared" si="11"/>
        <v>0</v>
      </c>
      <c r="BD158" t="s">
        <v>1084</v>
      </c>
      <c r="BE158" t="s">
        <v>1085</v>
      </c>
      <c r="BF158" t="s">
        <v>1086</v>
      </c>
      <c r="BG158" t="s">
        <v>1084</v>
      </c>
    </row>
    <row r="159" spans="13:59" x14ac:dyDescent="0.25">
      <c r="M159" t="str">
        <f>_xlfn.IFNA(IF(VLOOKUP(TAB_Offres[[#This Row],[Reference]],TAB_Offres[[Reference]:[Request State]],COLUMNS(TAB_Offres[[Reference]:[Request State]]),FALSE)=D$6,TAB_Offres[[#This Row],[Reference]],""),"")</f>
        <v>DIGITTMII-018541-6000053863-REQ-01</v>
      </c>
      <c r="N159" t="str">
        <f>_xlfn.IFNA(IF(VLOOKUP(TAB_Offres[[#This Row],[Reference]],TAB_Offres[[Reference]:[Has Expenses?]],COLUMNS(TAB_Offres[[Reference]:[Has Expenses?]]),FALSE)=J$2,TAB_Offres[[#This Row],[Reference]],""),"")</f>
        <v>DIGITTMII-018541-6000053863-REQ-01</v>
      </c>
      <c r="O159">
        <f>IF(Tableau19[[#This Row],[EXPENSES_REF]]="","",MAX(O$1:O158)+1)</f>
        <v>25</v>
      </c>
      <c r="P159" t="str">
        <f t="shared" si="10"/>
        <v/>
      </c>
      <c r="R159" s="227" t="s">
        <v>5718</v>
      </c>
      <c r="S159" s="230">
        <v>224.12</v>
      </c>
      <c r="T159" s="231">
        <v>239.81</v>
      </c>
      <c r="U159" s="231">
        <v>256.60000000000002</v>
      </c>
      <c r="V159" s="231">
        <v>274.56</v>
      </c>
      <c r="W159" s="231">
        <v>293.77999999999997</v>
      </c>
      <c r="X159" s="231">
        <v>314.33999999999997</v>
      </c>
      <c r="Y159" s="231">
        <v>336.34</v>
      </c>
      <c r="Z159" s="231">
        <v>359.88</v>
      </c>
      <c r="AA159" s="231">
        <v>385.07</v>
      </c>
      <c r="AB159" s="231">
        <v>412.02</v>
      </c>
      <c r="AC159" s="231">
        <v>440.86</v>
      </c>
      <c r="AD159" s="102"/>
      <c r="AI159" s="191" t="str">
        <f>IFERROR(_xlfn.SINGLE(
IF(_xlfn.SINGLE(INDEX(TAB_Offres[Ressource 1],ROWS(Params!AI$2:$AI159)))=0,NA(),
INDEX(TAB_Offres[Ressource 1],ROWS(Params!AI$2:$AI159)))),
IFERROR(_xlfn.SINGLE(IF(_xlfn.SINGLE(INDEX(#REF!,ROWS(Params!AI$2:$AI159)-COUNTA(TAB_Offres[Ressource 1])))=0,NA(),
INDEX(#REF!,ROWS(Params!AI$2:$AI159)-COUNTA(TAB_Offres[Ressource 1])))),
IFERROR(_xlfn.SINGLE(IF(_xlfn.SINGLE(INDEX(#REF!,ROWS(Params!AI$2:$AI159)-COUNTA(#REF!)-COUNTA(TAB_Offres[Ressource 1])))=0,NA(),
INDEX(#REF!,ROWS(Params!AI$2:$AI159)-COUNTA(#REF!)-COUNTA(TAB_Offres[Ressource 1])))),""))
)</f>
        <v>Global PES request</v>
      </c>
      <c r="AJ159" s="192">
        <f>IF(TAB_ressource[[#This Row],[Import Ressource]]="","",MAX(AJ$1:AJ158)+1)</f>
        <v>158</v>
      </c>
      <c r="AK159" s="193" t="str">
        <f>IFERROR(INDEX(TAB_ressource[Import Ressource],MATCH(ROW()-ROW($AK$1),TAB_ressource[ID Import ressources],0)),"")</f>
        <v>Global PES request</v>
      </c>
      <c r="AN159" s="26">
        <f t="shared" si="11"/>
        <v>0</v>
      </c>
      <c r="BD159" t="s">
        <v>1087</v>
      </c>
      <c r="BE159" t="s">
        <v>1088</v>
      </c>
      <c r="BF159" t="s">
        <v>1089</v>
      </c>
      <c r="BG159" t="s">
        <v>1087</v>
      </c>
    </row>
    <row r="160" spans="13:59" x14ac:dyDescent="0.25">
      <c r="M160" t="str">
        <f>_xlfn.IFNA(IF(VLOOKUP(TAB_Offres[[#This Row],[Reference]],TAB_Offres[[Reference]:[Request State]],COLUMNS(TAB_Offres[[Reference]:[Request State]]),FALSE)=D$6,TAB_Offres[[#This Row],[Reference]],""),"")</f>
        <v>DIGITTMII-016501-6000053863-REQ-01</v>
      </c>
      <c r="N160" t="str">
        <f>_xlfn.IFNA(IF(VLOOKUP(TAB_Offres[[#This Row],[Reference]],TAB_Offres[[Reference]:[Has Expenses?]],COLUMNS(TAB_Offres[[Reference]:[Has Expenses?]]),FALSE)=J$2,TAB_Offres[[#This Row],[Reference]],""),"")</f>
        <v/>
      </c>
      <c r="O160" t="str">
        <f>IF(Tableau19[[#This Row],[EXPENSES_REF]]="","",MAX(O$1:O159)+1)</f>
        <v/>
      </c>
      <c r="P160" t="str">
        <f t="shared" si="10"/>
        <v/>
      </c>
      <c r="R160" s="227" t="s">
        <v>5719</v>
      </c>
      <c r="S160" s="230">
        <v>224.12</v>
      </c>
      <c r="T160" s="231">
        <v>239.81</v>
      </c>
      <c r="U160" s="231">
        <v>256.60000000000002</v>
      </c>
      <c r="V160" s="231">
        <v>274.56</v>
      </c>
      <c r="W160" s="231">
        <v>293.77999999999997</v>
      </c>
      <c r="X160" s="231">
        <v>314.33999999999997</v>
      </c>
      <c r="Y160" s="231">
        <v>336.34</v>
      </c>
      <c r="Z160" s="231">
        <v>359.88</v>
      </c>
      <c r="AA160" s="231">
        <v>385.07</v>
      </c>
      <c r="AB160" s="231">
        <v>412.02</v>
      </c>
      <c r="AC160" s="231">
        <v>440.86</v>
      </c>
      <c r="AD160" s="102"/>
      <c r="AI160" s="191" t="str">
        <f>IFERROR(_xlfn.SINGLE(
IF(_xlfn.SINGLE(INDEX(TAB_Offres[Ressource 1],ROWS(Params!AI$2:$AI160)))=0,NA(),
INDEX(TAB_Offres[Ressource 1],ROWS(Params!AI$2:$AI160)))),
IFERROR(_xlfn.SINGLE(IF(_xlfn.SINGLE(INDEX(#REF!,ROWS(Params!AI$2:$AI160)-COUNTA(TAB_Offres[Ressource 1])))=0,NA(),
INDEX(#REF!,ROWS(Params!AI$2:$AI160)-COUNTA(TAB_Offres[Ressource 1])))),
IFERROR(_xlfn.SINGLE(IF(_xlfn.SINGLE(INDEX(#REF!,ROWS(Params!AI$2:$AI160)-COUNTA(#REF!)-COUNTA(TAB_Offres[Ressource 1])))=0,NA(),
INDEX(#REF!,ROWS(Params!AI$2:$AI160)-COUNTA(#REF!)-COUNTA(TAB_Offres[Ressource 1])))),""))
)</f>
        <v>QUINTANILHA RAMOS Cleber</v>
      </c>
      <c r="AJ160" s="192">
        <f>IF(TAB_ressource[[#This Row],[Import Ressource]]="","",MAX(AJ$1:AJ159)+1)</f>
        <v>159</v>
      </c>
      <c r="AK160" s="193" t="str">
        <f>IFERROR(INDEX(TAB_ressource[Import Ressource],MATCH(ROW()-ROW($AK$1),TAB_ressource[ID Import ressources],0)),"")</f>
        <v>QUINTANILHA RAMOS Cleber</v>
      </c>
      <c r="AN160" s="26">
        <f t="shared" si="11"/>
        <v>0</v>
      </c>
      <c r="BD160" t="s">
        <v>1090</v>
      </c>
      <c r="BE160" t="s">
        <v>1091</v>
      </c>
      <c r="BF160" t="s">
        <v>1092</v>
      </c>
      <c r="BG160" t="s">
        <v>1090</v>
      </c>
    </row>
    <row r="161" spans="13:59" x14ac:dyDescent="0.25">
      <c r="M161" t="str">
        <f>_xlfn.IFNA(IF(VLOOKUP(TAB_Offres[[#This Row],[Reference]],TAB_Offres[[Reference]:[Request State]],COLUMNS(TAB_Offres[[Reference]:[Request State]]),FALSE)=D$6,TAB_Offres[[#This Row],[Reference]],""),"")</f>
        <v>DIGITTMII-017718-DIGITTMII-013551-MOD-01-6000053863-REQ-01</v>
      </c>
      <c r="N161" t="str">
        <f>_xlfn.IFNA(IF(VLOOKUP(TAB_Offres[[#This Row],[Reference]],TAB_Offres[[Reference]:[Has Expenses?]],COLUMNS(TAB_Offres[[Reference]:[Has Expenses?]]),FALSE)=J$2,TAB_Offres[[#This Row],[Reference]],""),"")</f>
        <v/>
      </c>
      <c r="O161" t="str">
        <f>IF(Tableau19[[#This Row],[EXPENSES_REF]]="","",MAX(O$1:O160)+1)</f>
        <v/>
      </c>
      <c r="P161" t="str">
        <f t="shared" si="10"/>
        <v/>
      </c>
      <c r="R161" s="227" t="s">
        <v>5720</v>
      </c>
      <c r="S161" s="230">
        <v>242.08</v>
      </c>
      <c r="T161" s="231">
        <v>259.02999999999997</v>
      </c>
      <c r="U161" s="231">
        <v>277.16000000000003</v>
      </c>
      <c r="V161" s="231">
        <v>296.56</v>
      </c>
      <c r="W161" s="231">
        <v>317.32</v>
      </c>
      <c r="X161" s="231">
        <v>339.53</v>
      </c>
      <c r="Y161" s="231">
        <v>363.3</v>
      </c>
      <c r="Z161" s="231">
        <v>388.73</v>
      </c>
      <c r="AA161" s="231">
        <v>415.94</v>
      </c>
      <c r="AB161" s="231">
        <v>445.06</v>
      </c>
      <c r="AC161" s="231">
        <v>476.21</v>
      </c>
      <c r="AD161" s="102"/>
      <c r="AI161" s="191" t="str">
        <f>IFERROR(_xlfn.SINGLE(
IF(_xlfn.SINGLE(INDEX(TAB_Offres[Ressource 1],ROWS(Params!AI$2:$AI161)))=0,NA(),
INDEX(TAB_Offres[Ressource 1],ROWS(Params!AI$2:$AI161)))),
IFERROR(_xlfn.SINGLE(IF(_xlfn.SINGLE(INDEX(#REF!,ROWS(Params!AI$2:$AI161)-COUNTA(TAB_Offres[Ressource 1])))=0,NA(),
INDEX(#REF!,ROWS(Params!AI$2:$AI161)-COUNTA(TAB_Offres[Ressource 1])))),
IFERROR(_xlfn.SINGLE(IF(_xlfn.SINGLE(INDEX(#REF!,ROWS(Params!AI$2:$AI161)-COUNTA(#REF!)-COUNTA(TAB_Offres[Ressource 1])))=0,NA(),
INDEX(#REF!,ROWS(Params!AI$2:$AI161)-COUNTA(#REF!)-COUNTA(TAB_Offres[Ressource 1])))),""))
)</f>
        <v>MUNTEANU Gabriela Alina</v>
      </c>
      <c r="AJ161" s="192">
        <f>IF(TAB_ressource[[#This Row],[Import Ressource]]="","",MAX(AJ$1:AJ160)+1)</f>
        <v>160</v>
      </c>
      <c r="AK161" s="193" t="str">
        <f>IFERROR(INDEX(TAB_ressource[Import Ressource],MATCH(ROW()-ROW($AK$1),TAB_ressource[ID Import ressources],0)),"")</f>
        <v>MUNTEANU Gabriela Alina</v>
      </c>
      <c r="AN161" s="26">
        <f t="shared" si="11"/>
        <v>0</v>
      </c>
      <c r="BD161" t="s">
        <v>1093</v>
      </c>
      <c r="BE161" t="s">
        <v>1094</v>
      </c>
      <c r="BF161" t="s">
        <v>1095</v>
      </c>
      <c r="BG161" t="s">
        <v>1093</v>
      </c>
    </row>
    <row r="162" spans="13:59" x14ac:dyDescent="0.25">
      <c r="M162" t="str">
        <f>_xlfn.IFNA(IF(VLOOKUP(TAB_Offres[[#This Row],[Reference]],TAB_Offres[[Reference]:[Request State]],COLUMNS(TAB_Offres[[Reference]:[Request State]]),FALSE)=D$6,TAB_Offres[[#This Row],[Reference]],""),"")</f>
        <v>DIGITTMII-018064-DIGITTMII-003533-EXT-04-6000053863-REQ-01</v>
      </c>
      <c r="N162" t="str">
        <f>_xlfn.IFNA(IF(VLOOKUP(TAB_Offres[[#This Row],[Reference]],TAB_Offres[[Reference]:[Has Expenses?]],COLUMNS(TAB_Offres[[Reference]:[Has Expenses?]]),FALSE)=J$2,TAB_Offres[[#This Row],[Reference]],""),"")</f>
        <v/>
      </c>
      <c r="O162" t="str">
        <f>IF(Tableau19[[#This Row],[EXPENSES_REF]]="","",MAX(O$1:O161)+1)</f>
        <v/>
      </c>
      <c r="P162" t="str">
        <f t="shared" si="10"/>
        <v/>
      </c>
      <c r="R162" s="227" t="s">
        <v>5721</v>
      </c>
      <c r="S162" s="230">
        <v>224.12</v>
      </c>
      <c r="T162" s="231">
        <v>239.81</v>
      </c>
      <c r="U162" s="231">
        <v>256.60000000000002</v>
      </c>
      <c r="V162" s="231">
        <v>274.56</v>
      </c>
      <c r="W162" s="231">
        <v>293.77999999999997</v>
      </c>
      <c r="X162" s="231">
        <v>314.33999999999997</v>
      </c>
      <c r="Y162" s="231">
        <v>336.34</v>
      </c>
      <c r="Z162" s="231">
        <v>359.88</v>
      </c>
      <c r="AA162" s="231">
        <v>385.07</v>
      </c>
      <c r="AB162" s="231">
        <v>412.02</v>
      </c>
      <c r="AC162" s="231">
        <v>440.86</v>
      </c>
      <c r="AD162" s="102"/>
      <c r="AI162" s="191" t="str">
        <f>IFERROR(_xlfn.SINGLE(
IF(_xlfn.SINGLE(INDEX(TAB_Offres[Ressource 1],ROWS(Params!AI$2:$AI162)))=0,NA(),
INDEX(TAB_Offres[Ressource 1],ROWS(Params!AI$2:$AI162)))),
IFERROR(_xlfn.SINGLE(IF(_xlfn.SINGLE(INDEX(#REF!,ROWS(Params!AI$2:$AI162)-COUNTA(TAB_Offres[Ressource 1])))=0,NA(),
INDEX(#REF!,ROWS(Params!AI$2:$AI162)-COUNTA(TAB_Offres[Ressource 1])))),
IFERROR(_xlfn.SINGLE(IF(_xlfn.SINGLE(INDEX(#REF!,ROWS(Params!AI$2:$AI162)-COUNTA(#REF!)-COUNTA(TAB_Offres[Ressource 1])))=0,NA(),
INDEX(#REF!,ROWS(Params!AI$2:$AI162)-COUNTA(#REF!)-COUNTA(TAB_Offres[Ressource 1])))),""))
)</f>
        <v>OLLINGER, Yannick</v>
      </c>
      <c r="AJ162" s="192">
        <f>IF(TAB_ressource[[#This Row],[Import Ressource]]="","",MAX(AJ$1:AJ161)+1)</f>
        <v>161</v>
      </c>
      <c r="AK162" s="193" t="str">
        <f>IFERROR(INDEX(TAB_ressource[Import Ressource],MATCH(ROW()-ROW($AK$1),TAB_ressource[ID Import ressources],0)),"")</f>
        <v>OLLINGER, Yannick</v>
      </c>
      <c r="AN162" s="26">
        <f t="shared" si="11"/>
        <v>0</v>
      </c>
      <c r="BD162" t="s">
        <v>1096</v>
      </c>
      <c r="BE162" t="s">
        <v>1097</v>
      </c>
      <c r="BF162" t="s">
        <v>1098</v>
      </c>
      <c r="BG162" t="s">
        <v>1096</v>
      </c>
    </row>
    <row r="163" spans="13:59" x14ac:dyDescent="0.25">
      <c r="M163" t="str">
        <f>_xlfn.IFNA(IF(VLOOKUP(TAB_Offres[[#This Row],[Reference]],TAB_Offres[[Reference]:[Request State]],COLUMNS(TAB_Offres[[Reference]:[Request State]]),FALSE)=D$6,TAB_Offres[[#This Row],[Reference]],""),"")</f>
        <v>DIGITTMII-018451-DIGITTMII-002829-EXT-02-6000053863-REQ-01</v>
      </c>
      <c r="N163" t="str">
        <f>_xlfn.IFNA(IF(VLOOKUP(TAB_Offres[[#This Row],[Reference]],TAB_Offres[[Reference]:[Has Expenses?]],COLUMNS(TAB_Offres[[Reference]:[Has Expenses?]]),FALSE)=J$2,TAB_Offres[[#This Row],[Reference]],""),"")</f>
        <v/>
      </c>
      <c r="O163" t="str">
        <f>IF(Tableau19[[#This Row],[EXPENSES_REF]]="","",MAX(O$1:O162)+1)</f>
        <v/>
      </c>
      <c r="P163" t="str">
        <f t="shared" si="10"/>
        <v/>
      </c>
      <c r="R163" s="227" t="s">
        <v>5722</v>
      </c>
      <c r="S163" s="230">
        <v>287.33</v>
      </c>
      <c r="T163" s="231">
        <v>307.44</v>
      </c>
      <c r="U163" s="231">
        <v>328.96</v>
      </c>
      <c r="V163" s="231">
        <v>351.99</v>
      </c>
      <c r="W163" s="231">
        <v>376.63</v>
      </c>
      <c r="X163" s="231">
        <v>402.99</v>
      </c>
      <c r="Y163" s="231">
        <v>431.2</v>
      </c>
      <c r="Z163" s="231">
        <v>461.38</v>
      </c>
      <c r="AA163" s="231">
        <v>493.68</v>
      </c>
      <c r="AB163" s="231">
        <v>528.24</v>
      </c>
      <c r="AC163" s="231">
        <v>565.22</v>
      </c>
      <c r="AD163" s="102"/>
      <c r="AI163" s="191" t="str">
        <f>IFERROR(_xlfn.SINGLE(
IF(_xlfn.SINGLE(INDEX(TAB_Offres[Ressource 1],ROWS(Params!AI$2:$AI163)))=0,NA(),
INDEX(TAB_Offres[Ressource 1],ROWS(Params!AI$2:$AI163)))),
IFERROR(_xlfn.SINGLE(IF(_xlfn.SINGLE(INDEX(#REF!,ROWS(Params!AI$2:$AI163)-COUNTA(TAB_Offres[Ressource 1])))=0,NA(),
INDEX(#REF!,ROWS(Params!AI$2:$AI163)-COUNTA(TAB_Offres[Ressource 1])))),
IFERROR(_xlfn.SINGLE(IF(_xlfn.SINGLE(INDEX(#REF!,ROWS(Params!AI$2:$AI163)-COUNTA(#REF!)-COUNTA(TAB_Offres[Ressource 1])))=0,NA(),
INDEX(#REF!,ROWS(Params!AI$2:$AI163)-COUNTA(#REF!)-COUNTA(TAB_Offres[Ressource 1])))),""))
)</f>
        <v>TRINDADE-SALGUEIRO, Nuno</v>
      </c>
      <c r="AJ163" s="192">
        <f>IF(TAB_ressource[[#This Row],[Import Ressource]]="","",MAX(AJ$1:AJ162)+1)</f>
        <v>162</v>
      </c>
      <c r="AK163" s="193" t="str">
        <f>IFERROR(INDEX(TAB_ressource[Import Ressource],MATCH(ROW()-ROW($AK$1),TAB_ressource[ID Import ressources],0)),"")</f>
        <v>TRINDADE-SALGUEIRO, Nuno</v>
      </c>
      <c r="AN163" s="26">
        <f t="shared" si="11"/>
        <v>0</v>
      </c>
      <c r="BD163" t="s">
        <v>1099</v>
      </c>
      <c r="BE163" t="s">
        <v>1100</v>
      </c>
      <c r="BF163" t="s">
        <v>1101</v>
      </c>
      <c r="BG163" t="s">
        <v>1099</v>
      </c>
    </row>
    <row r="164" spans="13:59" x14ac:dyDescent="0.25">
      <c r="M164" t="str">
        <f>_xlfn.IFNA(IF(VLOOKUP(TAB_Offres[[#This Row],[Reference]],TAB_Offres[[Reference]:[Request State]],COLUMNS(TAB_Offres[[Reference]:[Request State]]),FALSE)=D$6,TAB_Offres[[#This Row],[Reference]],""),"")</f>
        <v>DIGITTMII-018932-DIGITTMII-012876-EXT-02-6000053863-REQ-01</v>
      </c>
      <c r="N164" t="str">
        <f>_xlfn.IFNA(IF(VLOOKUP(TAB_Offres[[#This Row],[Reference]],TAB_Offres[[Reference]:[Has Expenses?]],COLUMNS(TAB_Offres[[Reference]:[Has Expenses?]]),FALSE)=J$2,TAB_Offres[[#This Row],[Reference]],""),"")</f>
        <v/>
      </c>
      <c r="O164" t="str">
        <f>IF(Tableau19[[#This Row],[EXPENSES_REF]]="","",MAX(O$1:O163)+1)</f>
        <v/>
      </c>
      <c r="P164" t="str">
        <f t="shared" si="10"/>
        <v/>
      </c>
      <c r="R164" s="227" t="s">
        <v>5723</v>
      </c>
      <c r="S164" s="230">
        <v>224.12</v>
      </c>
      <c r="T164" s="231">
        <v>239.81</v>
      </c>
      <c r="U164" s="231">
        <v>256.60000000000002</v>
      </c>
      <c r="V164" s="231">
        <v>274.56</v>
      </c>
      <c r="W164" s="231">
        <v>293.77999999999997</v>
      </c>
      <c r="X164" s="231">
        <v>314.33999999999997</v>
      </c>
      <c r="Y164" s="231">
        <v>336.34</v>
      </c>
      <c r="Z164" s="231">
        <v>359.88</v>
      </c>
      <c r="AA164" s="231">
        <v>385.07</v>
      </c>
      <c r="AB164" s="231">
        <v>412.02</v>
      </c>
      <c r="AC164" s="231">
        <v>440.86</v>
      </c>
      <c r="AD164" s="102"/>
      <c r="AI164" s="191" t="str">
        <f>IFERROR(_xlfn.SINGLE(
IF(_xlfn.SINGLE(INDEX(TAB_Offres[Ressource 1],ROWS(Params!AI$2:$AI164)))=0,NA(),
INDEX(TAB_Offres[Ressource 1],ROWS(Params!AI$2:$AI164)))),
IFERROR(_xlfn.SINGLE(IF(_xlfn.SINGLE(INDEX(#REF!,ROWS(Params!AI$2:$AI164)-COUNTA(TAB_Offres[Ressource 1])))=0,NA(),
INDEX(#REF!,ROWS(Params!AI$2:$AI164)-COUNTA(TAB_Offres[Ressource 1])))),
IFERROR(_xlfn.SINGLE(IF(_xlfn.SINGLE(INDEX(#REF!,ROWS(Params!AI$2:$AI164)-COUNTA(#REF!)-COUNTA(TAB_Offres[Ressource 1])))=0,NA(),
INDEX(#REF!,ROWS(Params!AI$2:$AI164)-COUNTA(#REF!)-COUNTA(TAB_Offres[Ressource 1])))),""))
)</f>
        <v>GOSMAN, Andrei</v>
      </c>
      <c r="AJ164" s="192">
        <f>IF(TAB_ressource[[#This Row],[Import Ressource]]="","",MAX(AJ$1:AJ163)+1)</f>
        <v>163</v>
      </c>
      <c r="AK164" s="193" t="str">
        <f>IFERROR(INDEX(TAB_ressource[Import Ressource],MATCH(ROW()-ROW($AK$1),TAB_ressource[ID Import ressources],0)),"")</f>
        <v>GOSMAN, Andrei</v>
      </c>
      <c r="AN164" s="26">
        <f t="shared" si="11"/>
        <v>0</v>
      </c>
      <c r="BD164" t="s">
        <v>1102</v>
      </c>
      <c r="BE164" t="s">
        <v>1103</v>
      </c>
      <c r="BF164" t="s">
        <v>1104</v>
      </c>
      <c r="BG164" t="s">
        <v>1102</v>
      </c>
    </row>
    <row r="165" spans="13:59" x14ac:dyDescent="0.25">
      <c r="M165" t="str">
        <f>_xlfn.IFNA(IF(VLOOKUP(TAB_Offres[[#This Row],[Reference]],TAB_Offres[[Reference]:[Request State]],COLUMNS(TAB_Offres[[Reference]:[Request State]]),FALSE)=D$6,TAB_Offres[[#This Row],[Reference]],""),"")</f>
        <v>DIGITTMII-019242-DIGITTMII-002819-EXT-05-6000053863-REQ-01</v>
      </c>
      <c r="N165" t="str">
        <f>_xlfn.IFNA(IF(VLOOKUP(TAB_Offres[[#This Row],[Reference]],TAB_Offres[[Reference]:[Has Expenses?]],COLUMNS(TAB_Offres[[Reference]:[Has Expenses?]]),FALSE)=J$2,TAB_Offres[[#This Row],[Reference]],""),"")</f>
        <v/>
      </c>
      <c r="O165" t="str">
        <f>IF(Tableau19[[#This Row],[EXPENSES_REF]]="","",MAX(O$1:O164)+1)</f>
        <v/>
      </c>
      <c r="P165" t="str">
        <f t="shared" si="10"/>
        <v/>
      </c>
      <c r="R165" s="227" t="s">
        <v>5724</v>
      </c>
      <c r="S165" s="230">
        <v>224.12</v>
      </c>
      <c r="T165" s="231">
        <v>239.81</v>
      </c>
      <c r="U165" s="231">
        <v>256.60000000000002</v>
      </c>
      <c r="V165" s="231">
        <v>274.56</v>
      </c>
      <c r="W165" s="231">
        <v>293.77999999999997</v>
      </c>
      <c r="X165" s="231">
        <v>314.33999999999997</v>
      </c>
      <c r="Y165" s="231">
        <v>336.34</v>
      </c>
      <c r="Z165" s="231">
        <v>359.88</v>
      </c>
      <c r="AA165" s="231">
        <v>385.07</v>
      </c>
      <c r="AB165" s="231">
        <v>412.02</v>
      </c>
      <c r="AC165" s="231">
        <v>440.86</v>
      </c>
      <c r="AD165" s="102"/>
      <c r="AI165" s="191" t="str">
        <f>IFERROR(_xlfn.SINGLE(
IF(_xlfn.SINGLE(INDEX(TAB_Offres[Ressource 1],ROWS(Params!AI$2:$AI165)))=0,NA(),
INDEX(TAB_Offres[Ressource 1],ROWS(Params!AI$2:$AI165)))),
IFERROR(_xlfn.SINGLE(IF(_xlfn.SINGLE(INDEX(#REF!,ROWS(Params!AI$2:$AI165)-COUNTA(TAB_Offres[Ressource 1])))=0,NA(),
INDEX(#REF!,ROWS(Params!AI$2:$AI165)-COUNTA(TAB_Offres[Ressource 1])))),
IFERROR(_xlfn.SINGLE(IF(_xlfn.SINGLE(INDEX(#REF!,ROWS(Params!AI$2:$AI165)-COUNTA(#REF!)-COUNTA(TAB_Offres[Ressource 1])))=0,NA(),
INDEX(#REF!,ROWS(Params!AI$2:$AI165)-COUNTA(#REF!)-COUNTA(TAB_Offres[Ressource 1])))),""))
)</f>
        <v>POCHON, Régis</v>
      </c>
      <c r="AJ165" s="192">
        <f>IF(TAB_ressource[[#This Row],[Import Ressource]]="","",MAX(AJ$1:AJ164)+1)</f>
        <v>164</v>
      </c>
      <c r="AK165" s="193" t="str">
        <f>IFERROR(INDEX(TAB_ressource[Import Ressource],MATCH(ROW()-ROW($AK$1),TAB_ressource[ID Import ressources],0)),"")</f>
        <v>POCHON, Régis</v>
      </c>
      <c r="AN165" s="26">
        <f t="shared" si="11"/>
        <v>0</v>
      </c>
      <c r="BD165" t="s">
        <v>1105</v>
      </c>
      <c r="BE165" t="s">
        <v>1106</v>
      </c>
      <c r="BF165" t="s">
        <v>1107</v>
      </c>
      <c r="BG165" t="s">
        <v>1105</v>
      </c>
    </row>
    <row r="166" spans="13:59" x14ac:dyDescent="0.25">
      <c r="M166" t="str">
        <f>_xlfn.IFNA(IF(VLOOKUP(TAB_Offres[[#This Row],[Reference]],TAB_Offres[[Reference]:[Request State]],COLUMNS(TAB_Offres[[Reference]:[Request State]]),FALSE)=D$6,TAB_Offres[[#This Row],[Reference]],""),"")</f>
        <v>DIGITTMII-019166-DIGITTMII-014553-EXT-01-6000053863-REQ-01</v>
      </c>
      <c r="N166" t="str">
        <f>_xlfn.IFNA(IF(VLOOKUP(TAB_Offres[[#This Row],[Reference]],TAB_Offres[[Reference]:[Has Expenses?]],COLUMNS(TAB_Offres[[Reference]:[Has Expenses?]]),FALSE)=J$2,TAB_Offres[[#This Row],[Reference]],""),"")</f>
        <v/>
      </c>
      <c r="O166" t="str">
        <f>IF(Tableau19[[#This Row],[EXPENSES_REF]]="","",MAX(O$1:O165)+1)</f>
        <v/>
      </c>
      <c r="P166" t="str">
        <f t="shared" si="10"/>
        <v/>
      </c>
      <c r="R166" s="227" t="s">
        <v>5725</v>
      </c>
      <c r="S166" s="230">
        <v>224.12</v>
      </c>
      <c r="T166" s="231">
        <v>239.81</v>
      </c>
      <c r="U166" s="231">
        <v>256.60000000000002</v>
      </c>
      <c r="V166" s="231">
        <v>274.56</v>
      </c>
      <c r="W166" s="231">
        <v>293.77999999999997</v>
      </c>
      <c r="X166" s="231">
        <v>314.33999999999997</v>
      </c>
      <c r="Y166" s="231">
        <v>336.34</v>
      </c>
      <c r="Z166" s="231">
        <v>359.88</v>
      </c>
      <c r="AA166" s="231">
        <v>385.07</v>
      </c>
      <c r="AB166" s="231">
        <v>412.02</v>
      </c>
      <c r="AC166" s="231">
        <v>440.86</v>
      </c>
      <c r="AD166" s="102"/>
      <c r="AI166" s="191" t="str">
        <f>IFERROR(_xlfn.SINGLE(
IF(_xlfn.SINGLE(INDEX(TAB_Offres[Ressource 1],ROWS(Params!AI$2:$AI166)))=0,NA(),
INDEX(TAB_Offres[Ressource 1],ROWS(Params!AI$2:$AI166)))),
IFERROR(_xlfn.SINGLE(IF(_xlfn.SINGLE(INDEX(#REF!,ROWS(Params!AI$2:$AI166)-COUNTA(TAB_Offres[Ressource 1])))=0,NA(),
INDEX(#REF!,ROWS(Params!AI$2:$AI166)-COUNTA(TAB_Offres[Ressource 1])))),
IFERROR(_xlfn.SINGLE(IF(_xlfn.SINGLE(INDEX(#REF!,ROWS(Params!AI$2:$AI166)-COUNTA(#REF!)-COUNTA(TAB_Offres[Ressource 1])))=0,NA(),
INDEX(#REF!,ROWS(Params!AI$2:$AI166)-COUNTA(#REF!)-COUNTA(TAB_Offres[Ressource 1])))),""))
)</f>
        <v>IACOBESCU, Radu</v>
      </c>
      <c r="AJ166" s="192">
        <f>IF(TAB_ressource[[#This Row],[Import Ressource]]="","",MAX(AJ$1:AJ165)+1)</f>
        <v>165</v>
      </c>
      <c r="AK166" s="193" t="str">
        <f>IFERROR(INDEX(TAB_ressource[Import Ressource],MATCH(ROW()-ROW($AK$1),TAB_ressource[ID Import ressources],0)),"")</f>
        <v>IACOBESCU, Radu</v>
      </c>
      <c r="AN166" s="26">
        <f t="shared" si="11"/>
        <v>0</v>
      </c>
      <c r="BD166" t="s">
        <v>1108</v>
      </c>
      <c r="BE166" t="s">
        <v>1109</v>
      </c>
      <c r="BF166" t="s">
        <v>1110</v>
      </c>
      <c r="BG166" t="s">
        <v>1108</v>
      </c>
    </row>
    <row r="167" spans="13:59" x14ac:dyDescent="0.25">
      <c r="M167" t="str">
        <f>_xlfn.IFNA(IF(VLOOKUP(TAB_Offres[[#This Row],[Reference]],TAB_Offres[[Reference]:[Request State]],COLUMNS(TAB_Offres[[Reference]:[Request State]]),FALSE)=D$6,TAB_Offres[[#This Row],[Reference]],""),"")</f>
        <v>DIGITTMII-019554-DIGITTMII-003344-EXT-04-6000053863-REQ-01</v>
      </c>
      <c r="N167" t="str">
        <f>_xlfn.IFNA(IF(VLOOKUP(TAB_Offres[[#This Row],[Reference]],TAB_Offres[[Reference]:[Has Expenses?]],COLUMNS(TAB_Offres[[Reference]:[Has Expenses?]]),FALSE)=J$2,TAB_Offres[[#This Row],[Reference]],""),"")</f>
        <v/>
      </c>
      <c r="O167" t="str">
        <f>IF(Tableau19[[#This Row],[EXPENSES_REF]]="","",MAX(O$1:O166)+1)</f>
        <v/>
      </c>
      <c r="P167" t="str">
        <f t="shared" si="10"/>
        <v/>
      </c>
      <c r="R167" s="227" t="s">
        <v>5726</v>
      </c>
      <c r="S167" s="230">
        <v>224.18</v>
      </c>
      <c r="T167" s="231">
        <v>239.87</v>
      </c>
      <c r="U167" s="231">
        <v>256.66000000000003</v>
      </c>
      <c r="V167" s="231">
        <v>274.63</v>
      </c>
      <c r="W167" s="231">
        <v>293.85000000000002</v>
      </c>
      <c r="X167" s="231">
        <v>314.42</v>
      </c>
      <c r="Y167" s="231">
        <v>336.43</v>
      </c>
      <c r="Z167" s="231">
        <v>359.98</v>
      </c>
      <c r="AA167" s="231">
        <v>385.18</v>
      </c>
      <c r="AB167" s="231">
        <v>412.14</v>
      </c>
      <c r="AC167" s="231">
        <v>440.99</v>
      </c>
      <c r="AD167" s="102"/>
      <c r="AI167" s="191" t="str">
        <f>IFERROR(_xlfn.SINGLE(
IF(_xlfn.SINGLE(INDEX(TAB_Offres[Ressource 1],ROWS(Params!AI$2:$AI167)))=0,NA(),
INDEX(TAB_Offres[Ressource 1],ROWS(Params!AI$2:$AI167)))),
IFERROR(_xlfn.SINGLE(IF(_xlfn.SINGLE(INDEX(#REF!,ROWS(Params!AI$2:$AI167)-COUNTA(TAB_Offres[Ressource 1])))=0,NA(),
INDEX(#REF!,ROWS(Params!AI$2:$AI167)-COUNTA(TAB_Offres[Ressource 1])))),
IFERROR(_xlfn.SINGLE(IF(_xlfn.SINGLE(INDEX(#REF!,ROWS(Params!AI$2:$AI167)-COUNTA(#REF!)-COUNTA(TAB_Offres[Ressource 1])))=0,NA(),
INDEX(#REF!,ROWS(Params!AI$2:$AI167)-COUNTA(#REF!)-COUNTA(TAB_Offres[Ressource 1])))),""))
)</f>
        <v>MEDAN, Andrei</v>
      </c>
      <c r="AJ167" s="192">
        <f>IF(TAB_ressource[[#This Row],[Import Ressource]]="","",MAX(AJ$1:AJ166)+1)</f>
        <v>166</v>
      </c>
      <c r="AK167" s="193" t="str">
        <f>IFERROR(INDEX(TAB_ressource[Import Ressource],MATCH(ROW()-ROW($AK$1),TAB_ressource[ID Import ressources],0)),"")</f>
        <v>MEDAN, Andrei</v>
      </c>
      <c r="AN167" s="26">
        <f t="shared" si="11"/>
        <v>0</v>
      </c>
      <c r="BD167" t="s">
        <v>1111</v>
      </c>
      <c r="BE167" t="s">
        <v>1112</v>
      </c>
      <c r="BF167" t="s">
        <v>1113</v>
      </c>
      <c r="BG167" t="s">
        <v>1111</v>
      </c>
    </row>
    <row r="168" spans="13:59" x14ac:dyDescent="0.25">
      <c r="M168" t="str">
        <f>_xlfn.IFNA(IF(VLOOKUP(TAB_Offres[[#This Row],[Reference]],TAB_Offres[[Reference]:[Request State]],COLUMNS(TAB_Offres[[Reference]:[Request State]]),FALSE)=D$6,TAB_Offres[[#This Row],[Reference]],""),"")</f>
        <v>DIGITTMII-019611-DIGITTMII-008641-EXT-02-6000053863-REQ-01</v>
      </c>
      <c r="N168" t="str">
        <f>_xlfn.IFNA(IF(VLOOKUP(TAB_Offres[[#This Row],[Reference]],TAB_Offres[[Reference]:[Has Expenses?]],COLUMNS(TAB_Offres[[Reference]:[Has Expenses?]]),FALSE)=J$2,TAB_Offres[[#This Row],[Reference]],""),"")</f>
        <v/>
      </c>
      <c r="O168" t="str">
        <f>IF(Tableau19[[#This Row],[EXPENSES_REF]]="","",MAX(O$1:O167)+1)</f>
        <v/>
      </c>
      <c r="P168" t="str">
        <f t="shared" si="10"/>
        <v/>
      </c>
      <c r="R168" s="227" t="s">
        <v>5727</v>
      </c>
      <c r="S168" s="230">
        <v>224.12</v>
      </c>
      <c r="T168" s="231">
        <v>239.81</v>
      </c>
      <c r="U168" s="231">
        <v>256.60000000000002</v>
      </c>
      <c r="V168" s="231">
        <v>274.56</v>
      </c>
      <c r="W168" s="231">
        <v>293.77999999999997</v>
      </c>
      <c r="X168" s="231">
        <v>314.33999999999997</v>
      </c>
      <c r="Y168" s="231">
        <v>336.34</v>
      </c>
      <c r="Z168" s="231">
        <v>359.88</v>
      </c>
      <c r="AA168" s="231">
        <v>385.07</v>
      </c>
      <c r="AB168" s="231">
        <v>412.02</v>
      </c>
      <c r="AC168" s="231">
        <v>440.86</v>
      </c>
      <c r="AD168" s="102"/>
      <c r="AI168" s="191" t="str">
        <f>IFERROR(_xlfn.SINGLE(
IF(_xlfn.SINGLE(INDEX(TAB_Offres[Ressource 1],ROWS(Params!AI$2:$AI168)))=0,NA(),
INDEX(TAB_Offres[Ressource 1],ROWS(Params!AI$2:$AI168)))),
IFERROR(_xlfn.SINGLE(IF(_xlfn.SINGLE(INDEX(#REF!,ROWS(Params!AI$2:$AI168)-COUNTA(TAB_Offres[Ressource 1])))=0,NA(),
INDEX(#REF!,ROWS(Params!AI$2:$AI168)-COUNTA(TAB_Offres[Ressource 1])))),
IFERROR(_xlfn.SINGLE(IF(_xlfn.SINGLE(INDEX(#REF!,ROWS(Params!AI$2:$AI168)-COUNTA(#REF!)-COUNTA(TAB_Offres[Ressource 1])))=0,NA(),
INDEX(#REF!,ROWS(Params!AI$2:$AI168)-COUNTA(#REF!)-COUNTA(TAB_Offres[Ressource 1])))),""))
)</f>
        <v>COLLING, Fabiano</v>
      </c>
      <c r="AJ168" s="192">
        <f>IF(TAB_ressource[[#This Row],[Import Ressource]]="","",MAX(AJ$1:AJ167)+1)</f>
        <v>167</v>
      </c>
      <c r="AK168" s="193" t="str">
        <f>IFERROR(INDEX(TAB_ressource[Import Ressource],MATCH(ROW()-ROW($AK$1),TAB_ressource[ID Import ressources],0)),"")</f>
        <v>COLLING, Fabiano</v>
      </c>
      <c r="AN168" s="26">
        <f t="shared" si="11"/>
        <v>0</v>
      </c>
      <c r="BD168" t="s">
        <v>1114</v>
      </c>
      <c r="BE168" t="s">
        <v>1115</v>
      </c>
      <c r="BF168" t="s">
        <v>1116</v>
      </c>
      <c r="BG168" t="s">
        <v>1114</v>
      </c>
    </row>
    <row r="169" spans="13:59" x14ac:dyDescent="0.25">
      <c r="M169" t="str">
        <f>_xlfn.IFNA(IF(VLOOKUP(TAB_Offres[[#This Row],[Reference]],TAB_Offres[[Reference]:[Request State]],COLUMNS(TAB_Offres[[Reference]:[Request State]]),FALSE)=D$6,TAB_Offres[[#This Row],[Reference]],""),"")</f>
        <v>DIGITTMII-019273-DIGITTMII-011235-EXT-01-6000053863-REQ-01</v>
      </c>
      <c r="N169" t="str">
        <f>_xlfn.IFNA(IF(VLOOKUP(TAB_Offres[[#This Row],[Reference]],TAB_Offres[[Reference]:[Has Expenses?]],COLUMNS(TAB_Offres[[Reference]:[Has Expenses?]]),FALSE)=J$2,TAB_Offres[[#This Row],[Reference]],""),"")</f>
        <v>DIGITTMII-019273-DIGITTMII-011235-EXT-01-6000053863-REQ-01</v>
      </c>
      <c r="O169">
        <f>IF(Tableau19[[#This Row],[EXPENSES_REF]]="","",MAX(O$1:O168)+1)</f>
        <v>26</v>
      </c>
      <c r="P169" t="str">
        <f t="shared" si="10"/>
        <v/>
      </c>
      <c r="R169" s="227" t="s">
        <v>5728</v>
      </c>
      <c r="S169" s="230">
        <v>224.12</v>
      </c>
      <c r="T169" s="231">
        <v>239.81</v>
      </c>
      <c r="U169" s="231">
        <v>256.60000000000002</v>
      </c>
      <c r="V169" s="231">
        <v>274.56</v>
      </c>
      <c r="W169" s="231">
        <v>293.77999999999997</v>
      </c>
      <c r="X169" s="231">
        <v>314.33999999999997</v>
      </c>
      <c r="Y169" s="231">
        <v>336.34</v>
      </c>
      <c r="Z169" s="231">
        <v>359.88</v>
      </c>
      <c r="AA169" s="231">
        <v>385.07</v>
      </c>
      <c r="AB169" s="231">
        <v>412.02</v>
      </c>
      <c r="AC169" s="231">
        <v>440.86</v>
      </c>
      <c r="AD169" s="102"/>
      <c r="AI169" s="191" t="str">
        <f>IFERROR(_xlfn.SINGLE(
IF(_xlfn.SINGLE(INDEX(TAB_Offres[Ressource 1],ROWS(Params!AI$2:$AI169)))=0,NA(),
INDEX(TAB_Offres[Ressource 1],ROWS(Params!AI$2:$AI169)))),
IFERROR(_xlfn.SINGLE(IF(_xlfn.SINGLE(INDEX(#REF!,ROWS(Params!AI$2:$AI169)-COUNTA(TAB_Offres[Ressource 1])))=0,NA(),
INDEX(#REF!,ROWS(Params!AI$2:$AI169)-COUNTA(TAB_Offres[Ressource 1])))),
IFERROR(_xlfn.SINGLE(IF(_xlfn.SINGLE(INDEX(#REF!,ROWS(Params!AI$2:$AI169)-COUNTA(#REF!)-COUNTA(TAB_Offres[Ressource 1])))=0,NA(),
INDEX(#REF!,ROWS(Params!AI$2:$AI169)-COUNTA(#REF!)-COUNTA(TAB_Offres[Ressource 1])))),""))
)</f>
        <v>VISICH, Valeryy</v>
      </c>
      <c r="AJ169" s="192">
        <f>IF(TAB_ressource[[#This Row],[Import Ressource]]="","",MAX(AJ$1:AJ168)+1)</f>
        <v>168</v>
      </c>
      <c r="AK169" s="193" t="str">
        <f>IFERROR(INDEX(TAB_ressource[Import Ressource],MATCH(ROW()-ROW($AK$1),TAB_ressource[ID Import ressources],0)),"")</f>
        <v>VISICH, Valeryy</v>
      </c>
      <c r="AN169" s="26">
        <f t="shared" si="11"/>
        <v>0</v>
      </c>
      <c r="BD169" t="s">
        <v>1117</v>
      </c>
      <c r="BE169" t="s">
        <v>1118</v>
      </c>
      <c r="BF169" t="s">
        <v>1119</v>
      </c>
      <c r="BG169" t="s">
        <v>1117</v>
      </c>
    </row>
    <row r="170" spans="13:59" x14ac:dyDescent="0.25">
      <c r="M170" t="str">
        <f>_xlfn.IFNA(IF(VLOOKUP(TAB_Offres[[#This Row],[Reference]],TAB_Offres[[Reference]:[Request State]],COLUMNS(TAB_Offres[[Reference]:[Request State]]),FALSE)=D$6,TAB_Offres[[#This Row],[Reference]],""),"")</f>
        <v>DIGITTMII-019555-DIGITTMII-001940-EXT-03-6000053863-REQ-01</v>
      </c>
      <c r="N170" t="str">
        <f>_xlfn.IFNA(IF(VLOOKUP(TAB_Offres[[#This Row],[Reference]],TAB_Offres[[Reference]:[Has Expenses?]],COLUMNS(TAB_Offres[[Reference]:[Has Expenses?]]),FALSE)=J$2,TAB_Offres[[#This Row],[Reference]],""),"")</f>
        <v/>
      </c>
      <c r="O170" t="str">
        <f>IF(Tableau19[[#This Row],[EXPENSES_REF]]="","",MAX(O$1:O169)+1)</f>
        <v/>
      </c>
      <c r="P170" t="str">
        <f t="shared" si="10"/>
        <v/>
      </c>
      <c r="R170" s="227" t="s">
        <v>5729</v>
      </c>
      <c r="S170" s="230">
        <v>224.12</v>
      </c>
      <c r="T170" s="231">
        <v>239.81</v>
      </c>
      <c r="U170" s="231">
        <v>256.60000000000002</v>
      </c>
      <c r="V170" s="231">
        <v>274.56</v>
      </c>
      <c r="W170" s="231">
        <v>293.77999999999997</v>
      </c>
      <c r="X170" s="231">
        <v>314.33999999999997</v>
      </c>
      <c r="Y170" s="231">
        <v>336.34</v>
      </c>
      <c r="Z170" s="231">
        <v>359.88</v>
      </c>
      <c r="AA170" s="231">
        <v>385.07</v>
      </c>
      <c r="AB170" s="231">
        <v>412.02</v>
      </c>
      <c r="AC170" s="231">
        <v>440.86</v>
      </c>
      <c r="AD170" s="102"/>
      <c r="AI170" s="191" t="str">
        <f>IFERROR(_xlfn.SINGLE(
IF(_xlfn.SINGLE(INDEX(TAB_Offres[Ressource 1],ROWS(Params!AI$2:$AI170)))=0,NA(),
INDEX(TAB_Offres[Ressource 1],ROWS(Params!AI$2:$AI170)))),
IFERROR(_xlfn.SINGLE(IF(_xlfn.SINGLE(INDEX(#REF!,ROWS(Params!AI$2:$AI170)-COUNTA(TAB_Offres[Ressource 1])))=0,NA(),
INDEX(#REF!,ROWS(Params!AI$2:$AI170)-COUNTA(TAB_Offres[Ressource 1])))),
IFERROR(_xlfn.SINGLE(IF(_xlfn.SINGLE(INDEX(#REF!,ROWS(Params!AI$2:$AI170)-COUNTA(#REF!)-COUNTA(TAB_Offres[Ressource 1])))=0,NA(),
INDEX(#REF!,ROWS(Params!AI$2:$AI170)-COUNTA(#REF!)-COUNTA(TAB_Offres[Ressource 1])))),""))
)</f>
        <v>COOKE, Justin</v>
      </c>
      <c r="AJ170" s="192">
        <f>IF(TAB_ressource[[#This Row],[Import Ressource]]="","",MAX(AJ$1:AJ169)+1)</f>
        <v>169</v>
      </c>
      <c r="AK170" s="193" t="str">
        <f>IFERROR(INDEX(TAB_ressource[Import Ressource],MATCH(ROW()-ROW($AK$1),TAB_ressource[ID Import ressources],0)),"")</f>
        <v>COOKE, Justin</v>
      </c>
      <c r="AN170" s="26">
        <f t="shared" si="11"/>
        <v>0</v>
      </c>
      <c r="BD170" t="s">
        <v>1120</v>
      </c>
      <c r="BE170" t="s">
        <v>1121</v>
      </c>
      <c r="BF170" t="s">
        <v>1122</v>
      </c>
      <c r="BG170" t="s">
        <v>1120</v>
      </c>
    </row>
    <row r="171" spans="13:59" x14ac:dyDescent="0.25">
      <c r="M171" t="str">
        <f>_xlfn.IFNA(IF(VLOOKUP(TAB_Offres[[#This Row],[Reference]],TAB_Offres[[Reference]:[Request State]],COLUMNS(TAB_Offres[[Reference]:[Request State]]),FALSE)=D$6,TAB_Offres[[#This Row],[Reference]],""),"")</f>
        <v>DIGITTMII-019657-DIGITTMII-002150-EXT-03-6000053863-REQ-01</v>
      </c>
      <c r="N171" t="str">
        <f>_xlfn.IFNA(IF(VLOOKUP(TAB_Offres[[#This Row],[Reference]],TAB_Offres[[Reference]:[Has Expenses?]],COLUMNS(TAB_Offres[[Reference]:[Has Expenses?]]),FALSE)=J$2,TAB_Offres[[#This Row],[Reference]],""),"")</f>
        <v/>
      </c>
      <c r="O171" t="str">
        <f>IF(Tableau19[[#This Row],[EXPENSES_REF]]="","",MAX(O$1:O170)+1)</f>
        <v/>
      </c>
      <c r="P171" t="str">
        <f t="shared" si="10"/>
        <v/>
      </c>
      <c r="R171" s="227" t="s">
        <v>5730</v>
      </c>
      <c r="S171" s="230">
        <v>224.12</v>
      </c>
      <c r="T171" s="231">
        <v>239.81</v>
      </c>
      <c r="U171" s="231">
        <v>256.60000000000002</v>
      </c>
      <c r="V171" s="231">
        <v>274.56</v>
      </c>
      <c r="W171" s="231">
        <v>293.77999999999997</v>
      </c>
      <c r="X171" s="231">
        <v>314.33999999999997</v>
      </c>
      <c r="Y171" s="231">
        <v>336.34</v>
      </c>
      <c r="Z171" s="231">
        <v>359.88</v>
      </c>
      <c r="AA171" s="231">
        <v>385.07</v>
      </c>
      <c r="AB171" s="231">
        <v>412.02</v>
      </c>
      <c r="AC171" s="231">
        <v>440.86</v>
      </c>
      <c r="AD171" s="102"/>
      <c r="AI171" s="191" t="str">
        <f>IFERROR(_xlfn.SINGLE(
IF(_xlfn.SINGLE(INDEX(TAB_Offres[Ressource 1],ROWS(Params!AI$2:$AI171)))=0,NA(),
INDEX(TAB_Offres[Ressource 1],ROWS(Params!AI$2:$AI171)))),
IFERROR(_xlfn.SINGLE(IF(_xlfn.SINGLE(INDEX(#REF!,ROWS(Params!AI$2:$AI171)-COUNTA(TAB_Offres[Ressource 1])))=0,NA(),
INDEX(#REF!,ROWS(Params!AI$2:$AI171)-COUNTA(TAB_Offres[Ressource 1])))),
IFERROR(_xlfn.SINGLE(IF(_xlfn.SINGLE(INDEX(#REF!,ROWS(Params!AI$2:$AI171)-COUNTA(#REF!)-COUNTA(TAB_Offres[Ressource 1])))=0,NA(),
INDEX(#REF!,ROWS(Params!AI$2:$AI171)-COUNTA(#REF!)-COUNTA(TAB_Offres[Ressource 1])))),""))
)</f>
        <v>MUNTEANU Gabriela Alina</v>
      </c>
      <c r="AJ171" s="192">
        <f>IF(TAB_ressource[[#This Row],[Import Ressource]]="","",MAX(AJ$1:AJ170)+1)</f>
        <v>170</v>
      </c>
      <c r="AK171" s="193" t="str">
        <f>IFERROR(INDEX(TAB_ressource[Import Ressource],MATCH(ROW()-ROW($AK$1),TAB_ressource[ID Import ressources],0)),"")</f>
        <v>MUNTEANU Gabriela Alina</v>
      </c>
      <c r="AN171" s="26">
        <f t="shared" si="11"/>
        <v>0</v>
      </c>
      <c r="BD171" t="s">
        <v>1123</v>
      </c>
      <c r="BE171" t="s">
        <v>1124</v>
      </c>
      <c r="BF171" t="s">
        <v>1125</v>
      </c>
      <c r="BG171" t="s">
        <v>1123</v>
      </c>
    </row>
    <row r="172" spans="13:59" x14ac:dyDescent="0.25">
      <c r="M172" t="str">
        <f>_xlfn.IFNA(IF(VLOOKUP(TAB_Offres[[#This Row],[Reference]],TAB_Offres[[Reference]:[Request State]],COLUMNS(TAB_Offres[[Reference]:[Request State]]),FALSE)=D$6,TAB_Offres[[#This Row],[Reference]],""),"")</f>
        <v/>
      </c>
      <c r="N172" t="str">
        <f>_xlfn.IFNA(IF(VLOOKUP(TAB_Offres[[#This Row],[Reference]],TAB_Offres[[Reference]:[Has Expenses?]],COLUMNS(TAB_Offres[[Reference]:[Has Expenses?]]),FALSE)=J$2,TAB_Offres[[#This Row],[Reference]],""),"")</f>
        <v/>
      </c>
      <c r="O172" t="str">
        <f>IF(Tableau19[[#This Row],[EXPENSES_REF]]="","",MAX(O$1:O171)+1)</f>
        <v/>
      </c>
      <c r="P172" t="str">
        <f t="shared" si="10"/>
        <v/>
      </c>
      <c r="R172" s="227" t="s">
        <v>5731</v>
      </c>
      <c r="S172" s="230">
        <v>224.12</v>
      </c>
      <c r="T172" s="231">
        <v>239.81</v>
      </c>
      <c r="U172" s="231">
        <v>256.60000000000002</v>
      </c>
      <c r="V172" s="231">
        <v>274.56</v>
      </c>
      <c r="W172" s="231">
        <v>293.77999999999997</v>
      </c>
      <c r="X172" s="231">
        <v>314.33999999999997</v>
      </c>
      <c r="Y172" s="231">
        <v>336.34</v>
      </c>
      <c r="Z172" s="231">
        <v>359.88</v>
      </c>
      <c r="AA172" s="231">
        <v>385.07</v>
      </c>
      <c r="AB172" s="231">
        <v>412.02</v>
      </c>
      <c r="AC172" s="231">
        <v>440.86</v>
      </c>
      <c r="AD172" s="102"/>
      <c r="AI172" s="191" t="str">
        <f>IFERROR(_xlfn.SINGLE(
IF(_xlfn.SINGLE(INDEX(TAB_Offres[Ressource 1],ROWS(Params!AI$2:$AI172)))=0,NA(),
INDEX(TAB_Offres[Ressource 1],ROWS(Params!AI$2:$AI172)))),
IFERROR(_xlfn.SINGLE(IF(_xlfn.SINGLE(INDEX(#REF!,ROWS(Params!AI$2:$AI172)-COUNTA(TAB_Offres[Ressource 1])))=0,NA(),
INDEX(#REF!,ROWS(Params!AI$2:$AI172)-COUNTA(TAB_Offres[Ressource 1])))),
IFERROR(_xlfn.SINGLE(IF(_xlfn.SINGLE(INDEX(#REF!,ROWS(Params!AI$2:$AI172)-COUNTA(#REF!)-COUNTA(TAB_Offres[Ressource 1])))=0,NA(),
INDEX(#REF!,ROWS(Params!AI$2:$AI172)-COUNTA(#REF!)-COUNTA(TAB_Offres[Ressource 1])))),""))
)</f>
        <v/>
      </c>
      <c r="AJ172" s="192" t="str">
        <f>IF(TAB_ressource[[#This Row],[Import Ressource]]="","",MAX(AJ$1:AJ171)+1)</f>
        <v/>
      </c>
      <c r="AK172" s="193" t="str">
        <f>IFERROR(INDEX(TAB_ressource[Import Ressource],MATCH(ROW()-ROW($AK$1),TAB_ressource[ID Import ressources],0)),"")</f>
        <v/>
      </c>
      <c r="AN172" s="26">
        <f t="shared" si="11"/>
        <v>0</v>
      </c>
      <c r="BD172" t="s">
        <v>1126</v>
      </c>
      <c r="BE172" t="s">
        <v>1127</v>
      </c>
      <c r="BF172" t="s">
        <v>1128</v>
      </c>
      <c r="BG172" t="s">
        <v>1126</v>
      </c>
    </row>
    <row r="173" spans="13:59" x14ac:dyDescent="0.25">
      <c r="M173" t="str">
        <f>_xlfn.IFNA(IF(VLOOKUP(TAB_Offres[[#This Row],[Reference]],TAB_Offres[[Reference]:[Request State]],COLUMNS(TAB_Offres[[Reference]:[Request State]]),FALSE)=D$6,TAB_Offres[[#This Row],[Reference]],""),"")</f>
        <v/>
      </c>
      <c r="N173" t="str">
        <f>_xlfn.IFNA(IF(VLOOKUP(TAB_Offres[[#This Row],[Reference]],TAB_Offres[[Reference]:[Has Expenses?]],COLUMNS(TAB_Offres[[Reference]:[Has Expenses?]]),FALSE)=J$2,TAB_Offres[[#This Row],[Reference]],""),"")</f>
        <v/>
      </c>
      <c r="O173" t="str">
        <f>IF(Tableau19[[#This Row],[EXPENSES_REF]]="","",MAX(O$1:O172)+1)</f>
        <v/>
      </c>
      <c r="P173" t="str">
        <f t="shared" si="10"/>
        <v/>
      </c>
      <c r="R173" s="227" t="s">
        <v>5732</v>
      </c>
      <c r="S173" s="230">
        <v>287.33</v>
      </c>
      <c r="T173" s="231">
        <v>307.44</v>
      </c>
      <c r="U173" s="231">
        <v>328.96</v>
      </c>
      <c r="V173" s="231">
        <v>351.99</v>
      </c>
      <c r="W173" s="231">
        <v>376.63</v>
      </c>
      <c r="X173" s="231">
        <v>402.99</v>
      </c>
      <c r="Y173" s="231">
        <v>431.2</v>
      </c>
      <c r="Z173" s="231">
        <v>461.38</v>
      </c>
      <c r="AA173" s="231">
        <v>493.68</v>
      </c>
      <c r="AB173" s="231">
        <v>528.24</v>
      </c>
      <c r="AC173" s="231">
        <v>565.22</v>
      </c>
      <c r="AD173" s="102"/>
      <c r="AI173" s="191" t="str">
        <f>IFERROR(_xlfn.SINGLE(
IF(_xlfn.SINGLE(INDEX(TAB_Offres[Ressource 1],ROWS(Params!AI$2:$AI173)))=0,NA(),
INDEX(TAB_Offres[Ressource 1],ROWS(Params!AI$2:$AI173)))),
IFERROR(_xlfn.SINGLE(IF(_xlfn.SINGLE(INDEX(#REF!,ROWS(Params!AI$2:$AI173)-COUNTA(TAB_Offres[Ressource 1])))=0,NA(),
INDEX(#REF!,ROWS(Params!AI$2:$AI173)-COUNTA(TAB_Offres[Ressource 1])))),
IFERROR(_xlfn.SINGLE(IF(_xlfn.SINGLE(INDEX(#REF!,ROWS(Params!AI$2:$AI173)-COUNTA(#REF!)-COUNTA(TAB_Offres[Ressource 1])))=0,NA(),
INDEX(#REF!,ROWS(Params!AI$2:$AI173)-COUNTA(#REF!)-COUNTA(TAB_Offres[Ressource 1])))),""))
)</f>
        <v/>
      </c>
      <c r="AJ173" s="192" t="str">
        <f>IF(TAB_ressource[[#This Row],[Import Ressource]]="","",MAX(AJ$1:AJ172)+1)</f>
        <v/>
      </c>
      <c r="AK173" s="193" t="str">
        <f>IFERROR(INDEX(TAB_ressource[Import Ressource],MATCH(ROW()-ROW($AK$1),TAB_ressource[ID Import ressources],0)),"")</f>
        <v/>
      </c>
      <c r="AN173" s="26">
        <f t="shared" si="11"/>
        <v>0</v>
      </c>
      <c r="BD173" t="s">
        <v>1129</v>
      </c>
      <c r="BE173" t="s">
        <v>1130</v>
      </c>
      <c r="BF173" t="s">
        <v>1131</v>
      </c>
      <c r="BG173" t="s">
        <v>1129</v>
      </c>
    </row>
    <row r="174" spans="13:59" x14ac:dyDescent="0.25">
      <c r="M174" t="str">
        <f>_xlfn.IFNA(IF(VLOOKUP(TAB_Offres[[#This Row],[Reference]],TAB_Offres[[Reference]:[Request State]],COLUMNS(TAB_Offres[[Reference]:[Request State]]),FALSE)=D$6,TAB_Offres[[#This Row],[Reference]],""),"")</f>
        <v/>
      </c>
      <c r="N174" t="str">
        <f>_xlfn.IFNA(IF(VLOOKUP(TAB_Offres[[#This Row],[Reference]],TAB_Offres[[Reference]:[Has Expenses?]],COLUMNS(TAB_Offres[[Reference]:[Has Expenses?]]),FALSE)=J$2,TAB_Offres[[#This Row],[Reference]],""),"")</f>
        <v/>
      </c>
      <c r="O174" t="str">
        <f>IF(Tableau19[[#This Row],[EXPENSES_REF]]="","",MAX(O$1:O173)+1)</f>
        <v/>
      </c>
      <c r="P174" t="str">
        <f t="shared" si="10"/>
        <v/>
      </c>
      <c r="R174" s="227" t="s">
        <v>5733</v>
      </c>
      <c r="S174" s="230">
        <v>224.12</v>
      </c>
      <c r="T174" s="231">
        <v>239.81</v>
      </c>
      <c r="U174" s="231">
        <v>256.60000000000002</v>
      </c>
      <c r="V174" s="231">
        <v>274.56</v>
      </c>
      <c r="W174" s="231">
        <v>293.77999999999997</v>
      </c>
      <c r="X174" s="231">
        <v>314.33999999999997</v>
      </c>
      <c r="Y174" s="231">
        <v>336.34</v>
      </c>
      <c r="Z174" s="231">
        <v>359.88</v>
      </c>
      <c r="AA174" s="231">
        <v>385.07</v>
      </c>
      <c r="AB174" s="231">
        <v>412.02</v>
      </c>
      <c r="AC174" s="231">
        <v>440.86</v>
      </c>
      <c r="AD174" s="102"/>
      <c r="AI174" s="191" t="str">
        <f>IFERROR(_xlfn.SINGLE(
IF(_xlfn.SINGLE(INDEX(TAB_Offres[Ressource 1],ROWS(Params!AI$2:$AI174)))=0,NA(),
INDEX(TAB_Offres[Ressource 1],ROWS(Params!AI$2:$AI174)))),
IFERROR(_xlfn.SINGLE(IF(_xlfn.SINGLE(INDEX(#REF!,ROWS(Params!AI$2:$AI174)-COUNTA(TAB_Offres[Ressource 1])))=0,NA(),
INDEX(#REF!,ROWS(Params!AI$2:$AI174)-COUNTA(TAB_Offres[Ressource 1])))),
IFERROR(_xlfn.SINGLE(IF(_xlfn.SINGLE(INDEX(#REF!,ROWS(Params!AI$2:$AI174)-COUNTA(#REF!)-COUNTA(TAB_Offres[Ressource 1])))=0,NA(),
INDEX(#REF!,ROWS(Params!AI$2:$AI174)-COUNTA(#REF!)-COUNTA(TAB_Offres[Ressource 1])))),""))
)</f>
        <v/>
      </c>
      <c r="AJ174" s="192" t="str">
        <f>IF(TAB_ressource[[#This Row],[Import Ressource]]="","",MAX(AJ$1:AJ173)+1)</f>
        <v/>
      </c>
      <c r="AK174" s="193" t="str">
        <f>IFERROR(INDEX(TAB_ressource[Import Ressource],MATCH(ROW()-ROW($AK$1),TAB_ressource[ID Import ressources],0)),"")</f>
        <v/>
      </c>
      <c r="AN174" s="26">
        <f t="shared" si="11"/>
        <v>0</v>
      </c>
      <c r="BD174" t="s">
        <v>1132</v>
      </c>
      <c r="BE174" t="s">
        <v>1133</v>
      </c>
      <c r="BF174" t="s">
        <v>1134</v>
      </c>
      <c r="BG174" t="s">
        <v>1132</v>
      </c>
    </row>
    <row r="175" spans="13:59" x14ac:dyDescent="0.25">
      <c r="M175" t="str">
        <f>_xlfn.IFNA(IF(VLOOKUP(TAB_Offres[[#This Row],[Reference]],TAB_Offres[[Reference]:[Request State]],COLUMNS(TAB_Offres[[Reference]:[Request State]]),FALSE)=D$6,TAB_Offres[[#This Row],[Reference]],""),"")</f>
        <v/>
      </c>
      <c r="N175" t="str">
        <f>_xlfn.IFNA(IF(VLOOKUP(TAB_Offres[[#This Row],[Reference]],TAB_Offres[[Reference]:[Has Expenses?]],COLUMNS(TAB_Offres[[Reference]:[Has Expenses?]]),FALSE)=J$2,TAB_Offres[[#This Row],[Reference]],""),"")</f>
        <v/>
      </c>
      <c r="O175" t="str">
        <f>IF(Tableau19[[#This Row],[EXPENSES_REF]]="","",MAX(O$1:O174)+1)</f>
        <v/>
      </c>
      <c r="P175" t="str">
        <f t="shared" si="10"/>
        <v/>
      </c>
      <c r="R175" s="227" t="s">
        <v>5734</v>
      </c>
      <c r="S175" s="230">
        <v>224.18</v>
      </c>
      <c r="T175" s="231">
        <v>239.87</v>
      </c>
      <c r="U175" s="231">
        <v>256.66000000000003</v>
      </c>
      <c r="V175" s="231">
        <v>274.63</v>
      </c>
      <c r="W175" s="231">
        <v>293.85000000000002</v>
      </c>
      <c r="X175" s="231">
        <v>314.42</v>
      </c>
      <c r="Y175" s="231">
        <v>336.43</v>
      </c>
      <c r="Z175" s="231">
        <v>359.98</v>
      </c>
      <c r="AA175" s="231">
        <v>385.18</v>
      </c>
      <c r="AB175" s="231">
        <v>412.14</v>
      </c>
      <c r="AC175" s="231">
        <v>440.99</v>
      </c>
      <c r="AD175" s="102"/>
      <c r="AI175" s="191" t="str">
        <f>IFERROR(_xlfn.SINGLE(
IF(_xlfn.SINGLE(INDEX(TAB_Offres[Ressource 1],ROWS(Params!AI$2:$AI175)))=0,NA(),
INDEX(TAB_Offres[Ressource 1],ROWS(Params!AI$2:$AI175)))),
IFERROR(_xlfn.SINGLE(IF(_xlfn.SINGLE(INDEX(#REF!,ROWS(Params!AI$2:$AI175)-COUNTA(TAB_Offres[Ressource 1])))=0,NA(),
INDEX(#REF!,ROWS(Params!AI$2:$AI175)-COUNTA(TAB_Offres[Ressource 1])))),
IFERROR(_xlfn.SINGLE(IF(_xlfn.SINGLE(INDEX(#REF!,ROWS(Params!AI$2:$AI175)-COUNTA(#REF!)-COUNTA(TAB_Offres[Ressource 1])))=0,NA(),
INDEX(#REF!,ROWS(Params!AI$2:$AI175)-COUNTA(#REF!)-COUNTA(TAB_Offres[Ressource 1])))),""))
)</f>
        <v/>
      </c>
      <c r="AJ175" s="192" t="str">
        <f>IF(TAB_ressource[[#This Row],[Import Ressource]]="","",MAX(AJ$1:AJ174)+1)</f>
        <v/>
      </c>
      <c r="AK175" s="193" t="str">
        <f>IFERROR(INDEX(TAB_ressource[Import Ressource],MATCH(ROW()-ROW($AK$1),TAB_ressource[ID Import ressources],0)),"")</f>
        <v/>
      </c>
      <c r="AN175" s="26">
        <f t="shared" si="11"/>
        <v>0</v>
      </c>
      <c r="BD175" t="s">
        <v>1135</v>
      </c>
      <c r="BE175" t="s">
        <v>1136</v>
      </c>
      <c r="BF175" t="s">
        <v>1137</v>
      </c>
      <c r="BG175" t="s">
        <v>1135</v>
      </c>
    </row>
    <row r="176" spans="13:59" x14ac:dyDescent="0.25">
      <c r="M176" t="str">
        <f>_xlfn.IFNA(IF(VLOOKUP(TAB_Offres[[#This Row],[Reference]],TAB_Offres[[Reference]:[Request State]],COLUMNS(TAB_Offres[[Reference]:[Request State]]),FALSE)=D$6,TAB_Offres[[#This Row],[Reference]],""),"")</f>
        <v/>
      </c>
      <c r="N176" t="str">
        <f>_xlfn.IFNA(IF(VLOOKUP(TAB_Offres[[#This Row],[Reference]],TAB_Offres[[Reference]:[Has Expenses?]],COLUMNS(TAB_Offres[[Reference]:[Has Expenses?]]),FALSE)=J$2,TAB_Offres[[#This Row],[Reference]],""),"")</f>
        <v/>
      </c>
      <c r="O176" t="str">
        <f>IF(Tableau19[[#This Row],[EXPENSES_REF]]="","",MAX(O$1:O175)+1)</f>
        <v/>
      </c>
      <c r="P176" t="str">
        <f t="shared" si="10"/>
        <v/>
      </c>
      <c r="R176" s="227" t="s">
        <v>5735</v>
      </c>
      <c r="S176" s="230">
        <v>224.18</v>
      </c>
      <c r="T176" s="231">
        <v>239.87</v>
      </c>
      <c r="U176" s="231">
        <v>256.66000000000003</v>
      </c>
      <c r="V176" s="231">
        <v>274.63</v>
      </c>
      <c r="W176" s="231">
        <v>293.85000000000002</v>
      </c>
      <c r="X176" s="231">
        <v>314.42</v>
      </c>
      <c r="Y176" s="231">
        <v>336.43</v>
      </c>
      <c r="Z176" s="231">
        <v>359.98</v>
      </c>
      <c r="AA176" s="231">
        <v>385.18</v>
      </c>
      <c r="AB176" s="231">
        <v>412.14</v>
      </c>
      <c r="AC176" s="231">
        <v>440.99</v>
      </c>
      <c r="AD176" s="102"/>
      <c r="AI176" s="191" t="str">
        <f>IFERROR(_xlfn.SINGLE(
IF(_xlfn.SINGLE(INDEX(TAB_Offres[Ressource 1],ROWS(Params!AI$2:$AI176)))=0,NA(),
INDEX(TAB_Offres[Ressource 1],ROWS(Params!AI$2:$AI176)))),
IFERROR(_xlfn.SINGLE(IF(_xlfn.SINGLE(INDEX(#REF!,ROWS(Params!AI$2:$AI176)-COUNTA(TAB_Offres[Ressource 1])))=0,NA(),
INDEX(#REF!,ROWS(Params!AI$2:$AI176)-COUNTA(TAB_Offres[Ressource 1])))),
IFERROR(_xlfn.SINGLE(IF(_xlfn.SINGLE(INDEX(#REF!,ROWS(Params!AI$2:$AI176)-COUNTA(#REF!)-COUNTA(TAB_Offres[Ressource 1])))=0,NA(),
INDEX(#REF!,ROWS(Params!AI$2:$AI176)-COUNTA(#REF!)-COUNTA(TAB_Offres[Ressource 1])))),""))
)</f>
        <v/>
      </c>
      <c r="AJ176" s="192" t="str">
        <f>IF(TAB_ressource[[#This Row],[Import Ressource]]="","",MAX(AJ$1:AJ175)+1)</f>
        <v/>
      </c>
      <c r="AK176" s="193" t="str">
        <f>IFERROR(INDEX(TAB_ressource[Import Ressource],MATCH(ROW()-ROW($AK$1),TAB_ressource[ID Import ressources],0)),"")</f>
        <v/>
      </c>
      <c r="AN176" s="26">
        <f t="shared" si="11"/>
        <v>0</v>
      </c>
      <c r="BD176" t="s">
        <v>1138</v>
      </c>
      <c r="BE176" t="s">
        <v>1139</v>
      </c>
      <c r="BF176" t="s">
        <v>1140</v>
      </c>
      <c r="BG176" t="s">
        <v>1138</v>
      </c>
    </row>
    <row r="177" spans="13:59" ht="26.4" x14ac:dyDescent="0.25">
      <c r="M177" t="str">
        <f>_xlfn.IFNA(IF(VLOOKUP(TAB_Offres[[#This Row],[Reference]],TAB_Offres[[Reference]:[Request State]],COLUMNS(TAB_Offres[[Reference]:[Request State]]),FALSE)=D$6,TAB_Offres[[#This Row],[Reference]],""),"")</f>
        <v/>
      </c>
      <c r="N177" t="str">
        <f>_xlfn.IFNA(IF(VLOOKUP(TAB_Offres[[#This Row],[Reference]],TAB_Offres[[Reference]:[Has Expenses?]],COLUMNS(TAB_Offres[[Reference]:[Has Expenses?]]),FALSE)=J$2,TAB_Offres[[#This Row],[Reference]],""),"")</f>
        <v/>
      </c>
      <c r="O177" t="str">
        <f>IF(Tableau19[[#This Row],[EXPENSES_REF]]="","",MAX(O$1:O176)+1)</f>
        <v/>
      </c>
      <c r="P177" t="str">
        <f t="shared" si="10"/>
        <v/>
      </c>
      <c r="R177" s="229" t="s">
        <v>5420</v>
      </c>
      <c r="S177" s="230"/>
      <c r="T177" s="231"/>
      <c r="U177" s="231"/>
      <c r="V177" s="231"/>
      <c r="W177" s="231"/>
      <c r="X177" s="231"/>
      <c r="Y177" s="231"/>
      <c r="Z177" s="231"/>
      <c r="AA177" s="231"/>
      <c r="AB177" s="231"/>
      <c r="AC177" s="231"/>
      <c r="AD177" s="102"/>
      <c r="AI177" s="191" t="str">
        <f>IFERROR(_xlfn.SINGLE(
IF(_xlfn.SINGLE(INDEX(TAB_Offres[Ressource 1],ROWS(Params!AI$2:$AI177)))=0,NA(),
INDEX(TAB_Offres[Ressource 1],ROWS(Params!AI$2:$AI177)))),
IFERROR(_xlfn.SINGLE(IF(_xlfn.SINGLE(INDEX(#REF!,ROWS(Params!AI$2:$AI177)-COUNTA(TAB_Offres[Ressource 1])))=0,NA(),
INDEX(#REF!,ROWS(Params!AI$2:$AI177)-COUNTA(TAB_Offres[Ressource 1])))),
IFERROR(_xlfn.SINGLE(IF(_xlfn.SINGLE(INDEX(#REF!,ROWS(Params!AI$2:$AI177)-COUNTA(#REF!)-COUNTA(TAB_Offres[Ressource 1])))=0,NA(),
INDEX(#REF!,ROWS(Params!AI$2:$AI177)-COUNTA(#REF!)-COUNTA(TAB_Offres[Ressource 1])))),""))
)</f>
        <v/>
      </c>
      <c r="AJ177" s="192" t="str">
        <f>IF(TAB_ressource[[#This Row],[Import Ressource]]="","",MAX(AJ$1:AJ176)+1)</f>
        <v/>
      </c>
      <c r="AK177" s="193" t="str">
        <f>IFERROR(INDEX(TAB_ressource[Import Ressource],MATCH(ROW()-ROW($AK$1),TAB_ressource[ID Import ressources],0)),"")</f>
        <v/>
      </c>
      <c r="AN177" s="26">
        <f t="shared" si="11"/>
        <v>0</v>
      </c>
      <c r="BD177" t="s">
        <v>1141</v>
      </c>
      <c r="BE177" t="s">
        <v>1142</v>
      </c>
      <c r="BF177" t="s">
        <v>1143</v>
      </c>
      <c r="BG177" t="s">
        <v>1141</v>
      </c>
    </row>
    <row r="178" spans="13:59" x14ac:dyDescent="0.25">
      <c r="M178" t="str">
        <f>_xlfn.IFNA(IF(VLOOKUP(TAB_Offres[[#This Row],[Reference]],TAB_Offres[[Reference]:[Request State]],COLUMNS(TAB_Offres[[Reference]:[Request State]]),FALSE)=D$6,TAB_Offres[[#This Row],[Reference]],""),"")</f>
        <v/>
      </c>
      <c r="N178" t="str">
        <f>_xlfn.IFNA(IF(VLOOKUP(TAB_Offres[[#This Row],[Reference]],TAB_Offres[[Reference]:[Has Expenses?]],COLUMNS(TAB_Offres[[Reference]:[Has Expenses?]]),FALSE)=J$2,TAB_Offres[[#This Row],[Reference]],""),"")</f>
        <v/>
      </c>
      <c r="O178" t="str">
        <f>IF(Tableau19[[#This Row],[EXPENSES_REF]]="","",MAX(O$1:O177)+1)</f>
        <v/>
      </c>
      <c r="P178" t="str">
        <f t="shared" si="10"/>
        <v/>
      </c>
      <c r="R178" s="227" t="s">
        <v>5736</v>
      </c>
      <c r="S178" s="230">
        <v>389</v>
      </c>
      <c r="T178" s="231">
        <v>416.23</v>
      </c>
      <c r="U178" s="231">
        <v>445.37</v>
      </c>
      <c r="V178" s="231">
        <v>476.55</v>
      </c>
      <c r="W178" s="231">
        <v>509.91</v>
      </c>
      <c r="X178" s="231">
        <v>545.6</v>
      </c>
      <c r="Y178" s="231">
        <v>583.79</v>
      </c>
      <c r="Z178" s="231">
        <v>624.66</v>
      </c>
      <c r="AA178" s="231">
        <v>668.39</v>
      </c>
      <c r="AB178" s="231">
        <v>715.18</v>
      </c>
      <c r="AC178" s="231">
        <v>765.24</v>
      </c>
      <c r="AD178" s="102"/>
      <c r="AI178" s="191" t="str">
        <f>IFERROR(_xlfn.SINGLE(
IF(_xlfn.SINGLE(INDEX(TAB_Offres[Ressource 1],ROWS(Params!AI$2:$AI178)))=0,NA(),
INDEX(TAB_Offres[Ressource 1],ROWS(Params!AI$2:$AI178)))),
IFERROR(_xlfn.SINGLE(IF(_xlfn.SINGLE(INDEX(#REF!,ROWS(Params!AI$2:$AI178)-COUNTA(TAB_Offres[Ressource 1])))=0,NA(),
INDEX(#REF!,ROWS(Params!AI$2:$AI178)-COUNTA(TAB_Offres[Ressource 1])))),
IFERROR(_xlfn.SINGLE(IF(_xlfn.SINGLE(INDEX(#REF!,ROWS(Params!AI$2:$AI178)-COUNTA(#REF!)-COUNTA(TAB_Offres[Ressource 1])))=0,NA(),
INDEX(#REF!,ROWS(Params!AI$2:$AI178)-COUNTA(#REF!)-COUNTA(TAB_Offres[Ressource 1])))),""))
)</f>
        <v/>
      </c>
      <c r="AJ178" s="192" t="str">
        <f>IF(TAB_ressource[[#This Row],[Import Ressource]]="","",MAX(AJ$1:AJ177)+1)</f>
        <v/>
      </c>
      <c r="AK178" s="193" t="str">
        <f>IFERROR(INDEX(TAB_ressource[Import Ressource],MATCH(ROW()-ROW($AK$1),TAB_ressource[ID Import ressources],0)),"")</f>
        <v/>
      </c>
      <c r="AN178" s="26">
        <f t="shared" si="11"/>
        <v>0</v>
      </c>
      <c r="BD178" t="s">
        <v>1144</v>
      </c>
      <c r="BE178" t="s">
        <v>1145</v>
      </c>
      <c r="BF178" t="s">
        <v>1146</v>
      </c>
      <c r="BG178" t="s">
        <v>1144</v>
      </c>
    </row>
    <row r="179" spans="13:59" x14ac:dyDescent="0.25">
      <c r="M179" t="str">
        <f>_xlfn.IFNA(IF(VLOOKUP(TAB_Offres[[#This Row],[Reference]],TAB_Offres[[Reference]:[Request State]],COLUMNS(TAB_Offres[[Reference]:[Request State]]),FALSE)=D$6,TAB_Offres[[#This Row],[Reference]],""),"")</f>
        <v/>
      </c>
      <c r="N179" t="str">
        <f>_xlfn.IFNA(IF(VLOOKUP(TAB_Offres[[#This Row],[Reference]],TAB_Offres[[Reference]:[Has Expenses?]],COLUMNS(TAB_Offres[[Reference]:[Has Expenses?]]),FALSE)=J$2,TAB_Offres[[#This Row],[Reference]],""),"")</f>
        <v/>
      </c>
      <c r="O179" t="str">
        <f>IF(Tableau19[[#This Row],[EXPENSES_REF]]="","",MAX(O$1:O178)+1)</f>
        <v/>
      </c>
      <c r="P179" t="str">
        <f t="shared" si="10"/>
        <v/>
      </c>
      <c r="R179" s="227" t="s">
        <v>5737</v>
      </c>
      <c r="S179" s="230">
        <v>389</v>
      </c>
      <c r="T179" s="231">
        <v>416.23</v>
      </c>
      <c r="U179" s="231">
        <v>445.37</v>
      </c>
      <c r="V179" s="231">
        <v>476.55</v>
      </c>
      <c r="W179" s="231">
        <v>509.91</v>
      </c>
      <c r="X179" s="231">
        <v>545.6</v>
      </c>
      <c r="Y179" s="231">
        <v>583.79</v>
      </c>
      <c r="Z179" s="231">
        <v>624.66</v>
      </c>
      <c r="AA179" s="231">
        <v>668.39</v>
      </c>
      <c r="AB179" s="231">
        <v>715.18</v>
      </c>
      <c r="AC179" s="231">
        <v>765.24</v>
      </c>
      <c r="AD179" s="102"/>
      <c r="AI179" s="191" t="str">
        <f>IFERROR(_xlfn.SINGLE(
IF(_xlfn.SINGLE(INDEX(TAB_Offres[Ressource 1],ROWS(Params!AI$2:$AI179)))=0,NA(),
INDEX(TAB_Offres[Ressource 1],ROWS(Params!AI$2:$AI179)))),
IFERROR(_xlfn.SINGLE(IF(_xlfn.SINGLE(INDEX(#REF!,ROWS(Params!AI$2:$AI179)-COUNTA(TAB_Offres[Ressource 1])))=0,NA(),
INDEX(#REF!,ROWS(Params!AI$2:$AI179)-COUNTA(TAB_Offres[Ressource 1])))),
IFERROR(_xlfn.SINGLE(IF(_xlfn.SINGLE(INDEX(#REF!,ROWS(Params!AI$2:$AI179)-COUNTA(#REF!)-COUNTA(TAB_Offres[Ressource 1])))=0,NA(),
INDEX(#REF!,ROWS(Params!AI$2:$AI179)-COUNTA(#REF!)-COUNTA(TAB_Offres[Ressource 1])))),""))
)</f>
        <v/>
      </c>
      <c r="AJ179" s="192" t="str">
        <f>IF(TAB_ressource[[#This Row],[Import Ressource]]="","",MAX(AJ$1:AJ178)+1)</f>
        <v/>
      </c>
      <c r="AK179" s="193" t="str">
        <f>IFERROR(INDEX(TAB_ressource[Import Ressource],MATCH(ROW()-ROW($AK$1),TAB_ressource[ID Import ressources],0)),"")</f>
        <v/>
      </c>
      <c r="AN179" s="26">
        <f t="shared" si="11"/>
        <v>0</v>
      </c>
      <c r="BD179" t="s">
        <v>1147</v>
      </c>
      <c r="BE179" t="s">
        <v>1148</v>
      </c>
      <c r="BF179" t="s">
        <v>1149</v>
      </c>
      <c r="BG179" t="s">
        <v>1147</v>
      </c>
    </row>
    <row r="180" spans="13:59" x14ac:dyDescent="0.25">
      <c r="M180" t="str">
        <f>_xlfn.IFNA(IF(VLOOKUP(TAB_Offres[[#This Row],[Reference]],TAB_Offres[[Reference]:[Request State]],COLUMNS(TAB_Offres[[Reference]:[Request State]]),FALSE)=D$6,TAB_Offres[[#This Row],[Reference]],""),"")</f>
        <v/>
      </c>
      <c r="N180" t="str">
        <f>_xlfn.IFNA(IF(VLOOKUP(TAB_Offres[[#This Row],[Reference]],TAB_Offres[[Reference]:[Has Expenses?]],COLUMNS(TAB_Offres[[Reference]:[Has Expenses?]]),FALSE)=J$2,TAB_Offres[[#This Row],[Reference]],""),"")</f>
        <v/>
      </c>
      <c r="O180" t="str">
        <f>IF(Tableau19[[#This Row],[EXPENSES_REF]]="","",MAX(O$1:O179)+1)</f>
        <v/>
      </c>
      <c r="P180" t="str">
        <f t="shared" si="10"/>
        <v/>
      </c>
      <c r="R180" s="227" t="s">
        <v>5738</v>
      </c>
      <c r="S180" s="230">
        <v>389</v>
      </c>
      <c r="T180" s="231">
        <v>416.23</v>
      </c>
      <c r="U180" s="231">
        <v>445.37</v>
      </c>
      <c r="V180" s="231">
        <v>476.55</v>
      </c>
      <c r="W180" s="231">
        <v>509.91</v>
      </c>
      <c r="X180" s="231">
        <v>545.6</v>
      </c>
      <c r="Y180" s="231">
        <v>583.79</v>
      </c>
      <c r="Z180" s="231">
        <v>624.66</v>
      </c>
      <c r="AA180" s="231">
        <v>668.39</v>
      </c>
      <c r="AB180" s="231">
        <v>715.18</v>
      </c>
      <c r="AC180" s="231">
        <v>765.24</v>
      </c>
      <c r="AD180" s="102"/>
      <c r="AI180" s="191" t="str">
        <f>IFERROR(_xlfn.SINGLE(
IF(_xlfn.SINGLE(INDEX(TAB_Offres[Ressource 1],ROWS(Params!AI$2:$AI180)))=0,NA(),
INDEX(TAB_Offres[Ressource 1],ROWS(Params!AI$2:$AI180)))),
IFERROR(_xlfn.SINGLE(IF(_xlfn.SINGLE(INDEX(#REF!,ROWS(Params!AI$2:$AI180)-COUNTA(TAB_Offres[Ressource 1])))=0,NA(),
INDEX(#REF!,ROWS(Params!AI$2:$AI180)-COUNTA(TAB_Offres[Ressource 1])))),
IFERROR(_xlfn.SINGLE(IF(_xlfn.SINGLE(INDEX(#REF!,ROWS(Params!AI$2:$AI180)-COUNTA(#REF!)-COUNTA(TAB_Offres[Ressource 1])))=0,NA(),
INDEX(#REF!,ROWS(Params!AI$2:$AI180)-COUNTA(#REF!)-COUNTA(TAB_Offres[Ressource 1])))),""))
)</f>
        <v/>
      </c>
      <c r="AJ180" s="192" t="str">
        <f>IF(TAB_ressource[[#This Row],[Import Ressource]]="","",MAX(AJ$1:AJ179)+1)</f>
        <v/>
      </c>
      <c r="AK180" s="193" t="str">
        <f>IFERROR(INDEX(TAB_ressource[Import Ressource],MATCH(ROW()-ROW($AK$1),TAB_ressource[ID Import ressources],0)),"")</f>
        <v/>
      </c>
      <c r="AN180" s="26">
        <f t="shared" si="11"/>
        <v>0</v>
      </c>
      <c r="BD180" t="s">
        <v>1150</v>
      </c>
      <c r="BE180" t="s">
        <v>1151</v>
      </c>
      <c r="BF180" t="s">
        <v>1152</v>
      </c>
      <c r="BG180" t="s">
        <v>1150</v>
      </c>
    </row>
    <row r="181" spans="13:59" x14ac:dyDescent="0.25">
      <c r="M181" t="str">
        <f>_xlfn.IFNA(IF(VLOOKUP(TAB_Offres[[#This Row],[Reference]],TAB_Offres[[Reference]:[Request State]],COLUMNS(TAB_Offres[[Reference]:[Request State]]),FALSE)=D$6,TAB_Offres[[#This Row],[Reference]],""),"")</f>
        <v/>
      </c>
      <c r="N181" t="str">
        <f>_xlfn.IFNA(IF(VLOOKUP(TAB_Offres[[#This Row],[Reference]],TAB_Offres[[Reference]:[Has Expenses?]],COLUMNS(TAB_Offres[[Reference]:[Has Expenses?]]),FALSE)=J$2,TAB_Offres[[#This Row],[Reference]],""),"")</f>
        <v/>
      </c>
      <c r="O181" t="str">
        <f>IF(Tableau19[[#This Row],[EXPENSES_REF]]="","",MAX(O$1:O180)+1)</f>
        <v/>
      </c>
      <c r="P181" t="str">
        <f t="shared" si="10"/>
        <v/>
      </c>
      <c r="R181" s="227" t="s">
        <v>5739</v>
      </c>
      <c r="S181" s="230">
        <v>389</v>
      </c>
      <c r="T181" s="231">
        <v>416.23</v>
      </c>
      <c r="U181" s="231">
        <v>445.37</v>
      </c>
      <c r="V181" s="231">
        <v>476.55</v>
      </c>
      <c r="W181" s="231">
        <v>509.91</v>
      </c>
      <c r="X181" s="231">
        <v>545.6</v>
      </c>
      <c r="Y181" s="231">
        <v>583.79</v>
      </c>
      <c r="Z181" s="231">
        <v>624.66</v>
      </c>
      <c r="AA181" s="231">
        <v>668.39</v>
      </c>
      <c r="AB181" s="231">
        <v>715.18</v>
      </c>
      <c r="AC181" s="231">
        <v>765.24</v>
      </c>
      <c r="AD181" s="102"/>
      <c r="AI181" s="191" t="str">
        <f>IFERROR(_xlfn.SINGLE(
IF(_xlfn.SINGLE(INDEX(TAB_Offres[Ressource 1],ROWS(Params!AI$2:$AI181)))=0,NA(),
INDEX(TAB_Offres[Ressource 1],ROWS(Params!AI$2:$AI181)))),
IFERROR(_xlfn.SINGLE(IF(_xlfn.SINGLE(INDEX(#REF!,ROWS(Params!AI$2:$AI181)-COUNTA(TAB_Offres[Ressource 1])))=0,NA(),
INDEX(#REF!,ROWS(Params!AI$2:$AI181)-COUNTA(TAB_Offres[Ressource 1])))),
IFERROR(_xlfn.SINGLE(IF(_xlfn.SINGLE(INDEX(#REF!,ROWS(Params!AI$2:$AI181)-COUNTA(#REF!)-COUNTA(TAB_Offres[Ressource 1])))=0,NA(),
INDEX(#REF!,ROWS(Params!AI$2:$AI181)-COUNTA(#REF!)-COUNTA(TAB_Offres[Ressource 1])))),""))
)</f>
        <v/>
      </c>
      <c r="AJ181" s="192" t="str">
        <f>IF(TAB_ressource[[#This Row],[Import Ressource]]="","",MAX(AJ$1:AJ180)+1)</f>
        <v/>
      </c>
      <c r="AK181" s="193" t="str">
        <f>IFERROR(INDEX(TAB_ressource[Import Ressource],MATCH(ROW()-ROW($AK$1),TAB_ressource[ID Import ressources],0)),"")</f>
        <v/>
      </c>
      <c r="AN181" s="26">
        <f t="shared" si="11"/>
        <v>0</v>
      </c>
      <c r="BD181" t="s">
        <v>1153</v>
      </c>
      <c r="BE181" t="s">
        <v>1154</v>
      </c>
      <c r="BF181" t="s">
        <v>1155</v>
      </c>
      <c r="BG181" t="s">
        <v>1153</v>
      </c>
    </row>
    <row r="182" spans="13:59" x14ac:dyDescent="0.25">
      <c r="M182" t="str">
        <f>_xlfn.IFNA(IF(VLOOKUP(TAB_Offres[[#This Row],[Reference]],TAB_Offres[[Reference]:[Request State]],COLUMNS(TAB_Offres[[Reference]:[Request State]]),FALSE)=D$6,TAB_Offres[[#This Row],[Reference]],""),"")</f>
        <v/>
      </c>
      <c r="N182" t="str">
        <f>_xlfn.IFNA(IF(VLOOKUP(TAB_Offres[[#This Row],[Reference]],TAB_Offres[[Reference]:[Has Expenses?]],COLUMNS(TAB_Offres[[Reference]:[Has Expenses?]]),FALSE)=J$2,TAB_Offres[[#This Row],[Reference]],""),"")</f>
        <v/>
      </c>
      <c r="O182" t="str">
        <f>IF(Tableau19[[#This Row],[EXPENSES_REF]]="","",MAX(O$1:O181)+1)</f>
        <v/>
      </c>
      <c r="P182" t="str">
        <f t="shared" si="10"/>
        <v/>
      </c>
      <c r="R182" s="227" t="s">
        <v>5740</v>
      </c>
      <c r="S182" s="230">
        <v>463.1</v>
      </c>
      <c r="T182" s="231">
        <v>495.52</v>
      </c>
      <c r="U182" s="231">
        <v>530.21</v>
      </c>
      <c r="V182" s="231">
        <v>567.32000000000005</v>
      </c>
      <c r="W182" s="231">
        <v>607.03</v>
      </c>
      <c r="X182" s="231">
        <v>649.52</v>
      </c>
      <c r="Y182" s="231">
        <v>694.99</v>
      </c>
      <c r="Z182" s="231">
        <v>743.64</v>
      </c>
      <c r="AA182" s="231">
        <v>795.69</v>
      </c>
      <c r="AB182" s="231">
        <v>851.39</v>
      </c>
      <c r="AC182" s="231">
        <v>910.99</v>
      </c>
      <c r="AD182" s="102"/>
      <c r="AI182" s="191" t="str">
        <f>IFERROR(_xlfn.SINGLE(
IF(_xlfn.SINGLE(INDEX(TAB_Offres[Ressource 1],ROWS(Params!AI$2:$AI182)))=0,NA(),
INDEX(TAB_Offres[Ressource 1],ROWS(Params!AI$2:$AI182)))),
IFERROR(_xlfn.SINGLE(IF(_xlfn.SINGLE(INDEX(#REF!,ROWS(Params!AI$2:$AI182)-COUNTA(TAB_Offres[Ressource 1])))=0,NA(),
INDEX(#REF!,ROWS(Params!AI$2:$AI182)-COUNTA(TAB_Offres[Ressource 1])))),
IFERROR(_xlfn.SINGLE(IF(_xlfn.SINGLE(INDEX(#REF!,ROWS(Params!AI$2:$AI182)-COUNTA(#REF!)-COUNTA(TAB_Offres[Ressource 1])))=0,NA(),
INDEX(#REF!,ROWS(Params!AI$2:$AI182)-COUNTA(#REF!)-COUNTA(TAB_Offres[Ressource 1])))),""))
)</f>
        <v/>
      </c>
      <c r="AJ182" s="192" t="str">
        <f>IF(TAB_ressource[[#This Row],[Import Ressource]]="","",MAX(AJ$1:AJ181)+1)</f>
        <v/>
      </c>
      <c r="AK182" s="193" t="str">
        <f>IFERROR(INDEX(TAB_ressource[Import Ressource],MATCH(ROW()-ROW($AK$1),TAB_ressource[ID Import ressources],0)),"")</f>
        <v/>
      </c>
      <c r="AN182" s="26">
        <f t="shared" si="11"/>
        <v>0</v>
      </c>
      <c r="BD182" t="s">
        <v>1156</v>
      </c>
      <c r="BE182" t="s">
        <v>1157</v>
      </c>
      <c r="BF182" t="s">
        <v>1158</v>
      </c>
      <c r="BG182" t="s">
        <v>1156</v>
      </c>
    </row>
    <row r="183" spans="13:59" x14ac:dyDescent="0.25">
      <c r="M183" t="str">
        <f>_xlfn.IFNA(IF(VLOOKUP(TAB_Offres[[#This Row],[Reference]],TAB_Offres[[Reference]:[Request State]],COLUMNS(TAB_Offres[[Reference]:[Request State]]),FALSE)=D$6,TAB_Offres[[#This Row],[Reference]],""),"")</f>
        <v/>
      </c>
      <c r="N183" t="str">
        <f>_xlfn.IFNA(IF(VLOOKUP(TAB_Offres[[#This Row],[Reference]],TAB_Offres[[Reference]:[Has Expenses?]],COLUMNS(TAB_Offres[[Reference]:[Has Expenses?]]),FALSE)=J$2,TAB_Offres[[#This Row],[Reference]],""),"")</f>
        <v/>
      </c>
      <c r="O183" t="str">
        <f>IF(Tableau19[[#This Row],[EXPENSES_REF]]="","",MAX(O$1:O182)+1)</f>
        <v/>
      </c>
      <c r="P183" t="str">
        <f t="shared" si="10"/>
        <v/>
      </c>
      <c r="R183" s="227" t="s">
        <v>5741</v>
      </c>
      <c r="S183" s="230">
        <v>389</v>
      </c>
      <c r="T183" s="231">
        <v>416.23</v>
      </c>
      <c r="U183" s="231">
        <v>445.37</v>
      </c>
      <c r="V183" s="231">
        <v>476.55</v>
      </c>
      <c r="W183" s="231">
        <v>509.91</v>
      </c>
      <c r="X183" s="231">
        <v>545.6</v>
      </c>
      <c r="Y183" s="231">
        <v>583.79</v>
      </c>
      <c r="Z183" s="231">
        <v>624.66</v>
      </c>
      <c r="AA183" s="231">
        <v>668.39</v>
      </c>
      <c r="AB183" s="231">
        <v>715.18</v>
      </c>
      <c r="AC183" s="231">
        <v>765.24</v>
      </c>
      <c r="AD183" s="102"/>
      <c r="AI183" s="191" t="str">
        <f>IFERROR(_xlfn.SINGLE(
IF(_xlfn.SINGLE(INDEX(TAB_Offres[Ressource 1],ROWS(Params!AI$2:$AI183)))=0,NA(),
INDEX(TAB_Offres[Ressource 1],ROWS(Params!AI$2:$AI183)))),
IFERROR(_xlfn.SINGLE(IF(_xlfn.SINGLE(INDEX(#REF!,ROWS(Params!AI$2:$AI183)-COUNTA(TAB_Offres[Ressource 1])))=0,NA(),
INDEX(#REF!,ROWS(Params!AI$2:$AI183)-COUNTA(TAB_Offres[Ressource 1])))),
IFERROR(_xlfn.SINGLE(IF(_xlfn.SINGLE(INDEX(#REF!,ROWS(Params!AI$2:$AI183)-COUNTA(#REF!)-COUNTA(TAB_Offres[Ressource 1])))=0,NA(),
INDEX(#REF!,ROWS(Params!AI$2:$AI183)-COUNTA(#REF!)-COUNTA(TAB_Offres[Ressource 1])))),""))
)</f>
        <v/>
      </c>
      <c r="AJ183" s="192" t="str">
        <f>IF(TAB_ressource[[#This Row],[Import Ressource]]="","",MAX(AJ$1:AJ182)+1)</f>
        <v/>
      </c>
      <c r="AK183" s="193" t="str">
        <f>IFERROR(INDEX(TAB_ressource[Import Ressource],MATCH(ROW()-ROW($AK$1),TAB_ressource[ID Import ressources],0)),"")</f>
        <v/>
      </c>
      <c r="AN183" s="26">
        <f t="shared" si="11"/>
        <v>0</v>
      </c>
      <c r="BD183" t="s">
        <v>1159</v>
      </c>
      <c r="BE183" t="s">
        <v>1160</v>
      </c>
      <c r="BF183" t="s">
        <v>1161</v>
      </c>
      <c r="BG183" t="s">
        <v>1159</v>
      </c>
    </row>
    <row r="184" spans="13:59" x14ac:dyDescent="0.25">
      <c r="M184" t="str">
        <f>_xlfn.IFNA(IF(VLOOKUP(TAB_Offres[[#This Row],[Reference]],TAB_Offres[[Reference]:[Request State]],COLUMNS(TAB_Offres[[Reference]:[Request State]]),FALSE)=D$6,TAB_Offres[[#This Row],[Reference]],""),"")</f>
        <v/>
      </c>
      <c r="N184" t="str">
        <f>_xlfn.IFNA(IF(VLOOKUP(TAB_Offres[[#This Row],[Reference]],TAB_Offres[[Reference]:[Has Expenses?]],COLUMNS(TAB_Offres[[Reference]:[Has Expenses?]]),FALSE)=J$2,TAB_Offres[[#This Row],[Reference]],""),"")</f>
        <v/>
      </c>
      <c r="O184" t="str">
        <f>IF(Tableau19[[#This Row],[EXPENSES_REF]]="","",MAX(O$1:O183)+1)</f>
        <v/>
      </c>
      <c r="P184" t="str">
        <f t="shared" si="10"/>
        <v/>
      </c>
      <c r="R184" s="227" t="s">
        <v>5742</v>
      </c>
      <c r="S184" s="230">
        <v>389</v>
      </c>
      <c r="T184" s="231">
        <v>416.23</v>
      </c>
      <c r="U184" s="231">
        <v>445.37</v>
      </c>
      <c r="V184" s="231">
        <v>476.55</v>
      </c>
      <c r="W184" s="231">
        <v>509.91</v>
      </c>
      <c r="X184" s="231">
        <v>545.6</v>
      </c>
      <c r="Y184" s="231">
        <v>583.79</v>
      </c>
      <c r="Z184" s="231">
        <v>624.66</v>
      </c>
      <c r="AA184" s="231">
        <v>668.39</v>
      </c>
      <c r="AB184" s="231">
        <v>715.18</v>
      </c>
      <c r="AC184" s="231">
        <v>765.24</v>
      </c>
      <c r="AD184" s="102"/>
      <c r="AI184" s="191" t="str">
        <f>IFERROR(_xlfn.SINGLE(
IF(_xlfn.SINGLE(INDEX(TAB_Offres[Ressource 1],ROWS(Params!AI$2:$AI184)))=0,NA(),
INDEX(TAB_Offres[Ressource 1],ROWS(Params!AI$2:$AI184)))),
IFERROR(_xlfn.SINGLE(IF(_xlfn.SINGLE(INDEX(#REF!,ROWS(Params!AI$2:$AI184)-COUNTA(TAB_Offres[Ressource 1])))=0,NA(),
INDEX(#REF!,ROWS(Params!AI$2:$AI184)-COUNTA(TAB_Offres[Ressource 1])))),
IFERROR(_xlfn.SINGLE(IF(_xlfn.SINGLE(INDEX(#REF!,ROWS(Params!AI$2:$AI184)-COUNTA(#REF!)-COUNTA(TAB_Offres[Ressource 1])))=0,NA(),
INDEX(#REF!,ROWS(Params!AI$2:$AI184)-COUNTA(#REF!)-COUNTA(TAB_Offres[Ressource 1])))),""))
)</f>
        <v/>
      </c>
      <c r="AJ184" s="192" t="str">
        <f>IF(TAB_ressource[[#This Row],[Import Ressource]]="","",MAX(AJ$1:AJ183)+1)</f>
        <v/>
      </c>
      <c r="AK184" s="193" t="str">
        <f>IFERROR(INDEX(TAB_ressource[Import Ressource],MATCH(ROW()-ROW($AK$1),TAB_ressource[ID Import ressources],0)),"")</f>
        <v/>
      </c>
      <c r="AN184" s="26">
        <f t="shared" si="11"/>
        <v>0</v>
      </c>
      <c r="BD184" t="s">
        <v>1162</v>
      </c>
      <c r="BE184" t="s">
        <v>1163</v>
      </c>
      <c r="BF184" t="s">
        <v>1164</v>
      </c>
      <c r="BG184" t="s">
        <v>1162</v>
      </c>
    </row>
    <row r="185" spans="13:59" x14ac:dyDescent="0.25">
      <c r="M185" t="str">
        <f>_xlfn.IFNA(IF(VLOOKUP(TAB_Offres[[#This Row],[Reference]],TAB_Offres[[Reference]:[Request State]],COLUMNS(TAB_Offres[[Reference]:[Request State]]),FALSE)=D$6,TAB_Offres[[#This Row],[Reference]],""),"")</f>
        <v/>
      </c>
      <c r="N185" t="str">
        <f>_xlfn.IFNA(IF(VLOOKUP(TAB_Offres[[#This Row],[Reference]],TAB_Offres[[Reference]:[Has Expenses?]],COLUMNS(TAB_Offres[[Reference]:[Has Expenses?]]),FALSE)=J$2,TAB_Offres[[#This Row],[Reference]],""),"")</f>
        <v/>
      </c>
      <c r="O185" t="str">
        <f>IF(Tableau19[[#This Row],[EXPENSES_REF]]="","",MAX(O$1:O184)+1)</f>
        <v/>
      </c>
      <c r="P185" t="str">
        <f t="shared" si="10"/>
        <v/>
      </c>
      <c r="R185" s="227" t="s">
        <v>5743</v>
      </c>
      <c r="S185" s="230">
        <v>389</v>
      </c>
      <c r="T185" s="231">
        <v>416.23</v>
      </c>
      <c r="U185" s="231">
        <v>445.37</v>
      </c>
      <c r="V185" s="231">
        <v>476.55</v>
      </c>
      <c r="W185" s="231">
        <v>509.91</v>
      </c>
      <c r="X185" s="231">
        <v>545.6</v>
      </c>
      <c r="Y185" s="231">
        <v>583.79</v>
      </c>
      <c r="Z185" s="231">
        <v>624.66</v>
      </c>
      <c r="AA185" s="231">
        <v>668.39</v>
      </c>
      <c r="AB185" s="231">
        <v>715.18</v>
      </c>
      <c r="AC185" s="231">
        <v>765.24</v>
      </c>
      <c r="AD185" s="102"/>
      <c r="AI185" s="191" t="str">
        <f>IFERROR(_xlfn.SINGLE(
IF(_xlfn.SINGLE(INDEX(TAB_Offres[Ressource 1],ROWS(Params!AI$2:$AI185)))=0,NA(),
INDEX(TAB_Offres[Ressource 1],ROWS(Params!AI$2:$AI185)))),
IFERROR(_xlfn.SINGLE(IF(_xlfn.SINGLE(INDEX(#REF!,ROWS(Params!AI$2:$AI185)-COUNTA(TAB_Offres[Ressource 1])))=0,NA(),
INDEX(#REF!,ROWS(Params!AI$2:$AI185)-COUNTA(TAB_Offres[Ressource 1])))),
IFERROR(_xlfn.SINGLE(IF(_xlfn.SINGLE(INDEX(#REF!,ROWS(Params!AI$2:$AI185)-COUNTA(#REF!)-COUNTA(TAB_Offres[Ressource 1])))=0,NA(),
INDEX(#REF!,ROWS(Params!AI$2:$AI185)-COUNTA(#REF!)-COUNTA(TAB_Offres[Ressource 1])))),""))
)</f>
        <v/>
      </c>
      <c r="AJ185" s="192" t="str">
        <f>IF(TAB_ressource[[#This Row],[Import Ressource]]="","",MAX(AJ$1:AJ184)+1)</f>
        <v/>
      </c>
      <c r="AK185" s="193" t="str">
        <f>IFERROR(INDEX(TAB_ressource[Import Ressource],MATCH(ROW()-ROW($AK$1),TAB_ressource[ID Import ressources],0)),"")</f>
        <v/>
      </c>
      <c r="AN185" s="26">
        <f t="shared" si="11"/>
        <v>0</v>
      </c>
      <c r="BD185" t="s">
        <v>1165</v>
      </c>
      <c r="BE185" t="s">
        <v>1166</v>
      </c>
      <c r="BF185" t="s">
        <v>1167</v>
      </c>
      <c r="BG185" t="s">
        <v>1165</v>
      </c>
    </row>
    <row r="186" spans="13:59" x14ac:dyDescent="0.25">
      <c r="M186" t="str">
        <f>_xlfn.IFNA(IF(VLOOKUP(TAB_Offres[[#This Row],[Reference]],TAB_Offres[[Reference]:[Request State]],COLUMNS(TAB_Offres[[Reference]:[Request State]]),FALSE)=D$6,TAB_Offres[[#This Row],[Reference]],""),"")</f>
        <v/>
      </c>
      <c r="N186" t="str">
        <f>_xlfn.IFNA(IF(VLOOKUP(TAB_Offres[[#This Row],[Reference]],TAB_Offres[[Reference]:[Has Expenses?]],COLUMNS(TAB_Offres[[Reference]:[Has Expenses?]]),FALSE)=J$2,TAB_Offres[[#This Row],[Reference]],""),"")</f>
        <v/>
      </c>
      <c r="O186" t="str">
        <f>IF(Tableau19[[#This Row],[EXPENSES_REF]]="","",MAX(O$1:O185)+1)</f>
        <v/>
      </c>
      <c r="P186" t="str">
        <f t="shared" si="10"/>
        <v/>
      </c>
      <c r="R186" s="227" t="s">
        <v>5744</v>
      </c>
      <c r="S186" s="230">
        <v>389</v>
      </c>
      <c r="T186" s="231">
        <v>416.23</v>
      </c>
      <c r="U186" s="231">
        <v>445.37</v>
      </c>
      <c r="V186" s="231">
        <v>476.55</v>
      </c>
      <c r="W186" s="231">
        <v>509.91</v>
      </c>
      <c r="X186" s="231">
        <v>545.6</v>
      </c>
      <c r="Y186" s="231">
        <v>583.79</v>
      </c>
      <c r="Z186" s="231">
        <v>624.66</v>
      </c>
      <c r="AA186" s="231">
        <v>668.39</v>
      </c>
      <c r="AB186" s="231">
        <v>715.18</v>
      </c>
      <c r="AC186" s="231">
        <v>765.24</v>
      </c>
      <c r="AD186" s="102"/>
      <c r="AI186" s="191" t="str">
        <f>IFERROR(_xlfn.SINGLE(
IF(_xlfn.SINGLE(INDEX(TAB_Offres[Ressource 1],ROWS(Params!AI$2:$AI186)))=0,NA(),
INDEX(TAB_Offres[Ressource 1],ROWS(Params!AI$2:$AI186)))),
IFERROR(_xlfn.SINGLE(IF(_xlfn.SINGLE(INDEX(#REF!,ROWS(Params!AI$2:$AI186)-COUNTA(TAB_Offres[Ressource 1])))=0,NA(),
INDEX(#REF!,ROWS(Params!AI$2:$AI186)-COUNTA(TAB_Offres[Ressource 1])))),
IFERROR(_xlfn.SINGLE(IF(_xlfn.SINGLE(INDEX(#REF!,ROWS(Params!AI$2:$AI186)-COUNTA(#REF!)-COUNTA(TAB_Offres[Ressource 1])))=0,NA(),
INDEX(#REF!,ROWS(Params!AI$2:$AI186)-COUNTA(#REF!)-COUNTA(TAB_Offres[Ressource 1])))),""))
)</f>
        <v/>
      </c>
      <c r="AJ186" s="192" t="str">
        <f>IF(TAB_ressource[[#This Row],[Import Ressource]]="","",MAX(AJ$1:AJ185)+1)</f>
        <v/>
      </c>
      <c r="AK186" s="193" t="str">
        <f>IFERROR(INDEX(TAB_ressource[Import Ressource],MATCH(ROW()-ROW($AK$1),TAB_ressource[ID Import ressources],0)),"")</f>
        <v/>
      </c>
      <c r="AN186" s="26">
        <f t="shared" si="11"/>
        <v>0</v>
      </c>
      <c r="BD186" t="s">
        <v>1168</v>
      </c>
      <c r="BE186" t="s">
        <v>1169</v>
      </c>
      <c r="BF186" t="s">
        <v>1170</v>
      </c>
      <c r="BG186" t="s">
        <v>1168</v>
      </c>
    </row>
    <row r="187" spans="13:59" x14ac:dyDescent="0.25">
      <c r="M187" t="str">
        <f>_xlfn.IFNA(IF(VLOOKUP(TAB_Offres[[#This Row],[Reference]],TAB_Offres[[Reference]:[Request State]],COLUMNS(TAB_Offres[[Reference]:[Request State]]),FALSE)=D$6,TAB_Offres[[#This Row],[Reference]],""),"")</f>
        <v/>
      </c>
      <c r="N187" t="str">
        <f>_xlfn.IFNA(IF(VLOOKUP(TAB_Offres[[#This Row],[Reference]],TAB_Offres[[Reference]:[Has Expenses?]],COLUMNS(TAB_Offres[[Reference]:[Has Expenses?]]),FALSE)=J$2,TAB_Offres[[#This Row],[Reference]],""),"")</f>
        <v/>
      </c>
      <c r="O187" t="str">
        <f>IF(Tableau19[[#This Row],[EXPENSES_REF]]="","",MAX(O$1:O186)+1)</f>
        <v/>
      </c>
      <c r="P187" t="str">
        <f t="shared" si="10"/>
        <v/>
      </c>
      <c r="R187" s="227" t="s">
        <v>5745</v>
      </c>
      <c r="S187" s="230">
        <v>463.1</v>
      </c>
      <c r="T187" s="231">
        <v>495.52</v>
      </c>
      <c r="U187" s="231">
        <v>530.21</v>
      </c>
      <c r="V187" s="231">
        <v>567.32000000000005</v>
      </c>
      <c r="W187" s="231">
        <v>607.03</v>
      </c>
      <c r="X187" s="231">
        <v>649.52</v>
      </c>
      <c r="Y187" s="231">
        <v>694.99</v>
      </c>
      <c r="Z187" s="231">
        <v>743.64</v>
      </c>
      <c r="AA187" s="231">
        <v>795.69</v>
      </c>
      <c r="AB187" s="231">
        <v>851.39</v>
      </c>
      <c r="AC187" s="231">
        <v>910.99</v>
      </c>
      <c r="AD187" s="102"/>
      <c r="AI187" s="191" t="str">
        <f>IFERROR(_xlfn.SINGLE(
IF(_xlfn.SINGLE(INDEX(TAB_Offres[Ressource 1],ROWS(Params!AI$2:$AI187)))=0,NA(),
INDEX(TAB_Offres[Ressource 1],ROWS(Params!AI$2:$AI187)))),
IFERROR(_xlfn.SINGLE(IF(_xlfn.SINGLE(INDEX(#REF!,ROWS(Params!AI$2:$AI187)-COUNTA(TAB_Offres[Ressource 1])))=0,NA(),
INDEX(#REF!,ROWS(Params!AI$2:$AI187)-COUNTA(TAB_Offres[Ressource 1])))),
IFERROR(_xlfn.SINGLE(IF(_xlfn.SINGLE(INDEX(#REF!,ROWS(Params!AI$2:$AI187)-COUNTA(#REF!)-COUNTA(TAB_Offres[Ressource 1])))=0,NA(),
INDEX(#REF!,ROWS(Params!AI$2:$AI187)-COUNTA(#REF!)-COUNTA(TAB_Offres[Ressource 1])))),""))
)</f>
        <v/>
      </c>
      <c r="AJ187" s="192" t="str">
        <f>IF(TAB_ressource[[#This Row],[Import Ressource]]="","",MAX(AJ$1:AJ186)+1)</f>
        <v/>
      </c>
      <c r="AK187" s="193" t="str">
        <f>IFERROR(INDEX(TAB_ressource[Import Ressource],MATCH(ROW()-ROW($AK$1),TAB_ressource[ID Import ressources],0)),"")</f>
        <v/>
      </c>
      <c r="AN187" s="26">
        <f t="shared" si="11"/>
        <v>0</v>
      </c>
      <c r="BD187" t="s">
        <v>1171</v>
      </c>
      <c r="BE187" t="s">
        <v>1172</v>
      </c>
      <c r="BF187" t="s">
        <v>1173</v>
      </c>
      <c r="BG187" t="s">
        <v>1171</v>
      </c>
    </row>
    <row r="188" spans="13:59" x14ac:dyDescent="0.25">
      <c r="M188" t="str">
        <f>_xlfn.IFNA(IF(VLOOKUP(TAB_Offres[[#This Row],[Reference]],TAB_Offres[[Reference]:[Request State]],COLUMNS(TAB_Offres[[Reference]:[Request State]]),FALSE)=D$6,TAB_Offres[[#This Row],[Reference]],""),"")</f>
        <v/>
      </c>
      <c r="N188" t="str">
        <f>_xlfn.IFNA(IF(VLOOKUP(TAB_Offres[[#This Row],[Reference]],TAB_Offres[[Reference]:[Has Expenses?]],COLUMNS(TAB_Offres[[Reference]:[Has Expenses?]]),FALSE)=J$2,TAB_Offres[[#This Row],[Reference]],""),"")</f>
        <v/>
      </c>
      <c r="O188" t="str">
        <f>IF(Tableau19[[#This Row],[EXPENSES_REF]]="","",MAX(O$1:O187)+1)</f>
        <v/>
      </c>
      <c r="P188" t="str">
        <f t="shared" si="10"/>
        <v/>
      </c>
      <c r="R188" s="227" t="s">
        <v>5746</v>
      </c>
      <c r="S188" s="230">
        <v>389</v>
      </c>
      <c r="T188" s="231">
        <v>416.23</v>
      </c>
      <c r="U188" s="231">
        <v>445.37</v>
      </c>
      <c r="V188" s="231">
        <v>476.55</v>
      </c>
      <c r="W188" s="231">
        <v>509.91</v>
      </c>
      <c r="X188" s="231">
        <v>545.6</v>
      </c>
      <c r="Y188" s="231">
        <v>583.79</v>
      </c>
      <c r="Z188" s="231">
        <v>624.66</v>
      </c>
      <c r="AA188" s="231">
        <v>668.39</v>
      </c>
      <c r="AB188" s="231">
        <v>715.18</v>
      </c>
      <c r="AC188" s="231">
        <v>765.24</v>
      </c>
      <c r="AD188" s="102"/>
      <c r="AI188" s="191" t="str">
        <f>IFERROR(_xlfn.SINGLE(
IF(_xlfn.SINGLE(INDEX(TAB_Offres[Ressource 1],ROWS(Params!AI$2:$AI188)))=0,NA(),
INDEX(TAB_Offres[Ressource 1],ROWS(Params!AI$2:$AI188)))),
IFERROR(_xlfn.SINGLE(IF(_xlfn.SINGLE(INDEX(#REF!,ROWS(Params!AI$2:$AI188)-COUNTA(TAB_Offres[Ressource 1])))=0,NA(),
INDEX(#REF!,ROWS(Params!AI$2:$AI188)-COUNTA(TAB_Offres[Ressource 1])))),
IFERROR(_xlfn.SINGLE(IF(_xlfn.SINGLE(INDEX(#REF!,ROWS(Params!AI$2:$AI188)-COUNTA(#REF!)-COUNTA(TAB_Offres[Ressource 1])))=0,NA(),
INDEX(#REF!,ROWS(Params!AI$2:$AI188)-COUNTA(#REF!)-COUNTA(TAB_Offres[Ressource 1])))),""))
)</f>
        <v/>
      </c>
      <c r="AJ188" s="192" t="str">
        <f>IF(TAB_ressource[[#This Row],[Import Ressource]]="","",MAX(AJ$1:AJ187)+1)</f>
        <v/>
      </c>
      <c r="AK188" s="193" t="str">
        <f>IFERROR(INDEX(TAB_ressource[Import Ressource],MATCH(ROW()-ROW($AK$1),TAB_ressource[ID Import ressources],0)),"")</f>
        <v/>
      </c>
      <c r="AN188" s="26">
        <f t="shared" si="11"/>
        <v>0</v>
      </c>
      <c r="BD188" t="s">
        <v>1174</v>
      </c>
      <c r="BE188" t="s">
        <v>1175</v>
      </c>
      <c r="BF188" t="s">
        <v>1176</v>
      </c>
      <c r="BG188" t="s">
        <v>1174</v>
      </c>
    </row>
    <row r="189" spans="13:59" x14ac:dyDescent="0.25">
      <c r="M189" t="str">
        <f>_xlfn.IFNA(IF(VLOOKUP(TAB_Offres[[#This Row],[Reference]],TAB_Offres[[Reference]:[Request State]],COLUMNS(TAB_Offres[[Reference]:[Request State]]),FALSE)=D$6,TAB_Offres[[#This Row],[Reference]],""),"")</f>
        <v/>
      </c>
      <c r="N189" t="str">
        <f>_xlfn.IFNA(IF(VLOOKUP(TAB_Offres[[#This Row],[Reference]],TAB_Offres[[Reference]:[Has Expenses?]],COLUMNS(TAB_Offres[[Reference]:[Has Expenses?]]),FALSE)=J$2,TAB_Offres[[#This Row],[Reference]],""),"")</f>
        <v/>
      </c>
      <c r="O189" t="str">
        <f>IF(Tableau19[[#This Row],[EXPENSES_REF]]="","",MAX(O$1:O188)+1)</f>
        <v/>
      </c>
      <c r="P189" t="str">
        <f t="shared" si="10"/>
        <v/>
      </c>
      <c r="R189" s="227" t="s">
        <v>5747</v>
      </c>
      <c r="S189" s="230">
        <v>421</v>
      </c>
      <c r="T189" s="231">
        <v>450.47</v>
      </c>
      <c r="U189" s="231">
        <v>482</v>
      </c>
      <c r="V189" s="231">
        <v>515.74</v>
      </c>
      <c r="W189" s="231">
        <v>551.84</v>
      </c>
      <c r="X189" s="231">
        <v>590.47</v>
      </c>
      <c r="Y189" s="231">
        <v>631.79999999999995</v>
      </c>
      <c r="Z189" s="231">
        <v>676.03</v>
      </c>
      <c r="AA189" s="231">
        <v>723.35</v>
      </c>
      <c r="AB189" s="231">
        <v>773.98</v>
      </c>
      <c r="AC189" s="231">
        <v>828.16</v>
      </c>
      <c r="AD189" s="102"/>
      <c r="AI189" s="191" t="str">
        <f>IFERROR(_xlfn.SINGLE(
IF(_xlfn.SINGLE(INDEX(TAB_Offres[Ressource 1],ROWS(Params!AI$2:$AI189)))=0,NA(),
INDEX(TAB_Offres[Ressource 1],ROWS(Params!AI$2:$AI189)))),
IFERROR(_xlfn.SINGLE(IF(_xlfn.SINGLE(INDEX(#REF!,ROWS(Params!AI$2:$AI189)-COUNTA(TAB_Offres[Ressource 1])))=0,NA(),
INDEX(#REF!,ROWS(Params!AI$2:$AI189)-COUNTA(TAB_Offres[Ressource 1])))),
IFERROR(_xlfn.SINGLE(IF(_xlfn.SINGLE(INDEX(#REF!,ROWS(Params!AI$2:$AI189)-COUNTA(#REF!)-COUNTA(TAB_Offres[Ressource 1])))=0,NA(),
INDEX(#REF!,ROWS(Params!AI$2:$AI189)-COUNTA(#REF!)-COUNTA(TAB_Offres[Ressource 1])))),""))
)</f>
        <v/>
      </c>
      <c r="AJ189" s="192" t="str">
        <f>IF(TAB_ressource[[#This Row],[Import Ressource]]="","",MAX(AJ$1:AJ188)+1)</f>
        <v/>
      </c>
      <c r="AK189" s="193" t="str">
        <f>IFERROR(INDEX(TAB_ressource[Import Ressource],MATCH(ROW()-ROW($AK$1),TAB_ressource[ID Import ressources],0)),"")</f>
        <v/>
      </c>
      <c r="AN189" s="26">
        <f t="shared" si="11"/>
        <v>0</v>
      </c>
      <c r="BD189" t="s">
        <v>1177</v>
      </c>
      <c r="BE189" t="s">
        <v>1178</v>
      </c>
      <c r="BF189" t="s">
        <v>1179</v>
      </c>
      <c r="BG189" t="s">
        <v>1177</v>
      </c>
    </row>
    <row r="190" spans="13:59" x14ac:dyDescent="0.25">
      <c r="M190" t="str">
        <f>_xlfn.IFNA(IF(VLOOKUP(TAB_Offres[[#This Row],[Reference]],TAB_Offres[[Reference]:[Request State]],COLUMNS(TAB_Offres[[Reference]:[Request State]]),FALSE)=D$6,TAB_Offres[[#This Row],[Reference]],""),"")</f>
        <v/>
      </c>
      <c r="N190" t="str">
        <f>_xlfn.IFNA(IF(VLOOKUP(TAB_Offres[[#This Row],[Reference]],TAB_Offres[[Reference]:[Has Expenses?]],COLUMNS(TAB_Offres[[Reference]:[Has Expenses?]]),FALSE)=J$2,TAB_Offres[[#This Row],[Reference]],""),"")</f>
        <v/>
      </c>
      <c r="O190" t="str">
        <f>IF(Tableau19[[#This Row],[EXPENSES_REF]]="","",MAX(O$1:O189)+1)</f>
        <v/>
      </c>
      <c r="P190" t="str">
        <f t="shared" si="10"/>
        <v/>
      </c>
      <c r="R190" s="227" t="s">
        <v>5748</v>
      </c>
      <c r="S190" s="230">
        <v>389</v>
      </c>
      <c r="T190" s="231">
        <v>416.23</v>
      </c>
      <c r="U190" s="231">
        <v>445.37</v>
      </c>
      <c r="V190" s="231">
        <v>476.55</v>
      </c>
      <c r="W190" s="231">
        <v>509.91</v>
      </c>
      <c r="X190" s="231">
        <v>545.6</v>
      </c>
      <c r="Y190" s="231">
        <v>583.79</v>
      </c>
      <c r="Z190" s="231">
        <v>624.66</v>
      </c>
      <c r="AA190" s="231">
        <v>668.39</v>
      </c>
      <c r="AB190" s="231">
        <v>715.18</v>
      </c>
      <c r="AC190" s="231">
        <v>765.24</v>
      </c>
      <c r="AD190" s="102"/>
      <c r="AI190" s="191" t="str">
        <f>IFERROR(_xlfn.SINGLE(
IF(_xlfn.SINGLE(INDEX(TAB_Offres[Ressource 1],ROWS(Params!AI$2:$AI190)))=0,NA(),
INDEX(TAB_Offres[Ressource 1],ROWS(Params!AI$2:$AI190)))),
IFERROR(_xlfn.SINGLE(IF(_xlfn.SINGLE(INDEX(#REF!,ROWS(Params!AI$2:$AI190)-COUNTA(TAB_Offres[Ressource 1])))=0,NA(),
INDEX(#REF!,ROWS(Params!AI$2:$AI190)-COUNTA(TAB_Offres[Ressource 1])))),
IFERROR(_xlfn.SINGLE(IF(_xlfn.SINGLE(INDEX(#REF!,ROWS(Params!AI$2:$AI190)-COUNTA(#REF!)-COUNTA(TAB_Offres[Ressource 1])))=0,NA(),
INDEX(#REF!,ROWS(Params!AI$2:$AI190)-COUNTA(#REF!)-COUNTA(TAB_Offres[Ressource 1])))),""))
)</f>
        <v/>
      </c>
      <c r="AJ190" s="192" t="str">
        <f>IF(TAB_ressource[[#This Row],[Import Ressource]]="","",MAX(AJ$1:AJ189)+1)</f>
        <v/>
      </c>
      <c r="AK190" s="193" t="str">
        <f>IFERROR(INDEX(TAB_ressource[Import Ressource],MATCH(ROW()-ROW($AK$1),TAB_ressource[ID Import ressources],0)),"")</f>
        <v/>
      </c>
      <c r="AN190" s="26">
        <f t="shared" si="11"/>
        <v>0</v>
      </c>
      <c r="BD190" t="s">
        <v>1180</v>
      </c>
      <c r="BE190" t="s">
        <v>1181</v>
      </c>
      <c r="BF190" t="s">
        <v>1182</v>
      </c>
      <c r="BG190" t="s">
        <v>1180</v>
      </c>
    </row>
    <row r="191" spans="13:59" x14ac:dyDescent="0.25">
      <c r="M191" t="str">
        <f>_xlfn.IFNA(IF(VLOOKUP(TAB_Offres[[#This Row],[Reference]],TAB_Offres[[Reference]:[Request State]],COLUMNS(TAB_Offres[[Reference]:[Request State]]),FALSE)=D$6,TAB_Offres[[#This Row],[Reference]],""),"")</f>
        <v/>
      </c>
      <c r="N191" t="str">
        <f>_xlfn.IFNA(IF(VLOOKUP(TAB_Offres[[#This Row],[Reference]],TAB_Offres[[Reference]:[Has Expenses?]],COLUMNS(TAB_Offres[[Reference]:[Has Expenses?]]),FALSE)=J$2,TAB_Offres[[#This Row],[Reference]],""),"")</f>
        <v/>
      </c>
      <c r="O191" t="str">
        <f>IF(Tableau19[[#This Row],[EXPENSES_REF]]="","",MAX(O$1:O190)+1)</f>
        <v/>
      </c>
      <c r="P191" t="str">
        <f t="shared" si="10"/>
        <v/>
      </c>
      <c r="R191" s="227" t="s">
        <v>5749</v>
      </c>
      <c r="S191" s="230">
        <v>389</v>
      </c>
      <c r="T191" s="231">
        <v>416.23</v>
      </c>
      <c r="U191" s="231">
        <v>445.37</v>
      </c>
      <c r="V191" s="231">
        <v>476.55</v>
      </c>
      <c r="W191" s="231">
        <v>509.91</v>
      </c>
      <c r="X191" s="231">
        <v>545.6</v>
      </c>
      <c r="Y191" s="231">
        <v>583.79</v>
      </c>
      <c r="Z191" s="231">
        <v>624.66</v>
      </c>
      <c r="AA191" s="231">
        <v>668.39</v>
      </c>
      <c r="AB191" s="231">
        <v>715.18</v>
      </c>
      <c r="AC191" s="231">
        <v>765.24</v>
      </c>
      <c r="AD191" s="102"/>
      <c r="AI191" s="191" t="str">
        <f>IFERROR(_xlfn.SINGLE(
IF(_xlfn.SINGLE(INDEX(TAB_Offres[Ressource 1],ROWS(Params!AI$2:$AI191)))=0,NA(),
INDEX(TAB_Offres[Ressource 1],ROWS(Params!AI$2:$AI191)))),
IFERROR(_xlfn.SINGLE(IF(_xlfn.SINGLE(INDEX(#REF!,ROWS(Params!AI$2:$AI191)-COUNTA(TAB_Offres[Ressource 1])))=0,NA(),
INDEX(#REF!,ROWS(Params!AI$2:$AI191)-COUNTA(TAB_Offres[Ressource 1])))),
IFERROR(_xlfn.SINGLE(IF(_xlfn.SINGLE(INDEX(#REF!,ROWS(Params!AI$2:$AI191)-COUNTA(#REF!)-COUNTA(TAB_Offres[Ressource 1])))=0,NA(),
INDEX(#REF!,ROWS(Params!AI$2:$AI191)-COUNTA(#REF!)-COUNTA(TAB_Offres[Ressource 1])))),""))
)</f>
        <v/>
      </c>
      <c r="AJ191" s="192" t="str">
        <f>IF(TAB_ressource[[#This Row],[Import Ressource]]="","",MAX(AJ$1:AJ190)+1)</f>
        <v/>
      </c>
      <c r="AK191" s="193" t="str">
        <f>IFERROR(INDEX(TAB_ressource[Import Ressource],MATCH(ROW()-ROW($AK$1),TAB_ressource[ID Import ressources],0)),"")</f>
        <v/>
      </c>
      <c r="AN191" s="26">
        <f t="shared" si="11"/>
        <v>0</v>
      </c>
      <c r="BD191" t="s">
        <v>1183</v>
      </c>
      <c r="BE191" t="s">
        <v>1184</v>
      </c>
      <c r="BF191" t="s">
        <v>1185</v>
      </c>
      <c r="BG191" t="s">
        <v>1183</v>
      </c>
    </row>
    <row r="192" spans="13:59" x14ac:dyDescent="0.25">
      <c r="M192" t="str">
        <f>_xlfn.IFNA(IF(VLOOKUP(TAB_Offres[[#This Row],[Reference]],TAB_Offres[[Reference]:[Request State]],COLUMNS(TAB_Offres[[Reference]:[Request State]]),FALSE)=D$6,TAB_Offres[[#This Row],[Reference]],""),"")</f>
        <v/>
      </c>
      <c r="N192" t="str">
        <f>_xlfn.IFNA(IF(VLOOKUP(TAB_Offres[[#This Row],[Reference]],TAB_Offres[[Reference]:[Has Expenses?]],COLUMNS(TAB_Offres[[Reference]:[Has Expenses?]]),FALSE)=J$2,TAB_Offres[[#This Row],[Reference]],""),"")</f>
        <v/>
      </c>
      <c r="O192" t="str">
        <f>IF(Tableau19[[#This Row],[EXPENSES_REF]]="","",MAX(O$1:O191)+1)</f>
        <v/>
      </c>
      <c r="P192" t="str">
        <f t="shared" si="10"/>
        <v/>
      </c>
      <c r="R192" s="227" t="s">
        <v>5750</v>
      </c>
      <c r="S192" s="230">
        <v>389</v>
      </c>
      <c r="T192" s="231">
        <v>416.23</v>
      </c>
      <c r="U192" s="231">
        <v>445.37</v>
      </c>
      <c r="V192" s="231">
        <v>476.55</v>
      </c>
      <c r="W192" s="231">
        <v>509.91</v>
      </c>
      <c r="X192" s="231">
        <v>545.6</v>
      </c>
      <c r="Y192" s="231">
        <v>583.79</v>
      </c>
      <c r="Z192" s="231">
        <v>624.66</v>
      </c>
      <c r="AA192" s="231">
        <v>668.39</v>
      </c>
      <c r="AB192" s="231">
        <v>715.18</v>
      </c>
      <c r="AC192" s="231">
        <v>765.24</v>
      </c>
      <c r="AD192" s="102"/>
      <c r="AI192" s="191" t="str">
        <f>IFERROR(_xlfn.SINGLE(
IF(_xlfn.SINGLE(INDEX(TAB_Offres[Ressource 1],ROWS(Params!AI$2:$AI192)))=0,NA(),
INDEX(TAB_Offres[Ressource 1],ROWS(Params!AI$2:$AI192)))),
IFERROR(_xlfn.SINGLE(IF(_xlfn.SINGLE(INDEX(#REF!,ROWS(Params!AI$2:$AI192)-COUNTA(TAB_Offres[Ressource 1])))=0,NA(),
INDEX(#REF!,ROWS(Params!AI$2:$AI192)-COUNTA(TAB_Offres[Ressource 1])))),
IFERROR(_xlfn.SINGLE(IF(_xlfn.SINGLE(INDEX(#REF!,ROWS(Params!AI$2:$AI192)-COUNTA(#REF!)-COUNTA(TAB_Offres[Ressource 1])))=0,NA(),
INDEX(#REF!,ROWS(Params!AI$2:$AI192)-COUNTA(#REF!)-COUNTA(TAB_Offres[Ressource 1])))),""))
)</f>
        <v/>
      </c>
      <c r="AJ192" s="192" t="str">
        <f>IF(TAB_ressource[[#This Row],[Import Ressource]]="","",MAX(AJ$1:AJ191)+1)</f>
        <v/>
      </c>
      <c r="AK192" s="193" t="str">
        <f>IFERROR(INDEX(TAB_ressource[Import Ressource],MATCH(ROW()-ROW($AK$1),TAB_ressource[ID Import ressources],0)),"")</f>
        <v/>
      </c>
      <c r="AN192" s="26">
        <f t="shared" si="11"/>
        <v>0</v>
      </c>
      <c r="BD192" t="s">
        <v>1186</v>
      </c>
      <c r="BE192" t="s">
        <v>1187</v>
      </c>
      <c r="BF192" t="s">
        <v>1188</v>
      </c>
      <c r="BG192" t="s">
        <v>1186</v>
      </c>
    </row>
    <row r="193" spans="13:59" ht="26.4" x14ac:dyDescent="0.25">
      <c r="M193" t="str">
        <f>_xlfn.IFNA(IF(VLOOKUP(TAB_Offres[[#This Row],[Reference]],TAB_Offres[[Reference]:[Request State]],COLUMNS(TAB_Offres[[Reference]:[Request State]]),FALSE)=D$6,TAB_Offres[[#This Row],[Reference]],""),"")</f>
        <v/>
      </c>
      <c r="N193" t="str">
        <f>_xlfn.IFNA(IF(VLOOKUP(TAB_Offres[[#This Row],[Reference]],TAB_Offres[[Reference]:[Has Expenses?]],COLUMNS(TAB_Offres[[Reference]:[Has Expenses?]]),FALSE)=J$2,TAB_Offres[[#This Row],[Reference]],""),"")</f>
        <v/>
      </c>
      <c r="O193" t="str">
        <f>IF(Tableau19[[#This Row],[EXPENSES_REF]]="","",MAX(O$1:O192)+1)</f>
        <v/>
      </c>
      <c r="P193" t="str">
        <f t="shared" si="10"/>
        <v/>
      </c>
      <c r="R193" s="229" t="s">
        <v>5421</v>
      </c>
      <c r="S193" s="230"/>
      <c r="T193" s="231"/>
      <c r="U193" s="231"/>
      <c r="V193" s="231"/>
      <c r="W193" s="231"/>
      <c r="X193" s="231"/>
      <c r="Y193" s="231"/>
      <c r="Z193" s="231"/>
      <c r="AA193" s="231"/>
      <c r="AB193" s="231"/>
      <c r="AC193" s="231"/>
      <c r="AD193" s="102"/>
      <c r="AI193" s="191" t="str">
        <f>IFERROR(_xlfn.SINGLE(
IF(_xlfn.SINGLE(INDEX(TAB_Offres[Ressource 1],ROWS(Params!AI$2:$AI193)))=0,NA(),
INDEX(TAB_Offres[Ressource 1],ROWS(Params!AI$2:$AI193)))),
IFERROR(_xlfn.SINGLE(IF(_xlfn.SINGLE(INDEX(#REF!,ROWS(Params!AI$2:$AI193)-COUNTA(TAB_Offres[Ressource 1])))=0,NA(),
INDEX(#REF!,ROWS(Params!AI$2:$AI193)-COUNTA(TAB_Offres[Ressource 1])))),
IFERROR(_xlfn.SINGLE(IF(_xlfn.SINGLE(INDEX(#REF!,ROWS(Params!AI$2:$AI193)-COUNTA(#REF!)-COUNTA(TAB_Offres[Ressource 1])))=0,NA(),
INDEX(#REF!,ROWS(Params!AI$2:$AI193)-COUNTA(#REF!)-COUNTA(TAB_Offres[Ressource 1])))),""))
)</f>
        <v/>
      </c>
      <c r="AJ193" s="192" t="str">
        <f>IF(TAB_ressource[[#This Row],[Import Ressource]]="","",MAX(AJ$1:AJ192)+1)</f>
        <v/>
      </c>
      <c r="AK193" s="193" t="str">
        <f>IFERROR(INDEX(TAB_ressource[Import Ressource],MATCH(ROW()-ROW($AK$1),TAB_ressource[ID Import ressources],0)),"")</f>
        <v/>
      </c>
      <c r="AN193" s="26">
        <f t="shared" si="11"/>
        <v>0</v>
      </c>
      <c r="BD193" t="s">
        <v>1189</v>
      </c>
      <c r="BE193" t="s">
        <v>1190</v>
      </c>
      <c r="BF193" t="s">
        <v>1191</v>
      </c>
      <c r="BG193" t="s">
        <v>1189</v>
      </c>
    </row>
    <row r="194" spans="13:59" x14ac:dyDescent="0.25">
      <c r="M194" t="str">
        <f>_xlfn.IFNA(IF(VLOOKUP(TAB_Offres[[#This Row],[Reference]],TAB_Offres[[Reference]:[Request State]],COLUMNS(TAB_Offres[[Reference]:[Request State]]),FALSE)=D$6,TAB_Offres[[#This Row],[Reference]],""),"")</f>
        <v/>
      </c>
      <c r="N194" t="str">
        <f>_xlfn.IFNA(IF(VLOOKUP(TAB_Offres[[#This Row],[Reference]],TAB_Offres[[Reference]:[Has Expenses?]],COLUMNS(TAB_Offres[[Reference]:[Has Expenses?]]),FALSE)=J$2,TAB_Offres[[#This Row],[Reference]],""),"")</f>
        <v/>
      </c>
      <c r="O194" t="str">
        <f>IF(Tableau19[[#This Row],[EXPENSES_REF]]="","",MAX(O$1:O193)+1)</f>
        <v/>
      </c>
      <c r="P194" t="str">
        <f t="shared" ref="P194:P257" si="12">IFERROR(INDEX($N$2:$N$1001,MATCH(ROW()-ROW($P$1),$O$2:$O$1001,0)),"")</f>
        <v/>
      </c>
      <c r="R194" s="227" t="s">
        <v>5751</v>
      </c>
      <c r="S194" s="230">
        <v>265.23</v>
      </c>
      <c r="T194" s="231">
        <v>283.8</v>
      </c>
      <c r="U194" s="231">
        <v>303.67</v>
      </c>
      <c r="V194" s="231">
        <v>324.93</v>
      </c>
      <c r="W194" s="231">
        <v>347.68</v>
      </c>
      <c r="X194" s="231">
        <v>372.02</v>
      </c>
      <c r="Y194" s="231">
        <v>398.06</v>
      </c>
      <c r="Z194" s="231">
        <v>425.92</v>
      </c>
      <c r="AA194" s="231">
        <v>455.73</v>
      </c>
      <c r="AB194" s="231">
        <v>487.63</v>
      </c>
      <c r="AC194" s="231">
        <v>521.76</v>
      </c>
      <c r="AD194" s="102"/>
      <c r="AI194" s="191" t="str">
        <f>IFERROR(_xlfn.SINGLE(
IF(_xlfn.SINGLE(INDEX(TAB_Offres[Ressource 1],ROWS(Params!AI$2:$AI194)))=0,NA(),
INDEX(TAB_Offres[Ressource 1],ROWS(Params!AI$2:$AI194)))),
IFERROR(_xlfn.SINGLE(IF(_xlfn.SINGLE(INDEX(#REF!,ROWS(Params!AI$2:$AI194)-COUNTA(TAB_Offres[Ressource 1])))=0,NA(),
INDEX(#REF!,ROWS(Params!AI$2:$AI194)-COUNTA(TAB_Offres[Ressource 1])))),
IFERROR(_xlfn.SINGLE(IF(_xlfn.SINGLE(INDEX(#REF!,ROWS(Params!AI$2:$AI194)-COUNTA(#REF!)-COUNTA(TAB_Offres[Ressource 1])))=0,NA(),
INDEX(#REF!,ROWS(Params!AI$2:$AI194)-COUNTA(#REF!)-COUNTA(TAB_Offres[Ressource 1])))),""))
)</f>
        <v/>
      </c>
      <c r="AJ194" s="192" t="str">
        <f>IF(TAB_ressource[[#This Row],[Import Ressource]]="","",MAX(AJ$1:AJ193)+1)</f>
        <v/>
      </c>
      <c r="AK194" s="193" t="str">
        <f>IFERROR(INDEX(TAB_ressource[Import Ressource],MATCH(ROW()-ROW($AK$1),TAB_ressource[ID Import ressources],0)),"")</f>
        <v/>
      </c>
      <c r="AN194" s="26">
        <f t="shared" si="11"/>
        <v>0</v>
      </c>
      <c r="BD194" t="s">
        <v>1192</v>
      </c>
      <c r="BE194" t="s">
        <v>1193</v>
      </c>
      <c r="BF194" t="s">
        <v>1194</v>
      </c>
      <c r="BG194" t="s">
        <v>1192</v>
      </c>
    </row>
    <row r="195" spans="13:59" x14ac:dyDescent="0.25">
      <c r="M195" t="str">
        <f>_xlfn.IFNA(IF(VLOOKUP(TAB_Offres[[#This Row],[Reference]],TAB_Offres[[Reference]:[Request State]],COLUMNS(TAB_Offres[[Reference]:[Request State]]),FALSE)=D$6,TAB_Offres[[#This Row],[Reference]],""),"")</f>
        <v/>
      </c>
      <c r="N195" t="str">
        <f>_xlfn.IFNA(IF(VLOOKUP(TAB_Offres[[#This Row],[Reference]],TAB_Offres[[Reference]:[Has Expenses?]],COLUMNS(TAB_Offres[[Reference]:[Has Expenses?]]),FALSE)=J$2,TAB_Offres[[#This Row],[Reference]],""),"")</f>
        <v/>
      </c>
      <c r="O195" t="str">
        <f>IF(Tableau19[[#This Row],[EXPENSES_REF]]="","",MAX(O$1:O194)+1)</f>
        <v/>
      </c>
      <c r="P195" t="str">
        <f t="shared" si="12"/>
        <v/>
      </c>
      <c r="R195" s="227" t="s">
        <v>5752</v>
      </c>
      <c r="S195" s="230">
        <v>265.23</v>
      </c>
      <c r="T195" s="231">
        <v>283.8</v>
      </c>
      <c r="U195" s="231">
        <v>303.67</v>
      </c>
      <c r="V195" s="231">
        <v>324.93</v>
      </c>
      <c r="W195" s="231">
        <v>347.68</v>
      </c>
      <c r="X195" s="231">
        <v>372.02</v>
      </c>
      <c r="Y195" s="231">
        <v>398.06</v>
      </c>
      <c r="Z195" s="231">
        <v>425.92</v>
      </c>
      <c r="AA195" s="231">
        <v>455.73</v>
      </c>
      <c r="AB195" s="231">
        <v>487.63</v>
      </c>
      <c r="AC195" s="231">
        <v>521.76</v>
      </c>
      <c r="AD195" s="102"/>
      <c r="AI195" s="191" t="str">
        <f>IFERROR(_xlfn.SINGLE(
IF(_xlfn.SINGLE(INDEX(TAB_Offres[Ressource 1],ROWS(Params!AI$2:$AI195)))=0,NA(),
INDEX(TAB_Offres[Ressource 1],ROWS(Params!AI$2:$AI195)))),
IFERROR(_xlfn.SINGLE(IF(_xlfn.SINGLE(INDEX(#REF!,ROWS(Params!AI$2:$AI195)-COUNTA(TAB_Offres[Ressource 1])))=0,NA(),
INDEX(#REF!,ROWS(Params!AI$2:$AI195)-COUNTA(TAB_Offres[Ressource 1])))),
IFERROR(_xlfn.SINGLE(IF(_xlfn.SINGLE(INDEX(#REF!,ROWS(Params!AI$2:$AI195)-COUNTA(#REF!)-COUNTA(TAB_Offres[Ressource 1])))=0,NA(),
INDEX(#REF!,ROWS(Params!AI$2:$AI195)-COUNTA(#REF!)-COUNTA(TAB_Offres[Ressource 1])))),""))
)</f>
        <v/>
      </c>
      <c r="AJ195" s="192" t="str">
        <f>IF(TAB_ressource[[#This Row],[Import Ressource]]="","",MAX(AJ$1:AJ194)+1)</f>
        <v/>
      </c>
      <c r="AK195" s="193" t="str">
        <f>IFERROR(INDEX(TAB_ressource[Import Ressource],MATCH(ROW()-ROW($AK$1),TAB_ressource[ID Import ressources],0)),"")</f>
        <v/>
      </c>
      <c r="AN195" s="26">
        <f t="shared" ref="AN195:AN258" si="13">AM195</f>
        <v>0</v>
      </c>
      <c r="BD195" t="s">
        <v>1195</v>
      </c>
      <c r="BE195" t="s">
        <v>1196</v>
      </c>
      <c r="BF195" t="s">
        <v>1197</v>
      </c>
      <c r="BG195" t="s">
        <v>1195</v>
      </c>
    </row>
    <row r="196" spans="13:59" x14ac:dyDescent="0.25">
      <c r="M196" t="str">
        <f>_xlfn.IFNA(IF(VLOOKUP(TAB_Offres[[#This Row],[Reference]],TAB_Offres[[Reference]:[Request State]],COLUMNS(TAB_Offres[[Reference]:[Request State]]),FALSE)=D$6,TAB_Offres[[#This Row],[Reference]],""),"")</f>
        <v/>
      </c>
      <c r="N196" t="str">
        <f>_xlfn.IFNA(IF(VLOOKUP(TAB_Offres[[#This Row],[Reference]],TAB_Offres[[Reference]:[Has Expenses?]],COLUMNS(TAB_Offres[[Reference]:[Has Expenses?]]),FALSE)=J$2,TAB_Offres[[#This Row],[Reference]],""),"")</f>
        <v/>
      </c>
      <c r="O196" t="str">
        <f>IF(Tableau19[[#This Row],[EXPENSES_REF]]="","",MAX(O$1:O195)+1)</f>
        <v/>
      </c>
      <c r="P196" t="str">
        <f t="shared" si="12"/>
        <v/>
      </c>
      <c r="R196" s="227" t="s">
        <v>5753</v>
      </c>
      <c r="S196" s="230">
        <v>315.75</v>
      </c>
      <c r="T196" s="231">
        <v>337.85</v>
      </c>
      <c r="U196" s="231">
        <v>361.5</v>
      </c>
      <c r="V196" s="231">
        <v>386.81</v>
      </c>
      <c r="W196" s="231">
        <v>413.89</v>
      </c>
      <c r="X196" s="231">
        <v>442.86</v>
      </c>
      <c r="Y196" s="231">
        <v>473.86</v>
      </c>
      <c r="Z196" s="231">
        <v>507.03</v>
      </c>
      <c r="AA196" s="231">
        <v>542.52</v>
      </c>
      <c r="AB196" s="231">
        <v>580.5</v>
      </c>
      <c r="AC196" s="231">
        <v>621.14</v>
      </c>
      <c r="AD196" s="102"/>
      <c r="AI196" s="191" t="str">
        <f>IFERROR(_xlfn.SINGLE(
IF(_xlfn.SINGLE(INDEX(TAB_Offres[Ressource 1],ROWS(Params!AI$2:$AI196)))=0,NA(),
INDEX(TAB_Offres[Ressource 1],ROWS(Params!AI$2:$AI196)))),
IFERROR(_xlfn.SINGLE(IF(_xlfn.SINGLE(INDEX(#REF!,ROWS(Params!AI$2:$AI196)-COUNTA(TAB_Offres[Ressource 1])))=0,NA(),
INDEX(#REF!,ROWS(Params!AI$2:$AI196)-COUNTA(TAB_Offres[Ressource 1])))),
IFERROR(_xlfn.SINGLE(IF(_xlfn.SINGLE(INDEX(#REF!,ROWS(Params!AI$2:$AI196)-COUNTA(#REF!)-COUNTA(TAB_Offres[Ressource 1])))=0,NA(),
INDEX(#REF!,ROWS(Params!AI$2:$AI196)-COUNTA(#REF!)-COUNTA(TAB_Offres[Ressource 1])))),""))
)</f>
        <v/>
      </c>
      <c r="AJ196" s="192" t="str">
        <f>IF(TAB_ressource[[#This Row],[Import Ressource]]="","",MAX(AJ$1:AJ195)+1)</f>
        <v/>
      </c>
      <c r="AK196" s="193" t="str">
        <f>IFERROR(INDEX(TAB_ressource[Import Ressource],MATCH(ROW()-ROW($AK$1),TAB_ressource[ID Import ressources],0)),"")</f>
        <v/>
      </c>
      <c r="AN196" s="26">
        <f t="shared" si="13"/>
        <v>0</v>
      </c>
      <c r="BD196" t="s">
        <v>1198</v>
      </c>
      <c r="BE196" t="s">
        <v>1199</v>
      </c>
      <c r="BF196" t="s">
        <v>1200</v>
      </c>
      <c r="BG196" t="s">
        <v>1198</v>
      </c>
    </row>
    <row r="197" spans="13:59" x14ac:dyDescent="0.25">
      <c r="M197" t="str">
        <f>_xlfn.IFNA(IF(VLOOKUP(TAB_Offres[[#This Row],[Reference]],TAB_Offres[[Reference]:[Request State]],COLUMNS(TAB_Offres[[Reference]:[Request State]]),FALSE)=D$6,TAB_Offres[[#This Row],[Reference]],""),"")</f>
        <v/>
      </c>
      <c r="N197" t="str">
        <f>_xlfn.IFNA(IF(VLOOKUP(TAB_Offres[[#This Row],[Reference]],TAB_Offres[[Reference]:[Has Expenses?]],COLUMNS(TAB_Offres[[Reference]:[Has Expenses?]]),FALSE)=J$2,TAB_Offres[[#This Row],[Reference]],""),"")</f>
        <v/>
      </c>
      <c r="O197" t="str">
        <f>IF(Tableau19[[#This Row],[EXPENSES_REF]]="","",MAX(O$1:O196)+1)</f>
        <v/>
      </c>
      <c r="P197" t="str">
        <f t="shared" si="12"/>
        <v/>
      </c>
      <c r="R197" s="227" t="s">
        <v>5754</v>
      </c>
      <c r="S197" s="230">
        <v>287.33</v>
      </c>
      <c r="T197" s="231">
        <v>307.44</v>
      </c>
      <c r="U197" s="231">
        <v>328.96</v>
      </c>
      <c r="V197" s="231">
        <v>351.99</v>
      </c>
      <c r="W197" s="231">
        <v>376.63</v>
      </c>
      <c r="X197" s="231">
        <v>402.99</v>
      </c>
      <c r="Y197" s="231">
        <v>431.2</v>
      </c>
      <c r="Z197" s="231">
        <v>461.38</v>
      </c>
      <c r="AA197" s="231">
        <v>493.68</v>
      </c>
      <c r="AB197" s="231">
        <v>528.24</v>
      </c>
      <c r="AC197" s="231">
        <v>565.22</v>
      </c>
      <c r="AD197" s="102"/>
      <c r="AI197" s="191" t="str">
        <f>IFERROR(_xlfn.SINGLE(
IF(_xlfn.SINGLE(INDEX(TAB_Offres[Ressource 1],ROWS(Params!AI$2:$AI197)))=0,NA(),
INDEX(TAB_Offres[Ressource 1],ROWS(Params!AI$2:$AI197)))),
IFERROR(_xlfn.SINGLE(IF(_xlfn.SINGLE(INDEX(#REF!,ROWS(Params!AI$2:$AI197)-COUNTA(TAB_Offres[Ressource 1])))=0,NA(),
INDEX(#REF!,ROWS(Params!AI$2:$AI197)-COUNTA(TAB_Offres[Ressource 1])))),
IFERROR(_xlfn.SINGLE(IF(_xlfn.SINGLE(INDEX(#REF!,ROWS(Params!AI$2:$AI197)-COUNTA(#REF!)-COUNTA(TAB_Offres[Ressource 1])))=0,NA(),
INDEX(#REF!,ROWS(Params!AI$2:$AI197)-COUNTA(#REF!)-COUNTA(TAB_Offres[Ressource 1])))),""))
)</f>
        <v/>
      </c>
      <c r="AJ197" s="192" t="str">
        <f>IF(TAB_ressource[[#This Row],[Import Ressource]]="","",MAX(AJ$1:AJ196)+1)</f>
        <v/>
      </c>
      <c r="AK197" s="193" t="str">
        <f>IFERROR(INDEX(TAB_ressource[Import Ressource],MATCH(ROW()-ROW($AK$1),TAB_ressource[ID Import ressources],0)),"")</f>
        <v/>
      </c>
      <c r="AN197" s="26">
        <f t="shared" si="13"/>
        <v>0</v>
      </c>
      <c r="BD197" t="s">
        <v>1201</v>
      </c>
      <c r="BE197" t="s">
        <v>1202</v>
      </c>
      <c r="BF197" t="s">
        <v>1203</v>
      </c>
      <c r="BG197" t="s">
        <v>1201</v>
      </c>
    </row>
    <row r="198" spans="13:59" x14ac:dyDescent="0.25">
      <c r="M198" t="str">
        <f>_xlfn.IFNA(IF(VLOOKUP(TAB_Offres[[#This Row],[Reference]],TAB_Offres[[Reference]:[Request State]],COLUMNS(TAB_Offres[[Reference]:[Request State]]),FALSE)=D$6,TAB_Offres[[#This Row],[Reference]],""),"")</f>
        <v/>
      </c>
      <c r="N198" t="str">
        <f>_xlfn.IFNA(IF(VLOOKUP(TAB_Offres[[#This Row],[Reference]],TAB_Offres[[Reference]:[Has Expenses?]],COLUMNS(TAB_Offres[[Reference]:[Has Expenses?]]),FALSE)=J$2,TAB_Offres[[#This Row],[Reference]],""),"")</f>
        <v/>
      </c>
      <c r="O198" t="str">
        <f>IF(Tableau19[[#This Row],[EXPENSES_REF]]="","",MAX(O$1:O197)+1)</f>
        <v/>
      </c>
      <c r="P198" t="str">
        <f t="shared" si="12"/>
        <v/>
      </c>
      <c r="R198" s="227" t="s">
        <v>5755</v>
      </c>
      <c r="S198" s="230">
        <v>294.7</v>
      </c>
      <c r="T198" s="231">
        <v>315.33</v>
      </c>
      <c r="U198" s="231">
        <v>337.4</v>
      </c>
      <c r="V198" s="231">
        <v>361.02</v>
      </c>
      <c r="W198" s="231">
        <v>386.29</v>
      </c>
      <c r="X198" s="231">
        <v>413.33</v>
      </c>
      <c r="Y198" s="231">
        <v>442.26</v>
      </c>
      <c r="Z198" s="231">
        <v>473.22</v>
      </c>
      <c r="AA198" s="231">
        <v>506.35</v>
      </c>
      <c r="AB198" s="231">
        <v>541.79</v>
      </c>
      <c r="AC198" s="231">
        <v>579.72</v>
      </c>
      <c r="AD198" s="102"/>
      <c r="AI198" s="191" t="str">
        <f>IFERROR(_xlfn.SINGLE(
IF(_xlfn.SINGLE(INDEX(TAB_Offres[Ressource 1],ROWS(Params!AI$2:$AI198)))=0,NA(),
INDEX(TAB_Offres[Ressource 1],ROWS(Params!AI$2:$AI198)))),
IFERROR(_xlfn.SINGLE(IF(_xlfn.SINGLE(INDEX(#REF!,ROWS(Params!AI$2:$AI198)-COUNTA(TAB_Offres[Ressource 1])))=0,NA(),
INDEX(#REF!,ROWS(Params!AI$2:$AI198)-COUNTA(TAB_Offres[Ressource 1])))),
IFERROR(_xlfn.SINGLE(IF(_xlfn.SINGLE(INDEX(#REF!,ROWS(Params!AI$2:$AI198)-COUNTA(#REF!)-COUNTA(TAB_Offres[Ressource 1])))=0,NA(),
INDEX(#REF!,ROWS(Params!AI$2:$AI198)-COUNTA(#REF!)-COUNTA(TAB_Offres[Ressource 1])))),""))
)</f>
        <v/>
      </c>
      <c r="AJ198" s="192" t="str">
        <f>IF(TAB_ressource[[#This Row],[Import Ressource]]="","",MAX(AJ$1:AJ197)+1)</f>
        <v/>
      </c>
      <c r="AK198" s="193" t="str">
        <f>IFERROR(INDEX(TAB_ressource[Import Ressource],MATCH(ROW()-ROW($AK$1),TAB_ressource[ID Import ressources],0)),"")</f>
        <v/>
      </c>
      <c r="AN198" s="26">
        <f t="shared" si="13"/>
        <v>0</v>
      </c>
      <c r="BD198" t="s">
        <v>1204</v>
      </c>
      <c r="BE198" t="s">
        <v>1205</v>
      </c>
      <c r="BF198" t="s">
        <v>1206</v>
      </c>
      <c r="BG198" t="s">
        <v>1204</v>
      </c>
    </row>
    <row r="199" spans="13:59" x14ac:dyDescent="0.25">
      <c r="M199" t="str">
        <f>_xlfn.IFNA(IF(VLOOKUP(TAB_Offres[[#This Row],[Reference]],TAB_Offres[[Reference]:[Request State]],COLUMNS(TAB_Offres[[Reference]:[Request State]]),FALSE)=D$6,TAB_Offres[[#This Row],[Reference]],""),"")</f>
        <v/>
      </c>
      <c r="N199" t="str">
        <f>_xlfn.IFNA(IF(VLOOKUP(TAB_Offres[[#This Row],[Reference]],TAB_Offres[[Reference]:[Has Expenses?]],COLUMNS(TAB_Offres[[Reference]:[Has Expenses?]]),FALSE)=J$2,TAB_Offres[[#This Row],[Reference]],""),"")</f>
        <v/>
      </c>
      <c r="O199" t="str">
        <f>IF(Tableau19[[#This Row],[EXPENSES_REF]]="","",MAX(O$1:O198)+1)</f>
        <v/>
      </c>
      <c r="P199" t="str">
        <f t="shared" si="12"/>
        <v/>
      </c>
      <c r="R199" s="227" t="s">
        <v>5756</v>
      </c>
      <c r="S199" s="230">
        <v>265.23</v>
      </c>
      <c r="T199" s="231">
        <v>283.8</v>
      </c>
      <c r="U199" s="231">
        <v>303.67</v>
      </c>
      <c r="V199" s="231">
        <v>324.93</v>
      </c>
      <c r="W199" s="231">
        <v>347.68</v>
      </c>
      <c r="X199" s="231">
        <v>372.02</v>
      </c>
      <c r="Y199" s="231">
        <v>398.06</v>
      </c>
      <c r="Z199" s="231">
        <v>425.92</v>
      </c>
      <c r="AA199" s="231">
        <v>455.73</v>
      </c>
      <c r="AB199" s="231">
        <v>487.63</v>
      </c>
      <c r="AC199" s="231">
        <v>521.76</v>
      </c>
      <c r="AD199" s="102"/>
      <c r="AI199" s="191" t="str">
        <f>IFERROR(_xlfn.SINGLE(
IF(_xlfn.SINGLE(INDEX(TAB_Offres[Ressource 1],ROWS(Params!AI$2:$AI199)))=0,NA(),
INDEX(TAB_Offres[Ressource 1],ROWS(Params!AI$2:$AI199)))),
IFERROR(_xlfn.SINGLE(IF(_xlfn.SINGLE(INDEX(#REF!,ROWS(Params!AI$2:$AI199)-COUNTA(TAB_Offres[Ressource 1])))=0,NA(),
INDEX(#REF!,ROWS(Params!AI$2:$AI199)-COUNTA(TAB_Offres[Ressource 1])))),
IFERROR(_xlfn.SINGLE(IF(_xlfn.SINGLE(INDEX(#REF!,ROWS(Params!AI$2:$AI199)-COUNTA(#REF!)-COUNTA(TAB_Offres[Ressource 1])))=0,NA(),
INDEX(#REF!,ROWS(Params!AI$2:$AI199)-COUNTA(#REF!)-COUNTA(TAB_Offres[Ressource 1])))),""))
)</f>
        <v/>
      </c>
      <c r="AJ199" s="192" t="str">
        <f>IF(TAB_ressource[[#This Row],[Import Ressource]]="","",MAX(AJ$1:AJ198)+1)</f>
        <v/>
      </c>
      <c r="AK199" s="193" t="str">
        <f>IFERROR(INDEX(TAB_ressource[Import Ressource],MATCH(ROW()-ROW($AK$1),TAB_ressource[ID Import ressources],0)),"")</f>
        <v/>
      </c>
      <c r="AN199" s="26">
        <f t="shared" si="13"/>
        <v>0</v>
      </c>
      <c r="BD199" t="s">
        <v>1207</v>
      </c>
      <c r="BE199" t="s">
        <v>1208</v>
      </c>
      <c r="BF199" t="s">
        <v>1209</v>
      </c>
      <c r="BG199" t="s">
        <v>1207</v>
      </c>
    </row>
    <row r="200" spans="13:59" x14ac:dyDescent="0.25">
      <c r="M200" t="str">
        <f>_xlfn.IFNA(IF(VLOOKUP(TAB_Offres[[#This Row],[Reference]],TAB_Offres[[Reference]:[Request State]],COLUMNS(TAB_Offres[[Reference]:[Request State]]),FALSE)=D$6,TAB_Offres[[#This Row],[Reference]],""),"")</f>
        <v/>
      </c>
      <c r="N200" t="str">
        <f>_xlfn.IFNA(IF(VLOOKUP(TAB_Offres[[#This Row],[Reference]],TAB_Offres[[Reference]:[Has Expenses?]],COLUMNS(TAB_Offres[[Reference]:[Has Expenses?]]),FALSE)=J$2,TAB_Offres[[#This Row],[Reference]],""),"")</f>
        <v/>
      </c>
      <c r="O200" t="str">
        <f>IF(Tableau19[[#This Row],[EXPENSES_REF]]="","",MAX(O$1:O199)+1)</f>
        <v/>
      </c>
      <c r="P200" t="str">
        <f t="shared" si="12"/>
        <v/>
      </c>
      <c r="R200" s="227" t="s">
        <v>5757</v>
      </c>
      <c r="S200" s="230">
        <v>265.23</v>
      </c>
      <c r="T200" s="231">
        <v>283.8</v>
      </c>
      <c r="U200" s="231">
        <v>303.67</v>
      </c>
      <c r="V200" s="231">
        <v>324.93</v>
      </c>
      <c r="W200" s="231">
        <v>347.68</v>
      </c>
      <c r="X200" s="231">
        <v>372.02</v>
      </c>
      <c r="Y200" s="231">
        <v>398.06</v>
      </c>
      <c r="Z200" s="231">
        <v>425.92</v>
      </c>
      <c r="AA200" s="231">
        <v>455.73</v>
      </c>
      <c r="AB200" s="231">
        <v>487.63</v>
      </c>
      <c r="AC200" s="231">
        <v>521.76</v>
      </c>
      <c r="AD200" s="102"/>
      <c r="AI200" s="191" t="str">
        <f>IFERROR(_xlfn.SINGLE(
IF(_xlfn.SINGLE(INDEX(TAB_Offres[Ressource 1],ROWS(Params!AI$2:$AI200)))=0,NA(),
INDEX(TAB_Offres[Ressource 1],ROWS(Params!AI$2:$AI200)))),
IFERROR(_xlfn.SINGLE(IF(_xlfn.SINGLE(INDEX(#REF!,ROWS(Params!AI$2:$AI200)-COUNTA(TAB_Offres[Ressource 1])))=0,NA(),
INDEX(#REF!,ROWS(Params!AI$2:$AI200)-COUNTA(TAB_Offres[Ressource 1])))),
IFERROR(_xlfn.SINGLE(IF(_xlfn.SINGLE(INDEX(#REF!,ROWS(Params!AI$2:$AI200)-COUNTA(#REF!)-COUNTA(TAB_Offres[Ressource 1])))=0,NA(),
INDEX(#REF!,ROWS(Params!AI$2:$AI200)-COUNTA(#REF!)-COUNTA(TAB_Offres[Ressource 1])))),""))
)</f>
        <v/>
      </c>
      <c r="AJ200" s="192" t="str">
        <f>IF(TAB_ressource[[#This Row],[Import Ressource]]="","",MAX(AJ$1:AJ199)+1)</f>
        <v/>
      </c>
      <c r="AK200" s="193" t="str">
        <f>IFERROR(INDEX(TAB_ressource[Import Ressource],MATCH(ROW()-ROW($AK$1),TAB_ressource[ID Import ressources],0)),"")</f>
        <v/>
      </c>
      <c r="AN200" s="26">
        <f t="shared" si="13"/>
        <v>0</v>
      </c>
      <c r="BD200" t="s">
        <v>1210</v>
      </c>
      <c r="BE200" t="s">
        <v>1211</v>
      </c>
      <c r="BF200" t="s">
        <v>1212</v>
      </c>
      <c r="BG200" t="s">
        <v>1210</v>
      </c>
    </row>
    <row r="201" spans="13:59" x14ac:dyDescent="0.25">
      <c r="M201" t="str">
        <f>_xlfn.IFNA(IF(VLOOKUP(TAB_Offres[[#This Row],[Reference]],TAB_Offres[[Reference]:[Request State]],COLUMNS(TAB_Offres[[Reference]:[Request State]]),FALSE)=D$6,TAB_Offres[[#This Row],[Reference]],""),"")</f>
        <v/>
      </c>
      <c r="N201" t="str">
        <f>_xlfn.IFNA(IF(VLOOKUP(TAB_Offres[[#This Row],[Reference]],TAB_Offres[[Reference]:[Has Expenses?]],COLUMNS(TAB_Offres[[Reference]:[Has Expenses?]]),FALSE)=J$2,TAB_Offres[[#This Row],[Reference]],""),"")</f>
        <v/>
      </c>
      <c r="O201" t="str">
        <f>IF(Tableau19[[#This Row],[EXPENSES_REF]]="","",MAX(O$1:O200)+1)</f>
        <v/>
      </c>
      <c r="P201" t="str">
        <f t="shared" si="12"/>
        <v/>
      </c>
      <c r="R201" s="227" t="s">
        <v>5758</v>
      </c>
      <c r="S201" s="230">
        <v>265.23</v>
      </c>
      <c r="T201" s="231">
        <v>283.8</v>
      </c>
      <c r="U201" s="231">
        <v>303.67</v>
      </c>
      <c r="V201" s="231">
        <v>324.93</v>
      </c>
      <c r="W201" s="231">
        <v>347.68</v>
      </c>
      <c r="X201" s="231">
        <v>372.02</v>
      </c>
      <c r="Y201" s="231">
        <v>398.06</v>
      </c>
      <c r="Z201" s="231">
        <v>425.92</v>
      </c>
      <c r="AA201" s="231">
        <v>455.73</v>
      </c>
      <c r="AB201" s="231">
        <v>487.63</v>
      </c>
      <c r="AC201" s="231">
        <v>521.76</v>
      </c>
      <c r="AD201" s="102"/>
      <c r="AI201" s="191" t="str">
        <f>IFERROR(_xlfn.SINGLE(
IF(_xlfn.SINGLE(INDEX(TAB_Offres[Ressource 1],ROWS(Params!AI$2:$AI201)))=0,NA(),
INDEX(TAB_Offres[Ressource 1],ROWS(Params!AI$2:$AI201)))),
IFERROR(_xlfn.SINGLE(IF(_xlfn.SINGLE(INDEX(#REF!,ROWS(Params!AI$2:$AI201)-COUNTA(TAB_Offres[Ressource 1])))=0,NA(),
INDEX(#REF!,ROWS(Params!AI$2:$AI201)-COUNTA(TAB_Offres[Ressource 1])))),
IFERROR(_xlfn.SINGLE(IF(_xlfn.SINGLE(INDEX(#REF!,ROWS(Params!AI$2:$AI201)-COUNTA(#REF!)-COUNTA(TAB_Offres[Ressource 1])))=0,NA(),
INDEX(#REF!,ROWS(Params!AI$2:$AI201)-COUNTA(#REF!)-COUNTA(TAB_Offres[Ressource 1])))),""))
)</f>
        <v/>
      </c>
      <c r="AJ201" s="192" t="str">
        <f>IF(TAB_ressource[[#This Row],[Import Ressource]]="","",MAX(AJ$1:AJ200)+1)</f>
        <v/>
      </c>
      <c r="AK201" s="193" t="str">
        <f>IFERROR(INDEX(TAB_ressource[Import Ressource],MATCH(ROW()-ROW($AK$1),TAB_ressource[ID Import ressources],0)),"")</f>
        <v/>
      </c>
      <c r="AN201" s="26">
        <f t="shared" si="13"/>
        <v>0</v>
      </c>
      <c r="BD201" t="s">
        <v>1213</v>
      </c>
      <c r="BE201" t="s">
        <v>1214</v>
      </c>
      <c r="BF201" t="s">
        <v>1215</v>
      </c>
      <c r="BG201" t="s">
        <v>1213</v>
      </c>
    </row>
    <row r="202" spans="13:59" ht="26.4" x14ac:dyDescent="0.25">
      <c r="M202" t="str">
        <f>_xlfn.IFNA(IF(VLOOKUP(TAB_Offres[[#This Row],[Reference]],TAB_Offres[[Reference]:[Request State]],COLUMNS(TAB_Offres[[Reference]:[Request State]]),FALSE)=D$6,TAB_Offres[[#This Row],[Reference]],""),"")</f>
        <v/>
      </c>
      <c r="N202" t="str">
        <f>_xlfn.IFNA(IF(VLOOKUP(TAB_Offres[[#This Row],[Reference]],TAB_Offres[[Reference]:[Has Expenses?]],COLUMNS(TAB_Offres[[Reference]:[Has Expenses?]]),FALSE)=J$2,TAB_Offres[[#This Row],[Reference]],""),"")</f>
        <v/>
      </c>
      <c r="O202" t="str">
        <f>IF(Tableau19[[#This Row],[EXPENSES_REF]]="","",MAX(O$1:O201)+1)</f>
        <v/>
      </c>
      <c r="P202" t="str">
        <f t="shared" si="12"/>
        <v/>
      </c>
      <c r="R202" s="227" t="s">
        <v>5759</v>
      </c>
      <c r="S202" s="230">
        <v>265.23</v>
      </c>
      <c r="T202" s="231">
        <v>283.8</v>
      </c>
      <c r="U202" s="231">
        <v>303.67</v>
      </c>
      <c r="V202" s="231">
        <v>324.93</v>
      </c>
      <c r="W202" s="231">
        <v>347.68</v>
      </c>
      <c r="X202" s="231">
        <v>372.02</v>
      </c>
      <c r="Y202" s="231">
        <v>398.06</v>
      </c>
      <c r="Z202" s="231">
        <v>425.92</v>
      </c>
      <c r="AA202" s="231">
        <v>455.73</v>
      </c>
      <c r="AB202" s="231">
        <v>487.63</v>
      </c>
      <c r="AC202" s="231">
        <v>521.76</v>
      </c>
      <c r="AD202" s="102"/>
      <c r="AI202" s="191" t="str">
        <f>IFERROR(_xlfn.SINGLE(
IF(_xlfn.SINGLE(INDEX(TAB_Offres[Ressource 1],ROWS(Params!AI$2:$AI202)))=0,NA(),
INDEX(TAB_Offres[Ressource 1],ROWS(Params!AI$2:$AI202)))),
IFERROR(_xlfn.SINGLE(IF(_xlfn.SINGLE(INDEX(#REF!,ROWS(Params!AI$2:$AI202)-COUNTA(TAB_Offres[Ressource 1])))=0,NA(),
INDEX(#REF!,ROWS(Params!AI$2:$AI202)-COUNTA(TAB_Offres[Ressource 1])))),
IFERROR(_xlfn.SINGLE(IF(_xlfn.SINGLE(INDEX(#REF!,ROWS(Params!AI$2:$AI202)-COUNTA(#REF!)-COUNTA(TAB_Offres[Ressource 1])))=0,NA(),
INDEX(#REF!,ROWS(Params!AI$2:$AI202)-COUNTA(#REF!)-COUNTA(TAB_Offres[Ressource 1])))),""))
)</f>
        <v/>
      </c>
      <c r="AJ202" s="192" t="str">
        <f>IF(TAB_ressource[[#This Row],[Import Ressource]]="","",MAX(AJ$1:AJ201)+1)</f>
        <v/>
      </c>
      <c r="AK202" s="193" t="str">
        <f>IFERROR(INDEX(TAB_ressource[Import Ressource],MATCH(ROW()-ROW($AK$1),TAB_ressource[ID Import ressources],0)),"")</f>
        <v/>
      </c>
      <c r="AN202" s="26">
        <f t="shared" si="13"/>
        <v>0</v>
      </c>
      <c r="BD202" t="s">
        <v>1216</v>
      </c>
      <c r="BE202" t="s">
        <v>1217</v>
      </c>
      <c r="BF202" t="s">
        <v>1218</v>
      </c>
      <c r="BG202" t="s">
        <v>1216</v>
      </c>
    </row>
    <row r="203" spans="13:59" x14ac:dyDescent="0.25">
      <c r="M203" t="str">
        <f>_xlfn.IFNA(IF(VLOOKUP(TAB_Offres[[#This Row],[Reference]],TAB_Offres[[Reference]:[Request State]],COLUMNS(TAB_Offres[[Reference]:[Request State]]),FALSE)=D$6,TAB_Offres[[#This Row],[Reference]],""),"")</f>
        <v/>
      </c>
      <c r="N203" t="str">
        <f>_xlfn.IFNA(IF(VLOOKUP(TAB_Offres[[#This Row],[Reference]],TAB_Offres[[Reference]:[Has Expenses?]],COLUMNS(TAB_Offres[[Reference]:[Has Expenses?]]),FALSE)=J$2,TAB_Offres[[#This Row],[Reference]],""),"")</f>
        <v/>
      </c>
      <c r="O203" t="str">
        <f>IF(Tableau19[[#This Row],[EXPENSES_REF]]="","",MAX(O$1:O202)+1)</f>
        <v/>
      </c>
      <c r="P203" t="str">
        <f t="shared" si="12"/>
        <v/>
      </c>
      <c r="R203" s="227" t="s">
        <v>5760</v>
      </c>
      <c r="S203" s="230">
        <v>265.23</v>
      </c>
      <c r="T203" s="231">
        <v>283.8</v>
      </c>
      <c r="U203" s="231">
        <v>303.67</v>
      </c>
      <c r="V203" s="231">
        <v>324.93</v>
      </c>
      <c r="W203" s="231">
        <v>347.68</v>
      </c>
      <c r="X203" s="231">
        <v>372.02</v>
      </c>
      <c r="Y203" s="231">
        <v>398.06</v>
      </c>
      <c r="Z203" s="231">
        <v>425.92</v>
      </c>
      <c r="AA203" s="231">
        <v>455.73</v>
      </c>
      <c r="AB203" s="231">
        <v>487.63</v>
      </c>
      <c r="AC203" s="231">
        <v>521.76</v>
      </c>
      <c r="AD203" s="102"/>
      <c r="AI203" s="191" t="str">
        <f>IFERROR(_xlfn.SINGLE(
IF(_xlfn.SINGLE(INDEX(TAB_Offres[Ressource 1],ROWS(Params!AI$2:$AI203)))=0,NA(),
INDEX(TAB_Offres[Ressource 1],ROWS(Params!AI$2:$AI203)))),
IFERROR(_xlfn.SINGLE(IF(_xlfn.SINGLE(INDEX(#REF!,ROWS(Params!AI$2:$AI203)-COUNTA(TAB_Offres[Ressource 1])))=0,NA(),
INDEX(#REF!,ROWS(Params!AI$2:$AI203)-COUNTA(TAB_Offres[Ressource 1])))),
IFERROR(_xlfn.SINGLE(IF(_xlfn.SINGLE(INDEX(#REF!,ROWS(Params!AI$2:$AI203)-COUNTA(#REF!)-COUNTA(TAB_Offres[Ressource 1])))=0,NA(),
INDEX(#REF!,ROWS(Params!AI$2:$AI203)-COUNTA(#REF!)-COUNTA(TAB_Offres[Ressource 1])))),""))
)</f>
        <v/>
      </c>
      <c r="AJ203" s="192" t="str">
        <f>IF(TAB_ressource[[#This Row],[Import Ressource]]="","",MAX(AJ$1:AJ202)+1)</f>
        <v/>
      </c>
      <c r="AK203" s="193" t="str">
        <f>IFERROR(INDEX(TAB_ressource[Import Ressource],MATCH(ROW()-ROW($AK$1),TAB_ressource[ID Import ressources],0)),"")</f>
        <v/>
      </c>
      <c r="AN203" s="26">
        <f t="shared" si="13"/>
        <v>0</v>
      </c>
      <c r="BD203" t="s">
        <v>1219</v>
      </c>
      <c r="BE203" t="s">
        <v>1220</v>
      </c>
      <c r="BF203" t="s">
        <v>1221</v>
      </c>
      <c r="BG203" t="s">
        <v>1219</v>
      </c>
    </row>
    <row r="204" spans="13:59" ht="26.4" x14ac:dyDescent="0.25">
      <c r="M204" t="str">
        <f>_xlfn.IFNA(IF(VLOOKUP(TAB_Offres[[#This Row],[Reference]],TAB_Offres[[Reference]:[Request State]],COLUMNS(TAB_Offres[[Reference]:[Request State]]),FALSE)=D$6,TAB_Offres[[#This Row],[Reference]],""),"")</f>
        <v/>
      </c>
      <c r="N204" t="str">
        <f>_xlfn.IFNA(IF(VLOOKUP(TAB_Offres[[#This Row],[Reference]],TAB_Offres[[Reference]:[Has Expenses?]],COLUMNS(TAB_Offres[[Reference]:[Has Expenses?]]),FALSE)=J$2,TAB_Offres[[#This Row],[Reference]],""),"")</f>
        <v/>
      </c>
      <c r="O204" t="str">
        <f>IF(Tableau19[[#This Row],[EXPENSES_REF]]="","",MAX(O$1:O203)+1)</f>
        <v/>
      </c>
      <c r="P204" t="str">
        <f t="shared" si="12"/>
        <v/>
      </c>
      <c r="R204" s="227" t="s">
        <v>5761</v>
      </c>
      <c r="S204" s="230">
        <v>265.23</v>
      </c>
      <c r="T204" s="231">
        <v>283.8</v>
      </c>
      <c r="U204" s="231">
        <v>303.67</v>
      </c>
      <c r="V204" s="231">
        <v>324.93</v>
      </c>
      <c r="W204" s="231">
        <v>347.68</v>
      </c>
      <c r="X204" s="231">
        <v>372.02</v>
      </c>
      <c r="Y204" s="231">
        <v>398.06</v>
      </c>
      <c r="Z204" s="231">
        <v>425.92</v>
      </c>
      <c r="AA204" s="231">
        <v>455.73</v>
      </c>
      <c r="AB204" s="231">
        <v>487.63</v>
      </c>
      <c r="AC204" s="231">
        <v>521.76</v>
      </c>
      <c r="AD204" s="102"/>
      <c r="AI204" s="191" t="str">
        <f>IFERROR(_xlfn.SINGLE(
IF(_xlfn.SINGLE(INDEX(TAB_Offres[Ressource 1],ROWS(Params!AI$2:$AI204)))=0,NA(),
INDEX(TAB_Offres[Ressource 1],ROWS(Params!AI$2:$AI204)))),
IFERROR(_xlfn.SINGLE(IF(_xlfn.SINGLE(INDEX(#REF!,ROWS(Params!AI$2:$AI204)-COUNTA(TAB_Offres[Ressource 1])))=0,NA(),
INDEX(#REF!,ROWS(Params!AI$2:$AI204)-COUNTA(TAB_Offres[Ressource 1])))),
IFERROR(_xlfn.SINGLE(IF(_xlfn.SINGLE(INDEX(#REF!,ROWS(Params!AI$2:$AI204)-COUNTA(#REF!)-COUNTA(TAB_Offres[Ressource 1])))=0,NA(),
INDEX(#REF!,ROWS(Params!AI$2:$AI204)-COUNTA(#REF!)-COUNTA(TAB_Offres[Ressource 1])))),""))
)</f>
        <v/>
      </c>
      <c r="AJ204" s="192" t="str">
        <f>IF(TAB_ressource[[#This Row],[Import Ressource]]="","",MAX(AJ$1:AJ203)+1)</f>
        <v/>
      </c>
      <c r="AK204" s="193" t="str">
        <f>IFERROR(INDEX(TAB_ressource[Import Ressource],MATCH(ROW()-ROW($AK$1),TAB_ressource[ID Import ressources],0)),"")</f>
        <v/>
      </c>
      <c r="AN204" s="26">
        <f t="shared" si="13"/>
        <v>0</v>
      </c>
      <c r="BD204" t="s">
        <v>1222</v>
      </c>
      <c r="BE204" t="s">
        <v>1223</v>
      </c>
      <c r="BF204" t="s">
        <v>1224</v>
      </c>
      <c r="BG204" t="s">
        <v>1222</v>
      </c>
    </row>
    <row r="205" spans="13:59" x14ac:dyDescent="0.25">
      <c r="M205" t="str">
        <f>_xlfn.IFNA(IF(VLOOKUP(TAB_Offres[[#This Row],[Reference]],TAB_Offres[[Reference]:[Request State]],COLUMNS(TAB_Offres[[Reference]:[Request State]]),FALSE)=D$6,TAB_Offres[[#This Row],[Reference]],""),"")</f>
        <v/>
      </c>
      <c r="N205" t="str">
        <f>_xlfn.IFNA(IF(VLOOKUP(TAB_Offres[[#This Row],[Reference]],TAB_Offres[[Reference]:[Has Expenses?]],COLUMNS(TAB_Offres[[Reference]:[Has Expenses?]]),FALSE)=J$2,TAB_Offres[[#This Row],[Reference]],""),"")</f>
        <v/>
      </c>
      <c r="O205" t="str">
        <f>IF(Tableau19[[#This Row],[EXPENSES_REF]]="","",MAX(O$1:O204)+1)</f>
        <v/>
      </c>
      <c r="P205" t="str">
        <f t="shared" si="12"/>
        <v/>
      </c>
      <c r="R205" s="227" t="s">
        <v>5762</v>
      </c>
      <c r="S205" s="230">
        <v>315.75</v>
      </c>
      <c r="T205" s="231">
        <v>337.85</v>
      </c>
      <c r="U205" s="231">
        <v>361.5</v>
      </c>
      <c r="V205" s="231">
        <v>386.81</v>
      </c>
      <c r="W205" s="231">
        <v>413.89</v>
      </c>
      <c r="X205" s="231">
        <v>442.86</v>
      </c>
      <c r="Y205" s="231">
        <v>473.86</v>
      </c>
      <c r="Z205" s="231">
        <v>507.03</v>
      </c>
      <c r="AA205" s="231">
        <v>542.52</v>
      </c>
      <c r="AB205" s="231">
        <v>580.5</v>
      </c>
      <c r="AC205" s="231">
        <v>621.14</v>
      </c>
      <c r="AD205" s="102"/>
      <c r="AI205" s="191" t="str">
        <f>IFERROR(_xlfn.SINGLE(
IF(_xlfn.SINGLE(INDEX(TAB_Offres[Ressource 1],ROWS(Params!AI$2:$AI205)))=0,NA(),
INDEX(TAB_Offres[Ressource 1],ROWS(Params!AI$2:$AI205)))),
IFERROR(_xlfn.SINGLE(IF(_xlfn.SINGLE(INDEX(#REF!,ROWS(Params!AI$2:$AI205)-COUNTA(TAB_Offres[Ressource 1])))=0,NA(),
INDEX(#REF!,ROWS(Params!AI$2:$AI205)-COUNTA(TAB_Offres[Ressource 1])))),
IFERROR(_xlfn.SINGLE(IF(_xlfn.SINGLE(INDEX(#REF!,ROWS(Params!AI$2:$AI205)-COUNTA(#REF!)-COUNTA(TAB_Offres[Ressource 1])))=0,NA(),
INDEX(#REF!,ROWS(Params!AI$2:$AI205)-COUNTA(#REF!)-COUNTA(TAB_Offres[Ressource 1])))),""))
)</f>
        <v/>
      </c>
      <c r="AJ205" s="192" t="str">
        <f>IF(TAB_ressource[[#This Row],[Import Ressource]]="","",MAX(AJ$1:AJ204)+1)</f>
        <v/>
      </c>
      <c r="AK205" s="193" t="str">
        <f>IFERROR(INDEX(TAB_ressource[Import Ressource],MATCH(ROW()-ROW($AK$1),TAB_ressource[ID Import ressources],0)),"")</f>
        <v/>
      </c>
      <c r="AN205" s="26">
        <f t="shared" si="13"/>
        <v>0</v>
      </c>
      <c r="BD205" t="s">
        <v>1225</v>
      </c>
      <c r="BE205" t="s">
        <v>1226</v>
      </c>
      <c r="BF205" t="s">
        <v>1227</v>
      </c>
      <c r="BG205" t="s">
        <v>1225</v>
      </c>
    </row>
    <row r="206" spans="13:59" x14ac:dyDescent="0.25">
      <c r="M206" t="str">
        <f>_xlfn.IFNA(IF(VLOOKUP(TAB_Offres[[#This Row],[Reference]],TAB_Offres[[Reference]:[Request State]],COLUMNS(TAB_Offres[[Reference]:[Request State]]),FALSE)=D$6,TAB_Offres[[#This Row],[Reference]],""),"")</f>
        <v/>
      </c>
      <c r="N206" t="str">
        <f>_xlfn.IFNA(IF(VLOOKUP(TAB_Offres[[#This Row],[Reference]],TAB_Offres[[Reference]:[Has Expenses?]],COLUMNS(TAB_Offres[[Reference]:[Has Expenses?]]),FALSE)=J$2,TAB_Offres[[#This Row],[Reference]],""),"")</f>
        <v/>
      </c>
      <c r="O206" t="str">
        <f>IF(Tableau19[[#This Row],[EXPENSES_REF]]="","",MAX(O$1:O205)+1)</f>
        <v/>
      </c>
      <c r="P206" t="str">
        <f t="shared" si="12"/>
        <v/>
      </c>
      <c r="R206" s="227" t="s">
        <v>5763</v>
      </c>
      <c r="S206" s="230">
        <v>265.23</v>
      </c>
      <c r="T206" s="231">
        <v>283.8</v>
      </c>
      <c r="U206" s="231">
        <v>303.67</v>
      </c>
      <c r="V206" s="231">
        <v>324.93</v>
      </c>
      <c r="W206" s="231">
        <v>347.68</v>
      </c>
      <c r="X206" s="231">
        <v>372.02</v>
      </c>
      <c r="Y206" s="231">
        <v>398.06</v>
      </c>
      <c r="Z206" s="231">
        <v>425.92</v>
      </c>
      <c r="AA206" s="231">
        <v>455.73</v>
      </c>
      <c r="AB206" s="231">
        <v>487.63</v>
      </c>
      <c r="AC206" s="231">
        <v>521.76</v>
      </c>
      <c r="AD206" s="102"/>
      <c r="AI206" s="191" t="str">
        <f>IFERROR(_xlfn.SINGLE(
IF(_xlfn.SINGLE(INDEX(TAB_Offres[Ressource 1],ROWS(Params!AI$2:$AI206)))=0,NA(),
INDEX(TAB_Offres[Ressource 1],ROWS(Params!AI$2:$AI206)))),
IFERROR(_xlfn.SINGLE(IF(_xlfn.SINGLE(INDEX(#REF!,ROWS(Params!AI$2:$AI206)-COUNTA(TAB_Offres[Ressource 1])))=0,NA(),
INDEX(#REF!,ROWS(Params!AI$2:$AI206)-COUNTA(TAB_Offres[Ressource 1])))),
IFERROR(_xlfn.SINGLE(IF(_xlfn.SINGLE(INDEX(#REF!,ROWS(Params!AI$2:$AI206)-COUNTA(#REF!)-COUNTA(TAB_Offres[Ressource 1])))=0,NA(),
INDEX(#REF!,ROWS(Params!AI$2:$AI206)-COUNTA(#REF!)-COUNTA(TAB_Offres[Ressource 1])))),""))
)</f>
        <v/>
      </c>
      <c r="AJ206" s="192" t="str">
        <f>IF(TAB_ressource[[#This Row],[Import Ressource]]="","",MAX(AJ$1:AJ205)+1)</f>
        <v/>
      </c>
      <c r="AK206" s="193" t="str">
        <f>IFERROR(INDEX(TAB_ressource[Import Ressource],MATCH(ROW()-ROW($AK$1),TAB_ressource[ID Import ressources],0)),"")</f>
        <v/>
      </c>
      <c r="AN206" s="26">
        <f t="shared" si="13"/>
        <v>0</v>
      </c>
      <c r="BD206" t="s">
        <v>1228</v>
      </c>
      <c r="BE206" t="s">
        <v>1229</v>
      </c>
      <c r="BF206" t="s">
        <v>1230</v>
      </c>
      <c r="BG206" t="s">
        <v>1228</v>
      </c>
    </row>
    <row r="207" spans="13:59" x14ac:dyDescent="0.25">
      <c r="M207" t="str">
        <f>_xlfn.IFNA(IF(VLOOKUP(TAB_Offres[[#This Row],[Reference]],TAB_Offres[[Reference]:[Request State]],COLUMNS(TAB_Offres[[Reference]:[Request State]]),FALSE)=D$6,TAB_Offres[[#This Row],[Reference]],""),"")</f>
        <v/>
      </c>
      <c r="N207" t="str">
        <f>_xlfn.IFNA(IF(VLOOKUP(TAB_Offres[[#This Row],[Reference]],TAB_Offres[[Reference]:[Has Expenses?]],COLUMNS(TAB_Offres[[Reference]:[Has Expenses?]]),FALSE)=J$2,TAB_Offres[[#This Row],[Reference]],""),"")</f>
        <v/>
      </c>
      <c r="O207" t="str">
        <f>IF(Tableau19[[#This Row],[EXPENSES_REF]]="","",MAX(O$1:O206)+1)</f>
        <v/>
      </c>
      <c r="P207" t="str">
        <f t="shared" si="12"/>
        <v/>
      </c>
      <c r="R207" s="227" t="s">
        <v>5764</v>
      </c>
      <c r="S207" s="230">
        <v>315.75</v>
      </c>
      <c r="T207" s="231">
        <v>337.85</v>
      </c>
      <c r="U207" s="231">
        <v>361.5</v>
      </c>
      <c r="V207" s="231">
        <v>386.81</v>
      </c>
      <c r="W207" s="231">
        <v>413.89</v>
      </c>
      <c r="X207" s="231">
        <v>442.86</v>
      </c>
      <c r="Y207" s="231">
        <v>473.86</v>
      </c>
      <c r="Z207" s="231">
        <v>507.03</v>
      </c>
      <c r="AA207" s="231">
        <v>542.52</v>
      </c>
      <c r="AB207" s="231">
        <v>580.5</v>
      </c>
      <c r="AC207" s="231">
        <v>621.14</v>
      </c>
      <c r="AD207" s="102"/>
      <c r="AI207" s="191" t="str">
        <f>IFERROR(_xlfn.SINGLE(
IF(_xlfn.SINGLE(INDEX(TAB_Offres[Ressource 1],ROWS(Params!AI$2:$AI207)))=0,NA(),
INDEX(TAB_Offres[Ressource 1],ROWS(Params!AI$2:$AI207)))),
IFERROR(_xlfn.SINGLE(IF(_xlfn.SINGLE(INDEX(#REF!,ROWS(Params!AI$2:$AI207)-COUNTA(TAB_Offres[Ressource 1])))=0,NA(),
INDEX(#REF!,ROWS(Params!AI$2:$AI207)-COUNTA(TAB_Offres[Ressource 1])))),
IFERROR(_xlfn.SINGLE(IF(_xlfn.SINGLE(INDEX(#REF!,ROWS(Params!AI$2:$AI207)-COUNTA(#REF!)-COUNTA(TAB_Offres[Ressource 1])))=0,NA(),
INDEX(#REF!,ROWS(Params!AI$2:$AI207)-COUNTA(#REF!)-COUNTA(TAB_Offres[Ressource 1])))),""))
)</f>
        <v/>
      </c>
      <c r="AJ207" s="192" t="str">
        <f>IF(TAB_ressource[[#This Row],[Import Ressource]]="","",MAX(AJ$1:AJ206)+1)</f>
        <v/>
      </c>
      <c r="AK207" s="193" t="str">
        <f>IFERROR(INDEX(TAB_ressource[Import Ressource],MATCH(ROW()-ROW($AK$1),TAB_ressource[ID Import ressources],0)),"")</f>
        <v/>
      </c>
      <c r="AN207" s="26">
        <f t="shared" si="13"/>
        <v>0</v>
      </c>
      <c r="BD207" t="s">
        <v>1231</v>
      </c>
      <c r="BE207" t="s">
        <v>1232</v>
      </c>
      <c r="BF207" t="s">
        <v>1233</v>
      </c>
      <c r="BG207" t="s">
        <v>1231</v>
      </c>
    </row>
    <row r="208" spans="13:59" x14ac:dyDescent="0.25">
      <c r="M208" t="str">
        <f>_xlfn.IFNA(IF(VLOOKUP(TAB_Offres[[#This Row],[Reference]],TAB_Offres[[Reference]:[Request State]],COLUMNS(TAB_Offres[[Reference]:[Request State]]),FALSE)=D$6,TAB_Offres[[#This Row],[Reference]],""),"")</f>
        <v/>
      </c>
      <c r="N208" t="str">
        <f>_xlfn.IFNA(IF(VLOOKUP(TAB_Offres[[#This Row],[Reference]],TAB_Offres[[Reference]:[Has Expenses?]],COLUMNS(TAB_Offres[[Reference]:[Has Expenses?]]),FALSE)=J$2,TAB_Offres[[#This Row],[Reference]],""),"")</f>
        <v/>
      </c>
      <c r="O208" t="str">
        <f>IF(Tableau19[[#This Row],[EXPENSES_REF]]="","",MAX(O$1:O207)+1)</f>
        <v/>
      </c>
      <c r="P208" t="str">
        <f t="shared" si="12"/>
        <v/>
      </c>
      <c r="R208" s="227" t="s">
        <v>5765</v>
      </c>
      <c r="S208" s="230">
        <v>265.23</v>
      </c>
      <c r="T208" s="231">
        <v>283.8</v>
      </c>
      <c r="U208" s="231">
        <v>303.67</v>
      </c>
      <c r="V208" s="231">
        <v>324.93</v>
      </c>
      <c r="W208" s="231">
        <v>347.68</v>
      </c>
      <c r="X208" s="231">
        <v>372.02</v>
      </c>
      <c r="Y208" s="231">
        <v>398.06</v>
      </c>
      <c r="Z208" s="231">
        <v>425.92</v>
      </c>
      <c r="AA208" s="231">
        <v>455.73</v>
      </c>
      <c r="AB208" s="231">
        <v>487.63</v>
      </c>
      <c r="AC208" s="231">
        <v>521.76</v>
      </c>
      <c r="AD208" s="102"/>
      <c r="AI208" s="191" t="str">
        <f>IFERROR(_xlfn.SINGLE(
IF(_xlfn.SINGLE(INDEX(TAB_Offres[Ressource 1],ROWS(Params!AI$2:$AI208)))=0,NA(),
INDEX(TAB_Offres[Ressource 1],ROWS(Params!AI$2:$AI208)))),
IFERROR(_xlfn.SINGLE(IF(_xlfn.SINGLE(INDEX(#REF!,ROWS(Params!AI$2:$AI208)-COUNTA(TAB_Offres[Ressource 1])))=0,NA(),
INDEX(#REF!,ROWS(Params!AI$2:$AI208)-COUNTA(TAB_Offres[Ressource 1])))),
IFERROR(_xlfn.SINGLE(IF(_xlfn.SINGLE(INDEX(#REF!,ROWS(Params!AI$2:$AI208)-COUNTA(#REF!)-COUNTA(TAB_Offres[Ressource 1])))=0,NA(),
INDEX(#REF!,ROWS(Params!AI$2:$AI208)-COUNTA(#REF!)-COUNTA(TAB_Offres[Ressource 1])))),""))
)</f>
        <v/>
      </c>
      <c r="AJ208" s="192" t="str">
        <f>IF(TAB_ressource[[#This Row],[Import Ressource]]="","",MAX(AJ$1:AJ207)+1)</f>
        <v/>
      </c>
      <c r="AK208" s="193" t="str">
        <f>IFERROR(INDEX(TAB_ressource[Import Ressource],MATCH(ROW()-ROW($AK$1),TAB_ressource[ID Import ressources],0)),"")</f>
        <v/>
      </c>
      <c r="AN208" s="26">
        <f t="shared" si="13"/>
        <v>0</v>
      </c>
      <c r="BD208" t="s">
        <v>1234</v>
      </c>
      <c r="BE208" t="s">
        <v>1235</v>
      </c>
      <c r="BF208" t="s">
        <v>1236</v>
      </c>
      <c r="BG208" t="s">
        <v>1234</v>
      </c>
    </row>
    <row r="209" spans="13:59" x14ac:dyDescent="0.25">
      <c r="M209" t="str">
        <f>_xlfn.IFNA(IF(VLOOKUP(TAB_Offres[[#This Row],[Reference]],TAB_Offres[[Reference]:[Request State]],COLUMNS(TAB_Offres[[Reference]:[Request State]]),FALSE)=D$6,TAB_Offres[[#This Row],[Reference]],""),"")</f>
        <v/>
      </c>
      <c r="N209" t="str">
        <f>_xlfn.IFNA(IF(VLOOKUP(TAB_Offres[[#This Row],[Reference]],TAB_Offres[[Reference]:[Has Expenses?]],COLUMNS(TAB_Offres[[Reference]:[Has Expenses?]]),FALSE)=J$2,TAB_Offres[[#This Row],[Reference]],""),"")</f>
        <v/>
      </c>
      <c r="O209" t="str">
        <f>IF(Tableau19[[#This Row],[EXPENSES_REF]]="","",MAX(O$1:O208)+1)</f>
        <v/>
      </c>
      <c r="P209" t="str">
        <f t="shared" si="12"/>
        <v/>
      </c>
      <c r="R209" s="227"/>
      <c r="S209" s="230"/>
      <c r="T209" s="231"/>
      <c r="U209" s="231"/>
      <c r="V209" s="231"/>
      <c r="W209" s="231"/>
      <c r="X209" s="231"/>
      <c r="Y209" s="231"/>
      <c r="Z209" s="231"/>
      <c r="AA209" s="231"/>
      <c r="AB209" s="231"/>
      <c r="AC209" s="231"/>
      <c r="AD209" s="102"/>
      <c r="AI209" s="191" t="str">
        <f>IFERROR(_xlfn.SINGLE(
IF(_xlfn.SINGLE(INDEX(TAB_Offres[Ressource 1],ROWS(Params!AI$2:$AI209)))=0,NA(),
INDEX(TAB_Offres[Ressource 1],ROWS(Params!AI$2:$AI209)))),
IFERROR(_xlfn.SINGLE(IF(_xlfn.SINGLE(INDEX(#REF!,ROWS(Params!AI$2:$AI209)-COUNTA(TAB_Offres[Ressource 1])))=0,NA(),
INDEX(#REF!,ROWS(Params!AI$2:$AI209)-COUNTA(TAB_Offres[Ressource 1])))),
IFERROR(_xlfn.SINGLE(IF(_xlfn.SINGLE(INDEX(#REF!,ROWS(Params!AI$2:$AI209)-COUNTA(#REF!)-COUNTA(TAB_Offres[Ressource 1])))=0,NA(),
INDEX(#REF!,ROWS(Params!AI$2:$AI209)-COUNTA(#REF!)-COUNTA(TAB_Offres[Ressource 1])))),""))
)</f>
        <v/>
      </c>
      <c r="AJ209" s="192" t="str">
        <f>IF(TAB_ressource[[#This Row],[Import Ressource]]="","",MAX(AJ$1:AJ208)+1)</f>
        <v/>
      </c>
      <c r="AK209" s="193" t="str">
        <f>IFERROR(INDEX(TAB_ressource[Import Ressource],MATCH(ROW()-ROW($AK$1),TAB_ressource[ID Import ressources],0)),"")</f>
        <v/>
      </c>
      <c r="AN209" s="26">
        <f t="shared" si="13"/>
        <v>0</v>
      </c>
      <c r="BD209" t="s">
        <v>1237</v>
      </c>
      <c r="BE209" t="s">
        <v>1238</v>
      </c>
      <c r="BF209" t="s">
        <v>1239</v>
      </c>
      <c r="BG209" t="s">
        <v>1237</v>
      </c>
    </row>
    <row r="210" spans="13:59" ht="26.4" x14ac:dyDescent="0.25">
      <c r="M210" t="str">
        <f>_xlfn.IFNA(IF(VLOOKUP(TAB_Offres[[#This Row],[Reference]],TAB_Offres[[Reference]:[Request State]],COLUMNS(TAB_Offres[[Reference]:[Request State]]),FALSE)=D$6,TAB_Offres[[#This Row],[Reference]],""),"")</f>
        <v/>
      </c>
      <c r="N210" t="str">
        <f>_xlfn.IFNA(IF(VLOOKUP(TAB_Offres[[#This Row],[Reference]],TAB_Offres[[Reference]:[Has Expenses?]],COLUMNS(TAB_Offres[[Reference]:[Has Expenses?]]),FALSE)=J$2,TAB_Offres[[#This Row],[Reference]],""),"")</f>
        <v/>
      </c>
      <c r="O210" t="str">
        <f>IF(Tableau19[[#This Row],[EXPENSES_REF]]="","",MAX(O$1:O209)+1)</f>
        <v/>
      </c>
      <c r="P210" t="str">
        <f t="shared" si="12"/>
        <v/>
      </c>
      <c r="R210" s="229" t="s">
        <v>5422</v>
      </c>
      <c r="S210" s="101"/>
      <c r="T210" s="228"/>
      <c r="U210" s="228"/>
      <c r="V210" s="228"/>
      <c r="W210" s="228"/>
      <c r="X210" s="228"/>
      <c r="Y210" s="228"/>
      <c r="Z210" s="228"/>
      <c r="AA210" s="228"/>
      <c r="AB210" s="228"/>
      <c r="AC210" s="228"/>
      <c r="AD210" s="102"/>
      <c r="AI210" s="191" t="str">
        <f>IFERROR(_xlfn.SINGLE(
IF(_xlfn.SINGLE(INDEX(TAB_Offres[Ressource 1],ROWS(Params!AI$2:$AI210)))=0,NA(),
INDEX(TAB_Offres[Ressource 1],ROWS(Params!AI$2:$AI210)))),
IFERROR(_xlfn.SINGLE(IF(_xlfn.SINGLE(INDEX(#REF!,ROWS(Params!AI$2:$AI210)-COUNTA(TAB_Offres[Ressource 1])))=0,NA(),
INDEX(#REF!,ROWS(Params!AI$2:$AI210)-COUNTA(TAB_Offres[Ressource 1])))),
IFERROR(_xlfn.SINGLE(IF(_xlfn.SINGLE(INDEX(#REF!,ROWS(Params!AI$2:$AI210)-COUNTA(#REF!)-COUNTA(TAB_Offres[Ressource 1])))=0,NA(),
INDEX(#REF!,ROWS(Params!AI$2:$AI210)-COUNTA(#REF!)-COUNTA(TAB_Offres[Ressource 1])))),""))
)</f>
        <v/>
      </c>
      <c r="AJ210" s="192" t="str">
        <f>IF(TAB_ressource[[#This Row],[Import Ressource]]="","",MAX(AJ$1:AJ209)+1)</f>
        <v/>
      </c>
      <c r="AK210" s="193" t="str">
        <f>IFERROR(INDEX(TAB_ressource[Import Ressource],MATCH(ROW()-ROW($AK$1),TAB_ressource[ID Import ressources],0)),"")</f>
        <v/>
      </c>
      <c r="AN210" s="26">
        <f t="shared" si="13"/>
        <v>0</v>
      </c>
      <c r="BD210" t="s">
        <v>1240</v>
      </c>
      <c r="BE210" t="s">
        <v>1241</v>
      </c>
      <c r="BF210" t="s">
        <v>1242</v>
      </c>
      <c r="BG210" t="s">
        <v>1240</v>
      </c>
    </row>
    <row r="211" spans="13:59" x14ac:dyDescent="0.25">
      <c r="M211" t="str">
        <f>_xlfn.IFNA(IF(VLOOKUP(TAB_Offres[[#This Row],[Reference]],TAB_Offres[[Reference]:[Request State]],COLUMNS(TAB_Offres[[Reference]:[Request State]]),FALSE)=D$6,TAB_Offres[[#This Row],[Reference]],""),"")</f>
        <v/>
      </c>
      <c r="N211" t="str">
        <f>_xlfn.IFNA(IF(VLOOKUP(TAB_Offres[[#This Row],[Reference]],TAB_Offres[[Reference]:[Has Expenses?]],COLUMNS(TAB_Offres[[Reference]:[Has Expenses?]]),FALSE)=J$2,TAB_Offres[[#This Row],[Reference]],""),"")</f>
        <v/>
      </c>
      <c r="O211" t="str">
        <f>IF(Tableau19[[#This Row],[EXPENSES_REF]]="","",MAX(O$1:O210)+1)</f>
        <v/>
      </c>
      <c r="P211" t="str">
        <f t="shared" si="12"/>
        <v/>
      </c>
      <c r="R211" s="227"/>
      <c r="S211" s="101"/>
      <c r="T211" s="228"/>
      <c r="U211" s="228"/>
      <c r="V211" s="228"/>
      <c r="W211" s="228"/>
      <c r="X211" s="228"/>
      <c r="Y211" s="228"/>
      <c r="Z211" s="228"/>
      <c r="AA211" s="228"/>
      <c r="AB211" s="228"/>
      <c r="AC211" s="228"/>
      <c r="AD211" s="102"/>
      <c r="AI211" s="191" t="str">
        <f>IFERROR(_xlfn.SINGLE(
IF(_xlfn.SINGLE(INDEX(TAB_Offres[Ressource 1],ROWS(Params!AI$2:$AI211)))=0,NA(),
INDEX(TAB_Offres[Ressource 1],ROWS(Params!AI$2:$AI211)))),
IFERROR(_xlfn.SINGLE(IF(_xlfn.SINGLE(INDEX(#REF!,ROWS(Params!AI$2:$AI211)-COUNTA(TAB_Offres[Ressource 1])))=0,NA(),
INDEX(#REF!,ROWS(Params!AI$2:$AI211)-COUNTA(TAB_Offres[Ressource 1])))),
IFERROR(_xlfn.SINGLE(IF(_xlfn.SINGLE(INDEX(#REF!,ROWS(Params!AI$2:$AI211)-COUNTA(#REF!)-COUNTA(TAB_Offres[Ressource 1])))=0,NA(),
INDEX(#REF!,ROWS(Params!AI$2:$AI211)-COUNTA(#REF!)-COUNTA(TAB_Offres[Ressource 1])))),""))
)</f>
        <v/>
      </c>
      <c r="AJ211" s="192" t="str">
        <f>IF(TAB_ressource[[#This Row],[Import Ressource]]="","",MAX(AJ$1:AJ210)+1)</f>
        <v/>
      </c>
      <c r="AK211" s="193" t="str">
        <f>IFERROR(INDEX(TAB_ressource[Import Ressource],MATCH(ROW()-ROW($AK$1),TAB_ressource[ID Import ressources],0)),"")</f>
        <v/>
      </c>
      <c r="AN211" s="26">
        <f t="shared" si="13"/>
        <v>0</v>
      </c>
      <c r="BD211" t="s">
        <v>1243</v>
      </c>
      <c r="BE211" t="s">
        <v>1244</v>
      </c>
      <c r="BF211" t="s">
        <v>1245</v>
      </c>
      <c r="BG211" t="s">
        <v>1243</v>
      </c>
    </row>
    <row r="212" spans="13:59" x14ac:dyDescent="0.25">
      <c r="M212" t="str">
        <f>_xlfn.IFNA(IF(VLOOKUP(TAB_Offres[[#This Row],[Reference]],TAB_Offres[[Reference]:[Request State]],COLUMNS(TAB_Offres[[Reference]:[Request State]]),FALSE)=D$6,TAB_Offres[[#This Row],[Reference]],""),"")</f>
        <v/>
      </c>
      <c r="N212" t="str">
        <f>_xlfn.IFNA(IF(VLOOKUP(TAB_Offres[[#This Row],[Reference]],TAB_Offres[[Reference]:[Has Expenses?]],COLUMNS(TAB_Offres[[Reference]:[Has Expenses?]]),FALSE)=J$2,TAB_Offres[[#This Row],[Reference]],""),"")</f>
        <v/>
      </c>
      <c r="O212" t="str">
        <f>IF(Tableau19[[#This Row],[EXPENSES_REF]]="","",MAX(O$1:O211)+1)</f>
        <v/>
      </c>
      <c r="P212" t="str">
        <f t="shared" si="12"/>
        <v/>
      </c>
      <c r="R212" s="634" t="s">
        <v>6109</v>
      </c>
      <c r="S212" s="637"/>
      <c r="T212" s="638"/>
      <c r="U212" s="638"/>
      <c r="V212" s="638"/>
      <c r="W212" s="638"/>
      <c r="X212" s="638"/>
      <c r="Y212" s="638"/>
      <c r="Z212" s="638"/>
      <c r="AA212" s="638"/>
      <c r="AB212" s="638"/>
      <c r="AC212" s="638"/>
      <c r="AD212" s="112"/>
      <c r="AI212" s="191" t="str">
        <f>IFERROR(_xlfn.SINGLE(
IF(_xlfn.SINGLE(INDEX(TAB_Offres[Ressource 1],ROWS(Params!AI$2:$AI212)))=0,NA(),
INDEX(TAB_Offres[Ressource 1],ROWS(Params!AI$2:$AI212)))),
IFERROR(_xlfn.SINGLE(IF(_xlfn.SINGLE(INDEX(#REF!,ROWS(Params!AI$2:$AI212)-COUNTA(TAB_Offres[Ressource 1])))=0,NA(),
INDEX(#REF!,ROWS(Params!AI$2:$AI212)-COUNTA(TAB_Offres[Ressource 1])))),
IFERROR(_xlfn.SINGLE(IF(_xlfn.SINGLE(INDEX(#REF!,ROWS(Params!AI$2:$AI212)-COUNTA(#REF!)-COUNTA(TAB_Offres[Ressource 1])))=0,NA(),
INDEX(#REF!,ROWS(Params!AI$2:$AI212)-COUNTA(#REF!)-COUNTA(TAB_Offres[Ressource 1])))),""))
)</f>
        <v/>
      </c>
      <c r="AJ212" s="192" t="str">
        <f>IF(TAB_ressource[[#This Row],[Import Ressource]]="","",MAX(AJ$1:AJ211)+1)</f>
        <v/>
      </c>
      <c r="AK212" s="193" t="str">
        <f>IFERROR(INDEX(TAB_ressource[Import Ressource],MATCH(ROW()-ROW($AK$1),TAB_ressource[ID Import ressources],0)),"")</f>
        <v/>
      </c>
      <c r="AN212" s="26">
        <f t="shared" si="13"/>
        <v>0</v>
      </c>
      <c r="BD212" t="s">
        <v>1246</v>
      </c>
      <c r="BE212" t="s">
        <v>1247</v>
      </c>
      <c r="BF212" t="s">
        <v>1248</v>
      </c>
      <c r="BG212" t="s">
        <v>1246</v>
      </c>
    </row>
    <row r="213" spans="13:59" ht="26.4" x14ac:dyDescent="0.25">
      <c r="M213" t="str">
        <f>_xlfn.IFNA(IF(VLOOKUP(TAB_Offres[[#This Row],[Reference]],TAB_Offres[[Reference]:[Request State]],COLUMNS(TAB_Offres[[Reference]:[Request State]]),FALSE)=D$6,TAB_Offres[[#This Row],[Reference]],""),"")</f>
        <v/>
      </c>
      <c r="N213" t="str">
        <f>_xlfn.IFNA(IF(VLOOKUP(TAB_Offres[[#This Row],[Reference]],TAB_Offres[[Reference]:[Has Expenses?]],COLUMNS(TAB_Offres[[Reference]:[Has Expenses?]]),FALSE)=J$2,TAB_Offres[[#This Row],[Reference]],""),"")</f>
        <v/>
      </c>
      <c r="O213" t="str">
        <f>IF(Tableau19[[#This Row],[EXPENSES_REF]]="","",MAX(O$1:O212)+1)</f>
        <v/>
      </c>
      <c r="P213" t="str">
        <f t="shared" si="12"/>
        <v/>
      </c>
      <c r="R213" s="634" t="s">
        <v>6110</v>
      </c>
      <c r="S213" s="637"/>
      <c r="T213" s="638"/>
      <c r="U213" s="638"/>
      <c r="V213" s="638"/>
      <c r="W213" s="638"/>
      <c r="X213" s="638"/>
      <c r="Y213" s="638"/>
      <c r="Z213" s="638"/>
      <c r="AA213" s="638"/>
      <c r="AB213" s="638"/>
      <c r="AC213" s="638"/>
      <c r="AD213" s="112"/>
      <c r="AI213" s="191" t="str">
        <f>IFERROR(_xlfn.SINGLE(
IF(_xlfn.SINGLE(INDEX(TAB_Offres[Ressource 1],ROWS(Params!AI$2:$AI213)))=0,NA(),
INDEX(TAB_Offres[Ressource 1],ROWS(Params!AI$2:$AI213)))),
IFERROR(_xlfn.SINGLE(IF(_xlfn.SINGLE(INDEX(#REF!,ROWS(Params!AI$2:$AI213)-COUNTA(TAB_Offres[Ressource 1])))=0,NA(),
INDEX(#REF!,ROWS(Params!AI$2:$AI213)-COUNTA(TAB_Offres[Ressource 1])))),
IFERROR(_xlfn.SINGLE(IF(_xlfn.SINGLE(INDEX(#REF!,ROWS(Params!AI$2:$AI213)-COUNTA(#REF!)-COUNTA(TAB_Offres[Ressource 1])))=0,NA(),
INDEX(#REF!,ROWS(Params!AI$2:$AI213)-COUNTA(#REF!)-COUNTA(TAB_Offres[Ressource 1])))),""))
)</f>
        <v/>
      </c>
      <c r="AJ213" s="192" t="str">
        <f>IF(TAB_ressource[[#This Row],[Import Ressource]]="","",MAX(AJ$1:AJ212)+1)</f>
        <v/>
      </c>
      <c r="AK213" s="193" t="str">
        <f>IFERROR(INDEX(TAB_ressource[Import Ressource],MATCH(ROW()-ROW($AK$1),TAB_ressource[ID Import ressources],0)),"")</f>
        <v/>
      </c>
      <c r="AN213" s="26">
        <f t="shared" si="13"/>
        <v>0</v>
      </c>
      <c r="BD213" t="s">
        <v>1249</v>
      </c>
      <c r="BE213" t="s">
        <v>1250</v>
      </c>
      <c r="BF213" t="s">
        <v>1251</v>
      </c>
      <c r="BG213" t="s">
        <v>1249</v>
      </c>
    </row>
    <row r="214" spans="13:59" x14ac:dyDescent="0.25">
      <c r="M214" t="str">
        <f>_xlfn.IFNA(IF(VLOOKUP(TAB_Offres[[#This Row],[Reference]],TAB_Offres[[Reference]:[Request State]],COLUMNS(TAB_Offres[[Reference]:[Request State]]),FALSE)=D$6,TAB_Offres[[#This Row],[Reference]],""),"")</f>
        <v/>
      </c>
      <c r="N214" t="str">
        <f>_xlfn.IFNA(IF(VLOOKUP(TAB_Offres[[#This Row],[Reference]],TAB_Offres[[Reference]:[Has Expenses?]],COLUMNS(TAB_Offres[[Reference]:[Has Expenses?]]),FALSE)=J$2,TAB_Offres[[#This Row],[Reference]],""),"")</f>
        <v/>
      </c>
      <c r="O214" t="str">
        <f>IF(Tableau19[[#This Row],[EXPENSES_REF]]="","",MAX(O$1:O213)+1)</f>
        <v/>
      </c>
      <c r="P214" t="str">
        <f t="shared" si="12"/>
        <v/>
      </c>
      <c r="R214" s="635" t="s">
        <v>6111</v>
      </c>
      <c r="S214" s="637">
        <v>280.95</v>
      </c>
      <c r="T214" s="638">
        <v>300.62</v>
      </c>
      <c r="U214" s="638">
        <v>321.66000000000003</v>
      </c>
      <c r="V214" s="638">
        <v>344.18</v>
      </c>
      <c r="W214" s="638">
        <v>368.27</v>
      </c>
      <c r="X214" s="638">
        <v>394.05</v>
      </c>
      <c r="Y214" s="638">
        <v>421.63</v>
      </c>
      <c r="Z214" s="638">
        <v>451.14</v>
      </c>
      <c r="AA214" s="638">
        <v>482.72</v>
      </c>
      <c r="AB214" s="638">
        <v>516.51</v>
      </c>
      <c r="AC214" s="638">
        <v>552.66999999999996</v>
      </c>
      <c r="AD214" s="112"/>
      <c r="AI214" s="191" t="str">
        <f>IFERROR(_xlfn.SINGLE(
IF(_xlfn.SINGLE(INDEX(TAB_Offres[Ressource 1],ROWS(Params!AI$2:$AI214)))=0,NA(),
INDEX(TAB_Offres[Ressource 1],ROWS(Params!AI$2:$AI214)))),
IFERROR(_xlfn.SINGLE(IF(_xlfn.SINGLE(INDEX(#REF!,ROWS(Params!AI$2:$AI214)-COUNTA(TAB_Offres[Ressource 1])))=0,NA(),
INDEX(#REF!,ROWS(Params!AI$2:$AI214)-COUNTA(TAB_Offres[Ressource 1])))),
IFERROR(_xlfn.SINGLE(IF(_xlfn.SINGLE(INDEX(#REF!,ROWS(Params!AI$2:$AI214)-COUNTA(#REF!)-COUNTA(TAB_Offres[Ressource 1])))=0,NA(),
INDEX(#REF!,ROWS(Params!AI$2:$AI214)-COUNTA(#REF!)-COUNTA(TAB_Offres[Ressource 1])))),""))
)</f>
        <v/>
      </c>
      <c r="AJ214" s="192" t="str">
        <f>IF(TAB_ressource[[#This Row],[Import Ressource]]="","",MAX(AJ$1:AJ213)+1)</f>
        <v/>
      </c>
      <c r="AK214" s="193" t="str">
        <f>IFERROR(INDEX(TAB_ressource[Import Ressource],MATCH(ROW()-ROW($AK$1),TAB_ressource[ID Import ressources],0)),"")</f>
        <v/>
      </c>
      <c r="AN214" s="26">
        <f t="shared" si="13"/>
        <v>0</v>
      </c>
      <c r="BD214" t="s">
        <v>1252</v>
      </c>
      <c r="BE214" t="s">
        <v>1253</v>
      </c>
      <c r="BF214" t="s">
        <v>1254</v>
      </c>
      <c r="BG214" t="s">
        <v>1252</v>
      </c>
    </row>
    <row r="215" spans="13:59" x14ac:dyDescent="0.25">
      <c r="M215" t="str">
        <f>_xlfn.IFNA(IF(VLOOKUP(TAB_Offres[[#This Row],[Reference]],TAB_Offres[[Reference]:[Request State]],COLUMNS(TAB_Offres[[Reference]:[Request State]]),FALSE)=D$6,TAB_Offres[[#This Row],[Reference]],""),"")</f>
        <v/>
      </c>
      <c r="N215" t="str">
        <f>_xlfn.IFNA(IF(VLOOKUP(TAB_Offres[[#This Row],[Reference]],TAB_Offres[[Reference]:[Has Expenses?]],COLUMNS(TAB_Offres[[Reference]:[Has Expenses?]]),FALSE)=J$2,TAB_Offres[[#This Row],[Reference]],""),"")</f>
        <v/>
      </c>
      <c r="O215" t="str">
        <f>IF(Tableau19[[#This Row],[EXPENSES_REF]]="","",MAX(O$1:O214)+1)</f>
        <v/>
      </c>
      <c r="P215" t="str">
        <f t="shared" si="12"/>
        <v/>
      </c>
      <c r="R215" s="635" t="s">
        <v>6112</v>
      </c>
      <c r="S215" s="637">
        <v>280.95</v>
      </c>
      <c r="T215" s="638">
        <v>300.62</v>
      </c>
      <c r="U215" s="638">
        <v>321.66000000000003</v>
      </c>
      <c r="V215" s="638">
        <v>344.18</v>
      </c>
      <c r="W215" s="638">
        <v>368.27</v>
      </c>
      <c r="X215" s="638">
        <v>394.05</v>
      </c>
      <c r="Y215" s="638">
        <v>421.63</v>
      </c>
      <c r="Z215" s="638">
        <v>451.14</v>
      </c>
      <c r="AA215" s="638">
        <v>482.72</v>
      </c>
      <c r="AB215" s="638">
        <v>516.51</v>
      </c>
      <c r="AC215" s="638">
        <v>552.66999999999996</v>
      </c>
      <c r="AD215" s="112"/>
      <c r="AI215" s="191" t="str">
        <f>IFERROR(_xlfn.SINGLE(
IF(_xlfn.SINGLE(INDEX(TAB_Offres[Ressource 1],ROWS(Params!AI$2:$AI215)))=0,NA(),
INDEX(TAB_Offres[Ressource 1],ROWS(Params!AI$2:$AI215)))),
IFERROR(_xlfn.SINGLE(IF(_xlfn.SINGLE(INDEX(#REF!,ROWS(Params!AI$2:$AI215)-COUNTA(TAB_Offres[Ressource 1])))=0,NA(),
INDEX(#REF!,ROWS(Params!AI$2:$AI215)-COUNTA(TAB_Offres[Ressource 1])))),
IFERROR(_xlfn.SINGLE(IF(_xlfn.SINGLE(INDEX(#REF!,ROWS(Params!AI$2:$AI215)-COUNTA(#REF!)-COUNTA(TAB_Offres[Ressource 1])))=0,NA(),
INDEX(#REF!,ROWS(Params!AI$2:$AI215)-COUNTA(#REF!)-COUNTA(TAB_Offres[Ressource 1])))),""))
)</f>
        <v/>
      </c>
      <c r="AJ215" s="192" t="str">
        <f>IF(TAB_ressource[[#This Row],[Import Ressource]]="","",MAX(AJ$1:AJ214)+1)</f>
        <v/>
      </c>
      <c r="AK215" s="193" t="str">
        <f>IFERROR(INDEX(TAB_ressource[Import Ressource],MATCH(ROW()-ROW($AK$1),TAB_ressource[ID Import ressources],0)),"")</f>
        <v/>
      </c>
      <c r="AN215" s="26">
        <f t="shared" si="13"/>
        <v>0</v>
      </c>
      <c r="BD215" t="s">
        <v>1255</v>
      </c>
      <c r="BE215" t="s">
        <v>1256</v>
      </c>
      <c r="BF215" t="s">
        <v>1257</v>
      </c>
      <c r="BG215" t="s">
        <v>1255</v>
      </c>
    </row>
    <row r="216" spans="13:59" x14ac:dyDescent="0.25">
      <c r="M216" t="str">
        <f>_xlfn.IFNA(IF(VLOOKUP(TAB_Offres[[#This Row],[Reference]],TAB_Offres[[Reference]:[Request State]],COLUMNS(TAB_Offres[[Reference]:[Request State]]),FALSE)=D$6,TAB_Offres[[#This Row],[Reference]],""),"")</f>
        <v/>
      </c>
      <c r="N216" t="str">
        <f>_xlfn.IFNA(IF(VLOOKUP(TAB_Offres[[#This Row],[Reference]],TAB_Offres[[Reference]:[Has Expenses?]],COLUMNS(TAB_Offres[[Reference]:[Has Expenses?]]),FALSE)=J$2,TAB_Offres[[#This Row],[Reference]],""),"")</f>
        <v/>
      </c>
      <c r="O216" t="str">
        <f>IF(Tableau19[[#This Row],[EXPENSES_REF]]="","",MAX(O$1:O215)+1)</f>
        <v/>
      </c>
      <c r="P216" t="str">
        <f t="shared" si="12"/>
        <v/>
      </c>
      <c r="R216" s="635" t="s">
        <v>6113</v>
      </c>
      <c r="S216" s="637">
        <v>361.63</v>
      </c>
      <c r="T216" s="638">
        <v>386.94</v>
      </c>
      <c r="U216" s="638">
        <v>414.03</v>
      </c>
      <c r="V216" s="638">
        <v>443.01</v>
      </c>
      <c r="W216" s="638">
        <v>474.02</v>
      </c>
      <c r="X216" s="638">
        <v>507.2</v>
      </c>
      <c r="Y216" s="638">
        <v>542.70000000000005</v>
      </c>
      <c r="Z216" s="638">
        <v>580.69000000000005</v>
      </c>
      <c r="AA216" s="638">
        <v>621.34</v>
      </c>
      <c r="AB216" s="638">
        <v>664.83</v>
      </c>
      <c r="AC216" s="638">
        <v>711.37</v>
      </c>
      <c r="AD216" s="112"/>
      <c r="AI216" s="191" t="str">
        <f>IFERROR(_xlfn.SINGLE(
IF(_xlfn.SINGLE(INDEX(TAB_Offres[Ressource 1],ROWS(Params!AI$2:$AI216)))=0,NA(),
INDEX(TAB_Offres[Ressource 1],ROWS(Params!AI$2:$AI216)))),
IFERROR(_xlfn.SINGLE(IF(_xlfn.SINGLE(INDEX(#REF!,ROWS(Params!AI$2:$AI216)-COUNTA(TAB_Offres[Ressource 1])))=0,NA(),
INDEX(#REF!,ROWS(Params!AI$2:$AI216)-COUNTA(TAB_Offres[Ressource 1])))),
IFERROR(_xlfn.SINGLE(IF(_xlfn.SINGLE(INDEX(#REF!,ROWS(Params!AI$2:$AI216)-COUNTA(#REF!)-COUNTA(TAB_Offres[Ressource 1])))=0,NA(),
INDEX(#REF!,ROWS(Params!AI$2:$AI216)-COUNTA(#REF!)-COUNTA(TAB_Offres[Ressource 1])))),""))
)</f>
        <v/>
      </c>
      <c r="AJ216" s="192" t="str">
        <f>IF(TAB_ressource[[#This Row],[Import Ressource]]="","",MAX(AJ$1:AJ215)+1)</f>
        <v/>
      </c>
      <c r="AK216" s="193" t="str">
        <f>IFERROR(INDEX(TAB_ressource[Import Ressource],MATCH(ROW()-ROW($AK$1),TAB_ressource[ID Import ressources],0)),"")</f>
        <v/>
      </c>
      <c r="AN216" s="26">
        <f t="shared" si="13"/>
        <v>0</v>
      </c>
      <c r="BD216" t="s">
        <v>1258</v>
      </c>
      <c r="BE216" t="s">
        <v>1259</v>
      </c>
      <c r="BF216" t="s">
        <v>1260</v>
      </c>
      <c r="BG216" t="s">
        <v>1258</v>
      </c>
    </row>
    <row r="217" spans="13:59" x14ac:dyDescent="0.25">
      <c r="M217" t="str">
        <f>_xlfn.IFNA(IF(VLOOKUP(TAB_Offres[[#This Row],[Reference]],TAB_Offres[[Reference]:[Request State]],COLUMNS(TAB_Offres[[Reference]:[Request State]]),FALSE)=D$6,TAB_Offres[[#This Row],[Reference]],""),"")</f>
        <v/>
      </c>
      <c r="N217" t="str">
        <f>_xlfn.IFNA(IF(VLOOKUP(TAB_Offres[[#This Row],[Reference]],TAB_Offres[[Reference]:[Has Expenses?]],COLUMNS(TAB_Offres[[Reference]:[Has Expenses?]]),FALSE)=J$2,TAB_Offres[[#This Row],[Reference]],""),"")</f>
        <v/>
      </c>
      <c r="O217" t="str">
        <f>IF(Tableau19[[#This Row],[EXPENSES_REF]]="","",MAX(O$1:O216)+1)</f>
        <v/>
      </c>
      <c r="P217" t="str">
        <f t="shared" si="12"/>
        <v/>
      </c>
      <c r="R217" s="635" t="s">
        <v>6114</v>
      </c>
      <c r="S217" s="637">
        <v>364.87</v>
      </c>
      <c r="T217" s="638">
        <v>390.41</v>
      </c>
      <c r="U217" s="638">
        <v>417.74</v>
      </c>
      <c r="V217" s="638">
        <v>446.98</v>
      </c>
      <c r="W217" s="638">
        <v>478.27</v>
      </c>
      <c r="X217" s="638">
        <v>511.75</v>
      </c>
      <c r="Y217" s="638">
        <v>547.57000000000005</v>
      </c>
      <c r="Z217" s="638">
        <v>585.9</v>
      </c>
      <c r="AA217" s="638">
        <v>626.91</v>
      </c>
      <c r="AB217" s="638">
        <v>670.79</v>
      </c>
      <c r="AC217" s="638">
        <v>717.75</v>
      </c>
      <c r="AD217" s="112"/>
      <c r="AI217" s="191" t="str">
        <f>IFERROR(_xlfn.SINGLE(
IF(_xlfn.SINGLE(INDEX(TAB_Offres[Ressource 1],ROWS(Params!AI$2:$AI217)))=0,NA(),
INDEX(TAB_Offres[Ressource 1],ROWS(Params!AI$2:$AI217)))),
IFERROR(_xlfn.SINGLE(IF(_xlfn.SINGLE(INDEX(#REF!,ROWS(Params!AI$2:$AI217)-COUNTA(TAB_Offres[Ressource 1])))=0,NA(),
INDEX(#REF!,ROWS(Params!AI$2:$AI217)-COUNTA(TAB_Offres[Ressource 1])))),
IFERROR(_xlfn.SINGLE(IF(_xlfn.SINGLE(INDEX(#REF!,ROWS(Params!AI$2:$AI217)-COUNTA(#REF!)-COUNTA(TAB_Offres[Ressource 1])))=0,NA(),
INDEX(#REF!,ROWS(Params!AI$2:$AI217)-COUNTA(#REF!)-COUNTA(TAB_Offres[Ressource 1])))),""))
)</f>
        <v/>
      </c>
      <c r="AJ217" s="192" t="str">
        <f>IF(TAB_ressource[[#This Row],[Import Ressource]]="","",MAX(AJ$1:AJ216)+1)</f>
        <v/>
      </c>
      <c r="AK217" s="193" t="str">
        <f>IFERROR(INDEX(TAB_ressource[Import Ressource],MATCH(ROW()-ROW($AK$1),TAB_ressource[ID Import ressources],0)),"")</f>
        <v/>
      </c>
      <c r="AN217" s="26">
        <f t="shared" si="13"/>
        <v>0</v>
      </c>
      <c r="BD217" t="s">
        <v>1261</v>
      </c>
      <c r="BE217" t="s">
        <v>1262</v>
      </c>
      <c r="BF217" t="s">
        <v>1263</v>
      </c>
      <c r="BG217" t="s">
        <v>1261</v>
      </c>
    </row>
    <row r="218" spans="13:59" x14ac:dyDescent="0.25">
      <c r="M218" t="str">
        <f>_xlfn.IFNA(IF(VLOOKUP(TAB_Offres[[#This Row],[Reference]],TAB_Offres[[Reference]:[Request State]],COLUMNS(TAB_Offres[[Reference]:[Request State]]),FALSE)=D$6,TAB_Offres[[#This Row],[Reference]],""),"")</f>
        <v/>
      </c>
      <c r="N218" t="str">
        <f>_xlfn.IFNA(IF(VLOOKUP(TAB_Offres[[#This Row],[Reference]],TAB_Offres[[Reference]:[Has Expenses?]],COLUMNS(TAB_Offres[[Reference]:[Has Expenses?]]),FALSE)=J$2,TAB_Offres[[#This Row],[Reference]],""),"")</f>
        <v/>
      </c>
      <c r="O218" t="str">
        <f>IF(Tableau19[[#This Row],[EXPENSES_REF]]="","",MAX(O$1:O217)+1)</f>
        <v/>
      </c>
      <c r="P218" t="str">
        <f t="shared" si="12"/>
        <v/>
      </c>
      <c r="R218" s="635" t="s">
        <v>6115</v>
      </c>
      <c r="S218" s="637">
        <v>280.67</v>
      </c>
      <c r="T218" s="638">
        <v>300.32</v>
      </c>
      <c r="U218" s="638">
        <v>321.33999999999997</v>
      </c>
      <c r="V218" s="638">
        <v>343.83</v>
      </c>
      <c r="W218" s="638">
        <v>367.9</v>
      </c>
      <c r="X218" s="638">
        <v>393.65</v>
      </c>
      <c r="Y218" s="638">
        <v>421.21</v>
      </c>
      <c r="Z218" s="638">
        <v>450.69</v>
      </c>
      <c r="AA218" s="638">
        <v>482.24</v>
      </c>
      <c r="AB218" s="638">
        <v>516</v>
      </c>
      <c r="AC218" s="638">
        <v>552.12</v>
      </c>
      <c r="AD218" s="112"/>
      <c r="AI218" s="191" t="str">
        <f>IFERROR(_xlfn.SINGLE(
IF(_xlfn.SINGLE(INDEX(TAB_Offres[Ressource 1],ROWS(Params!AI$2:$AI218)))=0,NA(),
INDEX(TAB_Offres[Ressource 1],ROWS(Params!AI$2:$AI218)))),
IFERROR(_xlfn.SINGLE(IF(_xlfn.SINGLE(INDEX(#REF!,ROWS(Params!AI$2:$AI218)-COUNTA(TAB_Offres[Ressource 1])))=0,NA(),
INDEX(#REF!,ROWS(Params!AI$2:$AI218)-COUNTA(TAB_Offres[Ressource 1])))),
IFERROR(_xlfn.SINGLE(IF(_xlfn.SINGLE(INDEX(#REF!,ROWS(Params!AI$2:$AI218)-COUNTA(#REF!)-COUNTA(TAB_Offres[Ressource 1])))=0,NA(),
INDEX(#REF!,ROWS(Params!AI$2:$AI218)-COUNTA(#REF!)-COUNTA(TAB_Offres[Ressource 1])))),""))
)</f>
        <v/>
      </c>
      <c r="AJ218" s="192" t="str">
        <f>IF(TAB_ressource[[#This Row],[Import Ressource]]="","",MAX(AJ$1:AJ217)+1)</f>
        <v/>
      </c>
      <c r="AK218" s="193" t="str">
        <f>IFERROR(INDEX(TAB_ressource[Import Ressource],MATCH(ROW()-ROW($AK$1),TAB_ressource[ID Import ressources],0)),"")</f>
        <v/>
      </c>
      <c r="AN218" s="26">
        <f t="shared" si="13"/>
        <v>0</v>
      </c>
      <c r="BD218" t="s">
        <v>1264</v>
      </c>
      <c r="BE218" t="s">
        <v>1265</v>
      </c>
      <c r="BF218" t="s">
        <v>1266</v>
      </c>
      <c r="BG218" t="s">
        <v>1264</v>
      </c>
    </row>
    <row r="219" spans="13:59" x14ac:dyDescent="0.25">
      <c r="M219" t="str">
        <f>_xlfn.IFNA(IF(VLOOKUP(TAB_Offres[[#This Row],[Reference]],TAB_Offres[[Reference]:[Request State]],COLUMNS(TAB_Offres[[Reference]:[Request State]]),FALSE)=D$6,TAB_Offres[[#This Row],[Reference]],""),"")</f>
        <v/>
      </c>
      <c r="N219" t="str">
        <f>_xlfn.IFNA(IF(VLOOKUP(TAB_Offres[[#This Row],[Reference]],TAB_Offres[[Reference]:[Has Expenses?]],COLUMNS(TAB_Offres[[Reference]:[Has Expenses?]]),FALSE)=J$2,TAB_Offres[[#This Row],[Reference]],""),"")</f>
        <v/>
      </c>
      <c r="O219" t="str">
        <f>IF(Tableau19[[#This Row],[EXPENSES_REF]]="","",MAX(O$1:O218)+1)</f>
        <v/>
      </c>
      <c r="P219" t="str">
        <f t="shared" si="12"/>
        <v/>
      </c>
      <c r="R219" s="635" t="s">
        <v>6116</v>
      </c>
      <c r="S219" s="637">
        <v>280.95</v>
      </c>
      <c r="T219" s="638">
        <v>300.62</v>
      </c>
      <c r="U219" s="638">
        <v>321.66000000000003</v>
      </c>
      <c r="V219" s="638">
        <v>344.18</v>
      </c>
      <c r="W219" s="638">
        <v>368.27</v>
      </c>
      <c r="X219" s="638">
        <v>394.05</v>
      </c>
      <c r="Y219" s="638">
        <v>421.63</v>
      </c>
      <c r="Z219" s="638">
        <v>451.14</v>
      </c>
      <c r="AA219" s="638">
        <v>482.72</v>
      </c>
      <c r="AB219" s="638">
        <v>516.51</v>
      </c>
      <c r="AC219" s="638">
        <v>552.66999999999996</v>
      </c>
      <c r="AD219" s="112"/>
      <c r="AI219" s="191" t="str">
        <f>IFERROR(_xlfn.SINGLE(
IF(_xlfn.SINGLE(INDEX(TAB_Offres[Ressource 1],ROWS(Params!AI$2:$AI219)))=0,NA(),
INDEX(TAB_Offres[Ressource 1],ROWS(Params!AI$2:$AI219)))),
IFERROR(_xlfn.SINGLE(IF(_xlfn.SINGLE(INDEX(#REF!,ROWS(Params!AI$2:$AI219)-COUNTA(TAB_Offres[Ressource 1])))=0,NA(),
INDEX(#REF!,ROWS(Params!AI$2:$AI219)-COUNTA(TAB_Offres[Ressource 1])))),
IFERROR(_xlfn.SINGLE(IF(_xlfn.SINGLE(INDEX(#REF!,ROWS(Params!AI$2:$AI219)-COUNTA(#REF!)-COUNTA(TAB_Offres[Ressource 1])))=0,NA(),
INDEX(#REF!,ROWS(Params!AI$2:$AI219)-COUNTA(#REF!)-COUNTA(TAB_Offres[Ressource 1])))),""))
)</f>
        <v/>
      </c>
      <c r="AJ219" s="192" t="str">
        <f>IF(TAB_ressource[[#This Row],[Import Ressource]]="","",MAX(AJ$1:AJ218)+1)</f>
        <v/>
      </c>
      <c r="AK219" s="193" t="str">
        <f>IFERROR(INDEX(TAB_ressource[Import Ressource],MATCH(ROW()-ROW($AK$1),TAB_ressource[ID Import ressources],0)),"")</f>
        <v/>
      </c>
      <c r="AN219" s="26">
        <f t="shared" si="13"/>
        <v>0</v>
      </c>
      <c r="BD219" t="s">
        <v>1267</v>
      </c>
      <c r="BE219" t="s">
        <v>1268</v>
      </c>
      <c r="BF219" t="s">
        <v>1269</v>
      </c>
      <c r="BG219" t="s">
        <v>1267</v>
      </c>
    </row>
    <row r="220" spans="13:59" x14ac:dyDescent="0.25">
      <c r="M220" t="str">
        <f>_xlfn.IFNA(IF(VLOOKUP(TAB_Offres[[#This Row],[Reference]],TAB_Offres[[Reference]:[Request State]],COLUMNS(TAB_Offres[[Reference]:[Request State]]),FALSE)=D$6,TAB_Offres[[#This Row],[Reference]],""),"")</f>
        <v/>
      </c>
      <c r="N220" t="str">
        <f>_xlfn.IFNA(IF(VLOOKUP(TAB_Offres[[#This Row],[Reference]],TAB_Offres[[Reference]:[Has Expenses?]],COLUMNS(TAB_Offres[[Reference]:[Has Expenses?]]),FALSE)=J$2,TAB_Offres[[#This Row],[Reference]],""),"")</f>
        <v/>
      </c>
      <c r="O220" t="str">
        <f>IF(Tableau19[[#This Row],[EXPENSES_REF]]="","",MAX(O$1:O219)+1)</f>
        <v/>
      </c>
      <c r="P220" t="str">
        <f t="shared" si="12"/>
        <v/>
      </c>
      <c r="R220" s="635" t="s">
        <v>6117</v>
      </c>
      <c r="S220" s="637">
        <v>280.95</v>
      </c>
      <c r="T220" s="638">
        <v>300.62</v>
      </c>
      <c r="U220" s="638">
        <v>321.66000000000003</v>
      </c>
      <c r="V220" s="638">
        <v>344.18</v>
      </c>
      <c r="W220" s="638">
        <v>368.27</v>
      </c>
      <c r="X220" s="638">
        <v>394.05</v>
      </c>
      <c r="Y220" s="638">
        <v>421.63</v>
      </c>
      <c r="Z220" s="638">
        <v>451.14</v>
      </c>
      <c r="AA220" s="638">
        <v>482.72</v>
      </c>
      <c r="AB220" s="638">
        <v>516.51</v>
      </c>
      <c r="AC220" s="638">
        <v>552.66999999999996</v>
      </c>
      <c r="AD220" s="112"/>
      <c r="AI220" s="191" t="str">
        <f>IFERROR(_xlfn.SINGLE(
IF(_xlfn.SINGLE(INDEX(TAB_Offres[Ressource 1],ROWS(Params!AI$2:$AI220)))=0,NA(),
INDEX(TAB_Offres[Ressource 1],ROWS(Params!AI$2:$AI220)))),
IFERROR(_xlfn.SINGLE(IF(_xlfn.SINGLE(INDEX(#REF!,ROWS(Params!AI$2:$AI220)-COUNTA(TAB_Offres[Ressource 1])))=0,NA(),
INDEX(#REF!,ROWS(Params!AI$2:$AI220)-COUNTA(TAB_Offres[Ressource 1])))),
IFERROR(_xlfn.SINGLE(IF(_xlfn.SINGLE(INDEX(#REF!,ROWS(Params!AI$2:$AI220)-COUNTA(#REF!)-COUNTA(TAB_Offres[Ressource 1])))=0,NA(),
INDEX(#REF!,ROWS(Params!AI$2:$AI220)-COUNTA(#REF!)-COUNTA(TAB_Offres[Ressource 1])))),""))
)</f>
        <v/>
      </c>
      <c r="AJ220" s="192" t="str">
        <f>IF(TAB_ressource[[#This Row],[Import Ressource]]="","",MAX(AJ$1:AJ219)+1)</f>
        <v/>
      </c>
      <c r="AK220" s="193" t="str">
        <f>IFERROR(INDEX(TAB_ressource[Import Ressource],MATCH(ROW()-ROW($AK$1),TAB_ressource[ID Import ressources],0)),"")</f>
        <v/>
      </c>
      <c r="AN220" s="26">
        <f t="shared" si="13"/>
        <v>0</v>
      </c>
      <c r="BD220" t="s">
        <v>1270</v>
      </c>
      <c r="BE220" t="s">
        <v>1271</v>
      </c>
      <c r="BF220" t="s">
        <v>1272</v>
      </c>
      <c r="BG220" t="s">
        <v>1270</v>
      </c>
    </row>
    <row r="221" spans="13:59" x14ac:dyDescent="0.25">
      <c r="M221" t="str">
        <f>_xlfn.IFNA(IF(VLOOKUP(TAB_Offres[[#This Row],[Reference]],TAB_Offres[[Reference]:[Request State]],COLUMNS(TAB_Offres[[Reference]:[Request State]]),FALSE)=D$6,TAB_Offres[[#This Row],[Reference]],""),"")</f>
        <v/>
      </c>
      <c r="N221" t="str">
        <f>_xlfn.IFNA(IF(VLOOKUP(TAB_Offres[[#This Row],[Reference]],TAB_Offres[[Reference]:[Has Expenses?]],COLUMNS(TAB_Offres[[Reference]:[Has Expenses?]]),FALSE)=J$2,TAB_Offres[[#This Row],[Reference]],""),"")</f>
        <v/>
      </c>
      <c r="O221" t="str">
        <f>IF(Tableau19[[#This Row],[EXPENSES_REF]]="","",MAX(O$1:O220)+1)</f>
        <v/>
      </c>
      <c r="P221" t="str">
        <f t="shared" si="12"/>
        <v/>
      </c>
      <c r="R221" s="635" t="s">
        <v>6118</v>
      </c>
      <c r="S221" s="637">
        <v>280.95</v>
      </c>
      <c r="T221" s="638">
        <v>300.62</v>
      </c>
      <c r="U221" s="638">
        <v>321.66000000000003</v>
      </c>
      <c r="V221" s="638">
        <v>344.18</v>
      </c>
      <c r="W221" s="638">
        <v>368.27</v>
      </c>
      <c r="X221" s="638">
        <v>394.05</v>
      </c>
      <c r="Y221" s="638">
        <v>421.63</v>
      </c>
      <c r="Z221" s="638">
        <v>451.14</v>
      </c>
      <c r="AA221" s="638">
        <v>482.72</v>
      </c>
      <c r="AB221" s="638">
        <v>516.51</v>
      </c>
      <c r="AC221" s="638">
        <v>552.66999999999996</v>
      </c>
      <c r="AD221" s="112"/>
      <c r="AI221" s="191" t="str">
        <f>IFERROR(_xlfn.SINGLE(
IF(_xlfn.SINGLE(INDEX(TAB_Offres[Ressource 1],ROWS(Params!AI$2:$AI221)))=0,NA(),
INDEX(TAB_Offres[Ressource 1],ROWS(Params!AI$2:$AI221)))),
IFERROR(_xlfn.SINGLE(IF(_xlfn.SINGLE(INDEX(#REF!,ROWS(Params!AI$2:$AI221)-COUNTA(TAB_Offres[Ressource 1])))=0,NA(),
INDEX(#REF!,ROWS(Params!AI$2:$AI221)-COUNTA(TAB_Offres[Ressource 1])))),
IFERROR(_xlfn.SINGLE(IF(_xlfn.SINGLE(INDEX(#REF!,ROWS(Params!AI$2:$AI221)-COUNTA(#REF!)-COUNTA(TAB_Offres[Ressource 1])))=0,NA(),
INDEX(#REF!,ROWS(Params!AI$2:$AI221)-COUNTA(#REF!)-COUNTA(TAB_Offres[Ressource 1])))),""))
)</f>
        <v/>
      </c>
      <c r="AJ221" s="192" t="str">
        <f>IF(TAB_ressource[[#This Row],[Import Ressource]]="","",MAX(AJ$1:AJ220)+1)</f>
        <v/>
      </c>
      <c r="AK221" s="193" t="str">
        <f>IFERROR(INDEX(TAB_ressource[Import Ressource],MATCH(ROW()-ROW($AK$1),TAB_ressource[ID Import ressources],0)),"")</f>
        <v/>
      </c>
      <c r="AN221" s="26">
        <f t="shared" si="13"/>
        <v>0</v>
      </c>
      <c r="BD221" t="s">
        <v>1273</v>
      </c>
      <c r="BE221" t="s">
        <v>1274</v>
      </c>
      <c r="BF221" t="s">
        <v>1275</v>
      </c>
      <c r="BG221" t="s">
        <v>1273</v>
      </c>
    </row>
    <row r="222" spans="13:59" x14ac:dyDescent="0.25">
      <c r="M222" t="str">
        <f>_xlfn.IFNA(IF(VLOOKUP(TAB_Offres[[#This Row],[Reference]],TAB_Offres[[Reference]:[Request State]],COLUMNS(TAB_Offres[[Reference]:[Request State]]),FALSE)=D$6,TAB_Offres[[#This Row],[Reference]],""),"")</f>
        <v/>
      </c>
      <c r="N222" t="str">
        <f>_xlfn.IFNA(IF(VLOOKUP(TAB_Offres[[#This Row],[Reference]],TAB_Offres[[Reference]:[Has Expenses?]],COLUMNS(TAB_Offres[[Reference]:[Has Expenses?]]),FALSE)=J$2,TAB_Offres[[#This Row],[Reference]],""),"")</f>
        <v/>
      </c>
      <c r="O222" t="str">
        <f>IF(Tableau19[[#This Row],[EXPENSES_REF]]="","",MAX(O$1:O221)+1)</f>
        <v/>
      </c>
      <c r="P222" t="str">
        <f t="shared" si="12"/>
        <v/>
      </c>
      <c r="R222" s="635" t="s">
        <v>6119</v>
      </c>
      <c r="S222" s="637">
        <v>280.95</v>
      </c>
      <c r="T222" s="638">
        <v>300.62</v>
      </c>
      <c r="U222" s="638">
        <v>321.66000000000003</v>
      </c>
      <c r="V222" s="638">
        <v>344.18</v>
      </c>
      <c r="W222" s="638">
        <v>368.27</v>
      </c>
      <c r="X222" s="638">
        <v>394.05</v>
      </c>
      <c r="Y222" s="638">
        <v>421.63</v>
      </c>
      <c r="Z222" s="638">
        <v>451.14</v>
      </c>
      <c r="AA222" s="638">
        <v>482.72</v>
      </c>
      <c r="AB222" s="638">
        <v>516.51</v>
      </c>
      <c r="AC222" s="638">
        <v>552.66999999999996</v>
      </c>
      <c r="AD222" s="112"/>
      <c r="AI222" s="191" t="str">
        <f>IFERROR(_xlfn.SINGLE(
IF(_xlfn.SINGLE(INDEX(TAB_Offres[Ressource 1],ROWS(Params!AI$2:$AI222)))=0,NA(),
INDEX(TAB_Offres[Ressource 1],ROWS(Params!AI$2:$AI222)))),
IFERROR(_xlfn.SINGLE(IF(_xlfn.SINGLE(INDEX(#REF!,ROWS(Params!AI$2:$AI222)-COUNTA(TAB_Offres[Ressource 1])))=0,NA(),
INDEX(#REF!,ROWS(Params!AI$2:$AI222)-COUNTA(TAB_Offres[Ressource 1])))),
IFERROR(_xlfn.SINGLE(IF(_xlfn.SINGLE(INDEX(#REF!,ROWS(Params!AI$2:$AI222)-COUNTA(#REF!)-COUNTA(TAB_Offres[Ressource 1])))=0,NA(),
INDEX(#REF!,ROWS(Params!AI$2:$AI222)-COUNTA(#REF!)-COUNTA(TAB_Offres[Ressource 1])))),""))
)</f>
        <v/>
      </c>
      <c r="AJ222" s="192" t="str">
        <f>IF(TAB_ressource[[#This Row],[Import Ressource]]="","",MAX(AJ$1:AJ221)+1)</f>
        <v/>
      </c>
      <c r="AK222" s="193" t="str">
        <f>IFERROR(INDEX(TAB_ressource[Import Ressource],MATCH(ROW()-ROW($AK$1),TAB_ressource[ID Import ressources],0)),"")</f>
        <v/>
      </c>
      <c r="AN222" s="26">
        <f t="shared" si="13"/>
        <v>0</v>
      </c>
      <c r="BD222" t="s">
        <v>1276</v>
      </c>
      <c r="BE222" t="s">
        <v>1277</v>
      </c>
      <c r="BF222" t="s">
        <v>1278</v>
      </c>
      <c r="BG222" t="s">
        <v>1276</v>
      </c>
    </row>
    <row r="223" spans="13:59" x14ac:dyDescent="0.25">
      <c r="M223" t="str">
        <f>_xlfn.IFNA(IF(VLOOKUP(TAB_Offres[[#This Row],[Reference]],TAB_Offres[[Reference]:[Request State]],COLUMNS(TAB_Offres[[Reference]:[Request State]]),FALSE)=D$6,TAB_Offres[[#This Row],[Reference]],""),"")</f>
        <v/>
      </c>
      <c r="N223" t="str">
        <f>_xlfn.IFNA(IF(VLOOKUP(TAB_Offres[[#This Row],[Reference]],TAB_Offres[[Reference]:[Has Expenses?]],COLUMNS(TAB_Offres[[Reference]:[Has Expenses?]]),FALSE)=J$2,TAB_Offres[[#This Row],[Reference]],""),"")</f>
        <v/>
      </c>
      <c r="O223" t="str">
        <f>IF(Tableau19[[#This Row],[EXPENSES_REF]]="","",MAX(O$1:O222)+1)</f>
        <v/>
      </c>
      <c r="P223" t="str">
        <f t="shared" si="12"/>
        <v/>
      </c>
      <c r="R223" s="635" t="s">
        <v>6120</v>
      </c>
      <c r="S223" s="637">
        <v>280.95</v>
      </c>
      <c r="T223" s="638">
        <v>300.62</v>
      </c>
      <c r="U223" s="638">
        <v>321.66000000000003</v>
      </c>
      <c r="V223" s="638">
        <v>344.18</v>
      </c>
      <c r="W223" s="638">
        <v>368.27</v>
      </c>
      <c r="X223" s="638">
        <v>394.05</v>
      </c>
      <c r="Y223" s="638">
        <v>421.63</v>
      </c>
      <c r="Z223" s="638">
        <v>451.14</v>
      </c>
      <c r="AA223" s="638">
        <v>482.72</v>
      </c>
      <c r="AB223" s="638">
        <v>516.51</v>
      </c>
      <c r="AC223" s="638">
        <v>552.66999999999996</v>
      </c>
      <c r="AD223" s="112"/>
      <c r="AI223" s="191" t="str">
        <f>IFERROR(_xlfn.SINGLE(
IF(_xlfn.SINGLE(INDEX(TAB_Offres[Ressource 1],ROWS(Params!AI$2:$AI223)))=0,NA(),
INDEX(TAB_Offres[Ressource 1],ROWS(Params!AI$2:$AI223)))),
IFERROR(_xlfn.SINGLE(IF(_xlfn.SINGLE(INDEX(#REF!,ROWS(Params!AI$2:$AI223)-COUNTA(TAB_Offres[Ressource 1])))=0,NA(),
INDEX(#REF!,ROWS(Params!AI$2:$AI223)-COUNTA(TAB_Offres[Ressource 1])))),
IFERROR(_xlfn.SINGLE(IF(_xlfn.SINGLE(INDEX(#REF!,ROWS(Params!AI$2:$AI223)-COUNTA(#REF!)-COUNTA(TAB_Offres[Ressource 1])))=0,NA(),
INDEX(#REF!,ROWS(Params!AI$2:$AI223)-COUNTA(#REF!)-COUNTA(TAB_Offres[Ressource 1])))),""))
)</f>
        <v/>
      </c>
      <c r="AJ223" s="192" t="str">
        <f>IF(TAB_ressource[[#This Row],[Import Ressource]]="","",MAX(AJ$1:AJ222)+1)</f>
        <v/>
      </c>
      <c r="AK223" s="193" t="str">
        <f>IFERROR(INDEX(TAB_ressource[Import Ressource],MATCH(ROW()-ROW($AK$1),TAB_ressource[ID Import ressources],0)),"")</f>
        <v/>
      </c>
      <c r="AN223" s="26">
        <f t="shared" si="13"/>
        <v>0</v>
      </c>
      <c r="BD223" t="s">
        <v>1279</v>
      </c>
      <c r="BE223" t="s">
        <v>1280</v>
      </c>
      <c r="BF223" t="s">
        <v>1281</v>
      </c>
      <c r="BG223" t="s">
        <v>1279</v>
      </c>
    </row>
    <row r="224" spans="13:59" x14ac:dyDescent="0.25">
      <c r="M224" t="str">
        <f>_xlfn.IFNA(IF(VLOOKUP(TAB_Offres[[#This Row],[Reference]],TAB_Offres[[Reference]:[Request State]],COLUMNS(TAB_Offres[[Reference]:[Request State]]),FALSE)=D$6,TAB_Offres[[#This Row],[Reference]],""),"")</f>
        <v/>
      </c>
      <c r="N224" t="str">
        <f>_xlfn.IFNA(IF(VLOOKUP(TAB_Offres[[#This Row],[Reference]],TAB_Offres[[Reference]:[Has Expenses?]],COLUMNS(TAB_Offres[[Reference]:[Has Expenses?]]),FALSE)=J$2,TAB_Offres[[#This Row],[Reference]],""),"")</f>
        <v/>
      </c>
      <c r="O224" t="str">
        <f>IF(Tableau19[[#This Row],[EXPENSES_REF]]="","",MAX(O$1:O223)+1)</f>
        <v/>
      </c>
      <c r="P224" t="str">
        <f t="shared" si="12"/>
        <v/>
      </c>
      <c r="R224" s="635" t="s">
        <v>6121</v>
      </c>
      <c r="S224" s="637">
        <v>280.95</v>
      </c>
      <c r="T224" s="638">
        <v>300.62</v>
      </c>
      <c r="U224" s="638">
        <v>321.66000000000003</v>
      </c>
      <c r="V224" s="638">
        <v>344.18</v>
      </c>
      <c r="W224" s="638">
        <v>368.27</v>
      </c>
      <c r="X224" s="638">
        <v>394.05</v>
      </c>
      <c r="Y224" s="638">
        <v>421.63</v>
      </c>
      <c r="Z224" s="638">
        <v>451.14</v>
      </c>
      <c r="AA224" s="638">
        <v>482.72</v>
      </c>
      <c r="AB224" s="638">
        <v>516.51</v>
      </c>
      <c r="AC224" s="638">
        <v>552.66999999999996</v>
      </c>
      <c r="AD224" s="112"/>
      <c r="AI224" s="191" t="str">
        <f>IFERROR(_xlfn.SINGLE(
IF(_xlfn.SINGLE(INDEX(TAB_Offres[Ressource 1],ROWS(Params!AI$2:$AI224)))=0,NA(),
INDEX(TAB_Offres[Ressource 1],ROWS(Params!AI$2:$AI224)))),
IFERROR(_xlfn.SINGLE(IF(_xlfn.SINGLE(INDEX(#REF!,ROWS(Params!AI$2:$AI224)-COUNTA(TAB_Offres[Ressource 1])))=0,NA(),
INDEX(#REF!,ROWS(Params!AI$2:$AI224)-COUNTA(TAB_Offres[Ressource 1])))),
IFERROR(_xlfn.SINGLE(IF(_xlfn.SINGLE(INDEX(#REF!,ROWS(Params!AI$2:$AI224)-COUNTA(#REF!)-COUNTA(TAB_Offres[Ressource 1])))=0,NA(),
INDEX(#REF!,ROWS(Params!AI$2:$AI224)-COUNTA(#REF!)-COUNTA(TAB_Offres[Ressource 1])))),""))
)</f>
        <v/>
      </c>
      <c r="AJ224" s="192" t="str">
        <f>IF(TAB_ressource[[#This Row],[Import Ressource]]="","",MAX(AJ$1:AJ223)+1)</f>
        <v/>
      </c>
      <c r="AK224" s="193" t="str">
        <f>IFERROR(INDEX(TAB_ressource[Import Ressource],MATCH(ROW()-ROW($AK$1),TAB_ressource[ID Import ressources],0)),"")</f>
        <v/>
      </c>
      <c r="AN224" s="26">
        <f t="shared" si="13"/>
        <v>0</v>
      </c>
      <c r="BD224" t="s">
        <v>1282</v>
      </c>
      <c r="BE224" t="s">
        <v>1283</v>
      </c>
      <c r="BF224" t="s">
        <v>1284</v>
      </c>
      <c r="BG224" t="s">
        <v>1282</v>
      </c>
    </row>
    <row r="225" spans="13:59" x14ac:dyDescent="0.25">
      <c r="M225" t="str">
        <f>_xlfn.IFNA(IF(VLOOKUP(TAB_Offres[[#This Row],[Reference]],TAB_Offres[[Reference]:[Request State]],COLUMNS(TAB_Offres[[Reference]:[Request State]]),FALSE)=D$6,TAB_Offres[[#This Row],[Reference]],""),"")</f>
        <v/>
      </c>
      <c r="N225" t="str">
        <f>_xlfn.IFNA(IF(VLOOKUP(TAB_Offres[[#This Row],[Reference]],TAB_Offres[[Reference]:[Has Expenses?]],COLUMNS(TAB_Offres[[Reference]:[Has Expenses?]]),FALSE)=J$2,TAB_Offres[[#This Row],[Reference]],""),"")</f>
        <v/>
      </c>
      <c r="O225" t="str">
        <f>IF(Tableau19[[#This Row],[EXPENSES_REF]]="","",MAX(O$1:O224)+1)</f>
        <v/>
      </c>
      <c r="P225" t="str">
        <f t="shared" si="12"/>
        <v/>
      </c>
      <c r="R225" s="635" t="s">
        <v>6122</v>
      </c>
      <c r="S225" s="637">
        <v>280.95</v>
      </c>
      <c r="T225" s="638">
        <v>300.62</v>
      </c>
      <c r="U225" s="638">
        <v>321.66000000000003</v>
      </c>
      <c r="V225" s="638">
        <v>344.18</v>
      </c>
      <c r="W225" s="638">
        <v>368.27</v>
      </c>
      <c r="X225" s="638">
        <v>394.05</v>
      </c>
      <c r="Y225" s="638">
        <v>421.63</v>
      </c>
      <c r="Z225" s="638">
        <v>451.14</v>
      </c>
      <c r="AA225" s="638">
        <v>482.72</v>
      </c>
      <c r="AB225" s="638">
        <v>516.51</v>
      </c>
      <c r="AC225" s="638">
        <v>552.66999999999996</v>
      </c>
      <c r="AD225" s="112"/>
      <c r="AI225" s="191" t="str">
        <f>IFERROR(_xlfn.SINGLE(
IF(_xlfn.SINGLE(INDEX(TAB_Offres[Ressource 1],ROWS(Params!AI$2:$AI225)))=0,NA(),
INDEX(TAB_Offres[Ressource 1],ROWS(Params!AI$2:$AI225)))),
IFERROR(_xlfn.SINGLE(IF(_xlfn.SINGLE(INDEX(#REF!,ROWS(Params!AI$2:$AI225)-COUNTA(TAB_Offres[Ressource 1])))=0,NA(),
INDEX(#REF!,ROWS(Params!AI$2:$AI225)-COUNTA(TAB_Offres[Ressource 1])))),
IFERROR(_xlfn.SINGLE(IF(_xlfn.SINGLE(INDEX(#REF!,ROWS(Params!AI$2:$AI225)-COUNTA(#REF!)-COUNTA(TAB_Offres[Ressource 1])))=0,NA(),
INDEX(#REF!,ROWS(Params!AI$2:$AI225)-COUNTA(#REF!)-COUNTA(TAB_Offres[Ressource 1])))),""))
)</f>
        <v/>
      </c>
      <c r="AJ225" s="192" t="str">
        <f>IF(TAB_ressource[[#This Row],[Import Ressource]]="","",MAX(AJ$1:AJ224)+1)</f>
        <v/>
      </c>
      <c r="AK225" s="193" t="str">
        <f>IFERROR(INDEX(TAB_ressource[Import Ressource],MATCH(ROW()-ROW($AK$1),TAB_ressource[ID Import ressources],0)),"")</f>
        <v/>
      </c>
      <c r="AN225" s="26">
        <f t="shared" si="13"/>
        <v>0</v>
      </c>
      <c r="BD225" t="s">
        <v>1285</v>
      </c>
      <c r="BE225" t="s">
        <v>1286</v>
      </c>
      <c r="BF225" t="s">
        <v>1287</v>
      </c>
      <c r="BG225" t="s">
        <v>1285</v>
      </c>
    </row>
    <row r="226" spans="13:59" ht="26.4" x14ac:dyDescent="0.25">
      <c r="M226" t="str">
        <f>_xlfn.IFNA(IF(VLOOKUP(TAB_Offres[[#This Row],[Reference]],TAB_Offres[[Reference]:[Request State]],COLUMNS(TAB_Offres[[Reference]:[Request State]]),FALSE)=D$6,TAB_Offres[[#This Row],[Reference]],""),"")</f>
        <v/>
      </c>
      <c r="N226" t="str">
        <f>_xlfn.IFNA(IF(VLOOKUP(TAB_Offres[[#This Row],[Reference]],TAB_Offres[[Reference]:[Has Expenses?]],COLUMNS(TAB_Offres[[Reference]:[Has Expenses?]]),FALSE)=J$2,TAB_Offres[[#This Row],[Reference]],""),"")</f>
        <v/>
      </c>
      <c r="O226" t="str">
        <f>IF(Tableau19[[#This Row],[EXPENSES_REF]]="","",MAX(O$1:O225)+1)</f>
        <v/>
      </c>
      <c r="P226" t="str">
        <f t="shared" si="12"/>
        <v/>
      </c>
      <c r="R226" s="634" t="s">
        <v>6123</v>
      </c>
      <c r="S226" s="637"/>
      <c r="T226" s="638"/>
      <c r="U226" s="638"/>
      <c r="V226" s="638"/>
      <c r="W226" s="638"/>
      <c r="X226" s="638"/>
      <c r="Y226" s="638"/>
      <c r="Z226" s="638"/>
      <c r="AA226" s="638"/>
      <c r="AB226" s="638"/>
      <c r="AC226" s="638"/>
      <c r="AD226" s="112"/>
      <c r="AI226" s="191" t="str">
        <f>IFERROR(_xlfn.SINGLE(
IF(_xlfn.SINGLE(INDEX(TAB_Offres[Ressource 1],ROWS(Params!AI$2:$AI226)))=0,NA(),
INDEX(TAB_Offres[Ressource 1],ROWS(Params!AI$2:$AI226)))),
IFERROR(_xlfn.SINGLE(IF(_xlfn.SINGLE(INDEX(#REF!,ROWS(Params!AI$2:$AI226)-COUNTA(TAB_Offres[Ressource 1])))=0,NA(),
INDEX(#REF!,ROWS(Params!AI$2:$AI226)-COUNTA(TAB_Offres[Ressource 1])))),
IFERROR(_xlfn.SINGLE(IF(_xlfn.SINGLE(INDEX(#REF!,ROWS(Params!AI$2:$AI226)-COUNTA(#REF!)-COUNTA(TAB_Offres[Ressource 1])))=0,NA(),
INDEX(#REF!,ROWS(Params!AI$2:$AI226)-COUNTA(#REF!)-COUNTA(TAB_Offres[Ressource 1])))),""))
)</f>
        <v/>
      </c>
      <c r="AJ226" s="192" t="str">
        <f>IF(TAB_ressource[[#This Row],[Import Ressource]]="","",MAX(AJ$1:AJ225)+1)</f>
        <v/>
      </c>
      <c r="AK226" s="193" t="str">
        <f>IFERROR(INDEX(TAB_ressource[Import Ressource],MATCH(ROW()-ROW($AK$1),TAB_ressource[ID Import ressources],0)),"")</f>
        <v/>
      </c>
      <c r="AN226" s="26">
        <f t="shared" si="13"/>
        <v>0</v>
      </c>
      <c r="BD226" t="s">
        <v>1288</v>
      </c>
      <c r="BE226" t="s">
        <v>1289</v>
      </c>
      <c r="BF226" t="s">
        <v>1290</v>
      </c>
      <c r="BG226" t="s">
        <v>1288</v>
      </c>
    </row>
    <row r="227" spans="13:59" x14ac:dyDescent="0.25">
      <c r="M227" t="str">
        <f>_xlfn.IFNA(IF(VLOOKUP(TAB_Offres[[#This Row],[Reference]],TAB_Offres[[Reference]:[Request State]],COLUMNS(TAB_Offres[[Reference]:[Request State]]),FALSE)=D$6,TAB_Offres[[#This Row],[Reference]],""),"")</f>
        <v/>
      </c>
      <c r="N227" t="str">
        <f>_xlfn.IFNA(IF(VLOOKUP(TAB_Offres[[#This Row],[Reference]],TAB_Offres[[Reference]:[Has Expenses?]],COLUMNS(TAB_Offres[[Reference]:[Has Expenses?]]),FALSE)=J$2,TAB_Offres[[#This Row],[Reference]],""),"")</f>
        <v/>
      </c>
      <c r="O227" t="str">
        <f>IF(Tableau19[[#This Row],[EXPENSES_REF]]="","",MAX(O$1:O226)+1)</f>
        <v/>
      </c>
      <c r="P227" t="str">
        <f t="shared" si="12"/>
        <v/>
      </c>
      <c r="R227" s="636" t="str">
        <f>R214&amp;"-FAR"</f>
        <v>Database developer#R2-FAR</v>
      </c>
      <c r="S227" s="637">
        <v>233.17</v>
      </c>
      <c r="T227" s="638">
        <v>249.49</v>
      </c>
      <c r="U227" s="638">
        <v>266.95</v>
      </c>
      <c r="V227" s="638">
        <v>285.64</v>
      </c>
      <c r="W227" s="638">
        <v>305.63</v>
      </c>
      <c r="X227" s="638">
        <v>327.02</v>
      </c>
      <c r="Y227" s="638">
        <v>349.91</v>
      </c>
      <c r="Z227" s="638">
        <v>374.4</v>
      </c>
      <c r="AA227" s="638">
        <v>400.61</v>
      </c>
      <c r="AB227" s="638">
        <v>428.65</v>
      </c>
      <c r="AC227" s="638">
        <v>458.66</v>
      </c>
      <c r="AD227" s="112"/>
      <c r="AI227" s="191" t="str">
        <f>IFERROR(_xlfn.SINGLE(
IF(_xlfn.SINGLE(INDEX(TAB_Offres[Ressource 1],ROWS(Params!AI$2:$AI227)))=0,NA(),
INDEX(TAB_Offres[Ressource 1],ROWS(Params!AI$2:$AI227)))),
IFERROR(_xlfn.SINGLE(IF(_xlfn.SINGLE(INDEX(#REF!,ROWS(Params!AI$2:$AI227)-COUNTA(TAB_Offres[Ressource 1])))=0,NA(),
INDEX(#REF!,ROWS(Params!AI$2:$AI227)-COUNTA(TAB_Offres[Ressource 1])))),
IFERROR(_xlfn.SINGLE(IF(_xlfn.SINGLE(INDEX(#REF!,ROWS(Params!AI$2:$AI227)-COUNTA(#REF!)-COUNTA(TAB_Offres[Ressource 1])))=0,NA(),
INDEX(#REF!,ROWS(Params!AI$2:$AI227)-COUNTA(#REF!)-COUNTA(TAB_Offres[Ressource 1])))),""))
)</f>
        <v/>
      </c>
      <c r="AJ227" s="192" t="str">
        <f>IF(TAB_ressource[[#This Row],[Import Ressource]]="","",MAX(AJ$1:AJ226)+1)</f>
        <v/>
      </c>
      <c r="AK227" s="193" t="str">
        <f>IFERROR(INDEX(TAB_ressource[Import Ressource],MATCH(ROW()-ROW($AK$1),TAB_ressource[ID Import ressources],0)),"")</f>
        <v/>
      </c>
      <c r="AN227" s="26">
        <f t="shared" si="13"/>
        <v>0</v>
      </c>
      <c r="BD227" t="s">
        <v>1291</v>
      </c>
      <c r="BE227" t="s">
        <v>1292</v>
      </c>
      <c r="BF227" t="s">
        <v>1293</v>
      </c>
      <c r="BG227" t="s">
        <v>1291</v>
      </c>
    </row>
    <row r="228" spans="13:59" x14ac:dyDescent="0.25">
      <c r="M228" t="str">
        <f>_xlfn.IFNA(IF(VLOOKUP(TAB_Offres[[#This Row],[Reference]],TAB_Offres[[Reference]:[Request State]],COLUMNS(TAB_Offres[[Reference]:[Request State]]),FALSE)=D$6,TAB_Offres[[#This Row],[Reference]],""),"")</f>
        <v/>
      </c>
      <c r="N228" t="str">
        <f>_xlfn.IFNA(IF(VLOOKUP(TAB_Offres[[#This Row],[Reference]],TAB_Offres[[Reference]:[Has Expenses?]],COLUMNS(TAB_Offres[[Reference]:[Has Expenses?]]),FALSE)=J$2,TAB_Offres[[#This Row],[Reference]],""),"")</f>
        <v/>
      </c>
      <c r="O228" t="str">
        <f>IF(Tableau19[[#This Row],[EXPENSES_REF]]="","",MAX(O$1:O227)+1)</f>
        <v/>
      </c>
      <c r="P228" t="str">
        <f t="shared" si="12"/>
        <v/>
      </c>
      <c r="R228" s="636" t="str">
        <f t="shared" ref="R228:R238" si="14">R215&amp;"-FAR"</f>
        <v>Front-end developer#R2-FAR</v>
      </c>
      <c r="S228" s="637">
        <v>233.17</v>
      </c>
      <c r="T228" s="638">
        <v>249.49</v>
      </c>
      <c r="U228" s="638">
        <v>266.95</v>
      </c>
      <c r="V228" s="638">
        <v>285.64</v>
      </c>
      <c r="W228" s="638">
        <v>305.63</v>
      </c>
      <c r="X228" s="638">
        <v>327.02</v>
      </c>
      <c r="Y228" s="638">
        <v>349.91</v>
      </c>
      <c r="Z228" s="638">
        <v>374.4</v>
      </c>
      <c r="AA228" s="638">
        <v>400.61</v>
      </c>
      <c r="AB228" s="638">
        <v>428.65</v>
      </c>
      <c r="AC228" s="638">
        <v>458.66</v>
      </c>
      <c r="AD228" s="112"/>
      <c r="AI228" s="191" t="str">
        <f>IFERROR(_xlfn.SINGLE(
IF(_xlfn.SINGLE(INDEX(TAB_Offres[Ressource 1],ROWS(Params!AI$2:$AI228)))=0,NA(),
INDEX(TAB_Offres[Ressource 1],ROWS(Params!AI$2:$AI228)))),
IFERROR(_xlfn.SINGLE(IF(_xlfn.SINGLE(INDEX(#REF!,ROWS(Params!AI$2:$AI228)-COUNTA(TAB_Offres[Ressource 1])))=0,NA(),
INDEX(#REF!,ROWS(Params!AI$2:$AI228)-COUNTA(TAB_Offres[Ressource 1])))),
IFERROR(_xlfn.SINGLE(IF(_xlfn.SINGLE(INDEX(#REF!,ROWS(Params!AI$2:$AI228)-COUNTA(#REF!)-COUNTA(TAB_Offres[Ressource 1])))=0,NA(),
INDEX(#REF!,ROWS(Params!AI$2:$AI228)-COUNTA(#REF!)-COUNTA(TAB_Offres[Ressource 1])))),""))
)</f>
        <v/>
      </c>
      <c r="AJ228" s="192" t="str">
        <f>IF(TAB_ressource[[#This Row],[Import Ressource]]="","",MAX(AJ$1:AJ227)+1)</f>
        <v/>
      </c>
      <c r="AK228" s="193" t="str">
        <f>IFERROR(INDEX(TAB_ressource[Import Ressource],MATCH(ROW()-ROW($AK$1),TAB_ressource[ID Import ressources],0)),"")</f>
        <v/>
      </c>
      <c r="AN228" s="26">
        <f t="shared" si="13"/>
        <v>0</v>
      </c>
      <c r="BD228" t="s">
        <v>1294</v>
      </c>
      <c r="BE228" t="s">
        <v>1295</v>
      </c>
      <c r="BF228" t="s">
        <v>1296</v>
      </c>
      <c r="BG228" t="s">
        <v>1294</v>
      </c>
    </row>
    <row r="229" spans="13:59" x14ac:dyDescent="0.25">
      <c r="M229" t="str">
        <f>_xlfn.IFNA(IF(VLOOKUP(TAB_Offres[[#This Row],[Reference]],TAB_Offres[[Reference]:[Request State]],COLUMNS(TAB_Offres[[Reference]:[Request State]]),FALSE)=D$6,TAB_Offres[[#This Row],[Reference]],""),"")</f>
        <v/>
      </c>
      <c r="N229" t="str">
        <f>_xlfn.IFNA(IF(VLOOKUP(TAB_Offres[[#This Row],[Reference]],TAB_Offres[[Reference]:[Has Expenses?]],COLUMNS(TAB_Offres[[Reference]:[Has Expenses?]]),FALSE)=J$2,TAB_Offres[[#This Row],[Reference]],""),"")</f>
        <v/>
      </c>
      <c r="O229" t="str">
        <f>IF(Tableau19[[#This Row],[EXPENSES_REF]]="","",MAX(O$1:O228)+1)</f>
        <v/>
      </c>
      <c r="P229" t="str">
        <f t="shared" si="12"/>
        <v/>
      </c>
      <c r="R229" s="636" t="str">
        <f t="shared" si="14"/>
        <v>Back-end developer#R2-FAR</v>
      </c>
      <c r="S229" s="637">
        <v>253.68</v>
      </c>
      <c r="T229" s="638">
        <v>271.44</v>
      </c>
      <c r="U229" s="638">
        <v>290.44</v>
      </c>
      <c r="V229" s="638">
        <v>310.77</v>
      </c>
      <c r="W229" s="638">
        <v>332.52</v>
      </c>
      <c r="X229" s="638">
        <v>355.8</v>
      </c>
      <c r="Y229" s="638">
        <v>380.71</v>
      </c>
      <c r="Z229" s="638">
        <v>407.36</v>
      </c>
      <c r="AA229" s="638">
        <v>435.88</v>
      </c>
      <c r="AB229" s="638">
        <v>466.39</v>
      </c>
      <c r="AC229" s="638">
        <v>499.04</v>
      </c>
      <c r="AD229" s="112"/>
      <c r="AI229" s="191" t="str">
        <f>IFERROR(_xlfn.SINGLE(
IF(_xlfn.SINGLE(INDEX(TAB_Offres[Ressource 1],ROWS(Params!AI$2:$AI229)))=0,NA(),
INDEX(TAB_Offres[Ressource 1],ROWS(Params!AI$2:$AI229)))),
IFERROR(_xlfn.SINGLE(IF(_xlfn.SINGLE(INDEX(#REF!,ROWS(Params!AI$2:$AI229)-COUNTA(TAB_Offres[Ressource 1])))=0,NA(),
INDEX(#REF!,ROWS(Params!AI$2:$AI229)-COUNTA(TAB_Offres[Ressource 1])))),
IFERROR(_xlfn.SINGLE(IF(_xlfn.SINGLE(INDEX(#REF!,ROWS(Params!AI$2:$AI229)-COUNTA(#REF!)-COUNTA(TAB_Offres[Ressource 1])))=0,NA(),
INDEX(#REF!,ROWS(Params!AI$2:$AI229)-COUNTA(#REF!)-COUNTA(TAB_Offres[Ressource 1])))),""))
)</f>
        <v/>
      </c>
      <c r="AJ229" s="192" t="str">
        <f>IF(TAB_ressource[[#This Row],[Import Ressource]]="","",MAX(AJ$1:AJ228)+1)</f>
        <v/>
      </c>
      <c r="AK229" s="193" t="str">
        <f>IFERROR(INDEX(TAB_ressource[Import Ressource],MATCH(ROW()-ROW($AK$1),TAB_ressource[ID Import ressources],0)),"")</f>
        <v/>
      </c>
      <c r="AN229" s="26">
        <f t="shared" si="13"/>
        <v>0</v>
      </c>
      <c r="BD229" t="s">
        <v>1297</v>
      </c>
      <c r="BE229" t="s">
        <v>1298</v>
      </c>
      <c r="BF229" t="s">
        <v>1299</v>
      </c>
      <c r="BG229" t="s">
        <v>1297</v>
      </c>
    </row>
    <row r="230" spans="13:59" x14ac:dyDescent="0.25">
      <c r="M230" t="str">
        <f>_xlfn.IFNA(IF(VLOOKUP(TAB_Offres[[#This Row],[Reference]],TAB_Offres[[Reference]:[Request State]],COLUMNS(TAB_Offres[[Reference]:[Request State]]),FALSE)=D$6,TAB_Offres[[#This Row],[Reference]],""),"")</f>
        <v/>
      </c>
      <c r="N230" t="str">
        <f>_xlfn.IFNA(IF(VLOOKUP(TAB_Offres[[#This Row],[Reference]],TAB_Offres[[Reference]:[Has Expenses?]],COLUMNS(TAB_Offres[[Reference]:[Has Expenses?]]),FALSE)=J$2,TAB_Offres[[#This Row],[Reference]],""),"")</f>
        <v/>
      </c>
      <c r="O230" t="str">
        <f>IF(Tableau19[[#This Row],[EXPENSES_REF]]="","",MAX(O$1:O229)+1)</f>
        <v/>
      </c>
      <c r="P230" t="str">
        <f t="shared" si="12"/>
        <v/>
      </c>
      <c r="R230" s="636" t="str">
        <f t="shared" si="14"/>
        <v>Full-stack developer#R2-FAR</v>
      </c>
      <c r="S230" s="637">
        <v>291.45999999999998</v>
      </c>
      <c r="T230" s="638">
        <v>311.86</v>
      </c>
      <c r="U230" s="638">
        <v>333.69</v>
      </c>
      <c r="V230" s="638">
        <v>357.05</v>
      </c>
      <c r="W230" s="638">
        <v>382.04</v>
      </c>
      <c r="X230" s="638">
        <v>408.78</v>
      </c>
      <c r="Y230" s="638">
        <v>437.39</v>
      </c>
      <c r="Z230" s="638">
        <v>468.01</v>
      </c>
      <c r="AA230" s="638">
        <v>500.77</v>
      </c>
      <c r="AB230" s="638">
        <v>535.82000000000005</v>
      </c>
      <c r="AC230" s="638">
        <v>573.33000000000004</v>
      </c>
      <c r="AD230" s="112"/>
      <c r="AI230" s="191" t="str">
        <f>IFERROR(_xlfn.SINGLE(
IF(_xlfn.SINGLE(INDEX(TAB_Offres[Ressource 1],ROWS(Params!AI$2:$AI230)))=0,NA(),
INDEX(TAB_Offres[Ressource 1],ROWS(Params!AI$2:$AI230)))),
IFERROR(_xlfn.SINGLE(IF(_xlfn.SINGLE(INDEX(#REF!,ROWS(Params!AI$2:$AI230)-COUNTA(TAB_Offres[Ressource 1])))=0,NA(),
INDEX(#REF!,ROWS(Params!AI$2:$AI230)-COUNTA(TAB_Offres[Ressource 1])))),
IFERROR(_xlfn.SINGLE(IF(_xlfn.SINGLE(INDEX(#REF!,ROWS(Params!AI$2:$AI230)-COUNTA(#REF!)-COUNTA(TAB_Offres[Ressource 1])))=0,NA(),
INDEX(#REF!,ROWS(Params!AI$2:$AI230)-COUNTA(#REF!)-COUNTA(TAB_Offres[Ressource 1])))),""))
)</f>
        <v/>
      </c>
      <c r="AJ230" s="192" t="str">
        <f>IF(TAB_ressource[[#This Row],[Import Ressource]]="","",MAX(AJ$1:AJ229)+1)</f>
        <v/>
      </c>
      <c r="AK230" s="193" t="str">
        <f>IFERROR(INDEX(TAB_ressource[Import Ressource],MATCH(ROW()-ROW($AK$1),TAB_ressource[ID Import ressources],0)),"")</f>
        <v/>
      </c>
      <c r="AN230" s="26">
        <f t="shared" si="13"/>
        <v>0</v>
      </c>
      <c r="BD230" t="s">
        <v>1300</v>
      </c>
      <c r="BE230" t="s">
        <v>1301</v>
      </c>
      <c r="BF230" t="s">
        <v>1302</v>
      </c>
      <c r="BG230" t="s">
        <v>1300</v>
      </c>
    </row>
    <row r="231" spans="13:59" x14ac:dyDescent="0.25">
      <c r="M231" t="str">
        <f>_xlfn.IFNA(IF(VLOOKUP(TAB_Offres[[#This Row],[Reference]],TAB_Offres[[Reference]:[Request State]],COLUMNS(TAB_Offres[[Reference]:[Request State]]),FALSE)=D$6,TAB_Offres[[#This Row],[Reference]],""),"")</f>
        <v/>
      </c>
      <c r="N231" t="str">
        <f>_xlfn.IFNA(IF(VLOOKUP(TAB_Offres[[#This Row],[Reference]],TAB_Offres[[Reference]:[Has Expenses?]],COLUMNS(TAB_Offres[[Reference]:[Has Expenses?]]),FALSE)=J$2,TAB_Offres[[#This Row],[Reference]],""),"")</f>
        <v/>
      </c>
      <c r="O231" t="str">
        <f>IF(Tableau19[[#This Row],[EXPENSES_REF]]="","",MAX(O$1:O230)+1)</f>
        <v/>
      </c>
      <c r="P231" t="str">
        <f t="shared" si="12"/>
        <v/>
      </c>
      <c r="R231" s="636" t="str">
        <f t="shared" si="14"/>
        <v>Service desk agent#R2-FAR</v>
      </c>
      <c r="S231" s="637">
        <v>225.62</v>
      </c>
      <c r="T231" s="638">
        <v>241.41</v>
      </c>
      <c r="U231" s="638">
        <v>258.31</v>
      </c>
      <c r="V231" s="638">
        <v>276.39</v>
      </c>
      <c r="W231" s="638">
        <v>295.74</v>
      </c>
      <c r="X231" s="638">
        <v>316.44</v>
      </c>
      <c r="Y231" s="638">
        <v>338.59</v>
      </c>
      <c r="Z231" s="638">
        <v>362.29</v>
      </c>
      <c r="AA231" s="638">
        <v>387.65</v>
      </c>
      <c r="AB231" s="638">
        <v>414.79</v>
      </c>
      <c r="AC231" s="638">
        <v>443.83</v>
      </c>
      <c r="AD231" s="112"/>
      <c r="AI231" s="191" t="str">
        <f>IFERROR(_xlfn.SINGLE(
IF(_xlfn.SINGLE(INDEX(TAB_Offres[Ressource 1],ROWS(Params!AI$2:$AI231)))=0,NA(),
INDEX(TAB_Offres[Ressource 1],ROWS(Params!AI$2:$AI231)))),
IFERROR(_xlfn.SINGLE(IF(_xlfn.SINGLE(INDEX(#REF!,ROWS(Params!AI$2:$AI231)-COUNTA(TAB_Offres[Ressource 1])))=0,NA(),
INDEX(#REF!,ROWS(Params!AI$2:$AI231)-COUNTA(TAB_Offres[Ressource 1])))),
IFERROR(_xlfn.SINGLE(IF(_xlfn.SINGLE(INDEX(#REF!,ROWS(Params!AI$2:$AI231)-COUNTA(#REF!)-COUNTA(TAB_Offres[Ressource 1])))=0,NA(),
INDEX(#REF!,ROWS(Params!AI$2:$AI231)-COUNTA(#REF!)-COUNTA(TAB_Offres[Ressource 1])))),""))
)</f>
        <v/>
      </c>
      <c r="AJ231" s="192" t="str">
        <f>IF(TAB_ressource[[#This Row],[Import Ressource]]="","",MAX(AJ$1:AJ230)+1)</f>
        <v/>
      </c>
      <c r="AK231" s="193" t="str">
        <f>IFERROR(INDEX(TAB_ressource[Import Ressource],MATCH(ROW()-ROW($AK$1),TAB_ressource[ID Import ressources],0)),"")</f>
        <v/>
      </c>
      <c r="AN231" s="26">
        <f t="shared" si="13"/>
        <v>0</v>
      </c>
      <c r="BD231" t="s">
        <v>1303</v>
      </c>
      <c r="BE231" t="s">
        <v>1304</v>
      </c>
      <c r="BF231" t="s">
        <v>1305</v>
      </c>
      <c r="BG231" t="s">
        <v>1303</v>
      </c>
    </row>
    <row r="232" spans="13:59" x14ac:dyDescent="0.25">
      <c r="M232" t="str">
        <f>_xlfn.IFNA(IF(VLOOKUP(TAB_Offres[[#This Row],[Reference]],TAB_Offres[[Reference]:[Request State]],COLUMNS(TAB_Offres[[Reference]:[Request State]]),FALSE)=D$6,TAB_Offres[[#This Row],[Reference]],""),"")</f>
        <v/>
      </c>
      <c r="N232" t="str">
        <f>_xlfn.IFNA(IF(VLOOKUP(TAB_Offres[[#This Row],[Reference]],TAB_Offres[[Reference]:[Has Expenses?]],COLUMNS(TAB_Offres[[Reference]:[Has Expenses?]]),FALSE)=J$2,TAB_Offres[[#This Row],[Reference]],""),"")</f>
        <v/>
      </c>
      <c r="O232" t="str">
        <f>IF(Tableau19[[#This Row],[EXPENSES_REF]]="","",MAX(O$1:O231)+1)</f>
        <v/>
      </c>
      <c r="P232" t="str">
        <f t="shared" si="12"/>
        <v/>
      </c>
      <c r="R232" s="636" t="str">
        <f t="shared" si="14"/>
        <v>User Documentation and Training person#R2-FAR</v>
      </c>
      <c r="S232" s="637">
        <v>225.62</v>
      </c>
      <c r="T232" s="638">
        <v>241.41</v>
      </c>
      <c r="U232" s="638">
        <v>258.31</v>
      </c>
      <c r="V232" s="638">
        <v>276.39</v>
      </c>
      <c r="W232" s="638">
        <v>295.74</v>
      </c>
      <c r="X232" s="638">
        <v>316.44</v>
      </c>
      <c r="Y232" s="638">
        <v>338.59</v>
      </c>
      <c r="Z232" s="638">
        <v>362.29</v>
      </c>
      <c r="AA232" s="638">
        <v>387.65</v>
      </c>
      <c r="AB232" s="638">
        <v>414.79</v>
      </c>
      <c r="AC232" s="638">
        <v>443.83</v>
      </c>
      <c r="AD232" s="112"/>
      <c r="AI232" s="191" t="str">
        <f>IFERROR(_xlfn.SINGLE(
IF(_xlfn.SINGLE(INDEX(TAB_Offres[Ressource 1],ROWS(Params!AI$2:$AI232)))=0,NA(),
INDEX(TAB_Offres[Ressource 1],ROWS(Params!AI$2:$AI232)))),
IFERROR(_xlfn.SINGLE(IF(_xlfn.SINGLE(INDEX(#REF!,ROWS(Params!AI$2:$AI232)-COUNTA(TAB_Offres[Ressource 1])))=0,NA(),
INDEX(#REF!,ROWS(Params!AI$2:$AI232)-COUNTA(TAB_Offres[Ressource 1])))),
IFERROR(_xlfn.SINGLE(IF(_xlfn.SINGLE(INDEX(#REF!,ROWS(Params!AI$2:$AI232)-COUNTA(#REF!)-COUNTA(TAB_Offres[Ressource 1])))=0,NA(),
INDEX(#REF!,ROWS(Params!AI$2:$AI232)-COUNTA(#REF!)-COUNTA(TAB_Offres[Ressource 1])))),""))
)</f>
        <v/>
      </c>
      <c r="AJ232" s="192" t="str">
        <f>IF(TAB_ressource[[#This Row],[Import Ressource]]="","",MAX(AJ$1:AJ231)+1)</f>
        <v/>
      </c>
      <c r="AK232" s="193" t="str">
        <f>IFERROR(INDEX(TAB_ressource[Import Ressource],MATCH(ROW()-ROW($AK$1),TAB_ressource[ID Import ressources],0)),"")</f>
        <v/>
      </c>
      <c r="AN232" s="26">
        <f t="shared" si="13"/>
        <v>0</v>
      </c>
      <c r="BD232" t="s">
        <v>1306</v>
      </c>
      <c r="BE232" t="s">
        <v>1307</v>
      </c>
      <c r="BF232" t="s">
        <v>1308</v>
      </c>
      <c r="BG232" t="s">
        <v>1306</v>
      </c>
    </row>
    <row r="233" spans="13:59" x14ac:dyDescent="0.25">
      <c r="M233" t="str">
        <f>_xlfn.IFNA(IF(VLOOKUP(TAB_Offres[[#This Row],[Reference]],TAB_Offres[[Reference]:[Request State]],COLUMNS(TAB_Offres[[Reference]:[Request State]]),FALSE)=D$6,TAB_Offres[[#This Row],[Reference]],""),"")</f>
        <v/>
      </c>
      <c r="N233" t="str">
        <f>_xlfn.IFNA(IF(VLOOKUP(TAB_Offres[[#This Row],[Reference]],TAB_Offres[[Reference]:[Has Expenses?]],COLUMNS(TAB_Offres[[Reference]:[Has Expenses?]]),FALSE)=J$2,TAB_Offres[[#This Row],[Reference]],""),"")</f>
        <v/>
      </c>
      <c r="O233" t="str">
        <f>IF(Tableau19[[#This Row],[EXPENSES_REF]]="","",MAX(O$1:O232)+1)</f>
        <v/>
      </c>
      <c r="P233" t="str">
        <f t="shared" si="12"/>
        <v/>
      </c>
      <c r="R233" s="636" t="str">
        <f t="shared" si="14"/>
        <v>Web Operations Manager#R2-FAR</v>
      </c>
      <c r="S233" s="637">
        <v>233.17</v>
      </c>
      <c r="T233" s="638">
        <v>249.49</v>
      </c>
      <c r="U233" s="638">
        <v>266.95</v>
      </c>
      <c r="V233" s="638">
        <v>285.64</v>
      </c>
      <c r="W233" s="638">
        <v>305.63</v>
      </c>
      <c r="X233" s="638">
        <v>327.02</v>
      </c>
      <c r="Y233" s="638">
        <v>349.91</v>
      </c>
      <c r="Z233" s="638">
        <v>374.4</v>
      </c>
      <c r="AA233" s="638">
        <v>400.61</v>
      </c>
      <c r="AB233" s="638">
        <v>428.65</v>
      </c>
      <c r="AC233" s="638">
        <v>458.66</v>
      </c>
      <c r="AD233" s="112"/>
      <c r="AI233" s="191" t="str">
        <f>IFERROR(_xlfn.SINGLE(
IF(_xlfn.SINGLE(INDEX(TAB_Offres[Ressource 1],ROWS(Params!AI$2:$AI233)))=0,NA(),
INDEX(TAB_Offres[Ressource 1],ROWS(Params!AI$2:$AI233)))),
IFERROR(_xlfn.SINGLE(IF(_xlfn.SINGLE(INDEX(#REF!,ROWS(Params!AI$2:$AI233)-COUNTA(TAB_Offres[Ressource 1])))=0,NA(),
INDEX(#REF!,ROWS(Params!AI$2:$AI233)-COUNTA(TAB_Offres[Ressource 1])))),
IFERROR(_xlfn.SINGLE(IF(_xlfn.SINGLE(INDEX(#REF!,ROWS(Params!AI$2:$AI233)-COUNTA(#REF!)-COUNTA(TAB_Offres[Ressource 1])))=0,NA(),
INDEX(#REF!,ROWS(Params!AI$2:$AI233)-COUNTA(#REF!)-COUNTA(TAB_Offres[Ressource 1])))),""))
)</f>
        <v/>
      </c>
      <c r="AJ233" s="192" t="str">
        <f>IF(TAB_ressource[[#This Row],[Import Ressource]]="","",MAX(AJ$1:AJ232)+1)</f>
        <v/>
      </c>
      <c r="AK233" s="193" t="str">
        <f>IFERROR(INDEX(TAB_ressource[Import Ressource],MATCH(ROW()-ROW($AK$1),TAB_ressource[ID Import ressources],0)),"")</f>
        <v/>
      </c>
      <c r="AN233" s="26">
        <f t="shared" si="13"/>
        <v>0</v>
      </c>
      <c r="BD233" t="s">
        <v>1309</v>
      </c>
      <c r="BE233" t="s">
        <v>1310</v>
      </c>
      <c r="BF233" t="s">
        <v>1311</v>
      </c>
      <c r="BG233" t="s">
        <v>1309</v>
      </c>
    </row>
    <row r="234" spans="13:59" x14ac:dyDescent="0.25">
      <c r="M234" t="str">
        <f>_xlfn.IFNA(IF(VLOOKUP(TAB_Offres[[#This Row],[Reference]],TAB_Offres[[Reference]:[Request State]],COLUMNS(TAB_Offres[[Reference]:[Request State]]),FALSE)=D$6,TAB_Offres[[#This Row],[Reference]],""),"")</f>
        <v/>
      </c>
      <c r="N234" t="str">
        <f>_xlfn.IFNA(IF(VLOOKUP(TAB_Offres[[#This Row],[Reference]],TAB_Offres[[Reference]:[Has Expenses?]],COLUMNS(TAB_Offres[[Reference]:[Has Expenses?]]),FALSE)=J$2,TAB_Offres[[#This Row],[Reference]],""),"")</f>
        <v/>
      </c>
      <c r="O234" t="str">
        <f>IF(Tableau19[[#This Row],[EXPENSES_REF]]="","",MAX(O$1:O233)+1)</f>
        <v/>
      </c>
      <c r="P234" t="str">
        <f t="shared" si="12"/>
        <v/>
      </c>
      <c r="R234" s="636" t="str">
        <f t="shared" si="14"/>
        <v>IS Tester#R2-FAR</v>
      </c>
      <c r="S234" s="637">
        <v>253.68</v>
      </c>
      <c r="T234" s="638">
        <v>271.44</v>
      </c>
      <c r="U234" s="638">
        <v>290.44</v>
      </c>
      <c r="V234" s="638">
        <v>310.77</v>
      </c>
      <c r="W234" s="638">
        <v>332.52</v>
      </c>
      <c r="X234" s="638">
        <v>355.8</v>
      </c>
      <c r="Y234" s="638">
        <v>380.71</v>
      </c>
      <c r="Z234" s="638">
        <v>407.36</v>
      </c>
      <c r="AA234" s="638">
        <v>435.88</v>
      </c>
      <c r="AB234" s="638">
        <v>466.39</v>
      </c>
      <c r="AC234" s="638">
        <v>499.04</v>
      </c>
      <c r="AD234" s="112"/>
      <c r="AI234" s="191" t="str">
        <f>IFERROR(_xlfn.SINGLE(
IF(_xlfn.SINGLE(INDEX(TAB_Offres[Ressource 1],ROWS(Params!AI$2:$AI234)))=0,NA(),
INDEX(TAB_Offres[Ressource 1],ROWS(Params!AI$2:$AI234)))),
IFERROR(_xlfn.SINGLE(IF(_xlfn.SINGLE(INDEX(#REF!,ROWS(Params!AI$2:$AI234)-COUNTA(TAB_Offres[Ressource 1])))=0,NA(),
INDEX(#REF!,ROWS(Params!AI$2:$AI234)-COUNTA(TAB_Offres[Ressource 1])))),
IFERROR(_xlfn.SINGLE(IF(_xlfn.SINGLE(INDEX(#REF!,ROWS(Params!AI$2:$AI234)-COUNTA(#REF!)-COUNTA(TAB_Offres[Ressource 1])))=0,NA(),
INDEX(#REF!,ROWS(Params!AI$2:$AI234)-COUNTA(#REF!)-COUNTA(TAB_Offres[Ressource 1])))),""))
)</f>
        <v/>
      </c>
      <c r="AJ234" s="192" t="str">
        <f>IF(TAB_ressource[[#This Row],[Import Ressource]]="","",MAX(AJ$1:AJ233)+1)</f>
        <v/>
      </c>
      <c r="AK234" s="193" t="str">
        <f>IFERROR(INDEX(TAB_ressource[Import Ressource],MATCH(ROW()-ROW($AK$1),TAB_ressource[ID Import ressources],0)),"")</f>
        <v/>
      </c>
      <c r="AN234" s="26">
        <f t="shared" si="13"/>
        <v>0</v>
      </c>
      <c r="BD234" t="s">
        <v>1312</v>
      </c>
      <c r="BE234" t="s">
        <v>1313</v>
      </c>
      <c r="BF234" t="s">
        <v>1314</v>
      </c>
      <c r="BG234" t="s">
        <v>1312</v>
      </c>
    </row>
    <row r="235" spans="13:59" x14ac:dyDescent="0.25">
      <c r="M235" t="str">
        <f>_xlfn.IFNA(IF(VLOOKUP(TAB_Offres[[#This Row],[Reference]],TAB_Offres[[Reference]:[Request State]],COLUMNS(TAB_Offres[[Reference]:[Request State]]),FALSE)=D$6,TAB_Offres[[#This Row],[Reference]],""),"")</f>
        <v/>
      </c>
      <c r="N235" t="str">
        <f>_xlfn.IFNA(IF(VLOOKUP(TAB_Offres[[#This Row],[Reference]],TAB_Offres[[Reference]:[Has Expenses?]],COLUMNS(TAB_Offres[[Reference]:[Has Expenses?]]),FALSE)=J$2,TAB_Offres[[#This Row],[Reference]],""),"")</f>
        <v/>
      </c>
      <c r="O235" t="str">
        <f>IF(Tableau19[[#This Row],[EXPENSES_REF]]="","",MAX(O$1:O234)+1)</f>
        <v/>
      </c>
      <c r="P235" t="str">
        <f t="shared" si="12"/>
        <v/>
      </c>
      <c r="R235" s="636" t="str">
        <f t="shared" si="14"/>
        <v>Configuration / Deployment manager#R2-FAR</v>
      </c>
      <c r="S235" s="637">
        <v>225.62</v>
      </c>
      <c r="T235" s="638">
        <v>241.41</v>
      </c>
      <c r="U235" s="638">
        <v>258.31</v>
      </c>
      <c r="V235" s="638">
        <v>276.39</v>
      </c>
      <c r="W235" s="638">
        <v>295.74</v>
      </c>
      <c r="X235" s="638">
        <v>316.44</v>
      </c>
      <c r="Y235" s="638">
        <v>338.59</v>
      </c>
      <c r="Z235" s="638">
        <v>362.29</v>
      </c>
      <c r="AA235" s="638">
        <v>387.65</v>
      </c>
      <c r="AB235" s="638">
        <v>414.79</v>
      </c>
      <c r="AC235" s="638">
        <v>443.83</v>
      </c>
      <c r="AD235" s="112"/>
      <c r="AI235" s="191" t="str">
        <f>IFERROR(_xlfn.SINGLE(
IF(_xlfn.SINGLE(INDEX(TAB_Offres[Ressource 1],ROWS(Params!AI$2:$AI235)))=0,NA(),
INDEX(TAB_Offres[Ressource 1],ROWS(Params!AI$2:$AI235)))),
IFERROR(_xlfn.SINGLE(IF(_xlfn.SINGLE(INDEX(#REF!,ROWS(Params!AI$2:$AI235)-COUNTA(TAB_Offres[Ressource 1])))=0,NA(),
INDEX(#REF!,ROWS(Params!AI$2:$AI235)-COUNTA(TAB_Offres[Ressource 1])))),
IFERROR(_xlfn.SINGLE(IF(_xlfn.SINGLE(INDEX(#REF!,ROWS(Params!AI$2:$AI235)-COUNTA(#REF!)-COUNTA(TAB_Offres[Ressource 1])))=0,NA(),
INDEX(#REF!,ROWS(Params!AI$2:$AI235)-COUNTA(#REF!)-COUNTA(TAB_Offres[Ressource 1])))),""))
)</f>
        <v/>
      </c>
      <c r="AJ235" s="192" t="str">
        <f>IF(TAB_ressource[[#This Row],[Import Ressource]]="","",MAX(AJ$1:AJ234)+1)</f>
        <v/>
      </c>
      <c r="AK235" s="193" t="str">
        <f>IFERROR(INDEX(TAB_ressource[Import Ressource],MATCH(ROW()-ROW($AK$1),TAB_ressource[ID Import ressources],0)),"")</f>
        <v/>
      </c>
      <c r="AN235" s="26">
        <f t="shared" si="13"/>
        <v>0</v>
      </c>
      <c r="BD235" t="s">
        <v>1315</v>
      </c>
      <c r="BE235" t="s">
        <v>1316</v>
      </c>
      <c r="BF235" t="s">
        <v>1317</v>
      </c>
      <c r="BG235" t="s">
        <v>1315</v>
      </c>
    </row>
    <row r="236" spans="13:59" x14ac:dyDescent="0.25">
      <c r="M236" t="str">
        <f>_xlfn.IFNA(IF(VLOOKUP(TAB_Offres[[#This Row],[Reference]],TAB_Offres[[Reference]:[Request State]],COLUMNS(TAB_Offres[[Reference]:[Request State]]),FALSE)=D$6,TAB_Offres[[#This Row],[Reference]],""),"")</f>
        <v/>
      </c>
      <c r="N236" t="str">
        <f>_xlfn.IFNA(IF(VLOOKUP(TAB_Offres[[#This Row],[Reference]],TAB_Offres[[Reference]:[Has Expenses?]],COLUMNS(TAB_Offres[[Reference]:[Has Expenses?]]),FALSE)=J$2,TAB_Offres[[#This Row],[Reference]],""),"")</f>
        <v/>
      </c>
      <c r="O236" t="str">
        <f>IF(Tableau19[[#This Row],[EXPENSES_REF]]="","",MAX(O$1:O235)+1)</f>
        <v/>
      </c>
      <c r="P236" t="str">
        <f t="shared" si="12"/>
        <v/>
      </c>
      <c r="R236" s="636" t="str">
        <f t="shared" si="14"/>
        <v>Infrastructure System engineer#R2-FAR</v>
      </c>
      <c r="S236" s="637">
        <v>225.62</v>
      </c>
      <c r="T236" s="638">
        <v>241.41</v>
      </c>
      <c r="U236" s="638">
        <v>258.31</v>
      </c>
      <c r="V236" s="638">
        <v>276.39</v>
      </c>
      <c r="W236" s="638">
        <v>295.74</v>
      </c>
      <c r="X236" s="638">
        <v>316.44</v>
      </c>
      <c r="Y236" s="638">
        <v>338.59</v>
      </c>
      <c r="Z236" s="638">
        <v>362.29</v>
      </c>
      <c r="AA236" s="638">
        <v>387.65</v>
      </c>
      <c r="AB236" s="638">
        <v>414.79</v>
      </c>
      <c r="AC236" s="638">
        <v>443.83</v>
      </c>
      <c r="AD236" s="112"/>
      <c r="AI236" s="191" t="str">
        <f>IFERROR(_xlfn.SINGLE(
IF(_xlfn.SINGLE(INDEX(TAB_Offres[Ressource 1],ROWS(Params!AI$2:$AI236)))=0,NA(),
INDEX(TAB_Offres[Ressource 1],ROWS(Params!AI$2:$AI236)))),
IFERROR(_xlfn.SINGLE(IF(_xlfn.SINGLE(INDEX(#REF!,ROWS(Params!AI$2:$AI236)-COUNTA(TAB_Offres[Ressource 1])))=0,NA(),
INDEX(#REF!,ROWS(Params!AI$2:$AI236)-COUNTA(TAB_Offres[Ressource 1])))),
IFERROR(_xlfn.SINGLE(IF(_xlfn.SINGLE(INDEX(#REF!,ROWS(Params!AI$2:$AI236)-COUNTA(#REF!)-COUNTA(TAB_Offres[Ressource 1])))=0,NA(),
INDEX(#REF!,ROWS(Params!AI$2:$AI236)-COUNTA(#REF!)-COUNTA(TAB_Offres[Ressource 1])))),""))
)</f>
        <v/>
      </c>
      <c r="AJ236" s="192" t="str">
        <f>IF(TAB_ressource[[#This Row],[Import Ressource]]="","",MAX(AJ$1:AJ235)+1)</f>
        <v/>
      </c>
      <c r="AK236" s="193" t="str">
        <f>IFERROR(INDEX(TAB_ressource[Import Ressource],MATCH(ROW()-ROW($AK$1),TAB_ressource[ID Import ressources],0)),"")</f>
        <v/>
      </c>
      <c r="AN236" s="26">
        <f t="shared" si="13"/>
        <v>0</v>
      </c>
      <c r="BD236" t="s">
        <v>1318</v>
      </c>
      <c r="BE236" t="s">
        <v>1319</v>
      </c>
      <c r="BF236" t="s">
        <v>1320</v>
      </c>
      <c r="BG236" t="s">
        <v>1318</v>
      </c>
    </row>
    <row r="237" spans="13:59" x14ac:dyDescent="0.25">
      <c r="M237" t="str">
        <f>_xlfn.IFNA(IF(VLOOKUP(TAB_Offres[[#This Row],[Reference]],TAB_Offres[[Reference]:[Request State]],COLUMNS(TAB_Offres[[Reference]:[Request State]]),FALSE)=D$6,TAB_Offres[[#This Row],[Reference]],""),"")</f>
        <v/>
      </c>
      <c r="N237" t="str">
        <f>_xlfn.IFNA(IF(VLOOKUP(TAB_Offres[[#This Row],[Reference]],TAB_Offres[[Reference]:[Has Expenses?]],COLUMNS(TAB_Offres[[Reference]:[Has Expenses?]]),FALSE)=J$2,TAB_Offres[[#This Row],[Reference]],""),"")</f>
        <v/>
      </c>
      <c r="O237" t="str">
        <f>IF(Tableau19[[#This Row],[EXPENSES_REF]]="","",MAX(O$1:O236)+1)</f>
        <v/>
      </c>
      <c r="P237" t="str">
        <f t="shared" si="12"/>
        <v/>
      </c>
      <c r="R237" s="636" t="str">
        <f t="shared" si="14"/>
        <v>Linux consultant#R2-FAR</v>
      </c>
      <c r="S237" s="637">
        <v>225.62</v>
      </c>
      <c r="T237" s="638">
        <v>241.41</v>
      </c>
      <c r="U237" s="638">
        <v>258.31</v>
      </c>
      <c r="V237" s="638">
        <v>276.39</v>
      </c>
      <c r="W237" s="638">
        <v>295.74</v>
      </c>
      <c r="X237" s="638">
        <v>316.44</v>
      </c>
      <c r="Y237" s="638">
        <v>338.59</v>
      </c>
      <c r="Z237" s="638">
        <v>362.29</v>
      </c>
      <c r="AA237" s="638">
        <v>387.65</v>
      </c>
      <c r="AB237" s="638">
        <v>414.79</v>
      </c>
      <c r="AC237" s="638">
        <v>443.83</v>
      </c>
      <c r="AD237" s="112"/>
      <c r="AI237" s="191" t="str">
        <f>IFERROR(_xlfn.SINGLE(
IF(_xlfn.SINGLE(INDEX(TAB_Offres[Ressource 1],ROWS(Params!AI$2:$AI237)))=0,NA(),
INDEX(TAB_Offres[Ressource 1],ROWS(Params!AI$2:$AI237)))),
IFERROR(_xlfn.SINGLE(IF(_xlfn.SINGLE(INDEX(#REF!,ROWS(Params!AI$2:$AI237)-COUNTA(TAB_Offres[Ressource 1])))=0,NA(),
INDEX(#REF!,ROWS(Params!AI$2:$AI237)-COUNTA(TAB_Offres[Ressource 1])))),
IFERROR(_xlfn.SINGLE(IF(_xlfn.SINGLE(INDEX(#REF!,ROWS(Params!AI$2:$AI237)-COUNTA(#REF!)-COUNTA(TAB_Offres[Ressource 1])))=0,NA(),
INDEX(#REF!,ROWS(Params!AI$2:$AI237)-COUNTA(#REF!)-COUNTA(TAB_Offres[Ressource 1])))),""))
)</f>
        <v/>
      </c>
      <c r="AJ237" s="192" t="str">
        <f>IF(TAB_ressource[[#This Row],[Import Ressource]]="","",MAX(AJ$1:AJ236)+1)</f>
        <v/>
      </c>
      <c r="AK237" s="193" t="str">
        <f>IFERROR(INDEX(TAB_ressource[Import Ressource],MATCH(ROW()-ROW($AK$1),TAB_ressource[ID Import ressources],0)),"")</f>
        <v/>
      </c>
      <c r="AN237" s="26">
        <f t="shared" si="13"/>
        <v>0</v>
      </c>
      <c r="BD237" t="s">
        <v>1321</v>
      </c>
      <c r="BE237" t="s">
        <v>1322</v>
      </c>
      <c r="BF237" t="s">
        <v>1323</v>
      </c>
      <c r="BG237" t="s">
        <v>1321</v>
      </c>
    </row>
    <row r="238" spans="13:59" x14ac:dyDescent="0.25">
      <c r="M238" t="str">
        <f>_xlfn.IFNA(IF(VLOOKUP(TAB_Offres[[#This Row],[Reference]],TAB_Offres[[Reference]:[Request State]],COLUMNS(TAB_Offres[[Reference]:[Request State]]),FALSE)=D$6,TAB_Offres[[#This Row],[Reference]],""),"")</f>
        <v/>
      </c>
      <c r="N238" t="str">
        <f>_xlfn.IFNA(IF(VLOOKUP(TAB_Offres[[#This Row],[Reference]],TAB_Offres[[Reference]:[Has Expenses?]],COLUMNS(TAB_Offres[[Reference]:[Has Expenses?]]),FALSE)=J$2,TAB_Offres[[#This Row],[Reference]],""),"")</f>
        <v/>
      </c>
      <c r="O238" t="str">
        <f>IF(Tableau19[[#This Row],[EXPENSES_REF]]="","",MAX(O$1:O237)+1)</f>
        <v/>
      </c>
      <c r="P238" t="str">
        <f t="shared" si="12"/>
        <v/>
      </c>
      <c r="R238" s="636" t="str">
        <f t="shared" si="14"/>
        <v>MacOS consultant#R2-FAR</v>
      </c>
      <c r="S238" s="637">
        <v>225.62</v>
      </c>
      <c r="T238" s="638">
        <v>241.41</v>
      </c>
      <c r="U238" s="638">
        <v>258.31</v>
      </c>
      <c r="V238" s="638">
        <v>276.39</v>
      </c>
      <c r="W238" s="638">
        <v>295.74</v>
      </c>
      <c r="X238" s="638">
        <v>316.44</v>
      </c>
      <c r="Y238" s="638">
        <v>338.59</v>
      </c>
      <c r="Z238" s="638">
        <v>362.29</v>
      </c>
      <c r="AA238" s="638">
        <v>387.65</v>
      </c>
      <c r="AB238" s="638">
        <v>414.79</v>
      </c>
      <c r="AC238" s="638">
        <v>443.83</v>
      </c>
      <c r="AD238" s="112"/>
      <c r="AI238" s="191" t="str">
        <f>IFERROR(_xlfn.SINGLE(
IF(_xlfn.SINGLE(INDEX(TAB_Offres[Ressource 1],ROWS(Params!AI$2:$AI238)))=0,NA(),
INDEX(TAB_Offres[Ressource 1],ROWS(Params!AI$2:$AI238)))),
IFERROR(_xlfn.SINGLE(IF(_xlfn.SINGLE(INDEX(#REF!,ROWS(Params!AI$2:$AI238)-COUNTA(TAB_Offres[Ressource 1])))=0,NA(),
INDEX(#REF!,ROWS(Params!AI$2:$AI238)-COUNTA(TAB_Offres[Ressource 1])))),
IFERROR(_xlfn.SINGLE(IF(_xlfn.SINGLE(INDEX(#REF!,ROWS(Params!AI$2:$AI238)-COUNTA(#REF!)-COUNTA(TAB_Offres[Ressource 1])))=0,NA(),
INDEX(#REF!,ROWS(Params!AI$2:$AI238)-COUNTA(#REF!)-COUNTA(TAB_Offres[Ressource 1])))),""))
)</f>
        <v/>
      </c>
      <c r="AJ238" s="192" t="str">
        <f>IF(TAB_ressource[[#This Row],[Import Ressource]]="","",MAX(AJ$1:AJ237)+1)</f>
        <v/>
      </c>
      <c r="AK238" s="193" t="str">
        <f>IFERROR(INDEX(TAB_ressource[Import Ressource],MATCH(ROW()-ROW($AK$1),TAB_ressource[ID Import ressources],0)),"")</f>
        <v/>
      </c>
      <c r="AN238" s="26">
        <f t="shared" si="13"/>
        <v>0</v>
      </c>
      <c r="BD238" t="s">
        <v>1324</v>
      </c>
      <c r="BE238" t="s">
        <v>1325</v>
      </c>
      <c r="BF238" t="s">
        <v>1326</v>
      </c>
      <c r="BG238" t="s">
        <v>1324</v>
      </c>
    </row>
    <row r="239" spans="13:59" ht="26.4" x14ac:dyDescent="0.25">
      <c r="M239" t="str">
        <f>_xlfn.IFNA(IF(VLOOKUP(TAB_Offres[[#This Row],[Reference]],TAB_Offres[[Reference]:[Request State]],COLUMNS(TAB_Offres[[Reference]:[Request State]]),FALSE)=D$6,TAB_Offres[[#This Row],[Reference]],""),"")</f>
        <v/>
      </c>
      <c r="N239" t="str">
        <f>_xlfn.IFNA(IF(VLOOKUP(TAB_Offres[[#This Row],[Reference]],TAB_Offres[[Reference]:[Has Expenses?]],COLUMNS(TAB_Offres[[Reference]:[Has Expenses?]]),FALSE)=J$2,TAB_Offres[[#This Row],[Reference]],""),"")</f>
        <v/>
      </c>
      <c r="O239" t="str">
        <f>IF(Tableau19[[#This Row],[EXPENSES_REF]]="","",MAX(O$1:O238)+1)</f>
        <v/>
      </c>
      <c r="P239" t="str">
        <f t="shared" si="12"/>
        <v/>
      </c>
      <c r="R239" s="634" t="s">
        <v>6124</v>
      </c>
      <c r="S239" s="637"/>
      <c r="T239" s="638"/>
      <c r="U239" s="638"/>
      <c r="V239" s="638"/>
      <c r="W239" s="638"/>
      <c r="X239" s="638"/>
      <c r="Y239" s="638"/>
      <c r="Z239" s="638"/>
      <c r="AA239" s="638"/>
      <c r="AB239" s="638"/>
      <c r="AC239" s="638"/>
      <c r="AD239" s="112"/>
      <c r="AI239" s="191" t="str">
        <f>IFERROR(_xlfn.SINGLE(
IF(_xlfn.SINGLE(INDEX(TAB_Offres[Ressource 1],ROWS(Params!AI$2:$AI239)))=0,NA(),
INDEX(TAB_Offres[Ressource 1],ROWS(Params!AI$2:$AI239)))),
IFERROR(_xlfn.SINGLE(IF(_xlfn.SINGLE(INDEX(#REF!,ROWS(Params!AI$2:$AI239)-COUNTA(TAB_Offres[Ressource 1])))=0,NA(),
INDEX(#REF!,ROWS(Params!AI$2:$AI239)-COUNTA(TAB_Offres[Ressource 1])))),
IFERROR(_xlfn.SINGLE(IF(_xlfn.SINGLE(INDEX(#REF!,ROWS(Params!AI$2:$AI239)-COUNTA(#REF!)-COUNTA(TAB_Offres[Ressource 1])))=0,NA(),
INDEX(#REF!,ROWS(Params!AI$2:$AI239)-COUNTA(#REF!)-COUNTA(TAB_Offres[Ressource 1])))),""))
)</f>
        <v/>
      </c>
      <c r="AJ239" s="192" t="str">
        <f>IF(TAB_ressource[[#This Row],[Import Ressource]]="","",MAX(AJ$1:AJ238)+1)</f>
        <v/>
      </c>
      <c r="AK239" s="193" t="str">
        <f>IFERROR(INDEX(TAB_ressource[Import Ressource],MATCH(ROW()-ROW($AK$1),TAB_ressource[ID Import ressources],0)),"")</f>
        <v/>
      </c>
      <c r="AN239" s="26">
        <f t="shared" si="13"/>
        <v>0</v>
      </c>
      <c r="BD239" t="s">
        <v>1327</v>
      </c>
      <c r="BE239" t="s">
        <v>1328</v>
      </c>
      <c r="BF239" t="s">
        <v>1329</v>
      </c>
      <c r="BG239" t="s">
        <v>1327</v>
      </c>
    </row>
    <row r="240" spans="13:59" x14ac:dyDescent="0.25">
      <c r="M240" t="str">
        <f>_xlfn.IFNA(IF(VLOOKUP(TAB_Offres[[#This Row],[Reference]],TAB_Offres[[Reference]:[Request State]],COLUMNS(TAB_Offres[[Reference]:[Request State]]),FALSE)=D$6,TAB_Offres[[#This Row],[Reference]],""),"")</f>
        <v/>
      </c>
      <c r="N240" t="str">
        <f>_xlfn.IFNA(IF(VLOOKUP(TAB_Offres[[#This Row],[Reference]],TAB_Offres[[Reference]:[Has Expenses?]],COLUMNS(TAB_Offres[[Reference]:[Has Expenses?]]),FALSE)=J$2,TAB_Offres[[#This Row],[Reference]],""),"")</f>
        <v/>
      </c>
      <c r="O240" t="str">
        <f>IF(Tableau19[[#This Row],[EXPENSES_REF]]="","",MAX(O$1:O239)+1)</f>
        <v/>
      </c>
      <c r="P240" t="str">
        <f t="shared" si="12"/>
        <v/>
      </c>
      <c r="R240" s="635" t="s">
        <v>6125</v>
      </c>
      <c r="S240" s="637">
        <v>340.8</v>
      </c>
      <c r="T240" s="638">
        <v>364.66</v>
      </c>
      <c r="U240" s="638">
        <v>390.19</v>
      </c>
      <c r="V240" s="638">
        <v>417.5</v>
      </c>
      <c r="W240" s="638">
        <v>446.73</v>
      </c>
      <c r="X240" s="638">
        <v>478</v>
      </c>
      <c r="Y240" s="638">
        <v>511.46</v>
      </c>
      <c r="Z240" s="638">
        <v>547.26</v>
      </c>
      <c r="AA240" s="638">
        <v>585.57000000000005</v>
      </c>
      <c r="AB240" s="638">
        <v>626.55999999999995</v>
      </c>
      <c r="AC240" s="638">
        <v>670.42</v>
      </c>
      <c r="AD240" s="112"/>
      <c r="AI240" s="191" t="str">
        <f>IFERROR(_xlfn.SINGLE(
IF(_xlfn.SINGLE(INDEX(TAB_Offres[Ressource 1],ROWS(Params!AI$2:$AI240)))=0,NA(),
INDEX(TAB_Offres[Ressource 1],ROWS(Params!AI$2:$AI240)))),
IFERROR(_xlfn.SINGLE(IF(_xlfn.SINGLE(INDEX(#REF!,ROWS(Params!AI$2:$AI240)-COUNTA(TAB_Offres[Ressource 1])))=0,NA(),
INDEX(#REF!,ROWS(Params!AI$2:$AI240)-COUNTA(TAB_Offres[Ressource 1])))),
IFERROR(_xlfn.SINGLE(IF(_xlfn.SINGLE(INDEX(#REF!,ROWS(Params!AI$2:$AI240)-COUNTA(#REF!)-COUNTA(TAB_Offres[Ressource 1])))=0,NA(),
INDEX(#REF!,ROWS(Params!AI$2:$AI240)-COUNTA(#REF!)-COUNTA(TAB_Offres[Ressource 1])))),""))
)</f>
        <v/>
      </c>
      <c r="AJ240" s="192" t="str">
        <f>IF(TAB_ressource[[#This Row],[Import Ressource]]="","",MAX(AJ$1:AJ239)+1)</f>
        <v/>
      </c>
      <c r="AK240" s="193" t="str">
        <f>IFERROR(INDEX(TAB_ressource[Import Ressource],MATCH(ROW()-ROW($AK$1),TAB_ressource[ID Import ressources],0)),"")</f>
        <v/>
      </c>
      <c r="AN240" s="26">
        <f t="shared" si="13"/>
        <v>0</v>
      </c>
      <c r="BD240" t="s">
        <v>1330</v>
      </c>
      <c r="BE240" t="s">
        <v>1331</v>
      </c>
      <c r="BF240" t="s">
        <v>1332</v>
      </c>
      <c r="BG240" t="s">
        <v>1330</v>
      </c>
    </row>
    <row r="241" spans="13:59" x14ac:dyDescent="0.25">
      <c r="M241" t="str">
        <f>_xlfn.IFNA(IF(VLOOKUP(TAB_Offres[[#This Row],[Reference]],TAB_Offres[[Reference]:[Request State]],COLUMNS(TAB_Offres[[Reference]:[Request State]]),FALSE)=D$6,TAB_Offres[[#This Row],[Reference]],""),"")</f>
        <v/>
      </c>
      <c r="N241" t="str">
        <f>_xlfn.IFNA(IF(VLOOKUP(TAB_Offres[[#This Row],[Reference]],TAB_Offres[[Reference]:[Has Expenses?]],COLUMNS(TAB_Offres[[Reference]:[Has Expenses?]]),FALSE)=J$2,TAB_Offres[[#This Row],[Reference]],""),"")</f>
        <v/>
      </c>
      <c r="O241" t="str">
        <f>IF(Tableau19[[#This Row],[EXPENSES_REF]]="","",MAX(O$1:O240)+1)</f>
        <v/>
      </c>
      <c r="P241" t="str">
        <f t="shared" si="12"/>
        <v/>
      </c>
      <c r="R241" s="635" t="s">
        <v>6126</v>
      </c>
      <c r="S241" s="637">
        <v>340.8</v>
      </c>
      <c r="T241" s="638">
        <v>364.66</v>
      </c>
      <c r="U241" s="638">
        <v>390.19</v>
      </c>
      <c r="V241" s="638">
        <v>417.5</v>
      </c>
      <c r="W241" s="638">
        <v>446.73</v>
      </c>
      <c r="X241" s="638">
        <v>478</v>
      </c>
      <c r="Y241" s="638">
        <v>511.46</v>
      </c>
      <c r="Z241" s="638">
        <v>547.26</v>
      </c>
      <c r="AA241" s="638">
        <v>585.57000000000005</v>
      </c>
      <c r="AB241" s="638">
        <v>626.55999999999995</v>
      </c>
      <c r="AC241" s="638">
        <v>670.42</v>
      </c>
      <c r="AD241" s="112"/>
      <c r="AI241" s="191" t="str">
        <f>IFERROR(_xlfn.SINGLE(
IF(_xlfn.SINGLE(INDEX(TAB_Offres[Ressource 1],ROWS(Params!AI$2:$AI241)))=0,NA(),
INDEX(TAB_Offres[Ressource 1],ROWS(Params!AI$2:$AI241)))),
IFERROR(_xlfn.SINGLE(IF(_xlfn.SINGLE(INDEX(#REF!,ROWS(Params!AI$2:$AI241)-COUNTA(TAB_Offres[Ressource 1])))=0,NA(),
INDEX(#REF!,ROWS(Params!AI$2:$AI241)-COUNTA(TAB_Offres[Ressource 1])))),
IFERROR(_xlfn.SINGLE(IF(_xlfn.SINGLE(INDEX(#REF!,ROWS(Params!AI$2:$AI241)-COUNTA(#REF!)-COUNTA(TAB_Offres[Ressource 1])))=0,NA(),
INDEX(#REF!,ROWS(Params!AI$2:$AI241)-COUNTA(#REF!)-COUNTA(TAB_Offres[Ressource 1])))),""))
)</f>
        <v/>
      </c>
      <c r="AJ241" s="192" t="str">
        <f>IF(TAB_ressource[[#This Row],[Import Ressource]]="","",MAX(AJ$1:AJ240)+1)</f>
        <v/>
      </c>
      <c r="AK241" s="193" t="str">
        <f>IFERROR(INDEX(TAB_ressource[Import Ressource],MATCH(ROW()-ROW($AK$1),TAB_ressource[ID Import ressources],0)),"")</f>
        <v/>
      </c>
      <c r="AN241" s="26">
        <f t="shared" si="13"/>
        <v>0</v>
      </c>
      <c r="BD241" t="s">
        <v>1333</v>
      </c>
      <c r="BE241" t="s">
        <v>1334</v>
      </c>
      <c r="BF241" t="s">
        <v>1335</v>
      </c>
      <c r="BG241" t="s">
        <v>1333</v>
      </c>
    </row>
    <row r="242" spans="13:59" x14ac:dyDescent="0.25">
      <c r="M242" t="str">
        <f>_xlfn.IFNA(IF(VLOOKUP(TAB_Offres[[#This Row],[Reference]],TAB_Offres[[Reference]:[Request State]],COLUMNS(TAB_Offres[[Reference]:[Request State]]),FALSE)=D$6,TAB_Offres[[#This Row],[Reference]],""),"")</f>
        <v/>
      </c>
      <c r="N242" t="str">
        <f>_xlfn.IFNA(IF(VLOOKUP(TAB_Offres[[#This Row],[Reference]],TAB_Offres[[Reference]:[Has Expenses?]],COLUMNS(TAB_Offres[[Reference]:[Has Expenses?]]),FALSE)=J$2,TAB_Offres[[#This Row],[Reference]],""),"")</f>
        <v/>
      </c>
      <c r="O242" t="str">
        <f>IF(Tableau19[[#This Row],[EXPENSES_REF]]="","",MAX(O$1:O241)+1)</f>
        <v/>
      </c>
      <c r="P242" t="str">
        <f t="shared" si="12"/>
        <v/>
      </c>
      <c r="R242" s="635" t="s">
        <v>6127</v>
      </c>
      <c r="S242" s="637">
        <v>340.8</v>
      </c>
      <c r="T242" s="638">
        <v>364.66</v>
      </c>
      <c r="U242" s="638">
        <v>390.19</v>
      </c>
      <c r="V242" s="638">
        <v>417.5</v>
      </c>
      <c r="W242" s="638">
        <v>446.73</v>
      </c>
      <c r="X242" s="638">
        <v>478</v>
      </c>
      <c r="Y242" s="638">
        <v>511.46</v>
      </c>
      <c r="Z242" s="638">
        <v>547.26</v>
      </c>
      <c r="AA242" s="638">
        <v>585.57000000000005</v>
      </c>
      <c r="AB242" s="638">
        <v>626.55999999999995</v>
      </c>
      <c r="AC242" s="638">
        <v>670.42</v>
      </c>
      <c r="AD242" s="112"/>
      <c r="AI242" s="191" t="str">
        <f>IFERROR(_xlfn.SINGLE(
IF(_xlfn.SINGLE(INDEX(TAB_Offres[Ressource 1],ROWS(Params!AI$2:$AI242)))=0,NA(),
INDEX(TAB_Offres[Ressource 1],ROWS(Params!AI$2:$AI242)))),
IFERROR(_xlfn.SINGLE(IF(_xlfn.SINGLE(INDEX(#REF!,ROWS(Params!AI$2:$AI242)-COUNTA(TAB_Offres[Ressource 1])))=0,NA(),
INDEX(#REF!,ROWS(Params!AI$2:$AI242)-COUNTA(TAB_Offres[Ressource 1])))),
IFERROR(_xlfn.SINGLE(IF(_xlfn.SINGLE(INDEX(#REF!,ROWS(Params!AI$2:$AI242)-COUNTA(#REF!)-COUNTA(TAB_Offres[Ressource 1])))=0,NA(),
INDEX(#REF!,ROWS(Params!AI$2:$AI242)-COUNTA(#REF!)-COUNTA(TAB_Offres[Ressource 1])))),""))
)</f>
        <v/>
      </c>
      <c r="AJ242" s="192" t="str">
        <f>IF(TAB_ressource[[#This Row],[Import Ressource]]="","",MAX(AJ$1:AJ241)+1)</f>
        <v/>
      </c>
      <c r="AK242" s="193" t="str">
        <f>IFERROR(INDEX(TAB_ressource[Import Ressource],MATCH(ROW()-ROW($AK$1),TAB_ressource[ID Import ressources],0)),"")</f>
        <v/>
      </c>
      <c r="AN242" s="26">
        <f t="shared" si="13"/>
        <v>0</v>
      </c>
      <c r="BD242" t="s">
        <v>1336</v>
      </c>
      <c r="BE242" t="s">
        <v>1337</v>
      </c>
      <c r="BF242" t="s">
        <v>1338</v>
      </c>
      <c r="BG242" t="s">
        <v>1336</v>
      </c>
    </row>
    <row r="243" spans="13:59" x14ac:dyDescent="0.25">
      <c r="M243" t="str">
        <f>_xlfn.IFNA(IF(VLOOKUP(TAB_Offres[[#This Row],[Reference]],TAB_Offres[[Reference]:[Request State]],COLUMNS(TAB_Offres[[Reference]:[Request State]]),FALSE)=D$6,TAB_Offres[[#This Row],[Reference]],""),"")</f>
        <v/>
      </c>
      <c r="N243" t="str">
        <f>_xlfn.IFNA(IF(VLOOKUP(TAB_Offres[[#This Row],[Reference]],TAB_Offres[[Reference]:[Has Expenses?]],COLUMNS(TAB_Offres[[Reference]:[Has Expenses?]]),FALSE)=J$2,TAB_Offres[[#This Row],[Reference]],""),"")</f>
        <v/>
      </c>
      <c r="O243" t="str">
        <f>IF(Tableau19[[#This Row],[EXPENSES_REF]]="","",MAX(O$1:O242)+1)</f>
        <v/>
      </c>
      <c r="P243" t="str">
        <f t="shared" si="12"/>
        <v/>
      </c>
      <c r="R243" s="635" t="s">
        <v>6128</v>
      </c>
      <c r="S243" s="637">
        <v>340.8</v>
      </c>
      <c r="T243" s="638">
        <v>364.66</v>
      </c>
      <c r="U243" s="638">
        <v>390.19</v>
      </c>
      <c r="V243" s="638">
        <v>417.5</v>
      </c>
      <c r="W243" s="638">
        <v>446.73</v>
      </c>
      <c r="X243" s="638">
        <v>478</v>
      </c>
      <c r="Y243" s="638">
        <v>511.46</v>
      </c>
      <c r="Z243" s="638">
        <v>547.26</v>
      </c>
      <c r="AA243" s="638">
        <v>585.57000000000005</v>
      </c>
      <c r="AB243" s="638">
        <v>626.55999999999995</v>
      </c>
      <c r="AC243" s="638">
        <v>670.42</v>
      </c>
      <c r="AD243" s="112"/>
      <c r="AI243" s="191" t="str">
        <f>IFERROR(_xlfn.SINGLE(
IF(_xlfn.SINGLE(INDEX(TAB_Offres[Ressource 1],ROWS(Params!AI$2:$AI243)))=0,NA(),
INDEX(TAB_Offres[Ressource 1],ROWS(Params!AI$2:$AI243)))),
IFERROR(_xlfn.SINGLE(IF(_xlfn.SINGLE(INDEX(#REF!,ROWS(Params!AI$2:$AI243)-COUNTA(TAB_Offres[Ressource 1])))=0,NA(),
INDEX(#REF!,ROWS(Params!AI$2:$AI243)-COUNTA(TAB_Offres[Ressource 1])))),
IFERROR(_xlfn.SINGLE(IF(_xlfn.SINGLE(INDEX(#REF!,ROWS(Params!AI$2:$AI243)-COUNTA(#REF!)-COUNTA(TAB_Offres[Ressource 1])))=0,NA(),
INDEX(#REF!,ROWS(Params!AI$2:$AI243)-COUNTA(#REF!)-COUNTA(TAB_Offres[Ressource 1])))),""))
)</f>
        <v/>
      </c>
      <c r="AJ243" s="192" t="str">
        <f>IF(TAB_ressource[[#This Row],[Import Ressource]]="","",MAX(AJ$1:AJ242)+1)</f>
        <v/>
      </c>
      <c r="AK243" s="193" t="str">
        <f>IFERROR(INDEX(TAB_ressource[Import Ressource],MATCH(ROW()-ROW($AK$1),TAB_ressource[ID Import ressources],0)),"")</f>
        <v/>
      </c>
      <c r="AN243" s="26">
        <f t="shared" si="13"/>
        <v>0</v>
      </c>
      <c r="BD243" t="s">
        <v>1339</v>
      </c>
      <c r="BE243" t="s">
        <v>1340</v>
      </c>
      <c r="BF243" t="s">
        <v>1341</v>
      </c>
      <c r="BG243" t="s">
        <v>1339</v>
      </c>
    </row>
    <row r="244" spans="13:59" x14ac:dyDescent="0.25">
      <c r="M244" t="str">
        <f>_xlfn.IFNA(IF(VLOOKUP(TAB_Offres[[#This Row],[Reference]],TAB_Offres[[Reference]:[Request State]],COLUMNS(TAB_Offres[[Reference]:[Request State]]),FALSE)=D$6,TAB_Offres[[#This Row],[Reference]],""),"")</f>
        <v/>
      </c>
      <c r="N244" t="str">
        <f>_xlfn.IFNA(IF(VLOOKUP(TAB_Offres[[#This Row],[Reference]],TAB_Offres[[Reference]:[Has Expenses?]],COLUMNS(TAB_Offres[[Reference]:[Has Expenses?]]),FALSE)=J$2,TAB_Offres[[#This Row],[Reference]],""),"")</f>
        <v/>
      </c>
      <c r="O244" t="str">
        <f>IF(Tableau19[[#This Row],[EXPENSES_REF]]="","",MAX(O$1:O243)+1)</f>
        <v/>
      </c>
      <c r="P244" t="str">
        <f t="shared" si="12"/>
        <v/>
      </c>
      <c r="R244" s="635" t="s">
        <v>6129</v>
      </c>
      <c r="S244" s="637">
        <v>442.59</v>
      </c>
      <c r="T244" s="638">
        <v>473.57</v>
      </c>
      <c r="U244" s="638">
        <v>506.72</v>
      </c>
      <c r="V244" s="638">
        <v>542.19000000000005</v>
      </c>
      <c r="W244" s="638">
        <v>580.14</v>
      </c>
      <c r="X244" s="638">
        <v>620.75</v>
      </c>
      <c r="Y244" s="638">
        <v>664.2</v>
      </c>
      <c r="Z244" s="638">
        <v>710.69</v>
      </c>
      <c r="AA244" s="638">
        <v>760.44</v>
      </c>
      <c r="AB244" s="638">
        <v>813.67</v>
      </c>
      <c r="AC244" s="638">
        <v>870.63</v>
      </c>
      <c r="AD244" s="112"/>
      <c r="AI244" s="191" t="str">
        <f>IFERROR(_xlfn.SINGLE(
IF(_xlfn.SINGLE(INDEX(TAB_Offres[Ressource 1],ROWS(Params!AI$2:$AI244)))=0,NA(),
INDEX(TAB_Offres[Ressource 1],ROWS(Params!AI$2:$AI244)))),
IFERROR(_xlfn.SINGLE(IF(_xlfn.SINGLE(INDEX(#REF!,ROWS(Params!AI$2:$AI244)-COUNTA(TAB_Offres[Ressource 1])))=0,NA(),
INDEX(#REF!,ROWS(Params!AI$2:$AI244)-COUNTA(TAB_Offres[Ressource 1])))),
IFERROR(_xlfn.SINGLE(IF(_xlfn.SINGLE(INDEX(#REF!,ROWS(Params!AI$2:$AI244)-COUNTA(#REF!)-COUNTA(TAB_Offres[Ressource 1])))=0,NA(),
INDEX(#REF!,ROWS(Params!AI$2:$AI244)-COUNTA(#REF!)-COUNTA(TAB_Offres[Ressource 1])))),""))
)</f>
        <v/>
      </c>
      <c r="AJ244" s="192" t="str">
        <f>IF(TAB_ressource[[#This Row],[Import Ressource]]="","",MAX(AJ$1:AJ243)+1)</f>
        <v/>
      </c>
      <c r="AK244" s="193" t="str">
        <f>IFERROR(INDEX(TAB_ressource[Import Ressource],MATCH(ROW()-ROW($AK$1),TAB_ressource[ID Import ressources],0)),"")</f>
        <v/>
      </c>
      <c r="AN244" s="26">
        <f t="shared" si="13"/>
        <v>0</v>
      </c>
      <c r="BD244" t="s">
        <v>1342</v>
      </c>
      <c r="BE244" t="s">
        <v>1343</v>
      </c>
      <c r="BF244" t="s">
        <v>1344</v>
      </c>
      <c r="BG244" t="s">
        <v>1342</v>
      </c>
    </row>
    <row r="245" spans="13:59" x14ac:dyDescent="0.25">
      <c r="M245" t="str">
        <f>_xlfn.IFNA(IF(VLOOKUP(TAB_Offres[[#This Row],[Reference]],TAB_Offres[[Reference]:[Request State]],COLUMNS(TAB_Offres[[Reference]:[Request State]]),FALSE)=D$6,TAB_Offres[[#This Row],[Reference]],""),"")</f>
        <v/>
      </c>
      <c r="N245" t="str">
        <f>_xlfn.IFNA(IF(VLOOKUP(TAB_Offres[[#This Row],[Reference]],TAB_Offres[[Reference]:[Has Expenses?]],COLUMNS(TAB_Offres[[Reference]:[Has Expenses?]]),FALSE)=J$2,TAB_Offres[[#This Row],[Reference]],""),"")</f>
        <v/>
      </c>
      <c r="O245" t="str">
        <f>IF(Tableau19[[#This Row],[EXPENSES_REF]]="","",MAX(O$1:O244)+1)</f>
        <v/>
      </c>
      <c r="P245" t="str">
        <f t="shared" si="12"/>
        <v/>
      </c>
      <c r="R245" s="635" t="s">
        <v>6130</v>
      </c>
      <c r="S245" s="637">
        <v>340.46</v>
      </c>
      <c r="T245" s="638">
        <v>364.29</v>
      </c>
      <c r="U245" s="638">
        <v>389.79</v>
      </c>
      <c r="V245" s="638">
        <v>417.08</v>
      </c>
      <c r="W245" s="638">
        <v>446.28</v>
      </c>
      <c r="X245" s="638">
        <v>477.52</v>
      </c>
      <c r="Y245" s="638">
        <v>510.95</v>
      </c>
      <c r="Z245" s="638">
        <v>546.72</v>
      </c>
      <c r="AA245" s="638">
        <v>584.99</v>
      </c>
      <c r="AB245" s="638">
        <v>625.94000000000005</v>
      </c>
      <c r="AC245" s="638">
        <v>669.76</v>
      </c>
      <c r="AD245" s="112"/>
      <c r="AI245" s="191" t="str">
        <f>IFERROR(_xlfn.SINGLE(
IF(_xlfn.SINGLE(INDEX(TAB_Offres[Ressource 1],ROWS(Params!AI$2:$AI245)))=0,NA(),
INDEX(TAB_Offres[Ressource 1],ROWS(Params!AI$2:$AI245)))),
IFERROR(_xlfn.SINGLE(IF(_xlfn.SINGLE(INDEX(#REF!,ROWS(Params!AI$2:$AI245)-COUNTA(TAB_Offres[Ressource 1])))=0,NA(),
INDEX(#REF!,ROWS(Params!AI$2:$AI245)-COUNTA(TAB_Offres[Ressource 1])))),
IFERROR(_xlfn.SINGLE(IF(_xlfn.SINGLE(INDEX(#REF!,ROWS(Params!AI$2:$AI245)-COUNTA(#REF!)-COUNTA(TAB_Offres[Ressource 1])))=0,NA(),
INDEX(#REF!,ROWS(Params!AI$2:$AI245)-COUNTA(#REF!)-COUNTA(TAB_Offres[Ressource 1])))),""))
)</f>
        <v/>
      </c>
      <c r="AJ245" s="192" t="str">
        <f>IF(TAB_ressource[[#This Row],[Import Ressource]]="","",MAX(AJ$1:AJ244)+1)</f>
        <v/>
      </c>
      <c r="AK245" s="193" t="str">
        <f>IFERROR(INDEX(TAB_ressource[Import Ressource],MATCH(ROW()-ROW($AK$1),TAB_ressource[ID Import ressources],0)),"")</f>
        <v/>
      </c>
      <c r="AN245" s="26">
        <f t="shared" si="13"/>
        <v>0</v>
      </c>
      <c r="BD245" t="s">
        <v>1345</v>
      </c>
      <c r="BE245" t="s">
        <v>1346</v>
      </c>
      <c r="BF245" t="s">
        <v>1347</v>
      </c>
      <c r="BG245" t="s">
        <v>1345</v>
      </c>
    </row>
    <row r="246" spans="13:59" x14ac:dyDescent="0.25">
      <c r="M246" t="str">
        <f>_xlfn.IFNA(IF(VLOOKUP(TAB_Offres[[#This Row],[Reference]],TAB_Offres[[Reference]:[Request State]],COLUMNS(TAB_Offres[[Reference]:[Request State]]),FALSE)=D$6,TAB_Offres[[#This Row],[Reference]],""),"")</f>
        <v/>
      </c>
      <c r="N246" t="str">
        <f>_xlfn.IFNA(IF(VLOOKUP(TAB_Offres[[#This Row],[Reference]],TAB_Offres[[Reference]:[Has Expenses?]],COLUMNS(TAB_Offres[[Reference]:[Has Expenses?]]),FALSE)=J$2,TAB_Offres[[#This Row],[Reference]],""),"")</f>
        <v/>
      </c>
      <c r="O246" t="str">
        <f>IF(Tableau19[[#This Row],[EXPENSES_REF]]="","",MAX(O$1:O245)+1)</f>
        <v/>
      </c>
      <c r="P246" t="str">
        <f t="shared" si="12"/>
        <v/>
      </c>
      <c r="R246" s="635" t="s">
        <v>6131</v>
      </c>
      <c r="S246" s="637">
        <v>350.84</v>
      </c>
      <c r="T246" s="638">
        <v>375.4</v>
      </c>
      <c r="U246" s="638">
        <v>401.68</v>
      </c>
      <c r="V246" s="638">
        <v>429.8</v>
      </c>
      <c r="W246" s="638">
        <v>459.89</v>
      </c>
      <c r="X246" s="638">
        <v>492.08</v>
      </c>
      <c r="Y246" s="638">
        <v>526.53</v>
      </c>
      <c r="Z246" s="638">
        <v>563.39</v>
      </c>
      <c r="AA246" s="638">
        <v>602.83000000000004</v>
      </c>
      <c r="AB246" s="638">
        <v>645.03</v>
      </c>
      <c r="AC246" s="638">
        <v>690.18</v>
      </c>
      <c r="AD246" s="112"/>
      <c r="AI246" s="191" t="str">
        <f>IFERROR(_xlfn.SINGLE(
IF(_xlfn.SINGLE(INDEX(TAB_Offres[Ressource 1],ROWS(Params!AI$2:$AI246)))=0,NA(),
INDEX(TAB_Offres[Ressource 1],ROWS(Params!AI$2:$AI246)))),
IFERROR(_xlfn.SINGLE(IF(_xlfn.SINGLE(INDEX(#REF!,ROWS(Params!AI$2:$AI246)-COUNTA(TAB_Offres[Ressource 1])))=0,NA(),
INDEX(#REF!,ROWS(Params!AI$2:$AI246)-COUNTA(TAB_Offres[Ressource 1])))),
IFERROR(_xlfn.SINGLE(IF(_xlfn.SINGLE(INDEX(#REF!,ROWS(Params!AI$2:$AI246)-COUNTA(#REF!)-COUNTA(TAB_Offres[Ressource 1])))=0,NA(),
INDEX(#REF!,ROWS(Params!AI$2:$AI246)-COUNTA(#REF!)-COUNTA(TAB_Offres[Ressource 1])))),""))
)</f>
        <v/>
      </c>
      <c r="AJ246" s="192" t="str">
        <f>IF(TAB_ressource[[#This Row],[Import Ressource]]="","",MAX(AJ$1:AJ245)+1)</f>
        <v/>
      </c>
      <c r="AK246" s="193" t="str">
        <f>IFERROR(INDEX(TAB_ressource[Import Ressource],MATCH(ROW()-ROW($AK$1),TAB_ressource[ID Import ressources],0)),"")</f>
        <v/>
      </c>
      <c r="AN246" s="26">
        <f t="shared" si="13"/>
        <v>0</v>
      </c>
      <c r="BD246" t="s">
        <v>1348</v>
      </c>
      <c r="BE246" t="s">
        <v>1349</v>
      </c>
      <c r="BF246" t="s">
        <v>1350</v>
      </c>
      <c r="BG246" t="s">
        <v>1348</v>
      </c>
    </row>
    <row r="247" spans="13:59" x14ac:dyDescent="0.25">
      <c r="M247" t="str">
        <f>_xlfn.IFNA(IF(VLOOKUP(TAB_Offres[[#This Row],[Reference]],TAB_Offres[[Reference]:[Request State]],COLUMNS(TAB_Offres[[Reference]:[Request State]]),FALSE)=D$6,TAB_Offres[[#This Row],[Reference]],""),"")</f>
        <v/>
      </c>
      <c r="N247" t="str">
        <f>_xlfn.IFNA(IF(VLOOKUP(TAB_Offres[[#This Row],[Reference]],TAB_Offres[[Reference]:[Has Expenses?]],COLUMNS(TAB_Offres[[Reference]:[Has Expenses?]]),FALSE)=J$2,TAB_Offres[[#This Row],[Reference]],""),"")</f>
        <v/>
      </c>
      <c r="O247" t="str">
        <f>IF(Tableau19[[#This Row],[EXPENSES_REF]]="","",MAX(O$1:O246)+1)</f>
        <v/>
      </c>
      <c r="P247" t="str">
        <f t="shared" si="12"/>
        <v/>
      </c>
      <c r="R247" s="635" t="s">
        <v>6132</v>
      </c>
      <c r="S247" s="637">
        <v>350.84</v>
      </c>
      <c r="T247" s="638">
        <v>375.4</v>
      </c>
      <c r="U247" s="638">
        <v>401.68</v>
      </c>
      <c r="V247" s="638">
        <v>429.8</v>
      </c>
      <c r="W247" s="638">
        <v>459.89</v>
      </c>
      <c r="X247" s="638">
        <v>492.08</v>
      </c>
      <c r="Y247" s="638">
        <v>526.53</v>
      </c>
      <c r="Z247" s="638">
        <v>563.39</v>
      </c>
      <c r="AA247" s="638">
        <v>602.83000000000004</v>
      </c>
      <c r="AB247" s="638">
        <v>645.03</v>
      </c>
      <c r="AC247" s="638">
        <v>690.18</v>
      </c>
      <c r="AD247" s="112"/>
      <c r="AI247" s="191" t="str">
        <f>IFERROR(_xlfn.SINGLE(
IF(_xlfn.SINGLE(INDEX(TAB_Offres[Ressource 1],ROWS(Params!AI$2:$AI247)))=0,NA(),
INDEX(TAB_Offres[Ressource 1],ROWS(Params!AI$2:$AI247)))),
IFERROR(_xlfn.SINGLE(IF(_xlfn.SINGLE(INDEX(#REF!,ROWS(Params!AI$2:$AI247)-COUNTA(TAB_Offres[Ressource 1])))=0,NA(),
INDEX(#REF!,ROWS(Params!AI$2:$AI247)-COUNTA(TAB_Offres[Ressource 1])))),
IFERROR(_xlfn.SINGLE(IF(_xlfn.SINGLE(INDEX(#REF!,ROWS(Params!AI$2:$AI247)-COUNTA(#REF!)-COUNTA(TAB_Offres[Ressource 1])))=0,NA(),
INDEX(#REF!,ROWS(Params!AI$2:$AI247)-COUNTA(#REF!)-COUNTA(TAB_Offres[Ressource 1])))),""))
)</f>
        <v/>
      </c>
      <c r="AJ247" s="192" t="str">
        <f>IF(TAB_ressource[[#This Row],[Import Ressource]]="","",MAX(AJ$1:AJ246)+1)</f>
        <v/>
      </c>
      <c r="AK247" s="193" t="str">
        <f>IFERROR(INDEX(TAB_ressource[Import Ressource],MATCH(ROW()-ROW($AK$1),TAB_ressource[ID Import ressources],0)),"")</f>
        <v/>
      </c>
      <c r="AN247" s="26">
        <f t="shared" si="13"/>
        <v>0</v>
      </c>
      <c r="BD247" t="s">
        <v>1351</v>
      </c>
      <c r="BE247" t="s">
        <v>1352</v>
      </c>
      <c r="BF247" t="s">
        <v>1353</v>
      </c>
      <c r="BG247" t="s">
        <v>1351</v>
      </c>
    </row>
    <row r="248" spans="13:59" x14ac:dyDescent="0.25">
      <c r="M248" t="str">
        <f>_xlfn.IFNA(IF(VLOOKUP(TAB_Offres[[#This Row],[Reference]],TAB_Offres[[Reference]:[Request State]],COLUMNS(TAB_Offres[[Reference]:[Request State]]),FALSE)=D$6,TAB_Offres[[#This Row],[Reference]],""),"")</f>
        <v/>
      </c>
      <c r="N248" t="str">
        <f>_xlfn.IFNA(IF(VLOOKUP(TAB_Offres[[#This Row],[Reference]],TAB_Offres[[Reference]:[Has Expenses?]],COLUMNS(TAB_Offres[[Reference]:[Has Expenses?]]),FALSE)=J$2,TAB_Offres[[#This Row],[Reference]],""),"")</f>
        <v/>
      </c>
      <c r="O248" t="str">
        <f>IF(Tableau19[[#This Row],[EXPENSES_REF]]="","",MAX(O$1:O247)+1)</f>
        <v/>
      </c>
      <c r="P248" t="str">
        <f t="shared" si="12"/>
        <v/>
      </c>
      <c r="R248" s="635" t="s">
        <v>6133</v>
      </c>
      <c r="S248" s="637">
        <v>340.8</v>
      </c>
      <c r="T248" s="638">
        <v>364.66</v>
      </c>
      <c r="U248" s="638">
        <v>390.19</v>
      </c>
      <c r="V248" s="638">
        <v>417.5</v>
      </c>
      <c r="W248" s="638">
        <v>446.73</v>
      </c>
      <c r="X248" s="638">
        <v>478</v>
      </c>
      <c r="Y248" s="638">
        <v>511.46</v>
      </c>
      <c r="Z248" s="638">
        <v>547.26</v>
      </c>
      <c r="AA248" s="638">
        <v>585.57000000000005</v>
      </c>
      <c r="AB248" s="638">
        <v>626.55999999999995</v>
      </c>
      <c r="AC248" s="638">
        <v>670.42</v>
      </c>
      <c r="AD248" s="112"/>
      <c r="AI248" s="191" t="str">
        <f>IFERROR(_xlfn.SINGLE(
IF(_xlfn.SINGLE(INDEX(TAB_Offres[Ressource 1],ROWS(Params!AI$2:$AI248)))=0,NA(),
INDEX(TAB_Offres[Ressource 1],ROWS(Params!AI$2:$AI248)))),
IFERROR(_xlfn.SINGLE(IF(_xlfn.SINGLE(INDEX(#REF!,ROWS(Params!AI$2:$AI248)-COUNTA(TAB_Offres[Ressource 1])))=0,NA(),
INDEX(#REF!,ROWS(Params!AI$2:$AI248)-COUNTA(TAB_Offres[Ressource 1])))),
IFERROR(_xlfn.SINGLE(IF(_xlfn.SINGLE(INDEX(#REF!,ROWS(Params!AI$2:$AI248)-COUNTA(#REF!)-COUNTA(TAB_Offres[Ressource 1])))=0,NA(),
INDEX(#REF!,ROWS(Params!AI$2:$AI248)-COUNTA(#REF!)-COUNTA(TAB_Offres[Ressource 1])))),""))
)</f>
        <v/>
      </c>
      <c r="AJ248" s="192" t="str">
        <f>IF(TAB_ressource[[#This Row],[Import Ressource]]="","",MAX(AJ$1:AJ247)+1)</f>
        <v/>
      </c>
      <c r="AK248" s="193" t="str">
        <f>IFERROR(INDEX(TAB_ressource[Import Ressource],MATCH(ROW()-ROW($AK$1),TAB_ressource[ID Import ressources],0)),"")</f>
        <v/>
      </c>
      <c r="AN248" s="26">
        <f t="shared" si="13"/>
        <v>0</v>
      </c>
      <c r="BD248" t="s">
        <v>1354</v>
      </c>
      <c r="BE248" t="s">
        <v>1355</v>
      </c>
      <c r="BF248" t="s">
        <v>1356</v>
      </c>
      <c r="BG248" t="s">
        <v>1354</v>
      </c>
    </row>
    <row r="249" spans="13:59" x14ac:dyDescent="0.25">
      <c r="M249" t="str">
        <f>_xlfn.IFNA(IF(VLOOKUP(TAB_Offres[[#This Row],[Reference]],TAB_Offres[[Reference]:[Request State]],COLUMNS(TAB_Offres[[Reference]:[Request State]]),FALSE)=D$6,TAB_Offres[[#This Row],[Reference]],""),"")</f>
        <v/>
      </c>
      <c r="N249" t="str">
        <f>_xlfn.IFNA(IF(VLOOKUP(TAB_Offres[[#This Row],[Reference]],TAB_Offres[[Reference]:[Has Expenses?]],COLUMNS(TAB_Offres[[Reference]:[Has Expenses?]]),FALSE)=J$2,TAB_Offres[[#This Row],[Reference]],""),"")</f>
        <v/>
      </c>
      <c r="O249" t="str">
        <f>IF(Tableau19[[#This Row],[EXPENSES_REF]]="","",MAX(O$1:O248)+1)</f>
        <v/>
      </c>
      <c r="P249" t="str">
        <f t="shared" si="12"/>
        <v/>
      </c>
      <c r="R249" s="635" t="s">
        <v>6134</v>
      </c>
      <c r="S249" s="637">
        <v>340.8</v>
      </c>
      <c r="T249" s="638">
        <v>364.66</v>
      </c>
      <c r="U249" s="638">
        <v>390.19</v>
      </c>
      <c r="V249" s="638">
        <v>417.5</v>
      </c>
      <c r="W249" s="638">
        <v>446.73</v>
      </c>
      <c r="X249" s="638">
        <v>478</v>
      </c>
      <c r="Y249" s="638">
        <v>511.46</v>
      </c>
      <c r="Z249" s="638">
        <v>547.26</v>
      </c>
      <c r="AA249" s="638">
        <v>585.57000000000005</v>
      </c>
      <c r="AB249" s="638">
        <v>626.55999999999995</v>
      </c>
      <c r="AC249" s="638">
        <v>670.42</v>
      </c>
      <c r="AD249" s="112"/>
      <c r="AI249" s="191" t="str">
        <f>IFERROR(_xlfn.SINGLE(
IF(_xlfn.SINGLE(INDEX(TAB_Offres[Ressource 1],ROWS(Params!AI$2:$AI249)))=0,NA(),
INDEX(TAB_Offres[Ressource 1],ROWS(Params!AI$2:$AI249)))),
IFERROR(_xlfn.SINGLE(IF(_xlfn.SINGLE(INDEX(#REF!,ROWS(Params!AI$2:$AI249)-COUNTA(TAB_Offres[Ressource 1])))=0,NA(),
INDEX(#REF!,ROWS(Params!AI$2:$AI249)-COUNTA(TAB_Offres[Ressource 1])))),
IFERROR(_xlfn.SINGLE(IF(_xlfn.SINGLE(INDEX(#REF!,ROWS(Params!AI$2:$AI249)-COUNTA(#REF!)-COUNTA(TAB_Offres[Ressource 1])))=0,NA(),
INDEX(#REF!,ROWS(Params!AI$2:$AI249)-COUNTA(#REF!)-COUNTA(TAB_Offres[Ressource 1])))),""))
)</f>
        <v/>
      </c>
      <c r="AJ249" s="192" t="str">
        <f>IF(TAB_ressource[[#This Row],[Import Ressource]]="","",MAX(AJ$1:AJ248)+1)</f>
        <v/>
      </c>
      <c r="AK249" s="193" t="str">
        <f>IFERROR(INDEX(TAB_ressource[Import Ressource],MATCH(ROW()-ROW($AK$1),TAB_ressource[ID Import ressources],0)),"")</f>
        <v/>
      </c>
      <c r="AN249" s="26">
        <f t="shared" si="13"/>
        <v>0</v>
      </c>
      <c r="BD249" t="s">
        <v>1357</v>
      </c>
      <c r="BE249" t="s">
        <v>1358</v>
      </c>
      <c r="BF249" t="s">
        <v>1359</v>
      </c>
      <c r="BG249" t="s">
        <v>1357</v>
      </c>
    </row>
    <row r="250" spans="13:59" x14ac:dyDescent="0.25">
      <c r="M250" t="str">
        <f>_xlfn.IFNA(IF(VLOOKUP(TAB_Offres[[#This Row],[Reference]],TAB_Offres[[Reference]:[Request State]],COLUMNS(TAB_Offres[[Reference]:[Request State]]),FALSE)=D$6,TAB_Offres[[#This Row],[Reference]],""),"")</f>
        <v/>
      </c>
      <c r="N250" t="str">
        <f>_xlfn.IFNA(IF(VLOOKUP(TAB_Offres[[#This Row],[Reference]],TAB_Offres[[Reference]:[Has Expenses?]],COLUMNS(TAB_Offres[[Reference]:[Has Expenses?]]),FALSE)=J$2,TAB_Offres[[#This Row],[Reference]],""),"")</f>
        <v/>
      </c>
      <c r="O250" t="str">
        <f>IF(Tableau19[[#This Row],[EXPENSES_REF]]="","",MAX(O$1:O249)+1)</f>
        <v/>
      </c>
      <c r="P250" t="str">
        <f t="shared" si="12"/>
        <v/>
      </c>
      <c r="R250" s="635" t="s">
        <v>6135</v>
      </c>
      <c r="S250" s="637">
        <v>340.8</v>
      </c>
      <c r="T250" s="638">
        <v>364.66</v>
      </c>
      <c r="U250" s="638">
        <v>390.19</v>
      </c>
      <c r="V250" s="638">
        <v>417.5</v>
      </c>
      <c r="W250" s="638">
        <v>446.73</v>
      </c>
      <c r="X250" s="638">
        <v>478</v>
      </c>
      <c r="Y250" s="638">
        <v>511.46</v>
      </c>
      <c r="Z250" s="638">
        <v>547.26</v>
      </c>
      <c r="AA250" s="638">
        <v>585.57000000000005</v>
      </c>
      <c r="AB250" s="638">
        <v>626.55999999999995</v>
      </c>
      <c r="AC250" s="638">
        <v>670.42</v>
      </c>
      <c r="AD250" s="112"/>
      <c r="AI250" s="191" t="str">
        <f>IFERROR(_xlfn.SINGLE(
IF(_xlfn.SINGLE(INDEX(TAB_Offres[Ressource 1],ROWS(Params!AI$2:$AI250)))=0,NA(),
INDEX(TAB_Offres[Ressource 1],ROWS(Params!AI$2:$AI250)))),
IFERROR(_xlfn.SINGLE(IF(_xlfn.SINGLE(INDEX(#REF!,ROWS(Params!AI$2:$AI250)-COUNTA(TAB_Offres[Ressource 1])))=0,NA(),
INDEX(#REF!,ROWS(Params!AI$2:$AI250)-COUNTA(TAB_Offres[Ressource 1])))),
IFERROR(_xlfn.SINGLE(IF(_xlfn.SINGLE(INDEX(#REF!,ROWS(Params!AI$2:$AI250)-COUNTA(#REF!)-COUNTA(TAB_Offres[Ressource 1])))=0,NA(),
INDEX(#REF!,ROWS(Params!AI$2:$AI250)-COUNTA(#REF!)-COUNTA(TAB_Offres[Ressource 1])))),""))
)</f>
        <v/>
      </c>
      <c r="AJ250" s="192" t="str">
        <f>IF(TAB_ressource[[#This Row],[Import Ressource]]="","",MAX(AJ$1:AJ249)+1)</f>
        <v/>
      </c>
      <c r="AK250" s="193" t="str">
        <f>IFERROR(INDEX(TAB_ressource[Import Ressource],MATCH(ROW()-ROW($AK$1),TAB_ressource[ID Import ressources],0)),"")</f>
        <v/>
      </c>
      <c r="AN250" s="26">
        <f t="shared" si="13"/>
        <v>0</v>
      </c>
      <c r="BD250" t="s">
        <v>1360</v>
      </c>
      <c r="BE250" t="s">
        <v>1361</v>
      </c>
      <c r="BF250" t="s">
        <v>1362</v>
      </c>
      <c r="BG250" t="s">
        <v>1360</v>
      </c>
    </row>
    <row r="251" spans="13:59" x14ac:dyDescent="0.25">
      <c r="M251" t="str">
        <f>_xlfn.IFNA(IF(VLOOKUP(TAB_Offres[[#This Row],[Reference]],TAB_Offres[[Reference]:[Request State]],COLUMNS(TAB_Offres[[Reference]:[Request State]]),FALSE)=D$6,TAB_Offres[[#This Row],[Reference]],""),"")</f>
        <v/>
      </c>
      <c r="N251" t="str">
        <f>_xlfn.IFNA(IF(VLOOKUP(TAB_Offres[[#This Row],[Reference]],TAB_Offres[[Reference]:[Has Expenses?]],COLUMNS(TAB_Offres[[Reference]:[Has Expenses?]]),FALSE)=J$2,TAB_Offres[[#This Row],[Reference]],""),"")</f>
        <v/>
      </c>
      <c r="O251" t="str">
        <f>IF(Tableau19[[#This Row],[EXPENSES_REF]]="","",MAX(O$1:O250)+1)</f>
        <v/>
      </c>
      <c r="P251" t="str">
        <f t="shared" si="12"/>
        <v/>
      </c>
      <c r="R251" s="635" t="s">
        <v>6136</v>
      </c>
      <c r="S251" s="637">
        <v>340.8</v>
      </c>
      <c r="T251" s="638">
        <v>364.66</v>
      </c>
      <c r="U251" s="638">
        <v>390.19</v>
      </c>
      <c r="V251" s="638">
        <v>417.5</v>
      </c>
      <c r="W251" s="638">
        <v>446.73</v>
      </c>
      <c r="X251" s="638">
        <v>478</v>
      </c>
      <c r="Y251" s="638">
        <v>511.46</v>
      </c>
      <c r="Z251" s="638">
        <v>547.26</v>
      </c>
      <c r="AA251" s="638">
        <v>585.57000000000005</v>
      </c>
      <c r="AB251" s="638">
        <v>626.55999999999995</v>
      </c>
      <c r="AC251" s="638">
        <v>670.42</v>
      </c>
      <c r="AD251" s="112"/>
      <c r="AI251" s="191" t="str">
        <f>IFERROR(_xlfn.SINGLE(
IF(_xlfn.SINGLE(INDEX(TAB_Offres[Ressource 1],ROWS(Params!AI$2:$AI251)))=0,NA(),
INDEX(TAB_Offres[Ressource 1],ROWS(Params!AI$2:$AI251)))),
IFERROR(_xlfn.SINGLE(IF(_xlfn.SINGLE(INDEX(#REF!,ROWS(Params!AI$2:$AI251)-COUNTA(TAB_Offres[Ressource 1])))=0,NA(),
INDEX(#REF!,ROWS(Params!AI$2:$AI251)-COUNTA(TAB_Offres[Ressource 1])))),
IFERROR(_xlfn.SINGLE(IF(_xlfn.SINGLE(INDEX(#REF!,ROWS(Params!AI$2:$AI251)-COUNTA(#REF!)-COUNTA(TAB_Offres[Ressource 1])))=0,NA(),
INDEX(#REF!,ROWS(Params!AI$2:$AI251)-COUNTA(#REF!)-COUNTA(TAB_Offres[Ressource 1])))),""))
)</f>
        <v/>
      </c>
      <c r="AJ251" s="192" t="str">
        <f>IF(TAB_ressource[[#This Row],[Import Ressource]]="","",MAX(AJ$1:AJ250)+1)</f>
        <v/>
      </c>
      <c r="AK251" s="193" t="str">
        <f>IFERROR(INDEX(TAB_ressource[Import Ressource],MATCH(ROW()-ROW($AK$1),TAB_ressource[ID Import ressources],0)),"")</f>
        <v/>
      </c>
      <c r="AN251" s="26">
        <f t="shared" si="13"/>
        <v>0</v>
      </c>
      <c r="BD251" t="s">
        <v>1363</v>
      </c>
      <c r="BE251" t="s">
        <v>1364</v>
      </c>
      <c r="BF251" t="s">
        <v>1365</v>
      </c>
      <c r="BG251" t="s">
        <v>1363</v>
      </c>
    </row>
    <row r="252" spans="13:59" x14ac:dyDescent="0.25">
      <c r="M252" t="str">
        <f>_xlfn.IFNA(IF(VLOOKUP(TAB_Offres[[#This Row],[Reference]],TAB_Offres[[Reference]:[Request State]],COLUMNS(TAB_Offres[[Reference]:[Request State]]),FALSE)=D$6,TAB_Offres[[#This Row],[Reference]],""),"")</f>
        <v/>
      </c>
      <c r="N252" t="str">
        <f>_xlfn.IFNA(IF(VLOOKUP(TAB_Offres[[#This Row],[Reference]],TAB_Offres[[Reference]:[Has Expenses?]],COLUMNS(TAB_Offres[[Reference]:[Has Expenses?]]),FALSE)=J$2,TAB_Offres[[#This Row],[Reference]],""),"")</f>
        <v/>
      </c>
      <c r="O252" t="str">
        <f>IF(Tableau19[[#This Row],[EXPENSES_REF]]="","",MAX(O$1:O251)+1)</f>
        <v/>
      </c>
      <c r="P252" t="str">
        <f t="shared" si="12"/>
        <v/>
      </c>
      <c r="R252" s="635" t="s">
        <v>6137</v>
      </c>
      <c r="S252" s="637">
        <v>340.8</v>
      </c>
      <c r="T252" s="638">
        <v>364.66</v>
      </c>
      <c r="U252" s="638">
        <v>390.19</v>
      </c>
      <c r="V252" s="638">
        <v>417.5</v>
      </c>
      <c r="W252" s="638">
        <v>446.73</v>
      </c>
      <c r="X252" s="638">
        <v>478</v>
      </c>
      <c r="Y252" s="638">
        <v>511.46</v>
      </c>
      <c r="Z252" s="638">
        <v>547.26</v>
      </c>
      <c r="AA252" s="638">
        <v>585.57000000000005</v>
      </c>
      <c r="AB252" s="638">
        <v>626.55999999999995</v>
      </c>
      <c r="AC252" s="638">
        <v>670.42</v>
      </c>
      <c r="AD252" s="112"/>
      <c r="AI252" s="191" t="str">
        <f>IFERROR(_xlfn.SINGLE(
IF(_xlfn.SINGLE(INDEX(TAB_Offres[Ressource 1],ROWS(Params!AI$2:$AI252)))=0,NA(),
INDEX(TAB_Offres[Ressource 1],ROWS(Params!AI$2:$AI252)))),
IFERROR(_xlfn.SINGLE(IF(_xlfn.SINGLE(INDEX(#REF!,ROWS(Params!AI$2:$AI252)-COUNTA(TAB_Offres[Ressource 1])))=0,NA(),
INDEX(#REF!,ROWS(Params!AI$2:$AI252)-COUNTA(TAB_Offres[Ressource 1])))),
IFERROR(_xlfn.SINGLE(IF(_xlfn.SINGLE(INDEX(#REF!,ROWS(Params!AI$2:$AI252)-COUNTA(#REF!)-COUNTA(TAB_Offres[Ressource 1])))=0,NA(),
INDEX(#REF!,ROWS(Params!AI$2:$AI252)-COUNTA(#REF!)-COUNTA(TAB_Offres[Ressource 1])))),""))
)</f>
        <v/>
      </c>
      <c r="AJ252" s="192" t="str">
        <f>IF(TAB_ressource[[#This Row],[Import Ressource]]="","",MAX(AJ$1:AJ251)+1)</f>
        <v/>
      </c>
      <c r="AK252" s="193" t="str">
        <f>IFERROR(INDEX(TAB_ressource[Import Ressource],MATCH(ROW()-ROW($AK$1),TAB_ressource[ID Import ressources],0)),"")</f>
        <v/>
      </c>
      <c r="AN252" s="26">
        <f t="shared" si="13"/>
        <v>0</v>
      </c>
      <c r="BD252" t="s">
        <v>1366</v>
      </c>
      <c r="BE252" t="s">
        <v>1367</v>
      </c>
      <c r="BF252" t="s">
        <v>1368</v>
      </c>
      <c r="BG252" t="s">
        <v>1366</v>
      </c>
    </row>
    <row r="253" spans="13:59" x14ac:dyDescent="0.25">
      <c r="M253" t="str">
        <f>_xlfn.IFNA(IF(VLOOKUP(TAB_Offres[[#This Row],[Reference]],TAB_Offres[[Reference]:[Request State]],COLUMNS(TAB_Offres[[Reference]:[Request State]]),FALSE)=D$6,TAB_Offres[[#This Row],[Reference]],""),"")</f>
        <v/>
      </c>
      <c r="N253" t="str">
        <f>_xlfn.IFNA(IF(VLOOKUP(TAB_Offres[[#This Row],[Reference]],TAB_Offres[[Reference]:[Has Expenses?]],COLUMNS(TAB_Offres[[Reference]:[Has Expenses?]]),FALSE)=J$2,TAB_Offres[[#This Row],[Reference]],""),"")</f>
        <v/>
      </c>
      <c r="O253" t="str">
        <f>IF(Tableau19[[#This Row],[EXPENSES_REF]]="","",MAX(O$1:O252)+1)</f>
        <v/>
      </c>
      <c r="P253" t="str">
        <f t="shared" si="12"/>
        <v/>
      </c>
      <c r="R253" s="635" t="s">
        <v>6138</v>
      </c>
      <c r="S253" s="637">
        <v>340.8</v>
      </c>
      <c r="T253" s="638">
        <v>364.66</v>
      </c>
      <c r="U253" s="638">
        <v>390.19</v>
      </c>
      <c r="V253" s="638">
        <v>417.5</v>
      </c>
      <c r="W253" s="638">
        <v>446.73</v>
      </c>
      <c r="X253" s="638">
        <v>478</v>
      </c>
      <c r="Y253" s="638">
        <v>511.46</v>
      </c>
      <c r="Z253" s="638">
        <v>547.26</v>
      </c>
      <c r="AA253" s="638">
        <v>585.57000000000005</v>
      </c>
      <c r="AB253" s="638">
        <v>626.55999999999995</v>
      </c>
      <c r="AC253" s="638">
        <v>670.42</v>
      </c>
      <c r="AD253" s="112"/>
      <c r="AI253" s="191" t="str">
        <f>IFERROR(_xlfn.SINGLE(
IF(_xlfn.SINGLE(INDEX(TAB_Offres[Ressource 1],ROWS(Params!AI$2:$AI253)))=0,NA(),
INDEX(TAB_Offres[Ressource 1],ROWS(Params!AI$2:$AI253)))),
IFERROR(_xlfn.SINGLE(IF(_xlfn.SINGLE(INDEX(#REF!,ROWS(Params!AI$2:$AI253)-COUNTA(TAB_Offres[Ressource 1])))=0,NA(),
INDEX(#REF!,ROWS(Params!AI$2:$AI253)-COUNTA(TAB_Offres[Ressource 1])))),
IFERROR(_xlfn.SINGLE(IF(_xlfn.SINGLE(INDEX(#REF!,ROWS(Params!AI$2:$AI253)-COUNTA(#REF!)-COUNTA(TAB_Offres[Ressource 1])))=0,NA(),
INDEX(#REF!,ROWS(Params!AI$2:$AI253)-COUNTA(#REF!)-COUNTA(TAB_Offres[Ressource 1])))),""))
)</f>
        <v/>
      </c>
      <c r="AJ253" s="192" t="str">
        <f>IF(TAB_ressource[[#This Row],[Import Ressource]]="","",MAX(AJ$1:AJ252)+1)</f>
        <v/>
      </c>
      <c r="AK253" s="193" t="str">
        <f>IFERROR(INDEX(TAB_ressource[Import Ressource],MATCH(ROW()-ROW($AK$1),TAB_ressource[ID Import ressources],0)),"")</f>
        <v/>
      </c>
      <c r="AN253" s="26">
        <f t="shared" si="13"/>
        <v>0</v>
      </c>
      <c r="BD253" t="s">
        <v>1369</v>
      </c>
      <c r="BE253" t="s">
        <v>1370</v>
      </c>
      <c r="BF253" t="s">
        <v>1371</v>
      </c>
      <c r="BG253" t="s">
        <v>1369</v>
      </c>
    </row>
    <row r="254" spans="13:59" x14ac:dyDescent="0.25">
      <c r="M254" t="str">
        <f>_xlfn.IFNA(IF(VLOOKUP(TAB_Offres[[#This Row],[Reference]],TAB_Offres[[Reference]:[Request State]],COLUMNS(TAB_Offres[[Reference]:[Request State]]),FALSE)=D$6,TAB_Offres[[#This Row],[Reference]],""),"")</f>
        <v/>
      </c>
      <c r="N254" t="str">
        <f>_xlfn.IFNA(IF(VLOOKUP(TAB_Offres[[#This Row],[Reference]],TAB_Offres[[Reference]:[Has Expenses?]],COLUMNS(TAB_Offres[[Reference]:[Has Expenses?]]),FALSE)=J$2,TAB_Offres[[#This Row],[Reference]],""),"")</f>
        <v/>
      </c>
      <c r="O254" t="str">
        <f>IF(Tableau19[[#This Row],[EXPENSES_REF]]="","",MAX(O$1:O253)+1)</f>
        <v/>
      </c>
      <c r="P254" t="str">
        <f t="shared" si="12"/>
        <v/>
      </c>
      <c r="R254" s="635" t="s">
        <v>6139</v>
      </c>
      <c r="S254" s="637">
        <v>340.8</v>
      </c>
      <c r="T254" s="638">
        <v>364.66</v>
      </c>
      <c r="U254" s="638">
        <v>390.19</v>
      </c>
      <c r="V254" s="638">
        <v>417.5</v>
      </c>
      <c r="W254" s="638">
        <v>446.73</v>
      </c>
      <c r="X254" s="638">
        <v>478</v>
      </c>
      <c r="Y254" s="638">
        <v>511.46</v>
      </c>
      <c r="Z254" s="638">
        <v>547.26</v>
      </c>
      <c r="AA254" s="638">
        <v>585.57000000000005</v>
      </c>
      <c r="AB254" s="638">
        <v>626.55999999999995</v>
      </c>
      <c r="AC254" s="638">
        <v>670.42</v>
      </c>
      <c r="AD254" s="112"/>
      <c r="AI254" s="191" t="str">
        <f>IFERROR(_xlfn.SINGLE(
IF(_xlfn.SINGLE(INDEX(TAB_Offres[Ressource 1],ROWS(Params!AI$2:$AI254)))=0,NA(),
INDEX(TAB_Offres[Ressource 1],ROWS(Params!AI$2:$AI254)))),
IFERROR(_xlfn.SINGLE(IF(_xlfn.SINGLE(INDEX(#REF!,ROWS(Params!AI$2:$AI254)-COUNTA(TAB_Offres[Ressource 1])))=0,NA(),
INDEX(#REF!,ROWS(Params!AI$2:$AI254)-COUNTA(TAB_Offres[Ressource 1])))),
IFERROR(_xlfn.SINGLE(IF(_xlfn.SINGLE(INDEX(#REF!,ROWS(Params!AI$2:$AI254)-COUNTA(#REF!)-COUNTA(TAB_Offres[Ressource 1])))=0,NA(),
INDEX(#REF!,ROWS(Params!AI$2:$AI254)-COUNTA(#REF!)-COUNTA(TAB_Offres[Ressource 1])))),""))
)</f>
        <v/>
      </c>
      <c r="AJ254" s="192" t="str">
        <f>IF(TAB_ressource[[#This Row],[Import Ressource]]="","",MAX(AJ$1:AJ253)+1)</f>
        <v/>
      </c>
      <c r="AK254" s="193" t="str">
        <f>IFERROR(INDEX(TAB_ressource[Import Ressource],MATCH(ROW()-ROW($AK$1),TAB_ressource[ID Import ressources],0)),"")</f>
        <v/>
      </c>
      <c r="AN254" s="26">
        <f t="shared" si="13"/>
        <v>0</v>
      </c>
      <c r="BD254" t="s">
        <v>1372</v>
      </c>
      <c r="BE254" t="s">
        <v>1373</v>
      </c>
      <c r="BF254" t="s">
        <v>1374</v>
      </c>
      <c r="BG254" t="s">
        <v>1372</v>
      </c>
    </row>
    <row r="255" spans="13:59" x14ac:dyDescent="0.25">
      <c r="M255" t="str">
        <f>_xlfn.IFNA(IF(VLOOKUP(TAB_Offres[[#This Row],[Reference]],TAB_Offres[[Reference]:[Request State]],COLUMNS(TAB_Offres[[Reference]:[Request State]]),FALSE)=D$6,TAB_Offres[[#This Row],[Reference]],""),"")</f>
        <v/>
      </c>
      <c r="N255" t="str">
        <f>_xlfn.IFNA(IF(VLOOKUP(TAB_Offres[[#This Row],[Reference]],TAB_Offres[[Reference]:[Has Expenses?]],COLUMNS(TAB_Offres[[Reference]:[Has Expenses?]]),FALSE)=J$2,TAB_Offres[[#This Row],[Reference]],""),"")</f>
        <v/>
      </c>
      <c r="O255" t="str">
        <f>IF(Tableau19[[#This Row],[EXPENSES_REF]]="","",MAX(O$1:O254)+1)</f>
        <v/>
      </c>
      <c r="P255" t="str">
        <f t="shared" si="12"/>
        <v/>
      </c>
      <c r="R255" s="635" t="s">
        <v>6140</v>
      </c>
      <c r="S255" s="637">
        <v>340.8</v>
      </c>
      <c r="T255" s="638">
        <v>364.66</v>
      </c>
      <c r="U255" s="638">
        <v>390.19</v>
      </c>
      <c r="V255" s="638">
        <v>417.5</v>
      </c>
      <c r="W255" s="638">
        <v>446.73</v>
      </c>
      <c r="X255" s="638">
        <v>478</v>
      </c>
      <c r="Y255" s="638">
        <v>511.46</v>
      </c>
      <c r="Z255" s="638">
        <v>547.26</v>
      </c>
      <c r="AA255" s="638">
        <v>585.57000000000005</v>
      </c>
      <c r="AB255" s="638">
        <v>626.55999999999995</v>
      </c>
      <c r="AC255" s="638">
        <v>670.42</v>
      </c>
      <c r="AD255" s="112"/>
      <c r="AI255" s="191" t="str">
        <f>IFERROR(_xlfn.SINGLE(
IF(_xlfn.SINGLE(INDEX(TAB_Offres[Ressource 1],ROWS(Params!AI$2:$AI255)))=0,NA(),
INDEX(TAB_Offres[Ressource 1],ROWS(Params!AI$2:$AI255)))),
IFERROR(_xlfn.SINGLE(IF(_xlfn.SINGLE(INDEX(#REF!,ROWS(Params!AI$2:$AI255)-COUNTA(TAB_Offres[Ressource 1])))=0,NA(),
INDEX(#REF!,ROWS(Params!AI$2:$AI255)-COUNTA(TAB_Offres[Ressource 1])))),
IFERROR(_xlfn.SINGLE(IF(_xlfn.SINGLE(INDEX(#REF!,ROWS(Params!AI$2:$AI255)-COUNTA(#REF!)-COUNTA(TAB_Offres[Ressource 1])))=0,NA(),
INDEX(#REF!,ROWS(Params!AI$2:$AI255)-COUNTA(#REF!)-COUNTA(TAB_Offres[Ressource 1])))),""))
)</f>
        <v/>
      </c>
      <c r="AJ255" s="192" t="str">
        <f>IF(TAB_ressource[[#This Row],[Import Ressource]]="","",MAX(AJ$1:AJ254)+1)</f>
        <v/>
      </c>
      <c r="AK255" s="193" t="str">
        <f>IFERROR(INDEX(TAB_ressource[Import Ressource],MATCH(ROW()-ROW($AK$1),TAB_ressource[ID Import ressources],0)),"")</f>
        <v/>
      </c>
      <c r="AN255" s="26">
        <f t="shared" si="13"/>
        <v>0</v>
      </c>
      <c r="BD255" t="s">
        <v>1375</v>
      </c>
      <c r="BE255" t="s">
        <v>1376</v>
      </c>
      <c r="BF255" t="s">
        <v>1377</v>
      </c>
      <c r="BG255" t="s">
        <v>1375</v>
      </c>
    </row>
    <row r="256" spans="13:59" x14ac:dyDescent="0.25">
      <c r="M256" t="str">
        <f>_xlfn.IFNA(IF(VLOOKUP(TAB_Offres[[#This Row],[Reference]],TAB_Offres[[Reference]:[Request State]],COLUMNS(TAB_Offres[[Reference]:[Request State]]),FALSE)=D$6,TAB_Offres[[#This Row],[Reference]],""),"")</f>
        <v/>
      </c>
      <c r="N256" t="str">
        <f>_xlfn.IFNA(IF(VLOOKUP(TAB_Offres[[#This Row],[Reference]],TAB_Offres[[Reference]:[Has Expenses?]],COLUMNS(TAB_Offres[[Reference]:[Has Expenses?]]),FALSE)=J$2,TAB_Offres[[#This Row],[Reference]],""),"")</f>
        <v/>
      </c>
      <c r="O256" t="str">
        <f>IF(Tableau19[[#This Row],[EXPENSES_REF]]="","",MAX(O$1:O255)+1)</f>
        <v/>
      </c>
      <c r="P256" t="str">
        <f t="shared" si="12"/>
        <v/>
      </c>
      <c r="R256" s="635" t="s">
        <v>6141</v>
      </c>
      <c r="S256" s="637">
        <v>349.76</v>
      </c>
      <c r="T256" s="638">
        <v>374.24</v>
      </c>
      <c r="U256" s="638">
        <v>400.44</v>
      </c>
      <c r="V256" s="638">
        <v>428.47</v>
      </c>
      <c r="W256" s="638">
        <v>458.46</v>
      </c>
      <c r="X256" s="638">
        <v>490.55</v>
      </c>
      <c r="Y256" s="638">
        <v>524.89</v>
      </c>
      <c r="Z256" s="638">
        <v>561.63</v>
      </c>
      <c r="AA256" s="638">
        <v>600.94000000000005</v>
      </c>
      <c r="AB256" s="638">
        <v>643.01</v>
      </c>
      <c r="AC256" s="638">
        <v>688.02</v>
      </c>
      <c r="AD256" s="112"/>
      <c r="AI256" s="191" t="str">
        <f>IFERROR(_xlfn.SINGLE(
IF(_xlfn.SINGLE(INDEX(TAB_Offres[Ressource 1],ROWS(Params!AI$2:$AI256)))=0,NA(),
INDEX(TAB_Offres[Ressource 1],ROWS(Params!AI$2:$AI256)))),
IFERROR(_xlfn.SINGLE(IF(_xlfn.SINGLE(INDEX(#REF!,ROWS(Params!AI$2:$AI256)-COUNTA(TAB_Offres[Ressource 1])))=0,NA(),
INDEX(#REF!,ROWS(Params!AI$2:$AI256)-COUNTA(TAB_Offres[Ressource 1])))),
IFERROR(_xlfn.SINGLE(IF(_xlfn.SINGLE(INDEX(#REF!,ROWS(Params!AI$2:$AI256)-COUNTA(#REF!)-COUNTA(TAB_Offres[Ressource 1])))=0,NA(),
INDEX(#REF!,ROWS(Params!AI$2:$AI256)-COUNTA(#REF!)-COUNTA(TAB_Offres[Ressource 1])))),""))
)</f>
        <v/>
      </c>
      <c r="AJ256" s="192" t="str">
        <f>IF(TAB_ressource[[#This Row],[Import Ressource]]="","",MAX(AJ$1:AJ255)+1)</f>
        <v/>
      </c>
      <c r="AK256" s="193" t="str">
        <f>IFERROR(INDEX(TAB_ressource[Import Ressource],MATCH(ROW()-ROW($AK$1),TAB_ressource[ID Import ressources],0)),"")</f>
        <v/>
      </c>
      <c r="AN256" s="26">
        <f t="shared" si="13"/>
        <v>0</v>
      </c>
      <c r="BD256" t="s">
        <v>1378</v>
      </c>
      <c r="BE256" t="s">
        <v>1379</v>
      </c>
      <c r="BF256" t="s">
        <v>1380</v>
      </c>
      <c r="BG256" t="s">
        <v>1378</v>
      </c>
    </row>
    <row r="257" spans="13:59" x14ac:dyDescent="0.25">
      <c r="M257" t="str">
        <f>_xlfn.IFNA(IF(VLOOKUP(TAB_Offres[[#This Row],[Reference]],TAB_Offres[[Reference]:[Request State]],COLUMNS(TAB_Offres[[Reference]:[Request State]]),FALSE)=D$6,TAB_Offres[[#This Row],[Reference]],""),"")</f>
        <v/>
      </c>
      <c r="N257" t="str">
        <f>_xlfn.IFNA(IF(VLOOKUP(TAB_Offres[[#This Row],[Reference]],TAB_Offres[[Reference]:[Has Expenses?]],COLUMNS(TAB_Offres[[Reference]:[Has Expenses?]]),FALSE)=J$2,TAB_Offres[[#This Row],[Reference]],""),"")</f>
        <v/>
      </c>
      <c r="O257" t="str">
        <f>IF(Tableau19[[#This Row],[EXPENSES_REF]]="","",MAX(O$1:O256)+1)</f>
        <v/>
      </c>
      <c r="P257" t="str">
        <f t="shared" si="12"/>
        <v/>
      </c>
      <c r="R257" s="635" t="s">
        <v>6142</v>
      </c>
      <c r="S257" s="637">
        <v>340.8</v>
      </c>
      <c r="T257" s="638">
        <v>364.66</v>
      </c>
      <c r="U257" s="638">
        <v>390.19</v>
      </c>
      <c r="V257" s="638">
        <v>417.5</v>
      </c>
      <c r="W257" s="638">
        <v>446.73</v>
      </c>
      <c r="X257" s="638">
        <v>478</v>
      </c>
      <c r="Y257" s="638">
        <v>511.46</v>
      </c>
      <c r="Z257" s="638">
        <v>547.26</v>
      </c>
      <c r="AA257" s="638">
        <v>585.57000000000005</v>
      </c>
      <c r="AB257" s="638">
        <v>626.55999999999995</v>
      </c>
      <c r="AC257" s="638">
        <v>670.42</v>
      </c>
      <c r="AD257" s="112"/>
      <c r="AI257" s="191" t="str">
        <f>IFERROR(_xlfn.SINGLE(
IF(_xlfn.SINGLE(INDEX(TAB_Offres[Ressource 1],ROWS(Params!AI$2:$AI257)))=0,NA(),
INDEX(TAB_Offres[Ressource 1],ROWS(Params!AI$2:$AI257)))),
IFERROR(_xlfn.SINGLE(IF(_xlfn.SINGLE(INDEX(#REF!,ROWS(Params!AI$2:$AI257)-COUNTA(TAB_Offres[Ressource 1])))=0,NA(),
INDEX(#REF!,ROWS(Params!AI$2:$AI257)-COUNTA(TAB_Offres[Ressource 1])))),
IFERROR(_xlfn.SINGLE(IF(_xlfn.SINGLE(INDEX(#REF!,ROWS(Params!AI$2:$AI257)-COUNTA(#REF!)-COUNTA(TAB_Offres[Ressource 1])))=0,NA(),
INDEX(#REF!,ROWS(Params!AI$2:$AI257)-COUNTA(#REF!)-COUNTA(TAB_Offres[Ressource 1])))),""))
)</f>
        <v/>
      </c>
      <c r="AJ257" s="192" t="str">
        <f>IF(TAB_ressource[[#This Row],[Import Ressource]]="","",MAX(AJ$1:AJ256)+1)</f>
        <v/>
      </c>
      <c r="AK257" s="193" t="str">
        <f>IFERROR(INDEX(TAB_ressource[Import Ressource],MATCH(ROW()-ROW($AK$1),TAB_ressource[ID Import ressources],0)),"")</f>
        <v/>
      </c>
      <c r="AN257" s="26">
        <f t="shared" si="13"/>
        <v>0</v>
      </c>
      <c r="BD257" t="s">
        <v>1381</v>
      </c>
      <c r="BE257" t="s">
        <v>1382</v>
      </c>
      <c r="BF257" t="s">
        <v>1383</v>
      </c>
      <c r="BG257" t="s">
        <v>1381</v>
      </c>
    </row>
    <row r="258" spans="13:59" x14ac:dyDescent="0.25">
      <c r="M258" t="str">
        <f>_xlfn.IFNA(IF(VLOOKUP(TAB_Offres[[#This Row],[Reference]],TAB_Offres[[Reference]:[Request State]],COLUMNS(TAB_Offres[[Reference]:[Request State]]),FALSE)=D$6,TAB_Offres[[#This Row],[Reference]],""),"")</f>
        <v/>
      </c>
      <c r="N258" t="str">
        <f>_xlfn.IFNA(IF(VLOOKUP(TAB_Offres[[#This Row],[Reference]],TAB_Offres[[Reference]:[Has Expenses?]],COLUMNS(TAB_Offres[[Reference]:[Has Expenses?]]),FALSE)=J$2,TAB_Offres[[#This Row],[Reference]],""),"")</f>
        <v/>
      </c>
      <c r="O258" t="str">
        <f>IF(Tableau19[[#This Row],[EXPENSES_REF]]="","",MAX(O$1:O257)+1)</f>
        <v/>
      </c>
      <c r="P258" t="str">
        <f t="shared" ref="P258:P321" si="15">IFERROR(INDEX($N$2:$N$1001,MATCH(ROW()-ROW($P$1),$O$2:$O$1001,0)),"")</f>
        <v/>
      </c>
      <c r="R258" s="635" t="s">
        <v>6143</v>
      </c>
      <c r="S258" s="637">
        <v>340.8</v>
      </c>
      <c r="T258" s="638">
        <v>364.66</v>
      </c>
      <c r="U258" s="638">
        <v>390.19</v>
      </c>
      <c r="V258" s="638">
        <v>417.5</v>
      </c>
      <c r="W258" s="638">
        <v>446.73</v>
      </c>
      <c r="X258" s="638">
        <v>478</v>
      </c>
      <c r="Y258" s="638">
        <v>511.46</v>
      </c>
      <c r="Z258" s="638">
        <v>547.26</v>
      </c>
      <c r="AA258" s="638">
        <v>585.57000000000005</v>
      </c>
      <c r="AB258" s="638">
        <v>626.55999999999995</v>
      </c>
      <c r="AC258" s="638">
        <v>670.42</v>
      </c>
      <c r="AD258" s="112"/>
      <c r="AI258" s="191" t="str">
        <f>IFERROR(_xlfn.SINGLE(
IF(_xlfn.SINGLE(INDEX(TAB_Offres[Ressource 1],ROWS(Params!AI$2:$AI258)))=0,NA(),
INDEX(TAB_Offres[Ressource 1],ROWS(Params!AI$2:$AI258)))),
IFERROR(_xlfn.SINGLE(IF(_xlfn.SINGLE(INDEX(#REF!,ROWS(Params!AI$2:$AI258)-COUNTA(TAB_Offres[Ressource 1])))=0,NA(),
INDEX(#REF!,ROWS(Params!AI$2:$AI258)-COUNTA(TAB_Offres[Ressource 1])))),
IFERROR(_xlfn.SINGLE(IF(_xlfn.SINGLE(INDEX(#REF!,ROWS(Params!AI$2:$AI258)-COUNTA(#REF!)-COUNTA(TAB_Offres[Ressource 1])))=0,NA(),
INDEX(#REF!,ROWS(Params!AI$2:$AI258)-COUNTA(#REF!)-COUNTA(TAB_Offres[Ressource 1])))),""))
)</f>
        <v/>
      </c>
      <c r="AJ258" s="192" t="str">
        <f>IF(TAB_ressource[[#This Row],[Import Ressource]]="","",MAX(AJ$1:AJ257)+1)</f>
        <v/>
      </c>
      <c r="AK258" s="193" t="str">
        <f>IFERROR(INDEX(TAB_ressource[Import Ressource],MATCH(ROW()-ROW($AK$1),TAB_ressource[ID Import ressources],0)),"")</f>
        <v/>
      </c>
      <c r="AN258" s="26">
        <f t="shared" si="13"/>
        <v>0</v>
      </c>
      <c r="BD258" t="s">
        <v>1384</v>
      </c>
      <c r="BE258" t="s">
        <v>1385</v>
      </c>
      <c r="BF258" t="s">
        <v>1386</v>
      </c>
      <c r="BG258" t="s">
        <v>1384</v>
      </c>
    </row>
    <row r="259" spans="13:59" x14ac:dyDescent="0.25">
      <c r="M259" t="str">
        <f>_xlfn.IFNA(IF(VLOOKUP(TAB_Offres[[#This Row],[Reference]],TAB_Offres[[Reference]:[Request State]],COLUMNS(TAB_Offres[[Reference]:[Request State]]),FALSE)=D$6,TAB_Offres[[#This Row],[Reference]],""),"")</f>
        <v/>
      </c>
      <c r="N259" t="str">
        <f>_xlfn.IFNA(IF(VLOOKUP(TAB_Offres[[#This Row],[Reference]],TAB_Offres[[Reference]:[Has Expenses?]],COLUMNS(TAB_Offres[[Reference]:[Has Expenses?]]),FALSE)=J$2,TAB_Offres[[#This Row],[Reference]],""),"")</f>
        <v/>
      </c>
      <c r="O259" t="str">
        <f>IF(Tableau19[[#This Row],[EXPENSES_REF]]="","",MAX(O$1:O258)+1)</f>
        <v/>
      </c>
      <c r="P259" t="str">
        <f t="shared" si="15"/>
        <v/>
      </c>
      <c r="R259" s="635" t="s">
        <v>6144</v>
      </c>
      <c r="S259" s="637">
        <v>340.8</v>
      </c>
      <c r="T259" s="638">
        <v>364.66</v>
      </c>
      <c r="U259" s="638">
        <v>390.19</v>
      </c>
      <c r="V259" s="638">
        <v>417.5</v>
      </c>
      <c r="W259" s="638">
        <v>446.73</v>
      </c>
      <c r="X259" s="638">
        <v>478</v>
      </c>
      <c r="Y259" s="638">
        <v>511.46</v>
      </c>
      <c r="Z259" s="638">
        <v>547.26</v>
      </c>
      <c r="AA259" s="638">
        <v>585.57000000000005</v>
      </c>
      <c r="AB259" s="638">
        <v>626.55999999999995</v>
      </c>
      <c r="AC259" s="638">
        <v>670.42</v>
      </c>
      <c r="AD259" s="112"/>
      <c r="AI259" s="191" t="str">
        <f>IFERROR(_xlfn.SINGLE(
IF(_xlfn.SINGLE(INDEX(TAB_Offres[Ressource 1],ROWS(Params!AI$2:$AI259)))=0,NA(),
INDEX(TAB_Offres[Ressource 1],ROWS(Params!AI$2:$AI259)))),
IFERROR(_xlfn.SINGLE(IF(_xlfn.SINGLE(INDEX(#REF!,ROWS(Params!AI$2:$AI259)-COUNTA(TAB_Offres[Ressource 1])))=0,NA(),
INDEX(#REF!,ROWS(Params!AI$2:$AI259)-COUNTA(TAB_Offres[Ressource 1])))),
IFERROR(_xlfn.SINGLE(IF(_xlfn.SINGLE(INDEX(#REF!,ROWS(Params!AI$2:$AI259)-COUNTA(#REF!)-COUNTA(TAB_Offres[Ressource 1])))=0,NA(),
INDEX(#REF!,ROWS(Params!AI$2:$AI259)-COUNTA(#REF!)-COUNTA(TAB_Offres[Ressource 1])))),""))
)</f>
        <v/>
      </c>
      <c r="AJ259" s="192" t="str">
        <f>IF(TAB_ressource[[#This Row],[Import Ressource]]="","",MAX(AJ$1:AJ258)+1)</f>
        <v/>
      </c>
      <c r="AK259" s="193" t="str">
        <f>IFERROR(INDEX(TAB_ressource[Import Ressource],MATCH(ROW()-ROW($AK$1),TAB_ressource[ID Import ressources],0)),"")</f>
        <v/>
      </c>
      <c r="AN259" s="26">
        <f t="shared" ref="AN259:AN322" si="16">AM259</f>
        <v>0</v>
      </c>
      <c r="BD259" t="s">
        <v>1387</v>
      </c>
      <c r="BE259" t="s">
        <v>1388</v>
      </c>
      <c r="BF259" t="s">
        <v>1389</v>
      </c>
      <c r="BG259" t="s">
        <v>1387</v>
      </c>
    </row>
    <row r="260" spans="13:59" ht="26.4" x14ac:dyDescent="0.25">
      <c r="M260" t="str">
        <f>_xlfn.IFNA(IF(VLOOKUP(TAB_Offres[[#This Row],[Reference]],TAB_Offres[[Reference]:[Request State]],COLUMNS(TAB_Offres[[Reference]:[Request State]]),FALSE)=D$6,TAB_Offres[[#This Row],[Reference]],""),"")</f>
        <v/>
      </c>
      <c r="N260" t="str">
        <f>_xlfn.IFNA(IF(VLOOKUP(TAB_Offres[[#This Row],[Reference]],TAB_Offres[[Reference]:[Has Expenses?]],COLUMNS(TAB_Offres[[Reference]:[Has Expenses?]]),FALSE)=J$2,TAB_Offres[[#This Row],[Reference]],""),"")</f>
        <v/>
      </c>
      <c r="O260" t="str">
        <f>IF(Tableau19[[#This Row],[EXPENSES_REF]]="","",MAX(O$1:O259)+1)</f>
        <v/>
      </c>
      <c r="P260" t="str">
        <f t="shared" si="15"/>
        <v/>
      </c>
      <c r="R260" s="634" t="s">
        <v>6145</v>
      </c>
      <c r="S260" s="637"/>
      <c r="T260" s="638"/>
      <c r="U260" s="638"/>
      <c r="V260" s="638"/>
      <c r="W260" s="638"/>
      <c r="X260" s="638"/>
      <c r="Y260" s="638"/>
      <c r="Z260" s="638"/>
      <c r="AA260" s="638"/>
      <c r="AB260" s="638"/>
      <c r="AC260" s="638"/>
      <c r="AD260" s="112"/>
      <c r="AI260" s="191" t="str">
        <f>IFERROR(_xlfn.SINGLE(
IF(_xlfn.SINGLE(INDEX(TAB_Offres[Ressource 1],ROWS(Params!AI$2:$AI260)))=0,NA(),
INDEX(TAB_Offres[Ressource 1],ROWS(Params!AI$2:$AI260)))),
IFERROR(_xlfn.SINGLE(IF(_xlfn.SINGLE(INDEX(#REF!,ROWS(Params!AI$2:$AI260)-COUNTA(TAB_Offres[Ressource 1])))=0,NA(),
INDEX(#REF!,ROWS(Params!AI$2:$AI260)-COUNTA(TAB_Offres[Ressource 1])))),
IFERROR(_xlfn.SINGLE(IF(_xlfn.SINGLE(INDEX(#REF!,ROWS(Params!AI$2:$AI260)-COUNTA(#REF!)-COUNTA(TAB_Offres[Ressource 1])))=0,NA(),
INDEX(#REF!,ROWS(Params!AI$2:$AI260)-COUNTA(#REF!)-COUNTA(TAB_Offres[Ressource 1])))),""))
)</f>
        <v/>
      </c>
      <c r="AJ260" s="192" t="str">
        <f>IF(TAB_ressource[[#This Row],[Import Ressource]]="","",MAX(AJ$1:AJ259)+1)</f>
        <v/>
      </c>
      <c r="AK260" s="193" t="str">
        <f>IFERROR(INDEX(TAB_ressource[Import Ressource],MATCH(ROW()-ROW($AK$1),TAB_ressource[ID Import ressources],0)),"")</f>
        <v/>
      </c>
      <c r="AN260" s="26">
        <f t="shared" si="16"/>
        <v>0</v>
      </c>
      <c r="BD260" t="s">
        <v>1390</v>
      </c>
      <c r="BE260" t="s">
        <v>1391</v>
      </c>
      <c r="BF260" t="s">
        <v>1392</v>
      </c>
      <c r="BG260" t="s">
        <v>1390</v>
      </c>
    </row>
    <row r="261" spans="13:59" x14ac:dyDescent="0.25">
      <c r="M261" t="str">
        <f>_xlfn.IFNA(IF(VLOOKUP(TAB_Offres[[#This Row],[Reference]],TAB_Offres[[Reference]:[Request State]],COLUMNS(TAB_Offres[[Reference]:[Request State]]),FALSE)=D$6,TAB_Offres[[#This Row],[Reference]],""),"")</f>
        <v/>
      </c>
      <c r="N261" t="str">
        <f>_xlfn.IFNA(IF(VLOOKUP(TAB_Offres[[#This Row],[Reference]],TAB_Offres[[Reference]:[Has Expenses?]],COLUMNS(TAB_Offres[[Reference]:[Has Expenses?]]),FALSE)=J$2,TAB_Offres[[#This Row],[Reference]],""),"")</f>
        <v/>
      </c>
      <c r="O261" t="str">
        <f>IF(Tableau19[[#This Row],[EXPENSES_REF]]="","",MAX(O$1:O260)+1)</f>
        <v/>
      </c>
      <c r="P261" t="str">
        <f t="shared" si="15"/>
        <v/>
      </c>
      <c r="R261" s="635" t="s">
        <v>6146</v>
      </c>
      <c r="S261" s="637">
        <v>229.87</v>
      </c>
      <c r="T261" s="638">
        <v>245.96</v>
      </c>
      <c r="U261" s="638">
        <v>263.18</v>
      </c>
      <c r="V261" s="638">
        <v>281.60000000000002</v>
      </c>
      <c r="W261" s="638">
        <v>301.31</v>
      </c>
      <c r="X261" s="638">
        <v>322.39999999999998</v>
      </c>
      <c r="Y261" s="638">
        <v>344.97</v>
      </c>
      <c r="Z261" s="638">
        <v>369.12</v>
      </c>
      <c r="AA261" s="638">
        <v>394.96</v>
      </c>
      <c r="AB261" s="638">
        <v>422.61</v>
      </c>
      <c r="AC261" s="638">
        <v>452.19</v>
      </c>
      <c r="AD261" s="112"/>
      <c r="AI261" s="191" t="str">
        <f>IFERROR(_xlfn.SINGLE(
IF(_xlfn.SINGLE(INDEX(TAB_Offres[Ressource 1],ROWS(Params!AI$2:$AI261)))=0,NA(),
INDEX(TAB_Offres[Ressource 1],ROWS(Params!AI$2:$AI261)))),
IFERROR(_xlfn.SINGLE(IF(_xlfn.SINGLE(INDEX(#REF!,ROWS(Params!AI$2:$AI261)-COUNTA(TAB_Offres[Ressource 1])))=0,NA(),
INDEX(#REF!,ROWS(Params!AI$2:$AI261)-COUNTA(TAB_Offres[Ressource 1])))),
IFERROR(_xlfn.SINGLE(IF(_xlfn.SINGLE(INDEX(#REF!,ROWS(Params!AI$2:$AI261)-COUNTA(#REF!)-COUNTA(TAB_Offres[Ressource 1])))=0,NA(),
INDEX(#REF!,ROWS(Params!AI$2:$AI261)-COUNTA(#REF!)-COUNTA(TAB_Offres[Ressource 1])))),""))
)</f>
        <v/>
      </c>
      <c r="AJ261" s="192" t="str">
        <f>IF(TAB_ressource[[#This Row],[Import Ressource]]="","",MAX(AJ$1:AJ260)+1)</f>
        <v/>
      </c>
      <c r="AK261" s="193" t="str">
        <f>IFERROR(INDEX(TAB_ressource[Import Ressource],MATCH(ROW()-ROW($AK$1),TAB_ressource[ID Import ressources],0)),"")</f>
        <v/>
      </c>
      <c r="AN261" s="26">
        <f t="shared" si="16"/>
        <v>0</v>
      </c>
      <c r="BD261" t="s">
        <v>1393</v>
      </c>
      <c r="BE261" t="s">
        <v>1394</v>
      </c>
      <c r="BF261" t="s">
        <v>1395</v>
      </c>
      <c r="BG261" t="s">
        <v>1393</v>
      </c>
    </row>
    <row r="262" spans="13:59" x14ac:dyDescent="0.25">
      <c r="M262" t="str">
        <f>_xlfn.IFNA(IF(VLOOKUP(TAB_Offres[[#This Row],[Reference]],TAB_Offres[[Reference]:[Request State]],COLUMNS(TAB_Offres[[Reference]:[Request State]]),FALSE)=D$6,TAB_Offres[[#This Row],[Reference]],""),"")</f>
        <v/>
      </c>
      <c r="N262" t="str">
        <f>_xlfn.IFNA(IF(VLOOKUP(TAB_Offres[[#This Row],[Reference]],TAB_Offres[[Reference]:[Has Expenses?]],COLUMNS(TAB_Offres[[Reference]:[Has Expenses?]]),FALSE)=J$2,TAB_Offres[[#This Row],[Reference]],""),"")</f>
        <v/>
      </c>
      <c r="O262" t="str">
        <f>IF(Tableau19[[#This Row],[EXPENSES_REF]]="","",MAX(O$1:O261)+1)</f>
        <v/>
      </c>
      <c r="P262" t="str">
        <f t="shared" si="15"/>
        <v/>
      </c>
      <c r="R262" s="635" t="s">
        <v>6147</v>
      </c>
      <c r="S262" s="637">
        <v>229.87</v>
      </c>
      <c r="T262" s="638">
        <v>245.96</v>
      </c>
      <c r="U262" s="638">
        <v>263.18</v>
      </c>
      <c r="V262" s="638">
        <v>281.60000000000002</v>
      </c>
      <c r="W262" s="638">
        <v>301.31</v>
      </c>
      <c r="X262" s="638">
        <v>322.39999999999998</v>
      </c>
      <c r="Y262" s="638">
        <v>344.97</v>
      </c>
      <c r="Z262" s="638">
        <v>369.12</v>
      </c>
      <c r="AA262" s="638">
        <v>394.96</v>
      </c>
      <c r="AB262" s="638">
        <v>422.61</v>
      </c>
      <c r="AC262" s="638">
        <v>452.19</v>
      </c>
      <c r="AD262" s="112"/>
      <c r="AI262" s="191" t="str">
        <f>IFERROR(_xlfn.SINGLE(
IF(_xlfn.SINGLE(INDEX(TAB_Offres[Ressource 1],ROWS(Params!AI$2:$AI262)))=0,NA(),
INDEX(TAB_Offres[Ressource 1],ROWS(Params!AI$2:$AI262)))),
IFERROR(_xlfn.SINGLE(IF(_xlfn.SINGLE(INDEX(#REF!,ROWS(Params!AI$2:$AI262)-COUNTA(TAB_Offres[Ressource 1])))=0,NA(),
INDEX(#REF!,ROWS(Params!AI$2:$AI262)-COUNTA(TAB_Offres[Ressource 1])))),
IFERROR(_xlfn.SINGLE(IF(_xlfn.SINGLE(INDEX(#REF!,ROWS(Params!AI$2:$AI262)-COUNTA(#REF!)-COUNTA(TAB_Offres[Ressource 1])))=0,NA(),
INDEX(#REF!,ROWS(Params!AI$2:$AI262)-COUNTA(#REF!)-COUNTA(TAB_Offres[Ressource 1])))),""))
)</f>
        <v/>
      </c>
      <c r="AJ262" s="192" t="str">
        <f>IF(TAB_ressource[[#This Row],[Import Ressource]]="","",MAX(AJ$1:AJ261)+1)</f>
        <v/>
      </c>
      <c r="AK262" s="193" t="str">
        <f>IFERROR(INDEX(TAB_ressource[Import Ressource],MATCH(ROW()-ROW($AK$1),TAB_ressource[ID Import ressources],0)),"")</f>
        <v/>
      </c>
      <c r="AN262" s="26">
        <f t="shared" si="16"/>
        <v>0</v>
      </c>
      <c r="BD262" t="s">
        <v>1396</v>
      </c>
      <c r="BE262" t="s">
        <v>1397</v>
      </c>
      <c r="BF262" t="s">
        <v>1398</v>
      </c>
      <c r="BG262" t="s">
        <v>1396</v>
      </c>
    </row>
    <row r="263" spans="13:59" x14ac:dyDescent="0.25">
      <c r="M263" t="str">
        <f>_xlfn.IFNA(IF(VLOOKUP(TAB_Offres[[#This Row],[Reference]],TAB_Offres[[Reference]:[Request State]],COLUMNS(TAB_Offres[[Reference]:[Request State]]),FALSE)=D$6,TAB_Offres[[#This Row],[Reference]],""),"")</f>
        <v/>
      </c>
      <c r="N263" t="str">
        <f>_xlfn.IFNA(IF(VLOOKUP(TAB_Offres[[#This Row],[Reference]],TAB_Offres[[Reference]:[Has Expenses?]],COLUMNS(TAB_Offres[[Reference]:[Has Expenses?]]),FALSE)=J$2,TAB_Offres[[#This Row],[Reference]],""),"")</f>
        <v/>
      </c>
      <c r="O263" t="str">
        <f>IF(Tableau19[[#This Row],[EXPENSES_REF]]="","",MAX(O$1:O262)+1)</f>
        <v/>
      </c>
      <c r="P263" t="str">
        <f t="shared" si="15"/>
        <v/>
      </c>
      <c r="R263" s="635" t="s">
        <v>6148</v>
      </c>
      <c r="S263" s="637">
        <v>229.87</v>
      </c>
      <c r="T263" s="638">
        <v>245.96</v>
      </c>
      <c r="U263" s="638">
        <v>263.18</v>
      </c>
      <c r="V263" s="638">
        <v>281.60000000000002</v>
      </c>
      <c r="W263" s="638">
        <v>301.31</v>
      </c>
      <c r="X263" s="638">
        <v>322.39999999999998</v>
      </c>
      <c r="Y263" s="638">
        <v>344.97</v>
      </c>
      <c r="Z263" s="638">
        <v>369.12</v>
      </c>
      <c r="AA263" s="638">
        <v>394.96</v>
      </c>
      <c r="AB263" s="638">
        <v>422.61</v>
      </c>
      <c r="AC263" s="638">
        <v>452.19</v>
      </c>
      <c r="AD263" s="112"/>
      <c r="AI263" s="191" t="str">
        <f>IFERROR(_xlfn.SINGLE(
IF(_xlfn.SINGLE(INDEX(TAB_Offres[Ressource 1],ROWS(Params!AI$2:$AI263)))=0,NA(),
INDEX(TAB_Offres[Ressource 1],ROWS(Params!AI$2:$AI263)))),
IFERROR(_xlfn.SINGLE(IF(_xlfn.SINGLE(INDEX(#REF!,ROWS(Params!AI$2:$AI263)-COUNTA(TAB_Offres[Ressource 1])))=0,NA(),
INDEX(#REF!,ROWS(Params!AI$2:$AI263)-COUNTA(TAB_Offres[Ressource 1])))),
IFERROR(_xlfn.SINGLE(IF(_xlfn.SINGLE(INDEX(#REF!,ROWS(Params!AI$2:$AI263)-COUNTA(#REF!)-COUNTA(TAB_Offres[Ressource 1])))=0,NA(),
INDEX(#REF!,ROWS(Params!AI$2:$AI263)-COUNTA(#REF!)-COUNTA(TAB_Offres[Ressource 1])))),""))
)</f>
        <v/>
      </c>
      <c r="AJ263" s="192" t="str">
        <f>IF(TAB_ressource[[#This Row],[Import Ressource]]="","",MAX(AJ$1:AJ262)+1)</f>
        <v/>
      </c>
      <c r="AK263" s="193" t="str">
        <f>IFERROR(INDEX(TAB_ressource[Import Ressource],MATCH(ROW()-ROW($AK$1),TAB_ressource[ID Import ressources],0)),"")</f>
        <v/>
      </c>
      <c r="AN263" s="26">
        <f t="shared" si="16"/>
        <v>0</v>
      </c>
      <c r="BD263" t="s">
        <v>1399</v>
      </c>
      <c r="BE263" t="s">
        <v>1400</v>
      </c>
      <c r="BF263" t="s">
        <v>1401</v>
      </c>
      <c r="BG263" t="s">
        <v>1399</v>
      </c>
    </row>
    <row r="264" spans="13:59" x14ac:dyDescent="0.25">
      <c r="M264" t="str">
        <f>_xlfn.IFNA(IF(VLOOKUP(TAB_Offres[[#This Row],[Reference]],TAB_Offres[[Reference]:[Request State]],COLUMNS(TAB_Offres[[Reference]:[Request State]]),FALSE)=D$6,TAB_Offres[[#This Row],[Reference]],""),"")</f>
        <v/>
      </c>
      <c r="N264" t="str">
        <f>_xlfn.IFNA(IF(VLOOKUP(TAB_Offres[[#This Row],[Reference]],TAB_Offres[[Reference]:[Has Expenses?]],COLUMNS(TAB_Offres[[Reference]:[Has Expenses?]]),FALSE)=J$2,TAB_Offres[[#This Row],[Reference]],""),"")</f>
        <v/>
      </c>
      <c r="O264" t="str">
        <f>IF(Tableau19[[#This Row],[EXPENSES_REF]]="","",MAX(O$1:O263)+1)</f>
        <v/>
      </c>
      <c r="P264" t="str">
        <f t="shared" si="15"/>
        <v/>
      </c>
      <c r="R264" s="635" t="s">
        <v>6149</v>
      </c>
      <c r="S264" s="637">
        <v>229.87</v>
      </c>
      <c r="T264" s="638">
        <v>245.96</v>
      </c>
      <c r="U264" s="638">
        <v>263.18</v>
      </c>
      <c r="V264" s="638">
        <v>281.60000000000002</v>
      </c>
      <c r="W264" s="638">
        <v>301.31</v>
      </c>
      <c r="X264" s="638">
        <v>322.39999999999998</v>
      </c>
      <c r="Y264" s="638">
        <v>344.97</v>
      </c>
      <c r="Z264" s="638">
        <v>369.12</v>
      </c>
      <c r="AA264" s="638">
        <v>394.96</v>
      </c>
      <c r="AB264" s="638">
        <v>422.61</v>
      </c>
      <c r="AC264" s="638">
        <v>452.19</v>
      </c>
      <c r="AD264" s="112"/>
      <c r="AI264" s="191" t="str">
        <f>IFERROR(_xlfn.SINGLE(
IF(_xlfn.SINGLE(INDEX(TAB_Offres[Ressource 1],ROWS(Params!AI$2:$AI264)))=0,NA(),
INDEX(TAB_Offres[Ressource 1],ROWS(Params!AI$2:$AI264)))),
IFERROR(_xlfn.SINGLE(IF(_xlfn.SINGLE(INDEX(#REF!,ROWS(Params!AI$2:$AI264)-COUNTA(TAB_Offres[Ressource 1])))=0,NA(),
INDEX(#REF!,ROWS(Params!AI$2:$AI264)-COUNTA(TAB_Offres[Ressource 1])))),
IFERROR(_xlfn.SINGLE(IF(_xlfn.SINGLE(INDEX(#REF!,ROWS(Params!AI$2:$AI264)-COUNTA(#REF!)-COUNTA(TAB_Offres[Ressource 1])))=0,NA(),
INDEX(#REF!,ROWS(Params!AI$2:$AI264)-COUNTA(#REF!)-COUNTA(TAB_Offres[Ressource 1])))),""))
)</f>
        <v/>
      </c>
      <c r="AJ264" s="192" t="str">
        <f>IF(TAB_ressource[[#This Row],[Import Ressource]]="","",MAX(AJ$1:AJ263)+1)</f>
        <v/>
      </c>
      <c r="AK264" s="193" t="str">
        <f>IFERROR(INDEX(TAB_ressource[Import Ressource],MATCH(ROW()-ROW($AK$1),TAB_ressource[ID Import ressources],0)),"")</f>
        <v/>
      </c>
      <c r="AN264" s="26">
        <f t="shared" si="16"/>
        <v>0</v>
      </c>
      <c r="BD264" t="s">
        <v>1402</v>
      </c>
      <c r="BE264" t="s">
        <v>1403</v>
      </c>
      <c r="BF264" t="s">
        <v>1404</v>
      </c>
      <c r="BG264" t="s">
        <v>1402</v>
      </c>
    </row>
    <row r="265" spans="13:59" x14ac:dyDescent="0.25">
      <c r="M265" t="str">
        <f>_xlfn.IFNA(IF(VLOOKUP(TAB_Offres[[#This Row],[Reference]],TAB_Offres[[Reference]:[Request State]],COLUMNS(TAB_Offres[[Reference]:[Request State]]),FALSE)=D$6,TAB_Offres[[#This Row],[Reference]],""),"")</f>
        <v/>
      </c>
      <c r="N265" t="str">
        <f>_xlfn.IFNA(IF(VLOOKUP(TAB_Offres[[#This Row],[Reference]],TAB_Offres[[Reference]:[Has Expenses?]],COLUMNS(TAB_Offres[[Reference]:[Has Expenses?]]),FALSE)=J$2,TAB_Offres[[#This Row],[Reference]],""),"")</f>
        <v/>
      </c>
      <c r="O265" t="str">
        <f>IF(Tableau19[[#This Row],[EXPENSES_REF]]="","",MAX(O$1:O264)+1)</f>
        <v/>
      </c>
      <c r="P265" t="str">
        <f t="shared" si="15"/>
        <v/>
      </c>
      <c r="R265" s="635" t="s">
        <v>6150</v>
      </c>
      <c r="S265" s="637">
        <v>248.28</v>
      </c>
      <c r="T265" s="638">
        <v>265.66000000000003</v>
      </c>
      <c r="U265" s="638">
        <v>284.26</v>
      </c>
      <c r="V265" s="638">
        <v>304.16000000000003</v>
      </c>
      <c r="W265" s="638">
        <v>325.45</v>
      </c>
      <c r="X265" s="638">
        <v>348.23</v>
      </c>
      <c r="Y265" s="638">
        <v>372.61</v>
      </c>
      <c r="Z265" s="638">
        <v>398.69</v>
      </c>
      <c r="AA265" s="638">
        <v>426.6</v>
      </c>
      <c r="AB265" s="638">
        <v>456.46</v>
      </c>
      <c r="AC265" s="638">
        <v>488.41</v>
      </c>
      <c r="AD265" s="112"/>
      <c r="AI265" s="191" t="str">
        <f>IFERROR(_xlfn.SINGLE(
IF(_xlfn.SINGLE(INDEX(TAB_Offres[Ressource 1],ROWS(Params!AI$2:$AI265)))=0,NA(),
INDEX(TAB_Offres[Ressource 1],ROWS(Params!AI$2:$AI265)))),
IFERROR(_xlfn.SINGLE(IF(_xlfn.SINGLE(INDEX(#REF!,ROWS(Params!AI$2:$AI265)-COUNTA(TAB_Offres[Ressource 1])))=0,NA(),
INDEX(#REF!,ROWS(Params!AI$2:$AI265)-COUNTA(TAB_Offres[Ressource 1])))),
IFERROR(_xlfn.SINGLE(IF(_xlfn.SINGLE(INDEX(#REF!,ROWS(Params!AI$2:$AI265)-COUNTA(#REF!)-COUNTA(TAB_Offres[Ressource 1])))=0,NA(),
INDEX(#REF!,ROWS(Params!AI$2:$AI265)-COUNTA(#REF!)-COUNTA(TAB_Offres[Ressource 1])))),""))
)</f>
        <v/>
      </c>
      <c r="AJ265" s="192" t="str">
        <f>IF(TAB_ressource[[#This Row],[Import Ressource]]="","",MAX(AJ$1:AJ264)+1)</f>
        <v/>
      </c>
      <c r="AK265" s="193" t="str">
        <f>IFERROR(INDEX(TAB_ressource[Import Ressource],MATCH(ROW()-ROW($AK$1),TAB_ressource[ID Import ressources],0)),"")</f>
        <v/>
      </c>
      <c r="AN265" s="26">
        <f t="shared" si="16"/>
        <v>0</v>
      </c>
      <c r="BD265" t="s">
        <v>1405</v>
      </c>
      <c r="BE265" t="s">
        <v>1406</v>
      </c>
      <c r="BF265" t="s">
        <v>1407</v>
      </c>
      <c r="BG265" t="s">
        <v>1405</v>
      </c>
    </row>
    <row r="266" spans="13:59" x14ac:dyDescent="0.25">
      <c r="M266" t="str">
        <f>_xlfn.IFNA(IF(VLOOKUP(TAB_Offres[[#This Row],[Reference]],TAB_Offres[[Reference]:[Request State]],COLUMNS(TAB_Offres[[Reference]:[Request State]]),FALSE)=D$6,TAB_Offres[[#This Row],[Reference]],""),"")</f>
        <v/>
      </c>
      <c r="N266" t="str">
        <f>_xlfn.IFNA(IF(VLOOKUP(TAB_Offres[[#This Row],[Reference]],TAB_Offres[[Reference]:[Has Expenses?]],COLUMNS(TAB_Offres[[Reference]:[Has Expenses?]]),FALSE)=J$2,TAB_Offres[[#This Row],[Reference]],""),"")</f>
        <v/>
      </c>
      <c r="O266" t="str">
        <f>IF(Tableau19[[#This Row],[EXPENSES_REF]]="","",MAX(O$1:O265)+1)</f>
        <v/>
      </c>
      <c r="P266" t="str">
        <f t="shared" si="15"/>
        <v/>
      </c>
      <c r="R266" s="635" t="s">
        <v>6151</v>
      </c>
      <c r="S266" s="637">
        <v>229.87</v>
      </c>
      <c r="T266" s="638">
        <v>245.96</v>
      </c>
      <c r="U266" s="638">
        <v>263.18</v>
      </c>
      <c r="V266" s="638">
        <v>281.60000000000002</v>
      </c>
      <c r="W266" s="638">
        <v>301.31</v>
      </c>
      <c r="X266" s="638">
        <v>322.39999999999998</v>
      </c>
      <c r="Y266" s="638">
        <v>344.97</v>
      </c>
      <c r="Z266" s="638">
        <v>369.12</v>
      </c>
      <c r="AA266" s="638">
        <v>394.96</v>
      </c>
      <c r="AB266" s="638">
        <v>422.61</v>
      </c>
      <c r="AC266" s="638">
        <v>452.19</v>
      </c>
      <c r="AD266" s="112"/>
      <c r="AI266" s="191" t="str">
        <f>IFERROR(_xlfn.SINGLE(
IF(_xlfn.SINGLE(INDEX(TAB_Offres[Ressource 1],ROWS(Params!AI$2:$AI266)))=0,NA(),
INDEX(TAB_Offres[Ressource 1],ROWS(Params!AI$2:$AI266)))),
IFERROR(_xlfn.SINGLE(IF(_xlfn.SINGLE(INDEX(#REF!,ROWS(Params!AI$2:$AI266)-COUNTA(TAB_Offres[Ressource 1])))=0,NA(),
INDEX(#REF!,ROWS(Params!AI$2:$AI266)-COUNTA(TAB_Offres[Ressource 1])))),
IFERROR(_xlfn.SINGLE(IF(_xlfn.SINGLE(INDEX(#REF!,ROWS(Params!AI$2:$AI266)-COUNTA(#REF!)-COUNTA(TAB_Offres[Ressource 1])))=0,NA(),
INDEX(#REF!,ROWS(Params!AI$2:$AI266)-COUNTA(#REF!)-COUNTA(TAB_Offres[Ressource 1])))),""))
)</f>
        <v/>
      </c>
      <c r="AJ266" s="192" t="str">
        <f>IF(TAB_ressource[[#This Row],[Import Ressource]]="","",MAX(AJ$1:AJ265)+1)</f>
        <v/>
      </c>
      <c r="AK266" s="193" t="str">
        <f>IFERROR(INDEX(TAB_ressource[Import Ressource],MATCH(ROW()-ROW($AK$1),TAB_ressource[ID Import ressources],0)),"")</f>
        <v/>
      </c>
      <c r="AN266" s="26">
        <f t="shared" si="16"/>
        <v>0</v>
      </c>
      <c r="BD266" t="s">
        <v>1408</v>
      </c>
      <c r="BE266" t="s">
        <v>1409</v>
      </c>
      <c r="BF266" t="s">
        <v>1410</v>
      </c>
      <c r="BG266" t="s">
        <v>1408</v>
      </c>
    </row>
    <row r="267" spans="13:59" x14ac:dyDescent="0.25">
      <c r="M267" t="str">
        <f>_xlfn.IFNA(IF(VLOOKUP(TAB_Offres[[#This Row],[Reference]],TAB_Offres[[Reference]:[Request State]],COLUMNS(TAB_Offres[[Reference]:[Request State]]),FALSE)=D$6,TAB_Offres[[#This Row],[Reference]],""),"")</f>
        <v/>
      </c>
      <c r="N267" t="str">
        <f>_xlfn.IFNA(IF(VLOOKUP(TAB_Offres[[#This Row],[Reference]],TAB_Offres[[Reference]:[Has Expenses?]],COLUMNS(TAB_Offres[[Reference]:[Has Expenses?]]),FALSE)=J$2,TAB_Offres[[#This Row],[Reference]],""),"")</f>
        <v/>
      </c>
      <c r="O267" t="str">
        <f>IF(Tableau19[[#This Row],[EXPENSES_REF]]="","",MAX(O$1:O266)+1)</f>
        <v/>
      </c>
      <c r="P267" t="str">
        <f t="shared" si="15"/>
        <v/>
      </c>
      <c r="R267" s="635" t="s">
        <v>6152</v>
      </c>
      <c r="S267" s="637">
        <v>294.7</v>
      </c>
      <c r="T267" s="638">
        <v>315.33</v>
      </c>
      <c r="U267" s="638">
        <v>337.4</v>
      </c>
      <c r="V267" s="638">
        <v>361.02</v>
      </c>
      <c r="W267" s="638">
        <v>386.29</v>
      </c>
      <c r="X267" s="638">
        <v>413.33</v>
      </c>
      <c r="Y267" s="638">
        <v>442.26</v>
      </c>
      <c r="Z267" s="638">
        <v>473.22</v>
      </c>
      <c r="AA267" s="638">
        <v>506.35</v>
      </c>
      <c r="AB267" s="638">
        <v>541.79</v>
      </c>
      <c r="AC267" s="638">
        <v>579.72</v>
      </c>
      <c r="AD267" s="112"/>
      <c r="AI267" s="191" t="str">
        <f>IFERROR(_xlfn.SINGLE(
IF(_xlfn.SINGLE(INDEX(TAB_Offres[Ressource 1],ROWS(Params!AI$2:$AI267)))=0,NA(),
INDEX(TAB_Offres[Ressource 1],ROWS(Params!AI$2:$AI267)))),
IFERROR(_xlfn.SINGLE(IF(_xlfn.SINGLE(INDEX(#REF!,ROWS(Params!AI$2:$AI267)-COUNTA(TAB_Offres[Ressource 1])))=0,NA(),
INDEX(#REF!,ROWS(Params!AI$2:$AI267)-COUNTA(TAB_Offres[Ressource 1])))),
IFERROR(_xlfn.SINGLE(IF(_xlfn.SINGLE(INDEX(#REF!,ROWS(Params!AI$2:$AI267)-COUNTA(#REF!)-COUNTA(TAB_Offres[Ressource 1])))=0,NA(),
INDEX(#REF!,ROWS(Params!AI$2:$AI267)-COUNTA(#REF!)-COUNTA(TAB_Offres[Ressource 1])))),""))
)</f>
        <v/>
      </c>
      <c r="AJ267" s="192" t="str">
        <f>IF(TAB_ressource[[#This Row],[Import Ressource]]="","",MAX(AJ$1:AJ266)+1)</f>
        <v/>
      </c>
      <c r="AK267" s="193" t="str">
        <f>IFERROR(INDEX(TAB_ressource[Import Ressource],MATCH(ROW()-ROW($AK$1),TAB_ressource[ID Import ressources],0)),"")</f>
        <v/>
      </c>
      <c r="AN267" s="26">
        <f t="shared" si="16"/>
        <v>0</v>
      </c>
      <c r="BD267" t="s">
        <v>1411</v>
      </c>
      <c r="BE267" t="s">
        <v>1412</v>
      </c>
      <c r="BF267" t="s">
        <v>1413</v>
      </c>
      <c r="BG267" t="s">
        <v>1411</v>
      </c>
    </row>
    <row r="268" spans="13:59" x14ac:dyDescent="0.25">
      <c r="M268" t="str">
        <f>_xlfn.IFNA(IF(VLOOKUP(TAB_Offres[[#This Row],[Reference]],TAB_Offres[[Reference]:[Request State]],COLUMNS(TAB_Offres[[Reference]:[Request State]]),FALSE)=D$6,TAB_Offres[[#This Row],[Reference]],""),"")</f>
        <v/>
      </c>
      <c r="N268" t="str">
        <f>_xlfn.IFNA(IF(VLOOKUP(TAB_Offres[[#This Row],[Reference]],TAB_Offres[[Reference]:[Has Expenses?]],COLUMNS(TAB_Offres[[Reference]:[Has Expenses?]]),FALSE)=J$2,TAB_Offres[[#This Row],[Reference]],""),"")</f>
        <v/>
      </c>
      <c r="O268" t="str">
        <f>IF(Tableau19[[#This Row],[EXPENSES_REF]]="","",MAX(O$1:O267)+1)</f>
        <v/>
      </c>
      <c r="P268" t="str">
        <f t="shared" si="15"/>
        <v/>
      </c>
      <c r="R268" s="635" t="s">
        <v>6153</v>
      </c>
      <c r="S268" s="637">
        <v>229.87</v>
      </c>
      <c r="T268" s="638">
        <v>245.96</v>
      </c>
      <c r="U268" s="638">
        <v>263.18</v>
      </c>
      <c r="V268" s="638">
        <v>281.60000000000002</v>
      </c>
      <c r="W268" s="638">
        <v>301.31</v>
      </c>
      <c r="X268" s="638">
        <v>322.39999999999998</v>
      </c>
      <c r="Y268" s="638">
        <v>344.97</v>
      </c>
      <c r="Z268" s="638">
        <v>369.12</v>
      </c>
      <c r="AA268" s="638">
        <v>394.96</v>
      </c>
      <c r="AB268" s="638">
        <v>422.61</v>
      </c>
      <c r="AC268" s="638">
        <v>452.19</v>
      </c>
      <c r="AD268" s="112"/>
      <c r="AI268" s="191" t="str">
        <f>IFERROR(_xlfn.SINGLE(
IF(_xlfn.SINGLE(INDEX(TAB_Offres[Ressource 1],ROWS(Params!AI$2:$AI268)))=0,NA(),
INDEX(TAB_Offres[Ressource 1],ROWS(Params!AI$2:$AI268)))),
IFERROR(_xlfn.SINGLE(IF(_xlfn.SINGLE(INDEX(#REF!,ROWS(Params!AI$2:$AI268)-COUNTA(TAB_Offres[Ressource 1])))=0,NA(),
INDEX(#REF!,ROWS(Params!AI$2:$AI268)-COUNTA(TAB_Offres[Ressource 1])))),
IFERROR(_xlfn.SINGLE(IF(_xlfn.SINGLE(INDEX(#REF!,ROWS(Params!AI$2:$AI268)-COUNTA(#REF!)-COUNTA(TAB_Offres[Ressource 1])))=0,NA(),
INDEX(#REF!,ROWS(Params!AI$2:$AI268)-COUNTA(#REF!)-COUNTA(TAB_Offres[Ressource 1])))),""))
)</f>
        <v/>
      </c>
      <c r="AJ268" s="192" t="str">
        <f>IF(TAB_ressource[[#This Row],[Import Ressource]]="","",MAX(AJ$1:AJ267)+1)</f>
        <v/>
      </c>
      <c r="AK268" s="193" t="str">
        <f>IFERROR(INDEX(TAB_ressource[Import Ressource],MATCH(ROW()-ROW($AK$1),TAB_ressource[ID Import ressources],0)),"")</f>
        <v/>
      </c>
      <c r="AN268" s="26">
        <f t="shared" si="16"/>
        <v>0</v>
      </c>
      <c r="BD268" t="s">
        <v>1414</v>
      </c>
      <c r="BE268" t="s">
        <v>1415</v>
      </c>
      <c r="BF268" t="s">
        <v>1416</v>
      </c>
      <c r="BG268" t="s">
        <v>1414</v>
      </c>
    </row>
    <row r="269" spans="13:59" x14ac:dyDescent="0.25">
      <c r="M269" t="str">
        <f>_xlfn.IFNA(IF(VLOOKUP(TAB_Offres[[#This Row],[Reference]],TAB_Offres[[Reference]:[Request State]],COLUMNS(TAB_Offres[[Reference]:[Request State]]),FALSE)=D$6,TAB_Offres[[#This Row],[Reference]],""),"")</f>
        <v/>
      </c>
      <c r="N269" t="str">
        <f>_xlfn.IFNA(IF(VLOOKUP(TAB_Offres[[#This Row],[Reference]],TAB_Offres[[Reference]:[Has Expenses?]],COLUMNS(TAB_Offres[[Reference]:[Has Expenses?]]),FALSE)=J$2,TAB_Offres[[#This Row],[Reference]],""),"")</f>
        <v/>
      </c>
      <c r="O269" t="str">
        <f>IF(Tableau19[[#This Row],[EXPENSES_REF]]="","",MAX(O$1:O268)+1)</f>
        <v/>
      </c>
      <c r="P269" t="str">
        <f t="shared" si="15"/>
        <v/>
      </c>
      <c r="R269" s="635" t="s">
        <v>6154</v>
      </c>
      <c r="S269" s="637">
        <v>229.87</v>
      </c>
      <c r="T269" s="638">
        <v>245.96</v>
      </c>
      <c r="U269" s="638">
        <v>263.18</v>
      </c>
      <c r="V269" s="638">
        <v>281.60000000000002</v>
      </c>
      <c r="W269" s="638">
        <v>301.31</v>
      </c>
      <c r="X269" s="638">
        <v>322.39999999999998</v>
      </c>
      <c r="Y269" s="638">
        <v>344.97</v>
      </c>
      <c r="Z269" s="638">
        <v>369.12</v>
      </c>
      <c r="AA269" s="638">
        <v>394.96</v>
      </c>
      <c r="AB269" s="638">
        <v>422.61</v>
      </c>
      <c r="AC269" s="638">
        <v>452.19</v>
      </c>
      <c r="AD269" s="112"/>
      <c r="AI269" s="191" t="str">
        <f>IFERROR(_xlfn.SINGLE(
IF(_xlfn.SINGLE(INDEX(TAB_Offres[Ressource 1],ROWS(Params!AI$2:$AI269)))=0,NA(),
INDEX(TAB_Offres[Ressource 1],ROWS(Params!AI$2:$AI269)))),
IFERROR(_xlfn.SINGLE(IF(_xlfn.SINGLE(INDEX(#REF!,ROWS(Params!AI$2:$AI269)-COUNTA(TAB_Offres[Ressource 1])))=0,NA(),
INDEX(#REF!,ROWS(Params!AI$2:$AI269)-COUNTA(TAB_Offres[Ressource 1])))),
IFERROR(_xlfn.SINGLE(IF(_xlfn.SINGLE(INDEX(#REF!,ROWS(Params!AI$2:$AI269)-COUNTA(#REF!)-COUNTA(TAB_Offres[Ressource 1])))=0,NA(),
INDEX(#REF!,ROWS(Params!AI$2:$AI269)-COUNTA(#REF!)-COUNTA(TAB_Offres[Ressource 1])))),""))
)</f>
        <v/>
      </c>
      <c r="AJ269" s="192" t="str">
        <f>IF(TAB_ressource[[#This Row],[Import Ressource]]="","",MAX(AJ$1:AJ268)+1)</f>
        <v/>
      </c>
      <c r="AK269" s="193" t="str">
        <f>IFERROR(INDEX(TAB_ressource[Import Ressource],MATCH(ROW()-ROW($AK$1),TAB_ressource[ID Import ressources],0)),"")</f>
        <v/>
      </c>
      <c r="AN269" s="26">
        <f t="shared" si="16"/>
        <v>0</v>
      </c>
      <c r="BD269" t="s">
        <v>1417</v>
      </c>
      <c r="BE269" t="s">
        <v>1418</v>
      </c>
      <c r="BF269" t="s">
        <v>1419</v>
      </c>
      <c r="BG269" t="s">
        <v>1417</v>
      </c>
    </row>
    <row r="270" spans="13:59" x14ac:dyDescent="0.25">
      <c r="M270" t="str">
        <f>_xlfn.IFNA(IF(VLOOKUP(TAB_Offres[[#This Row],[Reference]],TAB_Offres[[Reference]:[Request State]],COLUMNS(TAB_Offres[[Reference]:[Request State]]),FALSE)=D$6,TAB_Offres[[#This Row],[Reference]],""),"")</f>
        <v/>
      </c>
      <c r="N270" t="str">
        <f>_xlfn.IFNA(IF(VLOOKUP(TAB_Offres[[#This Row],[Reference]],TAB_Offres[[Reference]:[Has Expenses?]],COLUMNS(TAB_Offres[[Reference]:[Has Expenses?]]),FALSE)=J$2,TAB_Offres[[#This Row],[Reference]],""),"")</f>
        <v/>
      </c>
      <c r="O270" t="str">
        <f>IF(Tableau19[[#This Row],[EXPENSES_REF]]="","",MAX(O$1:O269)+1)</f>
        <v/>
      </c>
      <c r="P270" t="str">
        <f t="shared" si="15"/>
        <v/>
      </c>
      <c r="R270" s="635" t="s">
        <v>6155</v>
      </c>
      <c r="S270" s="637">
        <v>229.87</v>
      </c>
      <c r="T270" s="638">
        <v>245.96</v>
      </c>
      <c r="U270" s="638">
        <v>263.18</v>
      </c>
      <c r="V270" s="638">
        <v>281.60000000000002</v>
      </c>
      <c r="W270" s="638">
        <v>301.31</v>
      </c>
      <c r="X270" s="638">
        <v>322.39999999999998</v>
      </c>
      <c r="Y270" s="638">
        <v>344.97</v>
      </c>
      <c r="Z270" s="638">
        <v>369.12</v>
      </c>
      <c r="AA270" s="638">
        <v>394.96</v>
      </c>
      <c r="AB270" s="638">
        <v>422.61</v>
      </c>
      <c r="AC270" s="638">
        <v>452.19</v>
      </c>
      <c r="AD270" s="112"/>
      <c r="AI270" s="191" t="str">
        <f>IFERROR(_xlfn.SINGLE(
IF(_xlfn.SINGLE(INDEX(TAB_Offres[Ressource 1],ROWS(Params!AI$2:$AI270)))=0,NA(),
INDEX(TAB_Offres[Ressource 1],ROWS(Params!AI$2:$AI270)))),
IFERROR(_xlfn.SINGLE(IF(_xlfn.SINGLE(INDEX(#REF!,ROWS(Params!AI$2:$AI270)-COUNTA(TAB_Offres[Ressource 1])))=0,NA(),
INDEX(#REF!,ROWS(Params!AI$2:$AI270)-COUNTA(TAB_Offres[Ressource 1])))),
IFERROR(_xlfn.SINGLE(IF(_xlfn.SINGLE(INDEX(#REF!,ROWS(Params!AI$2:$AI270)-COUNTA(#REF!)-COUNTA(TAB_Offres[Ressource 1])))=0,NA(),
INDEX(#REF!,ROWS(Params!AI$2:$AI270)-COUNTA(#REF!)-COUNTA(TAB_Offres[Ressource 1])))),""))
)</f>
        <v/>
      </c>
      <c r="AJ270" s="192" t="str">
        <f>IF(TAB_ressource[[#This Row],[Import Ressource]]="","",MAX(AJ$1:AJ269)+1)</f>
        <v/>
      </c>
      <c r="AK270" s="193" t="str">
        <f>IFERROR(INDEX(TAB_ressource[Import Ressource],MATCH(ROW()-ROW($AK$1),TAB_ressource[ID Import ressources],0)),"")</f>
        <v/>
      </c>
      <c r="AN270" s="26">
        <f t="shared" si="16"/>
        <v>0</v>
      </c>
      <c r="BD270" t="s">
        <v>1420</v>
      </c>
      <c r="BE270" t="s">
        <v>1421</v>
      </c>
      <c r="BF270" t="s">
        <v>1422</v>
      </c>
      <c r="BG270" t="s">
        <v>1420</v>
      </c>
    </row>
    <row r="271" spans="13:59" x14ac:dyDescent="0.25">
      <c r="M271" t="str">
        <f>_xlfn.IFNA(IF(VLOOKUP(TAB_Offres[[#This Row],[Reference]],TAB_Offres[[Reference]:[Request State]],COLUMNS(TAB_Offres[[Reference]:[Request State]]),FALSE)=D$6,TAB_Offres[[#This Row],[Reference]],""),"")</f>
        <v/>
      </c>
      <c r="N271" t="str">
        <f>_xlfn.IFNA(IF(VLOOKUP(TAB_Offres[[#This Row],[Reference]],TAB_Offres[[Reference]:[Has Expenses?]],COLUMNS(TAB_Offres[[Reference]:[Has Expenses?]]),FALSE)=J$2,TAB_Offres[[#This Row],[Reference]],""),"")</f>
        <v/>
      </c>
      <c r="O271" t="str">
        <f>IF(Tableau19[[#This Row],[EXPENSES_REF]]="","",MAX(O$1:O270)+1)</f>
        <v/>
      </c>
      <c r="P271" t="str">
        <f t="shared" si="15"/>
        <v/>
      </c>
      <c r="R271" s="635" t="s">
        <v>6156</v>
      </c>
      <c r="S271" s="637">
        <v>229.93</v>
      </c>
      <c r="T271" s="638">
        <v>246.03</v>
      </c>
      <c r="U271" s="638">
        <v>263.25</v>
      </c>
      <c r="V271" s="638">
        <v>281.68</v>
      </c>
      <c r="W271" s="638">
        <v>301.39999999999998</v>
      </c>
      <c r="X271" s="638">
        <v>322.5</v>
      </c>
      <c r="Y271" s="638">
        <v>345.08</v>
      </c>
      <c r="Z271" s="638">
        <v>369.24</v>
      </c>
      <c r="AA271" s="638">
        <v>395.09</v>
      </c>
      <c r="AB271" s="638">
        <v>422.75</v>
      </c>
      <c r="AC271" s="638">
        <v>452.34</v>
      </c>
      <c r="AD271" s="112"/>
      <c r="AI271" s="191" t="str">
        <f>IFERROR(_xlfn.SINGLE(
IF(_xlfn.SINGLE(INDEX(TAB_Offres[Ressource 1],ROWS(Params!AI$2:$AI271)))=0,NA(),
INDEX(TAB_Offres[Ressource 1],ROWS(Params!AI$2:$AI271)))),
IFERROR(_xlfn.SINGLE(IF(_xlfn.SINGLE(INDEX(#REF!,ROWS(Params!AI$2:$AI271)-COUNTA(TAB_Offres[Ressource 1])))=0,NA(),
INDEX(#REF!,ROWS(Params!AI$2:$AI271)-COUNTA(TAB_Offres[Ressource 1])))),
IFERROR(_xlfn.SINGLE(IF(_xlfn.SINGLE(INDEX(#REF!,ROWS(Params!AI$2:$AI271)-COUNTA(#REF!)-COUNTA(TAB_Offres[Ressource 1])))=0,NA(),
INDEX(#REF!,ROWS(Params!AI$2:$AI271)-COUNTA(#REF!)-COUNTA(TAB_Offres[Ressource 1])))),""))
)</f>
        <v/>
      </c>
      <c r="AJ271" s="192" t="str">
        <f>IF(TAB_ressource[[#This Row],[Import Ressource]]="","",MAX(AJ$1:AJ270)+1)</f>
        <v/>
      </c>
      <c r="AK271" s="193" t="str">
        <f>IFERROR(INDEX(TAB_ressource[Import Ressource],MATCH(ROW()-ROW($AK$1),TAB_ressource[ID Import ressources],0)),"")</f>
        <v/>
      </c>
      <c r="AN271" s="26">
        <f t="shared" si="16"/>
        <v>0</v>
      </c>
      <c r="BD271" t="s">
        <v>1423</v>
      </c>
      <c r="BE271" t="s">
        <v>1424</v>
      </c>
      <c r="BF271" t="s">
        <v>1425</v>
      </c>
      <c r="BG271" t="s">
        <v>1423</v>
      </c>
    </row>
    <row r="272" spans="13:59" x14ac:dyDescent="0.25">
      <c r="M272" t="str">
        <f>_xlfn.IFNA(IF(VLOOKUP(TAB_Offres[[#This Row],[Reference]],TAB_Offres[[Reference]:[Request State]],COLUMNS(TAB_Offres[[Reference]:[Request State]]),FALSE)=D$6,TAB_Offres[[#This Row],[Reference]],""),"")</f>
        <v/>
      </c>
      <c r="N272" t="str">
        <f>_xlfn.IFNA(IF(VLOOKUP(TAB_Offres[[#This Row],[Reference]],TAB_Offres[[Reference]:[Has Expenses?]],COLUMNS(TAB_Offres[[Reference]:[Has Expenses?]]),FALSE)=J$2,TAB_Offres[[#This Row],[Reference]],""),"")</f>
        <v/>
      </c>
      <c r="O272" t="str">
        <f>IF(Tableau19[[#This Row],[EXPENSES_REF]]="","",MAX(O$1:O271)+1)</f>
        <v/>
      </c>
      <c r="P272" t="str">
        <f t="shared" si="15"/>
        <v/>
      </c>
      <c r="R272" s="635" t="s">
        <v>6157</v>
      </c>
      <c r="S272" s="637">
        <v>229.87</v>
      </c>
      <c r="T272" s="638">
        <v>245.96</v>
      </c>
      <c r="U272" s="638">
        <v>263.18</v>
      </c>
      <c r="V272" s="638">
        <v>281.60000000000002</v>
      </c>
      <c r="W272" s="638">
        <v>301.31</v>
      </c>
      <c r="X272" s="638">
        <v>322.39999999999998</v>
      </c>
      <c r="Y272" s="638">
        <v>344.97</v>
      </c>
      <c r="Z272" s="638">
        <v>369.12</v>
      </c>
      <c r="AA272" s="638">
        <v>394.96</v>
      </c>
      <c r="AB272" s="638">
        <v>422.61</v>
      </c>
      <c r="AC272" s="638">
        <v>452.19</v>
      </c>
      <c r="AD272" s="112"/>
      <c r="AI272" s="191" t="str">
        <f>IFERROR(_xlfn.SINGLE(
IF(_xlfn.SINGLE(INDEX(TAB_Offres[Ressource 1],ROWS(Params!AI$2:$AI272)))=0,NA(),
INDEX(TAB_Offres[Ressource 1],ROWS(Params!AI$2:$AI272)))),
IFERROR(_xlfn.SINGLE(IF(_xlfn.SINGLE(INDEX(#REF!,ROWS(Params!AI$2:$AI272)-COUNTA(TAB_Offres[Ressource 1])))=0,NA(),
INDEX(#REF!,ROWS(Params!AI$2:$AI272)-COUNTA(TAB_Offres[Ressource 1])))),
IFERROR(_xlfn.SINGLE(IF(_xlfn.SINGLE(INDEX(#REF!,ROWS(Params!AI$2:$AI272)-COUNTA(#REF!)-COUNTA(TAB_Offres[Ressource 1])))=0,NA(),
INDEX(#REF!,ROWS(Params!AI$2:$AI272)-COUNTA(#REF!)-COUNTA(TAB_Offres[Ressource 1])))),""))
)</f>
        <v/>
      </c>
      <c r="AJ272" s="192" t="str">
        <f>IF(TAB_ressource[[#This Row],[Import Ressource]]="","",MAX(AJ$1:AJ271)+1)</f>
        <v/>
      </c>
      <c r="AK272" s="193" t="str">
        <f>IFERROR(INDEX(TAB_ressource[Import Ressource],MATCH(ROW()-ROW($AK$1),TAB_ressource[ID Import ressources],0)),"")</f>
        <v/>
      </c>
      <c r="AN272" s="26">
        <f t="shared" si="16"/>
        <v>0</v>
      </c>
      <c r="BD272" t="s">
        <v>1426</v>
      </c>
      <c r="BE272" t="s">
        <v>1427</v>
      </c>
      <c r="BF272" t="s">
        <v>1428</v>
      </c>
      <c r="BG272" t="s">
        <v>1426</v>
      </c>
    </row>
    <row r="273" spans="13:59" x14ac:dyDescent="0.25">
      <c r="M273" t="str">
        <f>_xlfn.IFNA(IF(VLOOKUP(TAB_Offres[[#This Row],[Reference]],TAB_Offres[[Reference]:[Request State]],COLUMNS(TAB_Offres[[Reference]:[Request State]]),FALSE)=D$6,TAB_Offres[[#This Row],[Reference]],""),"")</f>
        <v/>
      </c>
      <c r="N273" t="str">
        <f>_xlfn.IFNA(IF(VLOOKUP(TAB_Offres[[#This Row],[Reference]],TAB_Offres[[Reference]:[Has Expenses?]],COLUMNS(TAB_Offres[[Reference]:[Has Expenses?]]),FALSE)=J$2,TAB_Offres[[#This Row],[Reference]],""),"")</f>
        <v/>
      </c>
      <c r="O273" t="str">
        <f>IF(Tableau19[[#This Row],[EXPENSES_REF]]="","",MAX(O$1:O272)+1)</f>
        <v/>
      </c>
      <c r="P273" t="str">
        <f t="shared" si="15"/>
        <v/>
      </c>
      <c r="R273" s="635" t="s">
        <v>6158</v>
      </c>
      <c r="S273" s="637">
        <v>229.87</v>
      </c>
      <c r="T273" s="638">
        <v>245.96</v>
      </c>
      <c r="U273" s="638">
        <v>263.18</v>
      </c>
      <c r="V273" s="638">
        <v>281.60000000000002</v>
      </c>
      <c r="W273" s="638">
        <v>301.31</v>
      </c>
      <c r="X273" s="638">
        <v>322.39999999999998</v>
      </c>
      <c r="Y273" s="638">
        <v>344.97</v>
      </c>
      <c r="Z273" s="638">
        <v>369.12</v>
      </c>
      <c r="AA273" s="638">
        <v>394.96</v>
      </c>
      <c r="AB273" s="638">
        <v>422.61</v>
      </c>
      <c r="AC273" s="638">
        <v>452.19</v>
      </c>
      <c r="AD273" s="112"/>
      <c r="AI273" s="191" t="str">
        <f>IFERROR(_xlfn.SINGLE(
IF(_xlfn.SINGLE(INDEX(TAB_Offres[Ressource 1],ROWS(Params!AI$2:$AI273)))=0,NA(),
INDEX(TAB_Offres[Ressource 1],ROWS(Params!AI$2:$AI273)))),
IFERROR(_xlfn.SINGLE(IF(_xlfn.SINGLE(INDEX(#REF!,ROWS(Params!AI$2:$AI273)-COUNTA(TAB_Offres[Ressource 1])))=0,NA(),
INDEX(#REF!,ROWS(Params!AI$2:$AI273)-COUNTA(TAB_Offres[Ressource 1])))),
IFERROR(_xlfn.SINGLE(IF(_xlfn.SINGLE(INDEX(#REF!,ROWS(Params!AI$2:$AI273)-COUNTA(#REF!)-COUNTA(TAB_Offres[Ressource 1])))=0,NA(),
INDEX(#REF!,ROWS(Params!AI$2:$AI273)-COUNTA(#REF!)-COUNTA(TAB_Offres[Ressource 1])))),""))
)</f>
        <v/>
      </c>
      <c r="AJ273" s="192" t="str">
        <f>IF(TAB_ressource[[#This Row],[Import Ressource]]="","",MAX(AJ$1:AJ272)+1)</f>
        <v/>
      </c>
      <c r="AK273" s="193" t="str">
        <f>IFERROR(INDEX(TAB_ressource[Import Ressource],MATCH(ROW()-ROW($AK$1),TAB_ressource[ID Import ressources],0)),"")</f>
        <v/>
      </c>
      <c r="AN273" s="26">
        <f t="shared" si="16"/>
        <v>0</v>
      </c>
      <c r="BD273" t="s">
        <v>1429</v>
      </c>
      <c r="BE273" t="s">
        <v>1430</v>
      </c>
      <c r="BF273" t="s">
        <v>1431</v>
      </c>
      <c r="BG273" t="s">
        <v>1429</v>
      </c>
    </row>
    <row r="274" spans="13:59" x14ac:dyDescent="0.25">
      <c r="M274" t="str">
        <f>_xlfn.IFNA(IF(VLOOKUP(TAB_Offres[[#This Row],[Reference]],TAB_Offres[[Reference]:[Request State]],COLUMNS(TAB_Offres[[Reference]:[Request State]]),FALSE)=D$6,TAB_Offres[[#This Row],[Reference]],""),"")</f>
        <v/>
      </c>
      <c r="N274" t="str">
        <f>_xlfn.IFNA(IF(VLOOKUP(TAB_Offres[[#This Row],[Reference]],TAB_Offres[[Reference]:[Has Expenses?]],COLUMNS(TAB_Offres[[Reference]:[Has Expenses?]]),FALSE)=J$2,TAB_Offres[[#This Row],[Reference]],""),"")</f>
        <v/>
      </c>
      <c r="O274" t="str">
        <f>IF(Tableau19[[#This Row],[EXPENSES_REF]]="","",MAX(O$1:O273)+1)</f>
        <v/>
      </c>
      <c r="P274" t="str">
        <f t="shared" si="15"/>
        <v/>
      </c>
      <c r="R274" s="635" t="s">
        <v>6159</v>
      </c>
      <c r="S274" s="637">
        <v>229.87</v>
      </c>
      <c r="T274" s="638">
        <v>245.96</v>
      </c>
      <c r="U274" s="638">
        <v>263.18</v>
      </c>
      <c r="V274" s="638">
        <v>281.60000000000002</v>
      </c>
      <c r="W274" s="638">
        <v>301.31</v>
      </c>
      <c r="X274" s="638">
        <v>322.39999999999998</v>
      </c>
      <c r="Y274" s="638">
        <v>344.97</v>
      </c>
      <c r="Z274" s="638">
        <v>369.12</v>
      </c>
      <c r="AA274" s="638">
        <v>394.96</v>
      </c>
      <c r="AB274" s="638">
        <v>422.61</v>
      </c>
      <c r="AC274" s="638">
        <v>452.19</v>
      </c>
      <c r="AD274" s="112"/>
      <c r="AI274" s="191" t="str">
        <f>IFERROR(_xlfn.SINGLE(
IF(_xlfn.SINGLE(INDEX(TAB_Offres[Ressource 1],ROWS(Params!AI$2:$AI274)))=0,NA(),
INDEX(TAB_Offres[Ressource 1],ROWS(Params!AI$2:$AI274)))),
IFERROR(_xlfn.SINGLE(IF(_xlfn.SINGLE(INDEX(#REF!,ROWS(Params!AI$2:$AI274)-COUNTA(TAB_Offres[Ressource 1])))=0,NA(),
INDEX(#REF!,ROWS(Params!AI$2:$AI274)-COUNTA(TAB_Offres[Ressource 1])))),
IFERROR(_xlfn.SINGLE(IF(_xlfn.SINGLE(INDEX(#REF!,ROWS(Params!AI$2:$AI274)-COUNTA(#REF!)-COUNTA(TAB_Offres[Ressource 1])))=0,NA(),
INDEX(#REF!,ROWS(Params!AI$2:$AI274)-COUNTA(#REF!)-COUNTA(TAB_Offres[Ressource 1])))),""))
)</f>
        <v/>
      </c>
      <c r="AJ274" s="192" t="str">
        <f>IF(TAB_ressource[[#This Row],[Import Ressource]]="","",MAX(AJ$1:AJ273)+1)</f>
        <v/>
      </c>
      <c r="AK274" s="193" t="str">
        <f>IFERROR(INDEX(TAB_ressource[Import Ressource],MATCH(ROW()-ROW($AK$1),TAB_ressource[ID Import ressources],0)),"")</f>
        <v/>
      </c>
      <c r="AN274" s="26">
        <f t="shared" si="16"/>
        <v>0</v>
      </c>
      <c r="BD274" t="s">
        <v>1432</v>
      </c>
      <c r="BE274" t="s">
        <v>1433</v>
      </c>
      <c r="BF274" t="s">
        <v>1434</v>
      </c>
      <c r="BG274" t="s">
        <v>1432</v>
      </c>
    </row>
    <row r="275" spans="13:59" x14ac:dyDescent="0.25">
      <c r="M275" t="str">
        <f>_xlfn.IFNA(IF(VLOOKUP(TAB_Offres[[#This Row],[Reference]],TAB_Offres[[Reference]:[Request State]],COLUMNS(TAB_Offres[[Reference]:[Request State]]),FALSE)=D$6,TAB_Offres[[#This Row],[Reference]],""),"")</f>
        <v/>
      </c>
      <c r="N275" t="str">
        <f>_xlfn.IFNA(IF(VLOOKUP(TAB_Offres[[#This Row],[Reference]],TAB_Offres[[Reference]:[Has Expenses?]],COLUMNS(TAB_Offres[[Reference]:[Has Expenses?]]),FALSE)=J$2,TAB_Offres[[#This Row],[Reference]],""),"")</f>
        <v/>
      </c>
      <c r="O275" t="str">
        <f>IF(Tableau19[[#This Row],[EXPENSES_REF]]="","",MAX(O$1:O274)+1)</f>
        <v/>
      </c>
      <c r="P275" t="str">
        <f t="shared" si="15"/>
        <v/>
      </c>
      <c r="R275" s="635" t="s">
        <v>6160</v>
      </c>
      <c r="S275" s="637">
        <v>229.87</v>
      </c>
      <c r="T275" s="638">
        <v>245.96</v>
      </c>
      <c r="U275" s="638">
        <v>263.18</v>
      </c>
      <c r="V275" s="638">
        <v>281.60000000000002</v>
      </c>
      <c r="W275" s="638">
        <v>301.31</v>
      </c>
      <c r="X275" s="638">
        <v>322.39999999999998</v>
      </c>
      <c r="Y275" s="638">
        <v>344.97</v>
      </c>
      <c r="Z275" s="638">
        <v>369.12</v>
      </c>
      <c r="AA275" s="638">
        <v>394.96</v>
      </c>
      <c r="AB275" s="638">
        <v>422.61</v>
      </c>
      <c r="AC275" s="638">
        <v>452.19</v>
      </c>
      <c r="AD275" s="112"/>
      <c r="AI275" s="191" t="str">
        <f>IFERROR(_xlfn.SINGLE(
IF(_xlfn.SINGLE(INDEX(TAB_Offres[Ressource 1],ROWS(Params!AI$2:$AI275)))=0,NA(),
INDEX(TAB_Offres[Ressource 1],ROWS(Params!AI$2:$AI275)))),
IFERROR(_xlfn.SINGLE(IF(_xlfn.SINGLE(INDEX(#REF!,ROWS(Params!AI$2:$AI275)-COUNTA(TAB_Offres[Ressource 1])))=0,NA(),
INDEX(#REF!,ROWS(Params!AI$2:$AI275)-COUNTA(TAB_Offres[Ressource 1])))),
IFERROR(_xlfn.SINGLE(IF(_xlfn.SINGLE(INDEX(#REF!,ROWS(Params!AI$2:$AI275)-COUNTA(#REF!)-COUNTA(TAB_Offres[Ressource 1])))=0,NA(),
INDEX(#REF!,ROWS(Params!AI$2:$AI275)-COUNTA(#REF!)-COUNTA(TAB_Offres[Ressource 1])))),""))
)</f>
        <v/>
      </c>
      <c r="AJ275" s="192" t="str">
        <f>IF(TAB_ressource[[#This Row],[Import Ressource]]="","",MAX(AJ$1:AJ274)+1)</f>
        <v/>
      </c>
      <c r="AK275" s="193" t="str">
        <f>IFERROR(INDEX(TAB_ressource[Import Ressource],MATCH(ROW()-ROW($AK$1),TAB_ressource[ID Import ressources],0)),"")</f>
        <v/>
      </c>
      <c r="AN275" s="26">
        <f t="shared" si="16"/>
        <v>0</v>
      </c>
      <c r="BD275" t="s">
        <v>1435</v>
      </c>
      <c r="BE275" t="s">
        <v>1436</v>
      </c>
      <c r="BF275" t="s">
        <v>1437</v>
      </c>
      <c r="BG275" t="s">
        <v>1435</v>
      </c>
    </row>
    <row r="276" spans="13:59" x14ac:dyDescent="0.25">
      <c r="M276" t="str">
        <f>_xlfn.IFNA(IF(VLOOKUP(TAB_Offres[[#This Row],[Reference]],TAB_Offres[[Reference]:[Request State]],COLUMNS(TAB_Offres[[Reference]:[Request State]]),FALSE)=D$6,TAB_Offres[[#This Row],[Reference]],""),"")</f>
        <v/>
      </c>
      <c r="N276" t="str">
        <f>_xlfn.IFNA(IF(VLOOKUP(TAB_Offres[[#This Row],[Reference]],TAB_Offres[[Reference]:[Has Expenses?]],COLUMNS(TAB_Offres[[Reference]:[Has Expenses?]]),FALSE)=J$2,TAB_Offres[[#This Row],[Reference]],""),"")</f>
        <v/>
      </c>
      <c r="O276" t="str">
        <f>IF(Tableau19[[#This Row],[EXPENSES_REF]]="","",MAX(O$1:O275)+1)</f>
        <v/>
      </c>
      <c r="P276" t="str">
        <f t="shared" si="15"/>
        <v/>
      </c>
      <c r="R276" s="635" t="s">
        <v>6161</v>
      </c>
      <c r="S276" s="637">
        <v>229.87</v>
      </c>
      <c r="T276" s="638">
        <v>245.96</v>
      </c>
      <c r="U276" s="638">
        <v>263.18</v>
      </c>
      <c r="V276" s="638">
        <v>281.60000000000002</v>
      </c>
      <c r="W276" s="638">
        <v>301.31</v>
      </c>
      <c r="X276" s="638">
        <v>322.39999999999998</v>
      </c>
      <c r="Y276" s="638">
        <v>344.97</v>
      </c>
      <c r="Z276" s="638">
        <v>369.12</v>
      </c>
      <c r="AA276" s="638">
        <v>394.96</v>
      </c>
      <c r="AB276" s="638">
        <v>422.61</v>
      </c>
      <c r="AC276" s="638">
        <v>452.19</v>
      </c>
      <c r="AD276" s="112"/>
      <c r="AI276" s="191" t="str">
        <f>IFERROR(_xlfn.SINGLE(
IF(_xlfn.SINGLE(INDEX(TAB_Offres[Ressource 1],ROWS(Params!AI$2:$AI276)))=0,NA(),
INDEX(TAB_Offres[Ressource 1],ROWS(Params!AI$2:$AI276)))),
IFERROR(_xlfn.SINGLE(IF(_xlfn.SINGLE(INDEX(#REF!,ROWS(Params!AI$2:$AI276)-COUNTA(TAB_Offres[Ressource 1])))=0,NA(),
INDEX(#REF!,ROWS(Params!AI$2:$AI276)-COUNTA(TAB_Offres[Ressource 1])))),
IFERROR(_xlfn.SINGLE(IF(_xlfn.SINGLE(INDEX(#REF!,ROWS(Params!AI$2:$AI276)-COUNTA(#REF!)-COUNTA(TAB_Offres[Ressource 1])))=0,NA(),
INDEX(#REF!,ROWS(Params!AI$2:$AI276)-COUNTA(#REF!)-COUNTA(TAB_Offres[Ressource 1])))),""))
)</f>
        <v/>
      </c>
      <c r="AJ276" s="192" t="str">
        <f>IF(TAB_ressource[[#This Row],[Import Ressource]]="","",MAX(AJ$1:AJ275)+1)</f>
        <v/>
      </c>
      <c r="AK276" s="193" t="str">
        <f>IFERROR(INDEX(TAB_ressource[Import Ressource],MATCH(ROW()-ROW($AK$1),TAB_ressource[ID Import ressources],0)),"")</f>
        <v/>
      </c>
      <c r="AN276" s="26">
        <f t="shared" si="16"/>
        <v>0</v>
      </c>
      <c r="BD276" t="s">
        <v>1438</v>
      </c>
      <c r="BE276" t="s">
        <v>1439</v>
      </c>
      <c r="BF276" t="s">
        <v>1440</v>
      </c>
      <c r="BG276" t="s">
        <v>1438</v>
      </c>
    </row>
    <row r="277" spans="13:59" x14ac:dyDescent="0.25">
      <c r="M277" t="str">
        <f>_xlfn.IFNA(IF(VLOOKUP(TAB_Offres[[#This Row],[Reference]],TAB_Offres[[Reference]:[Request State]],COLUMNS(TAB_Offres[[Reference]:[Request State]]),FALSE)=D$6,TAB_Offres[[#This Row],[Reference]],""),"")</f>
        <v/>
      </c>
      <c r="N277" t="str">
        <f>_xlfn.IFNA(IF(VLOOKUP(TAB_Offres[[#This Row],[Reference]],TAB_Offres[[Reference]:[Has Expenses?]],COLUMNS(TAB_Offres[[Reference]:[Has Expenses?]]),FALSE)=J$2,TAB_Offres[[#This Row],[Reference]],""),"")</f>
        <v/>
      </c>
      <c r="O277" t="str">
        <f>IF(Tableau19[[#This Row],[EXPENSES_REF]]="","",MAX(O$1:O276)+1)</f>
        <v/>
      </c>
      <c r="P277" t="str">
        <f t="shared" si="15"/>
        <v/>
      </c>
      <c r="R277" s="635" t="s">
        <v>6162</v>
      </c>
      <c r="S277" s="637">
        <v>294.7</v>
      </c>
      <c r="T277" s="638">
        <v>315.33</v>
      </c>
      <c r="U277" s="638">
        <v>337.4</v>
      </c>
      <c r="V277" s="638">
        <v>361.02</v>
      </c>
      <c r="W277" s="638">
        <v>386.29</v>
      </c>
      <c r="X277" s="638">
        <v>413.33</v>
      </c>
      <c r="Y277" s="638">
        <v>442.26</v>
      </c>
      <c r="Z277" s="638">
        <v>473.22</v>
      </c>
      <c r="AA277" s="638">
        <v>506.35</v>
      </c>
      <c r="AB277" s="638">
        <v>541.79</v>
      </c>
      <c r="AC277" s="638">
        <v>579.72</v>
      </c>
      <c r="AD277" s="112"/>
      <c r="AI277" s="191" t="str">
        <f>IFERROR(_xlfn.SINGLE(
IF(_xlfn.SINGLE(INDEX(TAB_Offres[Ressource 1],ROWS(Params!AI$2:$AI277)))=0,NA(),
INDEX(TAB_Offres[Ressource 1],ROWS(Params!AI$2:$AI277)))),
IFERROR(_xlfn.SINGLE(IF(_xlfn.SINGLE(INDEX(#REF!,ROWS(Params!AI$2:$AI277)-COUNTA(TAB_Offres[Ressource 1])))=0,NA(),
INDEX(#REF!,ROWS(Params!AI$2:$AI277)-COUNTA(TAB_Offres[Ressource 1])))),
IFERROR(_xlfn.SINGLE(IF(_xlfn.SINGLE(INDEX(#REF!,ROWS(Params!AI$2:$AI277)-COUNTA(#REF!)-COUNTA(TAB_Offres[Ressource 1])))=0,NA(),
INDEX(#REF!,ROWS(Params!AI$2:$AI277)-COUNTA(#REF!)-COUNTA(TAB_Offres[Ressource 1])))),""))
)</f>
        <v/>
      </c>
      <c r="AJ277" s="192" t="str">
        <f>IF(TAB_ressource[[#This Row],[Import Ressource]]="","",MAX(AJ$1:AJ276)+1)</f>
        <v/>
      </c>
      <c r="AK277" s="193" t="str">
        <f>IFERROR(INDEX(TAB_ressource[Import Ressource],MATCH(ROW()-ROW($AK$1),TAB_ressource[ID Import ressources],0)),"")</f>
        <v/>
      </c>
      <c r="AN277" s="26">
        <f t="shared" si="16"/>
        <v>0</v>
      </c>
      <c r="BD277" t="s">
        <v>1441</v>
      </c>
      <c r="BE277" t="s">
        <v>1442</v>
      </c>
      <c r="BF277" t="s">
        <v>1443</v>
      </c>
      <c r="BG277" t="s">
        <v>1441</v>
      </c>
    </row>
    <row r="278" spans="13:59" x14ac:dyDescent="0.25">
      <c r="M278" t="str">
        <f>_xlfn.IFNA(IF(VLOOKUP(TAB_Offres[[#This Row],[Reference]],TAB_Offres[[Reference]:[Request State]],COLUMNS(TAB_Offres[[Reference]:[Request State]]),FALSE)=D$6,TAB_Offres[[#This Row],[Reference]],""),"")</f>
        <v/>
      </c>
      <c r="N278" t="str">
        <f>_xlfn.IFNA(IF(VLOOKUP(TAB_Offres[[#This Row],[Reference]],TAB_Offres[[Reference]:[Has Expenses?]],COLUMNS(TAB_Offres[[Reference]:[Has Expenses?]]),FALSE)=J$2,TAB_Offres[[#This Row],[Reference]],""),"")</f>
        <v/>
      </c>
      <c r="O278" t="str">
        <f>IF(Tableau19[[#This Row],[EXPENSES_REF]]="","",MAX(O$1:O277)+1)</f>
        <v/>
      </c>
      <c r="P278" t="str">
        <f t="shared" si="15"/>
        <v/>
      </c>
      <c r="R278" s="635" t="s">
        <v>6163</v>
      </c>
      <c r="S278" s="637">
        <v>229.87</v>
      </c>
      <c r="T278" s="638">
        <v>245.96</v>
      </c>
      <c r="U278" s="638">
        <v>263.18</v>
      </c>
      <c r="V278" s="638">
        <v>281.60000000000002</v>
      </c>
      <c r="W278" s="638">
        <v>301.31</v>
      </c>
      <c r="X278" s="638">
        <v>322.39999999999998</v>
      </c>
      <c r="Y278" s="638">
        <v>344.97</v>
      </c>
      <c r="Z278" s="638">
        <v>369.12</v>
      </c>
      <c r="AA278" s="638">
        <v>394.96</v>
      </c>
      <c r="AB278" s="638">
        <v>422.61</v>
      </c>
      <c r="AC278" s="638">
        <v>452.19</v>
      </c>
      <c r="AD278" s="112"/>
      <c r="AI278" s="191" t="str">
        <f>IFERROR(_xlfn.SINGLE(
IF(_xlfn.SINGLE(INDEX(TAB_Offres[Ressource 1],ROWS(Params!AI$2:$AI278)))=0,NA(),
INDEX(TAB_Offres[Ressource 1],ROWS(Params!AI$2:$AI278)))),
IFERROR(_xlfn.SINGLE(IF(_xlfn.SINGLE(INDEX(#REF!,ROWS(Params!AI$2:$AI278)-COUNTA(TAB_Offres[Ressource 1])))=0,NA(),
INDEX(#REF!,ROWS(Params!AI$2:$AI278)-COUNTA(TAB_Offres[Ressource 1])))),
IFERROR(_xlfn.SINGLE(IF(_xlfn.SINGLE(INDEX(#REF!,ROWS(Params!AI$2:$AI278)-COUNTA(#REF!)-COUNTA(TAB_Offres[Ressource 1])))=0,NA(),
INDEX(#REF!,ROWS(Params!AI$2:$AI278)-COUNTA(#REF!)-COUNTA(TAB_Offres[Ressource 1])))),""))
)</f>
        <v/>
      </c>
      <c r="AJ278" s="192" t="str">
        <f>IF(TAB_ressource[[#This Row],[Import Ressource]]="","",MAX(AJ$1:AJ277)+1)</f>
        <v/>
      </c>
      <c r="AK278" s="193" t="str">
        <f>IFERROR(INDEX(TAB_ressource[Import Ressource],MATCH(ROW()-ROW($AK$1),TAB_ressource[ID Import ressources],0)),"")</f>
        <v/>
      </c>
      <c r="AN278" s="26">
        <f t="shared" si="16"/>
        <v>0</v>
      </c>
      <c r="BD278" t="s">
        <v>1444</v>
      </c>
      <c r="BE278" t="s">
        <v>1445</v>
      </c>
      <c r="BF278" t="s">
        <v>1446</v>
      </c>
      <c r="BG278" t="s">
        <v>1444</v>
      </c>
    </row>
    <row r="279" spans="13:59" x14ac:dyDescent="0.25">
      <c r="M279" t="str">
        <f>_xlfn.IFNA(IF(VLOOKUP(TAB_Offres[[#This Row],[Reference]],TAB_Offres[[Reference]:[Request State]],COLUMNS(TAB_Offres[[Reference]:[Request State]]),FALSE)=D$6,TAB_Offres[[#This Row],[Reference]],""),"")</f>
        <v/>
      </c>
      <c r="N279" t="str">
        <f>_xlfn.IFNA(IF(VLOOKUP(TAB_Offres[[#This Row],[Reference]],TAB_Offres[[Reference]:[Has Expenses?]],COLUMNS(TAB_Offres[[Reference]:[Has Expenses?]]),FALSE)=J$2,TAB_Offres[[#This Row],[Reference]],""),"")</f>
        <v/>
      </c>
      <c r="O279" t="str">
        <f>IF(Tableau19[[#This Row],[EXPENSES_REF]]="","",MAX(O$1:O278)+1)</f>
        <v/>
      </c>
      <c r="P279" t="str">
        <f t="shared" si="15"/>
        <v/>
      </c>
      <c r="R279" s="635" t="s">
        <v>6164</v>
      </c>
      <c r="S279" s="637">
        <v>229.93</v>
      </c>
      <c r="T279" s="638">
        <v>246.03</v>
      </c>
      <c r="U279" s="638">
        <v>263.25</v>
      </c>
      <c r="V279" s="638">
        <v>281.68</v>
      </c>
      <c r="W279" s="638">
        <v>301.39999999999998</v>
      </c>
      <c r="X279" s="638">
        <v>322.5</v>
      </c>
      <c r="Y279" s="638">
        <v>345.08</v>
      </c>
      <c r="Z279" s="638">
        <v>369.24</v>
      </c>
      <c r="AA279" s="638">
        <v>395.09</v>
      </c>
      <c r="AB279" s="638">
        <v>422.75</v>
      </c>
      <c r="AC279" s="638">
        <v>452.34</v>
      </c>
      <c r="AD279" s="112"/>
      <c r="AI279" s="191" t="str">
        <f>IFERROR(_xlfn.SINGLE(
IF(_xlfn.SINGLE(INDEX(TAB_Offres[Ressource 1],ROWS(Params!AI$2:$AI279)))=0,NA(),
INDEX(TAB_Offres[Ressource 1],ROWS(Params!AI$2:$AI279)))),
IFERROR(_xlfn.SINGLE(IF(_xlfn.SINGLE(INDEX(#REF!,ROWS(Params!AI$2:$AI279)-COUNTA(TAB_Offres[Ressource 1])))=0,NA(),
INDEX(#REF!,ROWS(Params!AI$2:$AI279)-COUNTA(TAB_Offres[Ressource 1])))),
IFERROR(_xlfn.SINGLE(IF(_xlfn.SINGLE(INDEX(#REF!,ROWS(Params!AI$2:$AI279)-COUNTA(#REF!)-COUNTA(TAB_Offres[Ressource 1])))=0,NA(),
INDEX(#REF!,ROWS(Params!AI$2:$AI279)-COUNTA(#REF!)-COUNTA(TAB_Offres[Ressource 1])))),""))
)</f>
        <v/>
      </c>
      <c r="AJ279" s="192" t="str">
        <f>IF(TAB_ressource[[#This Row],[Import Ressource]]="","",MAX(AJ$1:AJ278)+1)</f>
        <v/>
      </c>
      <c r="AK279" s="193" t="str">
        <f>IFERROR(INDEX(TAB_ressource[Import Ressource],MATCH(ROW()-ROW($AK$1),TAB_ressource[ID Import ressources],0)),"")</f>
        <v/>
      </c>
      <c r="AN279" s="26">
        <f t="shared" si="16"/>
        <v>0</v>
      </c>
      <c r="BD279" t="s">
        <v>1447</v>
      </c>
      <c r="BE279" t="s">
        <v>1448</v>
      </c>
      <c r="BF279" t="s">
        <v>1449</v>
      </c>
      <c r="BG279" t="s">
        <v>1447</v>
      </c>
    </row>
    <row r="280" spans="13:59" x14ac:dyDescent="0.25">
      <c r="M280" t="str">
        <f>_xlfn.IFNA(IF(VLOOKUP(TAB_Offres[[#This Row],[Reference]],TAB_Offres[[Reference]:[Request State]],COLUMNS(TAB_Offres[[Reference]:[Request State]]),FALSE)=D$6,TAB_Offres[[#This Row],[Reference]],""),"")</f>
        <v/>
      </c>
      <c r="N280" t="str">
        <f>_xlfn.IFNA(IF(VLOOKUP(TAB_Offres[[#This Row],[Reference]],TAB_Offres[[Reference]:[Has Expenses?]],COLUMNS(TAB_Offres[[Reference]:[Has Expenses?]]),FALSE)=J$2,TAB_Offres[[#This Row],[Reference]],""),"")</f>
        <v/>
      </c>
      <c r="O280" t="str">
        <f>IF(Tableau19[[#This Row],[EXPENSES_REF]]="","",MAX(O$1:O279)+1)</f>
        <v/>
      </c>
      <c r="P280" t="str">
        <f t="shared" si="15"/>
        <v/>
      </c>
      <c r="R280" s="635" t="s">
        <v>6165</v>
      </c>
      <c r="S280" s="637">
        <v>229.93</v>
      </c>
      <c r="T280" s="638">
        <v>246.03</v>
      </c>
      <c r="U280" s="638">
        <v>263.25</v>
      </c>
      <c r="V280" s="638">
        <v>281.68</v>
      </c>
      <c r="W280" s="638">
        <v>301.39999999999998</v>
      </c>
      <c r="X280" s="638">
        <v>322.5</v>
      </c>
      <c r="Y280" s="638">
        <v>345.08</v>
      </c>
      <c r="Z280" s="638">
        <v>369.24</v>
      </c>
      <c r="AA280" s="638">
        <v>395.09</v>
      </c>
      <c r="AB280" s="638">
        <v>422.75</v>
      </c>
      <c r="AC280" s="638">
        <v>452.34</v>
      </c>
      <c r="AD280" s="112"/>
      <c r="AI280" s="191" t="str">
        <f>IFERROR(_xlfn.SINGLE(
IF(_xlfn.SINGLE(INDEX(TAB_Offres[Ressource 1],ROWS(Params!AI$2:$AI280)))=0,NA(),
INDEX(TAB_Offres[Ressource 1],ROWS(Params!AI$2:$AI280)))),
IFERROR(_xlfn.SINGLE(IF(_xlfn.SINGLE(INDEX(#REF!,ROWS(Params!AI$2:$AI280)-COUNTA(TAB_Offres[Ressource 1])))=0,NA(),
INDEX(#REF!,ROWS(Params!AI$2:$AI280)-COUNTA(TAB_Offres[Ressource 1])))),
IFERROR(_xlfn.SINGLE(IF(_xlfn.SINGLE(INDEX(#REF!,ROWS(Params!AI$2:$AI280)-COUNTA(#REF!)-COUNTA(TAB_Offres[Ressource 1])))=0,NA(),
INDEX(#REF!,ROWS(Params!AI$2:$AI280)-COUNTA(#REF!)-COUNTA(TAB_Offres[Ressource 1])))),""))
)</f>
        <v/>
      </c>
      <c r="AJ280" s="192" t="str">
        <f>IF(TAB_ressource[[#This Row],[Import Ressource]]="","",MAX(AJ$1:AJ279)+1)</f>
        <v/>
      </c>
      <c r="AK280" s="193" t="str">
        <f>IFERROR(INDEX(TAB_ressource[Import Ressource],MATCH(ROW()-ROW($AK$1),TAB_ressource[ID Import ressources],0)),"")</f>
        <v/>
      </c>
      <c r="AN280" s="26">
        <f t="shared" si="16"/>
        <v>0</v>
      </c>
      <c r="BD280" t="s">
        <v>1450</v>
      </c>
      <c r="BE280" t="s">
        <v>1451</v>
      </c>
      <c r="BF280" t="s">
        <v>1452</v>
      </c>
      <c r="BG280" t="s">
        <v>1450</v>
      </c>
    </row>
    <row r="281" spans="13:59" ht="26.4" x14ac:dyDescent="0.25">
      <c r="M281" t="str">
        <f>_xlfn.IFNA(IF(VLOOKUP(TAB_Offres[[#This Row],[Reference]],TAB_Offres[[Reference]:[Request State]],COLUMNS(TAB_Offres[[Reference]:[Request State]]),FALSE)=D$6,TAB_Offres[[#This Row],[Reference]],""),"")</f>
        <v/>
      </c>
      <c r="N281" t="str">
        <f>_xlfn.IFNA(IF(VLOOKUP(TAB_Offres[[#This Row],[Reference]],TAB_Offres[[Reference]:[Has Expenses?]],COLUMNS(TAB_Offres[[Reference]:[Has Expenses?]]),FALSE)=J$2,TAB_Offres[[#This Row],[Reference]],""),"")</f>
        <v/>
      </c>
      <c r="O281" t="str">
        <f>IF(Tableau19[[#This Row],[EXPENSES_REF]]="","",MAX(O$1:O280)+1)</f>
        <v/>
      </c>
      <c r="P281" t="str">
        <f t="shared" si="15"/>
        <v/>
      </c>
      <c r="R281" s="634" t="s">
        <v>6166</v>
      </c>
      <c r="S281" s="637"/>
      <c r="T281" s="638"/>
      <c r="U281" s="638"/>
      <c r="V281" s="638"/>
      <c r="W281" s="638"/>
      <c r="X281" s="638"/>
      <c r="Y281" s="638"/>
      <c r="Z281" s="638"/>
      <c r="AA281" s="638"/>
      <c r="AB281" s="638"/>
      <c r="AC281" s="638"/>
      <c r="AD281" s="112"/>
      <c r="AI281" s="191" t="str">
        <f>IFERROR(_xlfn.SINGLE(
IF(_xlfn.SINGLE(INDEX(TAB_Offres[Ressource 1],ROWS(Params!AI$2:$AI281)))=0,NA(),
INDEX(TAB_Offres[Ressource 1],ROWS(Params!AI$2:$AI281)))),
IFERROR(_xlfn.SINGLE(IF(_xlfn.SINGLE(INDEX(#REF!,ROWS(Params!AI$2:$AI281)-COUNTA(TAB_Offres[Ressource 1])))=0,NA(),
INDEX(#REF!,ROWS(Params!AI$2:$AI281)-COUNTA(TAB_Offres[Ressource 1])))),
IFERROR(_xlfn.SINGLE(IF(_xlfn.SINGLE(INDEX(#REF!,ROWS(Params!AI$2:$AI281)-COUNTA(#REF!)-COUNTA(TAB_Offres[Ressource 1])))=0,NA(),
INDEX(#REF!,ROWS(Params!AI$2:$AI281)-COUNTA(#REF!)-COUNTA(TAB_Offres[Ressource 1])))),""))
)</f>
        <v/>
      </c>
      <c r="AJ281" s="192" t="str">
        <f>IF(TAB_ressource[[#This Row],[Import Ressource]]="","",MAX(AJ$1:AJ280)+1)</f>
        <v/>
      </c>
      <c r="AK281" s="193" t="str">
        <f>IFERROR(INDEX(TAB_ressource[Import Ressource],MATCH(ROW()-ROW($AK$1),TAB_ressource[ID Import ressources],0)),"")</f>
        <v/>
      </c>
      <c r="AN281" s="26">
        <f t="shared" si="16"/>
        <v>0</v>
      </c>
      <c r="BD281" t="s">
        <v>1453</v>
      </c>
      <c r="BE281" t="s">
        <v>1454</v>
      </c>
      <c r="BF281" t="s">
        <v>1455</v>
      </c>
      <c r="BG281" t="s">
        <v>1453</v>
      </c>
    </row>
    <row r="282" spans="13:59" x14ac:dyDescent="0.25">
      <c r="M282" t="str">
        <f>_xlfn.IFNA(IF(VLOOKUP(TAB_Offres[[#This Row],[Reference]],TAB_Offres[[Reference]:[Request State]],COLUMNS(TAB_Offres[[Reference]:[Request State]]),FALSE)=D$6,TAB_Offres[[#This Row],[Reference]],""),"")</f>
        <v/>
      </c>
      <c r="N282" t="str">
        <f>_xlfn.IFNA(IF(VLOOKUP(TAB_Offres[[#This Row],[Reference]],TAB_Offres[[Reference]:[Has Expenses?]],COLUMNS(TAB_Offres[[Reference]:[Has Expenses?]]),FALSE)=J$2,TAB_Offres[[#This Row],[Reference]],""),"")</f>
        <v/>
      </c>
      <c r="O282" t="str">
        <f>IF(Tableau19[[#This Row],[EXPENSES_REF]]="","",MAX(O$1:O281)+1)</f>
        <v/>
      </c>
      <c r="P282" t="str">
        <f t="shared" si="15"/>
        <v/>
      </c>
      <c r="R282" s="635" t="s">
        <v>6167</v>
      </c>
      <c r="S282" s="637">
        <v>398.98</v>
      </c>
      <c r="T282" s="638">
        <v>426.91</v>
      </c>
      <c r="U282" s="638">
        <v>456.79</v>
      </c>
      <c r="V282" s="638">
        <v>488.77</v>
      </c>
      <c r="W282" s="638">
        <v>522.98</v>
      </c>
      <c r="X282" s="638">
        <v>559.59</v>
      </c>
      <c r="Y282" s="638">
        <v>598.76</v>
      </c>
      <c r="Z282" s="638">
        <v>640.66999999999996</v>
      </c>
      <c r="AA282" s="638">
        <v>685.52</v>
      </c>
      <c r="AB282" s="638">
        <v>733.51</v>
      </c>
      <c r="AC282" s="638">
        <v>784.86</v>
      </c>
      <c r="AD282" s="112"/>
      <c r="AI282" s="191" t="str">
        <f>IFERROR(_xlfn.SINGLE(
IF(_xlfn.SINGLE(INDEX(TAB_Offres[Ressource 1],ROWS(Params!AI$2:$AI282)))=0,NA(),
INDEX(TAB_Offres[Ressource 1],ROWS(Params!AI$2:$AI282)))),
IFERROR(_xlfn.SINGLE(IF(_xlfn.SINGLE(INDEX(#REF!,ROWS(Params!AI$2:$AI282)-COUNTA(TAB_Offres[Ressource 1])))=0,NA(),
INDEX(#REF!,ROWS(Params!AI$2:$AI282)-COUNTA(TAB_Offres[Ressource 1])))),
IFERROR(_xlfn.SINGLE(IF(_xlfn.SINGLE(INDEX(#REF!,ROWS(Params!AI$2:$AI282)-COUNTA(#REF!)-COUNTA(TAB_Offres[Ressource 1])))=0,NA(),
INDEX(#REF!,ROWS(Params!AI$2:$AI282)-COUNTA(#REF!)-COUNTA(TAB_Offres[Ressource 1])))),""))
)</f>
        <v/>
      </c>
      <c r="AJ282" s="192" t="str">
        <f>IF(TAB_ressource[[#This Row],[Import Ressource]]="","",MAX(AJ$1:AJ281)+1)</f>
        <v/>
      </c>
      <c r="AK282" s="193" t="str">
        <f>IFERROR(INDEX(TAB_ressource[Import Ressource],MATCH(ROW()-ROW($AK$1),TAB_ressource[ID Import ressources],0)),"")</f>
        <v/>
      </c>
      <c r="AN282" s="26">
        <f t="shared" si="16"/>
        <v>0</v>
      </c>
      <c r="BD282" t="s">
        <v>1456</v>
      </c>
      <c r="BE282" t="s">
        <v>1457</v>
      </c>
      <c r="BF282" t="s">
        <v>1458</v>
      </c>
      <c r="BG282" t="s">
        <v>1456</v>
      </c>
    </row>
    <row r="283" spans="13:59" x14ac:dyDescent="0.25">
      <c r="M283" t="str">
        <f>_xlfn.IFNA(IF(VLOOKUP(TAB_Offres[[#This Row],[Reference]],TAB_Offres[[Reference]:[Request State]],COLUMNS(TAB_Offres[[Reference]:[Request State]]),FALSE)=D$6,TAB_Offres[[#This Row],[Reference]],""),"")</f>
        <v/>
      </c>
      <c r="N283" t="str">
        <f>_xlfn.IFNA(IF(VLOOKUP(TAB_Offres[[#This Row],[Reference]],TAB_Offres[[Reference]:[Has Expenses?]],COLUMNS(TAB_Offres[[Reference]:[Has Expenses?]]),FALSE)=J$2,TAB_Offres[[#This Row],[Reference]],""),"")</f>
        <v/>
      </c>
      <c r="O283" t="str">
        <f>IF(Tableau19[[#This Row],[EXPENSES_REF]]="","",MAX(O$1:O282)+1)</f>
        <v/>
      </c>
      <c r="P283" t="str">
        <f t="shared" si="15"/>
        <v/>
      </c>
      <c r="R283" s="635" t="s">
        <v>6168</v>
      </c>
      <c r="S283" s="637">
        <v>398.98</v>
      </c>
      <c r="T283" s="638">
        <v>426.91</v>
      </c>
      <c r="U283" s="638">
        <v>456.79</v>
      </c>
      <c r="V283" s="638">
        <v>488.77</v>
      </c>
      <c r="W283" s="638">
        <v>522.98</v>
      </c>
      <c r="X283" s="638">
        <v>559.59</v>
      </c>
      <c r="Y283" s="638">
        <v>598.76</v>
      </c>
      <c r="Z283" s="638">
        <v>640.66999999999996</v>
      </c>
      <c r="AA283" s="638">
        <v>685.52</v>
      </c>
      <c r="AB283" s="638">
        <v>733.51</v>
      </c>
      <c r="AC283" s="638">
        <v>784.86</v>
      </c>
      <c r="AD283" s="112"/>
      <c r="AI283" s="191" t="str">
        <f>IFERROR(_xlfn.SINGLE(
IF(_xlfn.SINGLE(INDEX(TAB_Offres[Ressource 1],ROWS(Params!AI$2:$AI283)))=0,NA(),
INDEX(TAB_Offres[Ressource 1],ROWS(Params!AI$2:$AI283)))),
IFERROR(_xlfn.SINGLE(IF(_xlfn.SINGLE(INDEX(#REF!,ROWS(Params!AI$2:$AI283)-COUNTA(TAB_Offres[Ressource 1])))=0,NA(),
INDEX(#REF!,ROWS(Params!AI$2:$AI283)-COUNTA(TAB_Offres[Ressource 1])))),
IFERROR(_xlfn.SINGLE(IF(_xlfn.SINGLE(INDEX(#REF!,ROWS(Params!AI$2:$AI283)-COUNTA(#REF!)-COUNTA(TAB_Offres[Ressource 1])))=0,NA(),
INDEX(#REF!,ROWS(Params!AI$2:$AI283)-COUNTA(#REF!)-COUNTA(TAB_Offres[Ressource 1])))),""))
)</f>
        <v/>
      </c>
      <c r="AJ283" s="192" t="str">
        <f>IF(TAB_ressource[[#This Row],[Import Ressource]]="","",MAX(AJ$1:AJ282)+1)</f>
        <v/>
      </c>
      <c r="AK283" s="193" t="str">
        <f>IFERROR(INDEX(TAB_ressource[Import Ressource],MATCH(ROW()-ROW($AK$1),TAB_ressource[ID Import ressources],0)),"")</f>
        <v/>
      </c>
      <c r="AN283" s="26">
        <f t="shared" si="16"/>
        <v>0</v>
      </c>
      <c r="BD283" t="s">
        <v>1459</v>
      </c>
      <c r="BE283" t="s">
        <v>1460</v>
      </c>
      <c r="BF283" t="s">
        <v>1461</v>
      </c>
      <c r="BG283" t="s">
        <v>1459</v>
      </c>
    </row>
    <row r="284" spans="13:59" x14ac:dyDescent="0.25">
      <c r="M284" t="str">
        <f>_xlfn.IFNA(IF(VLOOKUP(TAB_Offres[[#This Row],[Reference]],TAB_Offres[[Reference]:[Request State]],COLUMNS(TAB_Offres[[Reference]:[Request State]]),FALSE)=D$6,TAB_Offres[[#This Row],[Reference]],""),"")</f>
        <v/>
      </c>
      <c r="N284" t="str">
        <f>_xlfn.IFNA(IF(VLOOKUP(TAB_Offres[[#This Row],[Reference]],TAB_Offres[[Reference]:[Has Expenses?]],COLUMNS(TAB_Offres[[Reference]:[Has Expenses?]]),FALSE)=J$2,TAB_Offres[[#This Row],[Reference]],""),"")</f>
        <v/>
      </c>
      <c r="O284" t="str">
        <f>IF(Tableau19[[#This Row],[EXPENSES_REF]]="","",MAX(O$1:O283)+1)</f>
        <v/>
      </c>
      <c r="P284" t="str">
        <f t="shared" si="15"/>
        <v/>
      </c>
      <c r="R284" s="635" t="s">
        <v>6169</v>
      </c>
      <c r="S284" s="637">
        <v>398.98</v>
      </c>
      <c r="T284" s="638">
        <v>426.91</v>
      </c>
      <c r="U284" s="638">
        <v>456.79</v>
      </c>
      <c r="V284" s="638">
        <v>488.77</v>
      </c>
      <c r="W284" s="638">
        <v>522.98</v>
      </c>
      <c r="X284" s="638">
        <v>559.59</v>
      </c>
      <c r="Y284" s="638">
        <v>598.76</v>
      </c>
      <c r="Z284" s="638">
        <v>640.66999999999996</v>
      </c>
      <c r="AA284" s="638">
        <v>685.52</v>
      </c>
      <c r="AB284" s="638">
        <v>733.51</v>
      </c>
      <c r="AC284" s="638">
        <v>784.86</v>
      </c>
      <c r="AD284" s="112"/>
      <c r="AI284" s="191" t="str">
        <f>IFERROR(_xlfn.SINGLE(
IF(_xlfn.SINGLE(INDEX(TAB_Offres[Ressource 1],ROWS(Params!AI$2:$AI284)))=0,NA(),
INDEX(TAB_Offres[Ressource 1],ROWS(Params!AI$2:$AI284)))),
IFERROR(_xlfn.SINGLE(IF(_xlfn.SINGLE(INDEX(#REF!,ROWS(Params!AI$2:$AI284)-COUNTA(TAB_Offres[Ressource 1])))=0,NA(),
INDEX(#REF!,ROWS(Params!AI$2:$AI284)-COUNTA(TAB_Offres[Ressource 1])))),
IFERROR(_xlfn.SINGLE(IF(_xlfn.SINGLE(INDEX(#REF!,ROWS(Params!AI$2:$AI284)-COUNTA(#REF!)-COUNTA(TAB_Offres[Ressource 1])))=0,NA(),
INDEX(#REF!,ROWS(Params!AI$2:$AI284)-COUNTA(#REF!)-COUNTA(TAB_Offres[Ressource 1])))),""))
)</f>
        <v/>
      </c>
      <c r="AJ284" s="192" t="str">
        <f>IF(TAB_ressource[[#This Row],[Import Ressource]]="","",MAX(AJ$1:AJ283)+1)</f>
        <v/>
      </c>
      <c r="AK284" s="193" t="str">
        <f>IFERROR(INDEX(TAB_ressource[Import Ressource],MATCH(ROW()-ROW($AK$1),TAB_ressource[ID Import ressources],0)),"")</f>
        <v/>
      </c>
      <c r="AN284" s="26">
        <f t="shared" si="16"/>
        <v>0</v>
      </c>
      <c r="BD284" t="s">
        <v>1462</v>
      </c>
      <c r="BE284" t="s">
        <v>1463</v>
      </c>
      <c r="BF284" t="s">
        <v>1464</v>
      </c>
      <c r="BG284" t="s">
        <v>1462</v>
      </c>
    </row>
    <row r="285" spans="13:59" x14ac:dyDescent="0.25">
      <c r="M285" t="str">
        <f>_xlfn.IFNA(IF(VLOOKUP(TAB_Offres[[#This Row],[Reference]],TAB_Offres[[Reference]:[Request State]],COLUMNS(TAB_Offres[[Reference]:[Request State]]),FALSE)=D$6,TAB_Offres[[#This Row],[Reference]],""),"")</f>
        <v/>
      </c>
      <c r="N285" t="str">
        <f>_xlfn.IFNA(IF(VLOOKUP(TAB_Offres[[#This Row],[Reference]],TAB_Offres[[Reference]:[Has Expenses?]],COLUMNS(TAB_Offres[[Reference]:[Has Expenses?]]),FALSE)=J$2,TAB_Offres[[#This Row],[Reference]],""),"")</f>
        <v/>
      </c>
      <c r="O285" t="str">
        <f>IF(Tableau19[[#This Row],[EXPENSES_REF]]="","",MAX(O$1:O284)+1)</f>
        <v/>
      </c>
      <c r="P285" t="str">
        <f t="shared" si="15"/>
        <v/>
      </c>
      <c r="R285" s="635" t="s">
        <v>6170</v>
      </c>
      <c r="S285" s="637">
        <v>398.98</v>
      </c>
      <c r="T285" s="638">
        <v>426.91</v>
      </c>
      <c r="U285" s="638">
        <v>456.79</v>
      </c>
      <c r="V285" s="638">
        <v>488.77</v>
      </c>
      <c r="W285" s="638">
        <v>522.98</v>
      </c>
      <c r="X285" s="638">
        <v>559.59</v>
      </c>
      <c r="Y285" s="638">
        <v>598.76</v>
      </c>
      <c r="Z285" s="638">
        <v>640.66999999999996</v>
      </c>
      <c r="AA285" s="638">
        <v>685.52</v>
      </c>
      <c r="AB285" s="638">
        <v>733.51</v>
      </c>
      <c r="AC285" s="638">
        <v>784.86</v>
      </c>
      <c r="AD285" s="112"/>
      <c r="AI285" s="191" t="str">
        <f>IFERROR(_xlfn.SINGLE(
IF(_xlfn.SINGLE(INDEX(TAB_Offres[Ressource 1],ROWS(Params!AI$2:$AI285)))=0,NA(),
INDEX(TAB_Offres[Ressource 1],ROWS(Params!AI$2:$AI285)))),
IFERROR(_xlfn.SINGLE(IF(_xlfn.SINGLE(INDEX(#REF!,ROWS(Params!AI$2:$AI285)-COUNTA(TAB_Offres[Ressource 1])))=0,NA(),
INDEX(#REF!,ROWS(Params!AI$2:$AI285)-COUNTA(TAB_Offres[Ressource 1])))),
IFERROR(_xlfn.SINGLE(IF(_xlfn.SINGLE(INDEX(#REF!,ROWS(Params!AI$2:$AI285)-COUNTA(#REF!)-COUNTA(TAB_Offres[Ressource 1])))=0,NA(),
INDEX(#REF!,ROWS(Params!AI$2:$AI285)-COUNTA(#REF!)-COUNTA(TAB_Offres[Ressource 1])))),""))
)</f>
        <v/>
      </c>
      <c r="AJ285" s="192" t="str">
        <f>IF(TAB_ressource[[#This Row],[Import Ressource]]="","",MAX(AJ$1:AJ284)+1)</f>
        <v/>
      </c>
      <c r="AK285" s="193" t="str">
        <f>IFERROR(INDEX(TAB_ressource[Import Ressource],MATCH(ROW()-ROW($AK$1),TAB_ressource[ID Import ressources],0)),"")</f>
        <v/>
      </c>
      <c r="AN285" s="26">
        <f t="shared" si="16"/>
        <v>0</v>
      </c>
      <c r="BD285" t="s">
        <v>1465</v>
      </c>
      <c r="BE285" t="s">
        <v>1466</v>
      </c>
      <c r="BF285" t="s">
        <v>1467</v>
      </c>
      <c r="BG285" t="s">
        <v>1465</v>
      </c>
    </row>
    <row r="286" spans="13:59" x14ac:dyDescent="0.25">
      <c r="M286" t="str">
        <f>_xlfn.IFNA(IF(VLOOKUP(TAB_Offres[[#This Row],[Reference]],TAB_Offres[[Reference]:[Request State]],COLUMNS(TAB_Offres[[Reference]:[Request State]]),FALSE)=D$6,TAB_Offres[[#This Row],[Reference]],""),"")</f>
        <v/>
      </c>
      <c r="N286" t="str">
        <f>_xlfn.IFNA(IF(VLOOKUP(TAB_Offres[[#This Row],[Reference]],TAB_Offres[[Reference]:[Has Expenses?]],COLUMNS(TAB_Offres[[Reference]:[Has Expenses?]]),FALSE)=J$2,TAB_Offres[[#This Row],[Reference]],""),"")</f>
        <v/>
      </c>
      <c r="O286" t="str">
        <f>IF(Tableau19[[#This Row],[EXPENSES_REF]]="","",MAX(O$1:O285)+1)</f>
        <v/>
      </c>
      <c r="P286" t="str">
        <f t="shared" si="15"/>
        <v/>
      </c>
      <c r="R286" s="635" t="s">
        <v>6171</v>
      </c>
      <c r="S286" s="637">
        <v>474.98</v>
      </c>
      <c r="T286" s="638">
        <v>508.23</v>
      </c>
      <c r="U286" s="638">
        <v>543.80999999999995</v>
      </c>
      <c r="V286" s="638">
        <v>581.88</v>
      </c>
      <c r="W286" s="638">
        <v>622.61</v>
      </c>
      <c r="X286" s="638">
        <v>666.19</v>
      </c>
      <c r="Y286" s="638">
        <v>712.82</v>
      </c>
      <c r="Z286" s="638">
        <v>762.72</v>
      </c>
      <c r="AA286" s="638">
        <v>816.11</v>
      </c>
      <c r="AB286" s="638">
        <v>873.24</v>
      </c>
      <c r="AC286" s="638">
        <v>934.37</v>
      </c>
      <c r="AD286" s="112"/>
      <c r="AI286" s="191" t="str">
        <f>IFERROR(_xlfn.SINGLE(
IF(_xlfn.SINGLE(INDEX(TAB_Offres[Ressource 1],ROWS(Params!AI$2:$AI286)))=0,NA(),
INDEX(TAB_Offres[Ressource 1],ROWS(Params!AI$2:$AI286)))),
IFERROR(_xlfn.SINGLE(IF(_xlfn.SINGLE(INDEX(#REF!,ROWS(Params!AI$2:$AI286)-COUNTA(TAB_Offres[Ressource 1])))=0,NA(),
INDEX(#REF!,ROWS(Params!AI$2:$AI286)-COUNTA(TAB_Offres[Ressource 1])))),
IFERROR(_xlfn.SINGLE(IF(_xlfn.SINGLE(INDEX(#REF!,ROWS(Params!AI$2:$AI286)-COUNTA(#REF!)-COUNTA(TAB_Offres[Ressource 1])))=0,NA(),
INDEX(#REF!,ROWS(Params!AI$2:$AI286)-COUNTA(#REF!)-COUNTA(TAB_Offres[Ressource 1])))),""))
)</f>
        <v/>
      </c>
      <c r="AJ286" s="192" t="str">
        <f>IF(TAB_ressource[[#This Row],[Import Ressource]]="","",MAX(AJ$1:AJ285)+1)</f>
        <v/>
      </c>
      <c r="AK286" s="193" t="str">
        <f>IFERROR(INDEX(TAB_ressource[Import Ressource],MATCH(ROW()-ROW($AK$1),TAB_ressource[ID Import ressources],0)),"")</f>
        <v/>
      </c>
      <c r="AN286" s="26">
        <f t="shared" si="16"/>
        <v>0</v>
      </c>
      <c r="BD286" t="s">
        <v>1468</v>
      </c>
      <c r="BE286" t="s">
        <v>1469</v>
      </c>
      <c r="BF286" t="s">
        <v>1470</v>
      </c>
      <c r="BG286" t="s">
        <v>1468</v>
      </c>
    </row>
    <row r="287" spans="13:59" x14ac:dyDescent="0.25">
      <c r="M287" t="str">
        <f>_xlfn.IFNA(IF(VLOOKUP(TAB_Offres[[#This Row],[Reference]],TAB_Offres[[Reference]:[Request State]],COLUMNS(TAB_Offres[[Reference]:[Request State]]),FALSE)=D$6,TAB_Offres[[#This Row],[Reference]],""),"")</f>
        <v/>
      </c>
      <c r="N287" t="str">
        <f>_xlfn.IFNA(IF(VLOOKUP(TAB_Offres[[#This Row],[Reference]],TAB_Offres[[Reference]:[Has Expenses?]],COLUMNS(TAB_Offres[[Reference]:[Has Expenses?]]),FALSE)=J$2,TAB_Offres[[#This Row],[Reference]],""),"")</f>
        <v/>
      </c>
      <c r="O287" t="str">
        <f>IF(Tableau19[[#This Row],[EXPENSES_REF]]="","",MAX(O$1:O286)+1)</f>
        <v/>
      </c>
      <c r="P287" t="str">
        <f t="shared" si="15"/>
        <v/>
      </c>
      <c r="R287" s="635" t="s">
        <v>6172</v>
      </c>
      <c r="S287" s="637">
        <v>398.98</v>
      </c>
      <c r="T287" s="638">
        <v>426.91</v>
      </c>
      <c r="U287" s="638">
        <v>456.79</v>
      </c>
      <c r="V287" s="638">
        <v>488.77</v>
      </c>
      <c r="W287" s="638">
        <v>522.98</v>
      </c>
      <c r="X287" s="638">
        <v>559.59</v>
      </c>
      <c r="Y287" s="638">
        <v>598.76</v>
      </c>
      <c r="Z287" s="638">
        <v>640.66999999999996</v>
      </c>
      <c r="AA287" s="638">
        <v>685.52</v>
      </c>
      <c r="AB287" s="638">
        <v>733.51</v>
      </c>
      <c r="AC287" s="638">
        <v>784.86</v>
      </c>
      <c r="AD287" s="112"/>
      <c r="AI287" s="191" t="str">
        <f>IFERROR(_xlfn.SINGLE(
IF(_xlfn.SINGLE(INDEX(TAB_Offres[Ressource 1],ROWS(Params!AI$2:$AI287)))=0,NA(),
INDEX(TAB_Offres[Ressource 1],ROWS(Params!AI$2:$AI287)))),
IFERROR(_xlfn.SINGLE(IF(_xlfn.SINGLE(INDEX(#REF!,ROWS(Params!AI$2:$AI287)-COUNTA(TAB_Offres[Ressource 1])))=0,NA(),
INDEX(#REF!,ROWS(Params!AI$2:$AI287)-COUNTA(TAB_Offres[Ressource 1])))),
IFERROR(_xlfn.SINGLE(IF(_xlfn.SINGLE(INDEX(#REF!,ROWS(Params!AI$2:$AI287)-COUNTA(#REF!)-COUNTA(TAB_Offres[Ressource 1])))=0,NA(),
INDEX(#REF!,ROWS(Params!AI$2:$AI287)-COUNTA(#REF!)-COUNTA(TAB_Offres[Ressource 1])))),""))
)</f>
        <v/>
      </c>
      <c r="AJ287" s="192" t="str">
        <f>IF(TAB_ressource[[#This Row],[Import Ressource]]="","",MAX(AJ$1:AJ286)+1)</f>
        <v/>
      </c>
      <c r="AK287" s="193" t="str">
        <f>IFERROR(INDEX(TAB_ressource[Import Ressource],MATCH(ROW()-ROW($AK$1),TAB_ressource[ID Import ressources],0)),"")</f>
        <v/>
      </c>
      <c r="AN287" s="26">
        <f t="shared" si="16"/>
        <v>0</v>
      </c>
      <c r="BD287" t="s">
        <v>1471</v>
      </c>
      <c r="BE287" t="s">
        <v>1472</v>
      </c>
      <c r="BF287" t="s">
        <v>1473</v>
      </c>
      <c r="BG287" t="s">
        <v>1471</v>
      </c>
    </row>
    <row r="288" spans="13:59" x14ac:dyDescent="0.25">
      <c r="M288" t="str">
        <f>_xlfn.IFNA(IF(VLOOKUP(TAB_Offres[[#This Row],[Reference]],TAB_Offres[[Reference]:[Request State]],COLUMNS(TAB_Offres[[Reference]:[Request State]]),FALSE)=D$6,TAB_Offres[[#This Row],[Reference]],""),"")</f>
        <v/>
      </c>
      <c r="N288" t="str">
        <f>_xlfn.IFNA(IF(VLOOKUP(TAB_Offres[[#This Row],[Reference]],TAB_Offres[[Reference]:[Has Expenses?]],COLUMNS(TAB_Offres[[Reference]:[Has Expenses?]]),FALSE)=J$2,TAB_Offres[[#This Row],[Reference]],""),"")</f>
        <v/>
      </c>
      <c r="O288" t="str">
        <f>IF(Tableau19[[#This Row],[EXPENSES_REF]]="","",MAX(O$1:O287)+1)</f>
        <v/>
      </c>
      <c r="P288" t="str">
        <f t="shared" si="15"/>
        <v/>
      </c>
      <c r="R288" s="635" t="s">
        <v>6173</v>
      </c>
      <c r="S288" s="637">
        <v>398.98</v>
      </c>
      <c r="T288" s="638">
        <v>426.91</v>
      </c>
      <c r="U288" s="638">
        <v>456.79</v>
      </c>
      <c r="V288" s="638">
        <v>488.77</v>
      </c>
      <c r="W288" s="638">
        <v>522.98</v>
      </c>
      <c r="X288" s="638">
        <v>559.59</v>
      </c>
      <c r="Y288" s="638">
        <v>598.76</v>
      </c>
      <c r="Z288" s="638">
        <v>640.66999999999996</v>
      </c>
      <c r="AA288" s="638">
        <v>685.52</v>
      </c>
      <c r="AB288" s="638">
        <v>733.51</v>
      </c>
      <c r="AC288" s="638">
        <v>784.86</v>
      </c>
      <c r="AD288" s="112"/>
      <c r="AI288" s="191" t="str">
        <f>IFERROR(_xlfn.SINGLE(
IF(_xlfn.SINGLE(INDEX(TAB_Offres[Ressource 1],ROWS(Params!AI$2:$AI288)))=0,NA(),
INDEX(TAB_Offres[Ressource 1],ROWS(Params!AI$2:$AI288)))),
IFERROR(_xlfn.SINGLE(IF(_xlfn.SINGLE(INDEX(#REF!,ROWS(Params!AI$2:$AI288)-COUNTA(TAB_Offres[Ressource 1])))=0,NA(),
INDEX(#REF!,ROWS(Params!AI$2:$AI288)-COUNTA(TAB_Offres[Ressource 1])))),
IFERROR(_xlfn.SINGLE(IF(_xlfn.SINGLE(INDEX(#REF!,ROWS(Params!AI$2:$AI288)-COUNTA(#REF!)-COUNTA(TAB_Offres[Ressource 1])))=0,NA(),
INDEX(#REF!,ROWS(Params!AI$2:$AI288)-COUNTA(#REF!)-COUNTA(TAB_Offres[Ressource 1])))),""))
)</f>
        <v/>
      </c>
      <c r="AJ288" s="192" t="str">
        <f>IF(TAB_ressource[[#This Row],[Import Ressource]]="","",MAX(AJ$1:AJ287)+1)</f>
        <v/>
      </c>
      <c r="AK288" s="193" t="str">
        <f>IFERROR(INDEX(TAB_ressource[Import Ressource],MATCH(ROW()-ROW($AK$1),TAB_ressource[ID Import ressources],0)),"")</f>
        <v/>
      </c>
      <c r="AN288" s="26">
        <f t="shared" si="16"/>
        <v>0</v>
      </c>
      <c r="BD288" t="s">
        <v>1474</v>
      </c>
      <c r="BE288" t="s">
        <v>1475</v>
      </c>
      <c r="BF288" t="s">
        <v>1476</v>
      </c>
      <c r="BG288" t="s">
        <v>1474</v>
      </c>
    </row>
    <row r="289" spans="13:59" x14ac:dyDescent="0.25">
      <c r="M289" t="str">
        <f>_xlfn.IFNA(IF(VLOOKUP(TAB_Offres[[#This Row],[Reference]],TAB_Offres[[Reference]:[Request State]],COLUMNS(TAB_Offres[[Reference]:[Request State]]),FALSE)=D$6,TAB_Offres[[#This Row],[Reference]],""),"")</f>
        <v/>
      </c>
      <c r="N289" t="str">
        <f>_xlfn.IFNA(IF(VLOOKUP(TAB_Offres[[#This Row],[Reference]],TAB_Offres[[Reference]:[Has Expenses?]],COLUMNS(TAB_Offres[[Reference]:[Has Expenses?]]),FALSE)=J$2,TAB_Offres[[#This Row],[Reference]],""),"")</f>
        <v/>
      </c>
      <c r="O289" t="str">
        <f>IF(Tableau19[[#This Row],[EXPENSES_REF]]="","",MAX(O$1:O288)+1)</f>
        <v/>
      </c>
      <c r="P289" t="str">
        <f t="shared" si="15"/>
        <v/>
      </c>
      <c r="R289" s="635" t="s">
        <v>6174</v>
      </c>
      <c r="S289" s="637">
        <v>398.98</v>
      </c>
      <c r="T289" s="638">
        <v>426.91</v>
      </c>
      <c r="U289" s="638">
        <v>456.79</v>
      </c>
      <c r="V289" s="638">
        <v>488.77</v>
      </c>
      <c r="W289" s="638">
        <v>522.98</v>
      </c>
      <c r="X289" s="638">
        <v>559.59</v>
      </c>
      <c r="Y289" s="638">
        <v>598.76</v>
      </c>
      <c r="Z289" s="638">
        <v>640.66999999999996</v>
      </c>
      <c r="AA289" s="638">
        <v>685.52</v>
      </c>
      <c r="AB289" s="638">
        <v>733.51</v>
      </c>
      <c r="AC289" s="638">
        <v>784.86</v>
      </c>
      <c r="AD289" s="112"/>
      <c r="AI289" s="191" t="str">
        <f>IFERROR(_xlfn.SINGLE(
IF(_xlfn.SINGLE(INDEX(TAB_Offres[Ressource 1],ROWS(Params!AI$2:$AI289)))=0,NA(),
INDEX(TAB_Offres[Ressource 1],ROWS(Params!AI$2:$AI289)))),
IFERROR(_xlfn.SINGLE(IF(_xlfn.SINGLE(INDEX(#REF!,ROWS(Params!AI$2:$AI289)-COUNTA(TAB_Offres[Ressource 1])))=0,NA(),
INDEX(#REF!,ROWS(Params!AI$2:$AI289)-COUNTA(TAB_Offres[Ressource 1])))),
IFERROR(_xlfn.SINGLE(IF(_xlfn.SINGLE(INDEX(#REF!,ROWS(Params!AI$2:$AI289)-COUNTA(#REF!)-COUNTA(TAB_Offres[Ressource 1])))=0,NA(),
INDEX(#REF!,ROWS(Params!AI$2:$AI289)-COUNTA(#REF!)-COUNTA(TAB_Offres[Ressource 1])))),""))
)</f>
        <v/>
      </c>
      <c r="AJ289" s="192" t="str">
        <f>IF(TAB_ressource[[#This Row],[Import Ressource]]="","",MAX(AJ$1:AJ288)+1)</f>
        <v/>
      </c>
      <c r="AK289" s="193" t="str">
        <f>IFERROR(INDEX(TAB_ressource[Import Ressource],MATCH(ROW()-ROW($AK$1),TAB_ressource[ID Import ressources],0)),"")</f>
        <v/>
      </c>
      <c r="AN289" s="26">
        <f t="shared" si="16"/>
        <v>0</v>
      </c>
      <c r="BD289" t="s">
        <v>1477</v>
      </c>
      <c r="BE289" t="s">
        <v>1478</v>
      </c>
      <c r="BF289" t="s">
        <v>1479</v>
      </c>
      <c r="BG289" t="s">
        <v>1477</v>
      </c>
    </row>
    <row r="290" spans="13:59" x14ac:dyDescent="0.25">
      <c r="M290" t="str">
        <f>_xlfn.IFNA(IF(VLOOKUP(TAB_Offres[[#This Row],[Reference]],TAB_Offres[[Reference]:[Request State]],COLUMNS(TAB_Offres[[Reference]:[Request State]]),FALSE)=D$6,TAB_Offres[[#This Row],[Reference]],""),"")</f>
        <v/>
      </c>
      <c r="N290" t="str">
        <f>_xlfn.IFNA(IF(VLOOKUP(TAB_Offres[[#This Row],[Reference]],TAB_Offres[[Reference]:[Has Expenses?]],COLUMNS(TAB_Offres[[Reference]:[Has Expenses?]]),FALSE)=J$2,TAB_Offres[[#This Row],[Reference]],""),"")</f>
        <v/>
      </c>
      <c r="O290" t="str">
        <f>IF(Tableau19[[#This Row],[EXPENSES_REF]]="","",MAX(O$1:O289)+1)</f>
        <v/>
      </c>
      <c r="P290" t="str">
        <f t="shared" si="15"/>
        <v/>
      </c>
      <c r="R290" s="635" t="s">
        <v>6175</v>
      </c>
      <c r="S290" s="637">
        <v>398.98</v>
      </c>
      <c r="T290" s="638">
        <v>426.91</v>
      </c>
      <c r="U290" s="638">
        <v>456.79</v>
      </c>
      <c r="V290" s="638">
        <v>488.77</v>
      </c>
      <c r="W290" s="638">
        <v>522.98</v>
      </c>
      <c r="X290" s="638">
        <v>559.59</v>
      </c>
      <c r="Y290" s="638">
        <v>598.76</v>
      </c>
      <c r="Z290" s="638">
        <v>640.66999999999996</v>
      </c>
      <c r="AA290" s="638">
        <v>685.52</v>
      </c>
      <c r="AB290" s="638">
        <v>733.51</v>
      </c>
      <c r="AC290" s="638">
        <v>784.86</v>
      </c>
      <c r="AD290" s="112"/>
      <c r="AI290" s="191" t="str">
        <f>IFERROR(_xlfn.SINGLE(
IF(_xlfn.SINGLE(INDEX(TAB_Offres[Ressource 1],ROWS(Params!AI$2:$AI290)))=0,NA(),
INDEX(TAB_Offres[Ressource 1],ROWS(Params!AI$2:$AI290)))),
IFERROR(_xlfn.SINGLE(IF(_xlfn.SINGLE(INDEX(#REF!,ROWS(Params!AI$2:$AI290)-COUNTA(TAB_Offres[Ressource 1])))=0,NA(),
INDEX(#REF!,ROWS(Params!AI$2:$AI290)-COUNTA(TAB_Offres[Ressource 1])))),
IFERROR(_xlfn.SINGLE(IF(_xlfn.SINGLE(INDEX(#REF!,ROWS(Params!AI$2:$AI290)-COUNTA(#REF!)-COUNTA(TAB_Offres[Ressource 1])))=0,NA(),
INDEX(#REF!,ROWS(Params!AI$2:$AI290)-COUNTA(#REF!)-COUNTA(TAB_Offres[Ressource 1])))),""))
)</f>
        <v/>
      </c>
      <c r="AJ290" s="192" t="str">
        <f>IF(TAB_ressource[[#This Row],[Import Ressource]]="","",MAX(AJ$1:AJ289)+1)</f>
        <v/>
      </c>
      <c r="AK290" s="193" t="str">
        <f>IFERROR(INDEX(TAB_ressource[Import Ressource],MATCH(ROW()-ROW($AK$1),TAB_ressource[ID Import ressources],0)),"")</f>
        <v/>
      </c>
      <c r="AN290" s="26">
        <f t="shared" si="16"/>
        <v>0</v>
      </c>
      <c r="BD290" t="s">
        <v>1480</v>
      </c>
      <c r="BE290" t="s">
        <v>1481</v>
      </c>
      <c r="BF290" t="s">
        <v>1482</v>
      </c>
      <c r="BG290" t="s">
        <v>1480</v>
      </c>
    </row>
    <row r="291" spans="13:59" x14ac:dyDescent="0.25">
      <c r="M291" t="str">
        <f>_xlfn.IFNA(IF(VLOOKUP(TAB_Offres[[#This Row],[Reference]],TAB_Offres[[Reference]:[Request State]],COLUMNS(TAB_Offres[[Reference]:[Request State]]),FALSE)=D$6,TAB_Offres[[#This Row],[Reference]],""),"")</f>
        <v/>
      </c>
      <c r="N291" t="str">
        <f>_xlfn.IFNA(IF(VLOOKUP(TAB_Offres[[#This Row],[Reference]],TAB_Offres[[Reference]:[Has Expenses?]],COLUMNS(TAB_Offres[[Reference]:[Has Expenses?]]),FALSE)=J$2,TAB_Offres[[#This Row],[Reference]],""),"")</f>
        <v/>
      </c>
      <c r="O291" t="str">
        <f>IF(Tableau19[[#This Row],[EXPENSES_REF]]="","",MAX(O$1:O290)+1)</f>
        <v/>
      </c>
      <c r="P291" t="str">
        <f t="shared" si="15"/>
        <v/>
      </c>
      <c r="R291" s="635" t="s">
        <v>6176</v>
      </c>
      <c r="S291" s="637">
        <v>474.98</v>
      </c>
      <c r="T291" s="638">
        <v>508.23</v>
      </c>
      <c r="U291" s="638">
        <v>543.80999999999995</v>
      </c>
      <c r="V291" s="638">
        <v>581.88</v>
      </c>
      <c r="W291" s="638">
        <v>622.61</v>
      </c>
      <c r="X291" s="638">
        <v>666.19</v>
      </c>
      <c r="Y291" s="638">
        <v>712.82</v>
      </c>
      <c r="Z291" s="638">
        <v>762.72</v>
      </c>
      <c r="AA291" s="638">
        <v>816.11</v>
      </c>
      <c r="AB291" s="638">
        <v>873.24</v>
      </c>
      <c r="AC291" s="638">
        <v>934.37</v>
      </c>
      <c r="AD291" s="112"/>
      <c r="AI291" s="191" t="str">
        <f>IFERROR(_xlfn.SINGLE(
IF(_xlfn.SINGLE(INDEX(TAB_Offres[Ressource 1],ROWS(Params!AI$2:$AI291)))=0,NA(),
INDEX(TAB_Offres[Ressource 1],ROWS(Params!AI$2:$AI291)))),
IFERROR(_xlfn.SINGLE(IF(_xlfn.SINGLE(INDEX(#REF!,ROWS(Params!AI$2:$AI291)-COUNTA(TAB_Offres[Ressource 1])))=0,NA(),
INDEX(#REF!,ROWS(Params!AI$2:$AI291)-COUNTA(TAB_Offres[Ressource 1])))),
IFERROR(_xlfn.SINGLE(IF(_xlfn.SINGLE(INDEX(#REF!,ROWS(Params!AI$2:$AI291)-COUNTA(#REF!)-COUNTA(TAB_Offres[Ressource 1])))=0,NA(),
INDEX(#REF!,ROWS(Params!AI$2:$AI291)-COUNTA(#REF!)-COUNTA(TAB_Offres[Ressource 1])))),""))
)</f>
        <v/>
      </c>
      <c r="AJ291" s="192" t="str">
        <f>IF(TAB_ressource[[#This Row],[Import Ressource]]="","",MAX(AJ$1:AJ290)+1)</f>
        <v/>
      </c>
      <c r="AK291" s="193" t="str">
        <f>IFERROR(INDEX(TAB_ressource[Import Ressource],MATCH(ROW()-ROW($AK$1),TAB_ressource[ID Import ressources],0)),"")</f>
        <v/>
      </c>
      <c r="AN291" s="26">
        <f t="shared" si="16"/>
        <v>0</v>
      </c>
      <c r="BD291" t="s">
        <v>1483</v>
      </c>
      <c r="BE291" t="s">
        <v>1484</v>
      </c>
      <c r="BF291" t="s">
        <v>1485</v>
      </c>
      <c r="BG291" t="s">
        <v>1483</v>
      </c>
    </row>
    <row r="292" spans="13:59" x14ac:dyDescent="0.25">
      <c r="M292" t="str">
        <f>_xlfn.IFNA(IF(VLOOKUP(TAB_Offres[[#This Row],[Reference]],TAB_Offres[[Reference]:[Request State]],COLUMNS(TAB_Offres[[Reference]:[Request State]]),FALSE)=D$6,TAB_Offres[[#This Row],[Reference]],""),"")</f>
        <v/>
      </c>
      <c r="N292" t="str">
        <f>_xlfn.IFNA(IF(VLOOKUP(TAB_Offres[[#This Row],[Reference]],TAB_Offres[[Reference]:[Has Expenses?]],COLUMNS(TAB_Offres[[Reference]:[Has Expenses?]]),FALSE)=J$2,TAB_Offres[[#This Row],[Reference]],""),"")</f>
        <v/>
      </c>
      <c r="O292" t="str">
        <f>IF(Tableau19[[#This Row],[EXPENSES_REF]]="","",MAX(O$1:O291)+1)</f>
        <v/>
      </c>
      <c r="P292" t="str">
        <f t="shared" si="15"/>
        <v/>
      </c>
      <c r="R292" s="635" t="s">
        <v>6177</v>
      </c>
      <c r="S292" s="637">
        <v>398.98</v>
      </c>
      <c r="T292" s="638">
        <v>426.91</v>
      </c>
      <c r="U292" s="638">
        <v>456.79</v>
      </c>
      <c r="V292" s="638">
        <v>488.77</v>
      </c>
      <c r="W292" s="638">
        <v>522.98</v>
      </c>
      <c r="X292" s="638">
        <v>559.59</v>
      </c>
      <c r="Y292" s="638">
        <v>598.76</v>
      </c>
      <c r="Z292" s="638">
        <v>640.66999999999996</v>
      </c>
      <c r="AA292" s="638">
        <v>685.52</v>
      </c>
      <c r="AB292" s="638">
        <v>733.51</v>
      </c>
      <c r="AC292" s="638">
        <v>784.86</v>
      </c>
      <c r="AD292" s="112"/>
      <c r="AI292" s="191" t="str">
        <f>IFERROR(_xlfn.SINGLE(
IF(_xlfn.SINGLE(INDEX(TAB_Offres[Ressource 1],ROWS(Params!AI$2:$AI292)))=0,NA(),
INDEX(TAB_Offres[Ressource 1],ROWS(Params!AI$2:$AI292)))),
IFERROR(_xlfn.SINGLE(IF(_xlfn.SINGLE(INDEX(#REF!,ROWS(Params!AI$2:$AI292)-COUNTA(TAB_Offres[Ressource 1])))=0,NA(),
INDEX(#REF!,ROWS(Params!AI$2:$AI292)-COUNTA(TAB_Offres[Ressource 1])))),
IFERROR(_xlfn.SINGLE(IF(_xlfn.SINGLE(INDEX(#REF!,ROWS(Params!AI$2:$AI292)-COUNTA(#REF!)-COUNTA(TAB_Offres[Ressource 1])))=0,NA(),
INDEX(#REF!,ROWS(Params!AI$2:$AI292)-COUNTA(#REF!)-COUNTA(TAB_Offres[Ressource 1])))),""))
)</f>
        <v/>
      </c>
      <c r="AJ292" s="192" t="str">
        <f>IF(TAB_ressource[[#This Row],[Import Ressource]]="","",MAX(AJ$1:AJ291)+1)</f>
        <v/>
      </c>
      <c r="AK292" s="193" t="str">
        <f>IFERROR(INDEX(TAB_ressource[Import Ressource],MATCH(ROW()-ROW($AK$1),TAB_ressource[ID Import ressources],0)),"")</f>
        <v/>
      </c>
      <c r="AN292" s="26">
        <f t="shared" si="16"/>
        <v>0</v>
      </c>
      <c r="BD292" t="s">
        <v>1486</v>
      </c>
      <c r="BE292" t="s">
        <v>1487</v>
      </c>
      <c r="BF292" t="s">
        <v>1488</v>
      </c>
      <c r="BG292" t="s">
        <v>1486</v>
      </c>
    </row>
    <row r="293" spans="13:59" x14ac:dyDescent="0.25">
      <c r="M293" t="str">
        <f>_xlfn.IFNA(IF(VLOOKUP(TAB_Offres[[#This Row],[Reference]],TAB_Offres[[Reference]:[Request State]],COLUMNS(TAB_Offres[[Reference]:[Request State]]),FALSE)=D$6,TAB_Offres[[#This Row],[Reference]],""),"")</f>
        <v/>
      </c>
      <c r="N293" t="str">
        <f>_xlfn.IFNA(IF(VLOOKUP(TAB_Offres[[#This Row],[Reference]],TAB_Offres[[Reference]:[Has Expenses?]],COLUMNS(TAB_Offres[[Reference]:[Has Expenses?]]),FALSE)=J$2,TAB_Offres[[#This Row],[Reference]],""),"")</f>
        <v/>
      </c>
      <c r="O293" t="str">
        <f>IF(Tableau19[[#This Row],[EXPENSES_REF]]="","",MAX(O$1:O292)+1)</f>
        <v/>
      </c>
      <c r="P293" t="str">
        <f t="shared" si="15"/>
        <v/>
      </c>
      <c r="R293" s="635" t="s">
        <v>6178</v>
      </c>
      <c r="S293" s="637">
        <v>431.8</v>
      </c>
      <c r="T293" s="638">
        <v>462.03</v>
      </c>
      <c r="U293" s="638">
        <v>494.37</v>
      </c>
      <c r="V293" s="638">
        <v>528.98</v>
      </c>
      <c r="W293" s="638">
        <v>566.01</v>
      </c>
      <c r="X293" s="638">
        <v>605.63</v>
      </c>
      <c r="Y293" s="638">
        <v>648.02</v>
      </c>
      <c r="Z293" s="638">
        <v>693.38</v>
      </c>
      <c r="AA293" s="638">
        <v>741.92</v>
      </c>
      <c r="AB293" s="638">
        <v>793.85</v>
      </c>
      <c r="AC293" s="638">
        <v>849.42</v>
      </c>
      <c r="AD293" s="112"/>
      <c r="AI293" s="191" t="str">
        <f>IFERROR(_xlfn.SINGLE(
IF(_xlfn.SINGLE(INDEX(TAB_Offres[Ressource 1],ROWS(Params!AI$2:$AI293)))=0,NA(),
INDEX(TAB_Offres[Ressource 1],ROWS(Params!AI$2:$AI293)))),
IFERROR(_xlfn.SINGLE(IF(_xlfn.SINGLE(INDEX(#REF!,ROWS(Params!AI$2:$AI293)-COUNTA(TAB_Offres[Ressource 1])))=0,NA(),
INDEX(#REF!,ROWS(Params!AI$2:$AI293)-COUNTA(TAB_Offres[Ressource 1])))),
IFERROR(_xlfn.SINGLE(IF(_xlfn.SINGLE(INDEX(#REF!,ROWS(Params!AI$2:$AI293)-COUNTA(#REF!)-COUNTA(TAB_Offres[Ressource 1])))=0,NA(),
INDEX(#REF!,ROWS(Params!AI$2:$AI293)-COUNTA(#REF!)-COUNTA(TAB_Offres[Ressource 1])))),""))
)</f>
        <v/>
      </c>
      <c r="AJ293" s="192" t="str">
        <f>IF(TAB_ressource[[#This Row],[Import Ressource]]="","",MAX(AJ$1:AJ292)+1)</f>
        <v/>
      </c>
      <c r="AK293" s="193" t="str">
        <f>IFERROR(INDEX(TAB_ressource[Import Ressource],MATCH(ROW()-ROW($AK$1),TAB_ressource[ID Import ressources],0)),"")</f>
        <v/>
      </c>
      <c r="AN293" s="26">
        <f t="shared" si="16"/>
        <v>0</v>
      </c>
      <c r="BD293" t="s">
        <v>1489</v>
      </c>
      <c r="BE293" t="s">
        <v>1490</v>
      </c>
      <c r="BF293" t="s">
        <v>1491</v>
      </c>
      <c r="BG293" t="s">
        <v>1489</v>
      </c>
    </row>
    <row r="294" spans="13:59" x14ac:dyDescent="0.25">
      <c r="M294" t="str">
        <f>_xlfn.IFNA(IF(VLOOKUP(TAB_Offres[[#This Row],[Reference]],TAB_Offres[[Reference]:[Request State]],COLUMNS(TAB_Offres[[Reference]:[Request State]]),FALSE)=D$6,TAB_Offres[[#This Row],[Reference]],""),"")</f>
        <v/>
      </c>
      <c r="N294" t="str">
        <f>_xlfn.IFNA(IF(VLOOKUP(TAB_Offres[[#This Row],[Reference]],TAB_Offres[[Reference]:[Has Expenses?]],COLUMNS(TAB_Offres[[Reference]:[Has Expenses?]]),FALSE)=J$2,TAB_Offres[[#This Row],[Reference]],""),"")</f>
        <v/>
      </c>
      <c r="O294" t="str">
        <f>IF(Tableau19[[#This Row],[EXPENSES_REF]]="","",MAX(O$1:O293)+1)</f>
        <v/>
      </c>
      <c r="P294" t="str">
        <f t="shared" si="15"/>
        <v/>
      </c>
      <c r="R294" s="635" t="s">
        <v>6179</v>
      </c>
      <c r="S294" s="637">
        <v>398.98</v>
      </c>
      <c r="T294" s="638">
        <v>426.91</v>
      </c>
      <c r="U294" s="638">
        <v>456.79</v>
      </c>
      <c r="V294" s="638">
        <v>488.77</v>
      </c>
      <c r="W294" s="638">
        <v>522.98</v>
      </c>
      <c r="X294" s="638">
        <v>559.59</v>
      </c>
      <c r="Y294" s="638">
        <v>598.76</v>
      </c>
      <c r="Z294" s="638">
        <v>640.66999999999996</v>
      </c>
      <c r="AA294" s="638">
        <v>685.52</v>
      </c>
      <c r="AB294" s="638">
        <v>733.51</v>
      </c>
      <c r="AC294" s="638">
        <v>784.86</v>
      </c>
      <c r="AD294" s="112"/>
      <c r="AI294" s="191" t="str">
        <f>IFERROR(_xlfn.SINGLE(
IF(_xlfn.SINGLE(INDEX(TAB_Offres[Ressource 1],ROWS(Params!AI$2:$AI294)))=0,NA(),
INDEX(TAB_Offres[Ressource 1],ROWS(Params!AI$2:$AI294)))),
IFERROR(_xlfn.SINGLE(IF(_xlfn.SINGLE(INDEX(#REF!,ROWS(Params!AI$2:$AI294)-COUNTA(TAB_Offres[Ressource 1])))=0,NA(),
INDEX(#REF!,ROWS(Params!AI$2:$AI294)-COUNTA(TAB_Offres[Ressource 1])))),
IFERROR(_xlfn.SINGLE(IF(_xlfn.SINGLE(INDEX(#REF!,ROWS(Params!AI$2:$AI294)-COUNTA(#REF!)-COUNTA(TAB_Offres[Ressource 1])))=0,NA(),
INDEX(#REF!,ROWS(Params!AI$2:$AI294)-COUNTA(#REF!)-COUNTA(TAB_Offres[Ressource 1])))),""))
)</f>
        <v/>
      </c>
      <c r="AJ294" s="192" t="str">
        <f>IF(TAB_ressource[[#This Row],[Import Ressource]]="","",MAX(AJ$1:AJ293)+1)</f>
        <v/>
      </c>
      <c r="AK294" s="193" t="str">
        <f>IFERROR(INDEX(TAB_ressource[Import Ressource],MATCH(ROW()-ROW($AK$1),TAB_ressource[ID Import ressources],0)),"")</f>
        <v/>
      </c>
      <c r="AN294" s="26">
        <f t="shared" si="16"/>
        <v>0</v>
      </c>
      <c r="BD294" t="s">
        <v>1492</v>
      </c>
      <c r="BE294" t="s">
        <v>1493</v>
      </c>
      <c r="BF294" t="s">
        <v>1494</v>
      </c>
      <c r="BG294" t="s">
        <v>1492</v>
      </c>
    </row>
    <row r="295" spans="13:59" x14ac:dyDescent="0.25">
      <c r="M295" t="str">
        <f>_xlfn.IFNA(IF(VLOOKUP(TAB_Offres[[#This Row],[Reference]],TAB_Offres[[Reference]:[Request State]],COLUMNS(TAB_Offres[[Reference]:[Request State]]),FALSE)=D$6,TAB_Offres[[#This Row],[Reference]],""),"")</f>
        <v/>
      </c>
      <c r="N295" t="str">
        <f>_xlfn.IFNA(IF(VLOOKUP(TAB_Offres[[#This Row],[Reference]],TAB_Offres[[Reference]:[Has Expenses?]],COLUMNS(TAB_Offres[[Reference]:[Has Expenses?]]),FALSE)=J$2,TAB_Offres[[#This Row],[Reference]],""),"")</f>
        <v/>
      </c>
      <c r="O295" t="str">
        <f>IF(Tableau19[[#This Row],[EXPENSES_REF]]="","",MAX(O$1:O294)+1)</f>
        <v/>
      </c>
      <c r="P295" t="str">
        <f t="shared" si="15"/>
        <v/>
      </c>
      <c r="R295" s="635" t="s">
        <v>6180</v>
      </c>
      <c r="S295" s="637">
        <v>398.98</v>
      </c>
      <c r="T295" s="638">
        <v>426.91</v>
      </c>
      <c r="U295" s="638">
        <v>456.79</v>
      </c>
      <c r="V295" s="638">
        <v>488.77</v>
      </c>
      <c r="W295" s="638">
        <v>522.98</v>
      </c>
      <c r="X295" s="638">
        <v>559.59</v>
      </c>
      <c r="Y295" s="638">
        <v>598.76</v>
      </c>
      <c r="Z295" s="638">
        <v>640.66999999999996</v>
      </c>
      <c r="AA295" s="638">
        <v>685.52</v>
      </c>
      <c r="AB295" s="638">
        <v>733.51</v>
      </c>
      <c r="AC295" s="638">
        <v>784.86</v>
      </c>
      <c r="AD295" s="112"/>
      <c r="AI295" s="191" t="str">
        <f>IFERROR(_xlfn.SINGLE(
IF(_xlfn.SINGLE(INDEX(TAB_Offres[Ressource 1],ROWS(Params!AI$2:$AI295)))=0,NA(),
INDEX(TAB_Offres[Ressource 1],ROWS(Params!AI$2:$AI295)))),
IFERROR(_xlfn.SINGLE(IF(_xlfn.SINGLE(INDEX(#REF!,ROWS(Params!AI$2:$AI295)-COUNTA(TAB_Offres[Ressource 1])))=0,NA(),
INDEX(#REF!,ROWS(Params!AI$2:$AI295)-COUNTA(TAB_Offres[Ressource 1])))),
IFERROR(_xlfn.SINGLE(IF(_xlfn.SINGLE(INDEX(#REF!,ROWS(Params!AI$2:$AI295)-COUNTA(#REF!)-COUNTA(TAB_Offres[Ressource 1])))=0,NA(),
INDEX(#REF!,ROWS(Params!AI$2:$AI295)-COUNTA(#REF!)-COUNTA(TAB_Offres[Ressource 1])))),""))
)</f>
        <v/>
      </c>
      <c r="AJ295" s="192" t="str">
        <f>IF(TAB_ressource[[#This Row],[Import Ressource]]="","",MAX(AJ$1:AJ294)+1)</f>
        <v/>
      </c>
      <c r="AK295" s="193" t="str">
        <f>IFERROR(INDEX(TAB_ressource[Import Ressource],MATCH(ROW()-ROW($AK$1),TAB_ressource[ID Import ressources],0)),"")</f>
        <v/>
      </c>
      <c r="AN295" s="26">
        <f t="shared" si="16"/>
        <v>0</v>
      </c>
      <c r="BD295" t="s">
        <v>1495</v>
      </c>
      <c r="BE295" t="s">
        <v>1496</v>
      </c>
      <c r="BF295" t="s">
        <v>1497</v>
      </c>
      <c r="BG295" t="s">
        <v>1495</v>
      </c>
    </row>
    <row r="296" spans="13:59" x14ac:dyDescent="0.25">
      <c r="M296" t="str">
        <f>_xlfn.IFNA(IF(VLOOKUP(TAB_Offres[[#This Row],[Reference]],TAB_Offres[[Reference]:[Request State]],COLUMNS(TAB_Offres[[Reference]:[Request State]]),FALSE)=D$6,TAB_Offres[[#This Row],[Reference]],""),"")</f>
        <v/>
      </c>
      <c r="N296" t="str">
        <f>_xlfn.IFNA(IF(VLOOKUP(TAB_Offres[[#This Row],[Reference]],TAB_Offres[[Reference]:[Has Expenses?]],COLUMNS(TAB_Offres[[Reference]:[Has Expenses?]]),FALSE)=J$2,TAB_Offres[[#This Row],[Reference]],""),"")</f>
        <v/>
      </c>
      <c r="O296" t="str">
        <f>IF(Tableau19[[#This Row],[EXPENSES_REF]]="","",MAX(O$1:O295)+1)</f>
        <v/>
      </c>
      <c r="P296" t="str">
        <f t="shared" si="15"/>
        <v/>
      </c>
      <c r="R296" s="635" t="s">
        <v>6181</v>
      </c>
      <c r="S296" s="637">
        <v>398.98</v>
      </c>
      <c r="T296" s="638">
        <v>426.91</v>
      </c>
      <c r="U296" s="638">
        <v>456.79</v>
      </c>
      <c r="V296" s="638">
        <v>488.77</v>
      </c>
      <c r="W296" s="638">
        <v>522.98</v>
      </c>
      <c r="X296" s="638">
        <v>559.59</v>
      </c>
      <c r="Y296" s="638">
        <v>598.76</v>
      </c>
      <c r="Z296" s="638">
        <v>640.66999999999996</v>
      </c>
      <c r="AA296" s="638">
        <v>685.52</v>
      </c>
      <c r="AB296" s="638">
        <v>733.51</v>
      </c>
      <c r="AC296" s="638">
        <v>784.86</v>
      </c>
      <c r="AD296" s="112"/>
      <c r="AI296" s="191" t="str">
        <f>IFERROR(_xlfn.SINGLE(
IF(_xlfn.SINGLE(INDEX(TAB_Offres[Ressource 1],ROWS(Params!AI$2:$AI296)))=0,NA(),
INDEX(TAB_Offres[Ressource 1],ROWS(Params!AI$2:$AI296)))),
IFERROR(_xlfn.SINGLE(IF(_xlfn.SINGLE(INDEX(#REF!,ROWS(Params!AI$2:$AI296)-COUNTA(TAB_Offres[Ressource 1])))=0,NA(),
INDEX(#REF!,ROWS(Params!AI$2:$AI296)-COUNTA(TAB_Offres[Ressource 1])))),
IFERROR(_xlfn.SINGLE(IF(_xlfn.SINGLE(INDEX(#REF!,ROWS(Params!AI$2:$AI296)-COUNTA(#REF!)-COUNTA(TAB_Offres[Ressource 1])))=0,NA(),
INDEX(#REF!,ROWS(Params!AI$2:$AI296)-COUNTA(#REF!)-COUNTA(TAB_Offres[Ressource 1])))),""))
)</f>
        <v/>
      </c>
      <c r="AJ296" s="192" t="str">
        <f>IF(TAB_ressource[[#This Row],[Import Ressource]]="","",MAX(AJ$1:AJ295)+1)</f>
        <v/>
      </c>
      <c r="AK296" s="193" t="str">
        <f>IFERROR(INDEX(TAB_ressource[Import Ressource],MATCH(ROW()-ROW($AK$1),TAB_ressource[ID Import ressources],0)),"")</f>
        <v/>
      </c>
      <c r="AN296" s="26">
        <f t="shared" si="16"/>
        <v>0</v>
      </c>
      <c r="BD296" t="s">
        <v>1498</v>
      </c>
      <c r="BE296" t="s">
        <v>1499</v>
      </c>
      <c r="BF296" t="s">
        <v>1500</v>
      </c>
      <c r="BG296" t="s">
        <v>1498</v>
      </c>
    </row>
    <row r="297" spans="13:59" ht="26.4" x14ac:dyDescent="0.25">
      <c r="M297" t="str">
        <f>_xlfn.IFNA(IF(VLOOKUP(TAB_Offres[[#This Row],[Reference]],TAB_Offres[[Reference]:[Request State]],COLUMNS(TAB_Offres[[Reference]:[Request State]]),FALSE)=D$6,TAB_Offres[[#This Row],[Reference]],""),"")</f>
        <v/>
      </c>
      <c r="N297" t="str">
        <f>_xlfn.IFNA(IF(VLOOKUP(TAB_Offres[[#This Row],[Reference]],TAB_Offres[[Reference]:[Has Expenses?]],COLUMNS(TAB_Offres[[Reference]:[Has Expenses?]]),FALSE)=J$2,TAB_Offres[[#This Row],[Reference]],""),"")</f>
        <v/>
      </c>
      <c r="O297" t="str">
        <f>IF(Tableau19[[#This Row],[EXPENSES_REF]]="","",MAX(O$1:O296)+1)</f>
        <v/>
      </c>
      <c r="P297" t="str">
        <f t="shared" si="15"/>
        <v/>
      </c>
      <c r="R297" s="634" t="s">
        <v>6182</v>
      </c>
      <c r="S297" s="637"/>
      <c r="T297" s="638"/>
      <c r="U297" s="638"/>
      <c r="V297" s="638"/>
      <c r="W297" s="638"/>
      <c r="X297" s="638"/>
      <c r="Y297" s="638"/>
      <c r="Z297" s="638"/>
      <c r="AA297" s="638"/>
      <c r="AB297" s="638"/>
      <c r="AC297" s="638"/>
      <c r="AD297" s="112"/>
      <c r="AI297" s="191" t="str">
        <f>IFERROR(_xlfn.SINGLE(
IF(_xlfn.SINGLE(INDEX(TAB_Offres[Ressource 1],ROWS(Params!AI$2:$AI297)))=0,NA(),
INDEX(TAB_Offres[Ressource 1],ROWS(Params!AI$2:$AI297)))),
IFERROR(_xlfn.SINGLE(IF(_xlfn.SINGLE(INDEX(#REF!,ROWS(Params!AI$2:$AI297)-COUNTA(TAB_Offres[Ressource 1])))=0,NA(),
INDEX(#REF!,ROWS(Params!AI$2:$AI297)-COUNTA(TAB_Offres[Ressource 1])))),
IFERROR(_xlfn.SINGLE(IF(_xlfn.SINGLE(INDEX(#REF!,ROWS(Params!AI$2:$AI297)-COUNTA(#REF!)-COUNTA(TAB_Offres[Ressource 1])))=0,NA(),
INDEX(#REF!,ROWS(Params!AI$2:$AI297)-COUNTA(#REF!)-COUNTA(TAB_Offres[Ressource 1])))),""))
)</f>
        <v/>
      </c>
      <c r="AJ297" s="192" t="str">
        <f>IF(TAB_ressource[[#This Row],[Import Ressource]]="","",MAX(AJ$1:AJ296)+1)</f>
        <v/>
      </c>
      <c r="AK297" s="193" t="str">
        <f>IFERROR(INDEX(TAB_ressource[Import Ressource],MATCH(ROW()-ROW($AK$1),TAB_ressource[ID Import ressources],0)),"")</f>
        <v/>
      </c>
      <c r="AN297" s="26">
        <f t="shared" si="16"/>
        <v>0</v>
      </c>
      <c r="BD297" t="s">
        <v>1501</v>
      </c>
      <c r="BE297" t="s">
        <v>1502</v>
      </c>
      <c r="BF297" t="s">
        <v>1503</v>
      </c>
      <c r="BG297" t="s">
        <v>1501</v>
      </c>
    </row>
    <row r="298" spans="13:59" x14ac:dyDescent="0.25">
      <c r="M298" t="str">
        <f>_xlfn.IFNA(IF(VLOOKUP(TAB_Offres[[#This Row],[Reference]],TAB_Offres[[Reference]:[Request State]],COLUMNS(TAB_Offres[[Reference]:[Request State]]),FALSE)=D$6,TAB_Offres[[#This Row],[Reference]],""),"")</f>
        <v/>
      </c>
      <c r="N298" t="str">
        <f>_xlfn.IFNA(IF(VLOOKUP(TAB_Offres[[#This Row],[Reference]],TAB_Offres[[Reference]:[Has Expenses?]],COLUMNS(TAB_Offres[[Reference]:[Has Expenses?]]),FALSE)=J$2,TAB_Offres[[#This Row],[Reference]],""),"")</f>
        <v/>
      </c>
      <c r="O298" t="str">
        <f>IF(Tableau19[[#This Row],[EXPENSES_REF]]="","",MAX(O$1:O297)+1)</f>
        <v/>
      </c>
      <c r="P298" t="str">
        <f t="shared" si="15"/>
        <v/>
      </c>
      <c r="R298" s="635" t="s">
        <v>6183</v>
      </c>
      <c r="S298" s="637">
        <v>272.02999999999997</v>
      </c>
      <c r="T298" s="638">
        <v>291.07</v>
      </c>
      <c r="U298" s="638">
        <v>311.44</v>
      </c>
      <c r="V298" s="638">
        <v>333.24</v>
      </c>
      <c r="W298" s="638">
        <v>356.57</v>
      </c>
      <c r="X298" s="638">
        <v>381.53</v>
      </c>
      <c r="Y298" s="638">
        <v>408.24</v>
      </c>
      <c r="Z298" s="638">
        <v>436.82</v>
      </c>
      <c r="AA298" s="638">
        <v>467.4</v>
      </c>
      <c r="AB298" s="638">
        <v>500.12</v>
      </c>
      <c r="AC298" s="638">
        <v>535.13</v>
      </c>
      <c r="AD298" s="112"/>
      <c r="AI298" s="191" t="str">
        <f>IFERROR(_xlfn.SINGLE(
IF(_xlfn.SINGLE(INDEX(TAB_Offres[Ressource 1],ROWS(Params!AI$2:$AI298)))=0,NA(),
INDEX(TAB_Offres[Ressource 1],ROWS(Params!AI$2:$AI298)))),
IFERROR(_xlfn.SINGLE(IF(_xlfn.SINGLE(INDEX(#REF!,ROWS(Params!AI$2:$AI298)-COUNTA(TAB_Offres[Ressource 1])))=0,NA(),
INDEX(#REF!,ROWS(Params!AI$2:$AI298)-COUNTA(TAB_Offres[Ressource 1])))),
IFERROR(_xlfn.SINGLE(IF(_xlfn.SINGLE(INDEX(#REF!,ROWS(Params!AI$2:$AI298)-COUNTA(#REF!)-COUNTA(TAB_Offres[Ressource 1])))=0,NA(),
INDEX(#REF!,ROWS(Params!AI$2:$AI298)-COUNTA(#REF!)-COUNTA(TAB_Offres[Ressource 1])))),""))
)</f>
        <v/>
      </c>
      <c r="AJ298" s="192" t="str">
        <f>IF(TAB_ressource[[#This Row],[Import Ressource]]="","",MAX(AJ$1:AJ297)+1)</f>
        <v/>
      </c>
      <c r="AK298" s="193" t="str">
        <f>IFERROR(INDEX(TAB_ressource[Import Ressource],MATCH(ROW()-ROW($AK$1),TAB_ressource[ID Import ressources],0)),"")</f>
        <v/>
      </c>
      <c r="AN298" s="26">
        <f t="shared" si="16"/>
        <v>0</v>
      </c>
      <c r="BD298" t="s">
        <v>1504</v>
      </c>
      <c r="BE298" t="s">
        <v>1505</v>
      </c>
      <c r="BF298" t="s">
        <v>1506</v>
      </c>
      <c r="BG298" t="s">
        <v>1504</v>
      </c>
    </row>
    <row r="299" spans="13:59" x14ac:dyDescent="0.25">
      <c r="M299" t="str">
        <f>_xlfn.IFNA(IF(VLOOKUP(TAB_Offres[[#This Row],[Reference]],TAB_Offres[[Reference]:[Request State]],COLUMNS(TAB_Offres[[Reference]:[Request State]]),FALSE)=D$6,TAB_Offres[[#This Row],[Reference]],""),"")</f>
        <v/>
      </c>
      <c r="N299" t="str">
        <f>_xlfn.IFNA(IF(VLOOKUP(TAB_Offres[[#This Row],[Reference]],TAB_Offres[[Reference]:[Has Expenses?]],COLUMNS(TAB_Offres[[Reference]:[Has Expenses?]]),FALSE)=J$2,TAB_Offres[[#This Row],[Reference]],""),"")</f>
        <v/>
      </c>
      <c r="O299" t="str">
        <f>IF(Tableau19[[#This Row],[EXPENSES_REF]]="","",MAX(O$1:O298)+1)</f>
        <v/>
      </c>
      <c r="P299" t="str">
        <f t="shared" si="15"/>
        <v/>
      </c>
      <c r="R299" s="635" t="s">
        <v>6184</v>
      </c>
      <c r="S299" s="637">
        <v>272.02999999999997</v>
      </c>
      <c r="T299" s="638">
        <v>291.07</v>
      </c>
      <c r="U299" s="638">
        <v>311.44</v>
      </c>
      <c r="V299" s="638">
        <v>333.24</v>
      </c>
      <c r="W299" s="638">
        <v>356.57</v>
      </c>
      <c r="X299" s="638">
        <v>381.53</v>
      </c>
      <c r="Y299" s="638">
        <v>408.24</v>
      </c>
      <c r="Z299" s="638">
        <v>436.82</v>
      </c>
      <c r="AA299" s="638">
        <v>467.4</v>
      </c>
      <c r="AB299" s="638">
        <v>500.12</v>
      </c>
      <c r="AC299" s="638">
        <v>535.13</v>
      </c>
      <c r="AD299" s="112"/>
      <c r="AI299" s="191" t="str">
        <f>IFERROR(_xlfn.SINGLE(
IF(_xlfn.SINGLE(INDEX(TAB_Offres[Ressource 1],ROWS(Params!AI$2:$AI299)))=0,NA(),
INDEX(TAB_Offres[Ressource 1],ROWS(Params!AI$2:$AI299)))),
IFERROR(_xlfn.SINGLE(IF(_xlfn.SINGLE(INDEX(#REF!,ROWS(Params!AI$2:$AI299)-COUNTA(TAB_Offres[Ressource 1])))=0,NA(),
INDEX(#REF!,ROWS(Params!AI$2:$AI299)-COUNTA(TAB_Offres[Ressource 1])))),
IFERROR(_xlfn.SINGLE(IF(_xlfn.SINGLE(INDEX(#REF!,ROWS(Params!AI$2:$AI299)-COUNTA(#REF!)-COUNTA(TAB_Offres[Ressource 1])))=0,NA(),
INDEX(#REF!,ROWS(Params!AI$2:$AI299)-COUNTA(#REF!)-COUNTA(TAB_Offres[Ressource 1])))),""))
)</f>
        <v/>
      </c>
      <c r="AJ299" s="192" t="str">
        <f>IF(TAB_ressource[[#This Row],[Import Ressource]]="","",MAX(AJ$1:AJ298)+1)</f>
        <v/>
      </c>
      <c r="AK299" s="193" t="str">
        <f>IFERROR(INDEX(TAB_ressource[Import Ressource],MATCH(ROW()-ROW($AK$1),TAB_ressource[ID Import ressources],0)),"")</f>
        <v/>
      </c>
      <c r="AN299" s="26">
        <f t="shared" si="16"/>
        <v>0</v>
      </c>
      <c r="BD299" t="s">
        <v>1507</v>
      </c>
      <c r="BE299" t="s">
        <v>1508</v>
      </c>
      <c r="BF299" t="s">
        <v>1509</v>
      </c>
      <c r="BG299" t="s">
        <v>1507</v>
      </c>
    </row>
    <row r="300" spans="13:59" x14ac:dyDescent="0.25">
      <c r="M300" t="str">
        <f>_xlfn.IFNA(IF(VLOOKUP(TAB_Offres[[#This Row],[Reference]],TAB_Offres[[Reference]:[Request State]],COLUMNS(TAB_Offres[[Reference]:[Request State]]),FALSE)=D$6,TAB_Offres[[#This Row],[Reference]],""),"")</f>
        <v/>
      </c>
      <c r="N300" t="str">
        <f>_xlfn.IFNA(IF(VLOOKUP(TAB_Offres[[#This Row],[Reference]],TAB_Offres[[Reference]:[Has Expenses?]],COLUMNS(TAB_Offres[[Reference]:[Has Expenses?]]),FALSE)=J$2,TAB_Offres[[#This Row],[Reference]],""),"")</f>
        <v/>
      </c>
      <c r="O300" t="str">
        <f>IF(Tableau19[[#This Row],[EXPENSES_REF]]="","",MAX(O$1:O299)+1)</f>
        <v/>
      </c>
      <c r="P300" t="str">
        <f t="shared" si="15"/>
        <v/>
      </c>
      <c r="R300" s="635" t="s">
        <v>6185</v>
      </c>
      <c r="S300" s="637">
        <v>323.85000000000002</v>
      </c>
      <c r="T300" s="638">
        <v>346.52</v>
      </c>
      <c r="U300" s="638">
        <v>370.78</v>
      </c>
      <c r="V300" s="638">
        <v>396.73</v>
      </c>
      <c r="W300" s="638">
        <v>424.5</v>
      </c>
      <c r="X300" s="638">
        <v>454.22</v>
      </c>
      <c r="Y300" s="638">
        <v>486.02</v>
      </c>
      <c r="Z300" s="638">
        <v>520.04</v>
      </c>
      <c r="AA300" s="638">
        <v>556.44000000000005</v>
      </c>
      <c r="AB300" s="638">
        <v>595.39</v>
      </c>
      <c r="AC300" s="638">
        <v>637.07000000000005</v>
      </c>
      <c r="AD300" s="112"/>
      <c r="AI300" s="191" t="str">
        <f>IFERROR(_xlfn.SINGLE(
IF(_xlfn.SINGLE(INDEX(TAB_Offres[Ressource 1],ROWS(Params!AI$2:$AI300)))=0,NA(),
INDEX(TAB_Offres[Ressource 1],ROWS(Params!AI$2:$AI300)))),
IFERROR(_xlfn.SINGLE(IF(_xlfn.SINGLE(INDEX(#REF!,ROWS(Params!AI$2:$AI300)-COUNTA(TAB_Offres[Ressource 1])))=0,NA(),
INDEX(#REF!,ROWS(Params!AI$2:$AI300)-COUNTA(TAB_Offres[Ressource 1])))),
IFERROR(_xlfn.SINGLE(IF(_xlfn.SINGLE(INDEX(#REF!,ROWS(Params!AI$2:$AI300)-COUNTA(#REF!)-COUNTA(TAB_Offres[Ressource 1])))=0,NA(),
INDEX(#REF!,ROWS(Params!AI$2:$AI300)-COUNTA(#REF!)-COUNTA(TAB_Offres[Ressource 1])))),""))
)</f>
        <v/>
      </c>
      <c r="AJ300" s="192" t="str">
        <f>IF(TAB_ressource[[#This Row],[Import Ressource]]="","",MAX(AJ$1:AJ299)+1)</f>
        <v/>
      </c>
      <c r="AK300" s="193" t="str">
        <f>IFERROR(INDEX(TAB_ressource[Import Ressource],MATCH(ROW()-ROW($AK$1),TAB_ressource[ID Import ressources],0)),"")</f>
        <v/>
      </c>
      <c r="AN300" s="26">
        <f t="shared" si="16"/>
        <v>0</v>
      </c>
      <c r="BD300" t="s">
        <v>1510</v>
      </c>
      <c r="BE300" t="s">
        <v>1511</v>
      </c>
      <c r="BF300" t="s">
        <v>1512</v>
      </c>
      <c r="BG300" t="s">
        <v>1510</v>
      </c>
    </row>
    <row r="301" spans="13:59" x14ac:dyDescent="0.25">
      <c r="M301" t="str">
        <f>_xlfn.IFNA(IF(VLOOKUP(TAB_Offres[[#This Row],[Reference]],TAB_Offres[[Reference]:[Request State]],COLUMNS(TAB_Offres[[Reference]:[Request State]]),FALSE)=D$6,TAB_Offres[[#This Row],[Reference]],""),"")</f>
        <v/>
      </c>
      <c r="N301" t="str">
        <f>_xlfn.IFNA(IF(VLOOKUP(TAB_Offres[[#This Row],[Reference]],TAB_Offres[[Reference]:[Has Expenses?]],COLUMNS(TAB_Offres[[Reference]:[Has Expenses?]]),FALSE)=J$2,TAB_Offres[[#This Row],[Reference]],""),"")</f>
        <v/>
      </c>
      <c r="O301" t="str">
        <f>IF(Tableau19[[#This Row],[EXPENSES_REF]]="","",MAX(O$1:O300)+1)</f>
        <v/>
      </c>
      <c r="P301" t="str">
        <f t="shared" si="15"/>
        <v/>
      </c>
      <c r="R301" s="635" t="s">
        <v>6186</v>
      </c>
      <c r="S301" s="637">
        <v>294.7</v>
      </c>
      <c r="T301" s="638">
        <v>315.33</v>
      </c>
      <c r="U301" s="638">
        <v>337.4</v>
      </c>
      <c r="V301" s="638">
        <v>361.02</v>
      </c>
      <c r="W301" s="638">
        <v>386.29</v>
      </c>
      <c r="X301" s="638">
        <v>413.33</v>
      </c>
      <c r="Y301" s="638">
        <v>442.26</v>
      </c>
      <c r="Z301" s="638">
        <v>473.22</v>
      </c>
      <c r="AA301" s="638">
        <v>506.35</v>
      </c>
      <c r="AB301" s="638">
        <v>541.79</v>
      </c>
      <c r="AC301" s="638">
        <v>579.72</v>
      </c>
      <c r="AD301" s="112"/>
      <c r="AI301" s="191" t="str">
        <f>IFERROR(_xlfn.SINGLE(
IF(_xlfn.SINGLE(INDEX(TAB_Offres[Ressource 1],ROWS(Params!AI$2:$AI301)))=0,NA(),
INDEX(TAB_Offres[Ressource 1],ROWS(Params!AI$2:$AI301)))),
IFERROR(_xlfn.SINGLE(IF(_xlfn.SINGLE(INDEX(#REF!,ROWS(Params!AI$2:$AI301)-COUNTA(TAB_Offres[Ressource 1])))=0,NA(),
INDEX(#REF!,ROWS(Params!AI$2:$AI301)-COUNTA(TAB_Offres[Ressource 1])))),
IFERROR(_xlfn.SINGLE(IF(_xlfn.SINGLE(INDEX(#REF!,ROWS(Params!AI$2:$AI301)-COUNTA(#REF!)-COUNTA(TAB_Offres[Ressource 1])))=0,NA(),
INDEX(#REF!,ROWS(Params!AI$2:$AI301)-COUNTA(#REF!)-COUNTA(TAB_Offres[Ressource 1])))),""))
)</f>
        <v/>
      </c>
      <c r="AJ301" s="192" t="str">
        <f>IF(TAB_ressource[[#This Row],[Import Ressource]]="","",MAX(AJ$1:AJ300)+1)</f>
        <v/>
      </c>
      <c r="AK301" s="193" t="str">
        <f>IFERROR(INDEX(TAB_ressource[Import Ressource],MATCH(ROW()-ROW($AK$1),TAB_ressource[ID Import ressources],0)),"")</f>
        <v/>
      </c>
      <c r="AN301" s="26">
        <f t="shared" si="16"/>
        <v>0</v>
      </c>
      <c r="BD301" t="s">
        <v>1513</v>
      </c>
      <c r="BE301" t="s">
        <v>1514</v>
      </c>
      <c r="BF301" t="s">
        <v>1515</v>
      </c>
      <c r="BG301" t="s">
        <v>1513</v>
      </c>
    </row>
    <row r="302" spans="13:59" x14ac:dyDescent="0.25">
      <c r="M302" t="str">
        <f>_xlfn.IFNA(IF(VLOOKUP(TAB_Offres[[#This Row],[Reference]],TAB_Offres[[Reference]:[Request State]],COLUMNS(TAB_Offres[[Reference]:[Request State]]),FALSE)=D$6,TAB_Offres[[#This Row],[Reference]],""),"")</f>
        <v/>
      </c>
      <c r="N302" t="str">
        <f>_xlfn.IFNA(IF(VLOOKUP(TAB_Offres[[#This Row],[Reference]],TAB_Offres[[Reference]:[Has Expenses?]],COLUMNS(TAB_Offres[[Reference]:[Has Expenses?]]),FALSE)=J$2,TAB_Offres[[#This Row],[Reference]],""),"")</f>
        <v/>
      </c>
      <c r="O302" t="str">
        <f>IF(Tableau19[[#This Row],[EXPENSES_REF]]="","",MAX(O$1:O301)+1)</f>
        <v/>
      </c>
      <c r="P302" t="str">
        <f t="shared" si="15"/>
        <v/>
      </c>
      <c r="R302" s="635" t="s">
        <v>6187</v>
      </c>
      <c r="S302" s="637">
        <v>302.26</v>
      </c>
      <c r="T302" s="638">
        <v>323.42</v>
      </c>
      <c r="U302" s="638">
        <v>346.06</v>
      </c>
      <c r="V302" s="638">
        <v>370.28</v>
      </c>
      <c r="W302" s="638">
        <v>396.2</v>
      </c>
      <c r="X302" s="638">
        <v>423.93</v>
      </c>
      <c r="Y302" s="638">
        <v>453.61</v>
      </c>
      <c r="Z302" s="638">
        <v>485.36</v>
      </c>
      <c r="AA302" s="638">
        <v>519.34</v>
      </c>
      <c r="AB302" s="638">
        <v>555.69000000000005</v>
      </c>
      <c r="AC302" s="638">
        <v>594.59</v>
      </c>
      <c r="AD302" s="112"/>
      <c r="AI302" s="191" t="str">
        <f>IFERROR(_xlfn.SINGLE(
IF(_xlfn.SINGLE(INDEX(TAB_Offres[Ressource 1],ROWS(Params!AI$2:$AI302)))=0,NA(),
INDEX(TAB_Offres[Ressource 1],ROWS(Params!AI$2:$AI302)))),
IFERROR(_xlfn.SINGLE(IF(_xlfn.SINGLE(INDEX(#REF!,ROWS(Params!AI$2:$AI302)-COUNTA(TAB_Offres[Ressource 1])))=0,NA(),
INDEX(#REF!,ROWS(Params!AI$2:$AI302)-COUNTA(TAB_Offres[Ressource 1])))),
IFERROR(_xlfn.SINGLE(IF(_xlfn.SINGLE(INDEX(#REF!,ROWS(Params!AI$2:$AI302)-COUNTA(#REF!)-COUNTA(TAB_Offres[Ressource 1])))=0,NA(),
INDEX(#REF!,ROWS(Params!AI$2:$AI302)-COUNTA(#REF!)-COUNTA(TAB_Offres[Ressource 1])))),""))
)</f>
        <v/>
      </c>
      <c r="AJ302" s="192" t="str">
        <f>IF(TAB_ressource[[#This Row],[Import Ressource]]="","",MAX(AJ$1:AJ301)+1)</f>
        <v/>
      </c>
      <c r="AK302" s="193" t="str">
        <f>IFERROR(INDEX(TAB_ressource[Import Ressource],MATCH(ROW()-ROW($AK$1),TAB_ressource[ID Import ressources],0)),"")</f>
        <v/>
      </c>
      <c r="AN302" s="26">
        <f t="shared" si="16"/>
        <v>0</v>
      </c>
      <c r="BD302" t="s">
        <v>1516</v>
      </c>
      <c r="BE302" t="s">
        <v>1517</v>
      </c>
      <c r="BF302" t="s">
        <v>1518</v>
      </c>
      <c r="BG302" t="s">
        <v>1516</v>
      </c>
    </row>
    <row r="303" spans="13:59" x14ac:dyDescent="0.25">
      <c r="M303" t="str">
        <f>_xlfn.IFNA(IF(VLOOKUP(TAB_Offres[[#This Row],[Reference]],TAB_Offres[[Reference]:[Request State]],COLUMNS(TAB_Offres[[Reference]:[Request State]]),FALSE)=D$6,TAB_Offres[[#This Row],[Reference]],""),"")</f>
        <v/>
      </c>
      <c r="N303" t="str">
        <f>_xlfn.IFNA(IF(VLOOKUP(TAB_Offres[[#This Row],[Reference]],TAB_Offres[[Reference]:[Has Expenses?]],COLUMNS(TAB_Offres[[Reference]:[Has Expenses?]]),FALSE)=J$2,TAB_Offres[[#This Row],[Reference]],""),"")</f>
        <v/>
      </c>
      <c r="O303" t="str">
        <f>IF(Tableau19[[#This Row],[EXPENSES_REF]]="","",MAX(O$1:O302)+1)</f>
        <v/>
      </c>
      <c r="P303" t="str">
        <f t="shared" si="15"/>
        <v/>
      </c>
      <c r="R303" s="635" t="s">
        <v>6188</v>
      </c>
      <c r="S303" s="637">
        <v>272.02999999999997</v>
      </c>
      <c r="T303" s="638">
        <v>291.07</v>
      </c>
      <c r="U303" s="638">
        <v>311.44</v>
      </c>
      <c r="V303" s="638">
        <v>333.24</v>
      </c>
      <c r="W303" s="638">
        <v>356.57</v>
      </c>
      <c r="X303" s="638">
        <v>381.53</v>
      </c>
      <c r="Y303" s="638">
        <v>408.24</v>
      </c>
      <c r="Z303" s="638">
        <v>436.82</v>
      </c>
      <c r="AA303" s="638">
        <v>467.4</v>
      </c>
      <c r="AB303" s="638">
        <v>500.12</v>
      </c>
      <c r="AC303" s="638">
        <v>535.13</v>
      </c>
      <c r="AD303" s="112"/>
      <c r="AI303" s="191" t="str">
        <f>IFERROR(_xlfn.SINGLE(
IF(_xlfn.SINGLE(INDEX(TAB_Offres[Ressource 1],ROWS(Params!AI$2:$AI303)))=0,NA(),
INDEX(TAB_Offres[Ressource 1],ROWS(Params!AI$2:$AI303)))),
IFERROR(_xlfn.SINGLE(IF(_xlfn.SINGLE(INDEX(#REF!,ROWS(Params!AI$2:$AI303)-COUNTA(TAB_Offres[Ressource 1])))=0,NA(),
INDEX(#REF!,ROWS(Params!AI$2:$AI303)-COUNTA(TAB_Offres[Ressource 1])))),
IFERROR(_xlfn.SINGLE(IF(_xlfn.SINGLE(INDEX(#REF!,ROWS(Params!AI$2:$AI303)-COUNTA(#REF!)-COUNTA(TAB_Offres[Ressource 1])))=0,NA(),
INDEX(#REF!,ROWS(Params!AI$2:$AI303)-COUNTA(#REF!)-COUNTA(TAB_Offres[Ressource 1])))),""))
)</f>
        <v/>
      </c>
      <c r="AJ303" s="192" t="str">
        <f>IF(TAB_ressource[[#This Row],[Import Ressource]]="","",MAX(AJ$1:AJ302)+1)</f>
        <v/>
      </c>
      <c r="AK303" s="193" t="str">
        <f>IFERROR(INDEX(TAB_ressource[Import Ressource],MATCH(ROW()-ROW($AK$1),TAB_ressource[ID Import ressources],0)),"")</f>
        <v/>
      </c>
      <c r="AN303" s="26">
        <f t="shared" si="16"/>
        <v>0</v>
      </c>
      <c r="BD303" t="s">
        <v>1519</v>
      </c>
      <c r="BE303" t="s">
        <v>1520</v>
      </c>
      <c r="BF303" t="s">
        <v>1521</v>
      </c>
      <c r="BG303" t="s">
        <v>1519</v>
      </c>
    </row>
    <row r="304" spans="13:59" x14ac:dyDescent="0.25">
      <c r="M304" t="str">
        <f>_xlfn.IFNA(IF(VLOOKUP(TAB_Offres[[#This Row],[Reference]],TAB_Offres[[Reference]:[Request State]],COLUMNS(TAB_Offres[[Reference]:[Request State]]),FALSE)=D$6,TAB_Offres[[#This Row],[Reference]],""),"")</f>
        <v/>
      </c>
      <c r="N304" t="str">
        <f>_xlfn.IFNA(IF(VLOOKUP(TAB_Offres[[#This Row],[Reference]],TAB_Offres[[Reference]:[Has Expenses?]],COLUMNS(TAB_Offres[[Reference]:[Has Expenses?]]),FALSE)=J$2,TAB_Offres[[#This Row],[Reference]],""),"")</f>
        <v/>
      </c>
      <c r="O304" t="str">
        <f>IF(Tableau19[[#This Row],[EXPENSES_REF]]="","",MAX(O$1:O303)+1)</f>
        <v/>
      </c>
      <c r="P304" t="str">
        <f t="shared" si="15"/>
        <v/>
      </c>
      <c r="R304" s="635" t="s">
        <v>6189</v>
      </c>
      <c r="S304" s="637">
        <v>272.02999999999997</v>
      </c>
      <c r="T304" s="638">
        <v>291.07</v>
      </c>
      <c r="U304" s="638">
        <v>311.44</v>
      </c>
      <c r="V304" s="638">
        <v>333.24</v>
      </c>
      <c r="W304" s="638">
        <v>356.57</v>
      </c>
      <c r="X304" s="638">
        <v>381.53</v>
      </c>
      <c r="Y304" s="638">
        <v>408.24</v>
      </c>
      <c r="Z304" s="638">
        <v>436.82</v>
      </c>
      <c r="AA304" s="638">
        <v>467.4</v>
      </c>
      <c r="AB304" s="638">
        <v>500.12</v>
      </c>
      <c r="AC304" s="638">
        <v>535.13</v>
      </c>
      <c r="AD304" s="112"/>
      <c r="AI304" s="191" t="str">
        <f>IFERROR(_xlfn.SINGLE(
IF(_xlfn.SINGLE(INDEX(TAB_Offres[Ressource 1],ROWS(Params!AI$2:$AI304)))=0,NA(),
INDEX(TAB_Offres[Ressource 1],ROWS(Params!AI$2:$AI304)))),
IFERROR(_xlfn.SINGLE(IF(_xlfn.SINGLE(INDEX(#REF!,ROWS(Params!AI$2:$AI304)-COUNTA(TAB_Offres[Ressource 1])))=0,NA(),
INDEX(#REF!,ROWS(Params!AI$2:$AI304)-COUNTA(TAB_Offres[Ressource 1])))),
IFERROR(_xlfn.SINGLE(IF(_xlfn.SINGLE(INDEX(#REF!,ROWS(Params!AI$2:$AI304)-COUNTA(#REF!)-COUNTA(TAB_Offres[Ressource 1])))=0,NA(),
INDEX(#REF!,ROWS(Params!AI$2:$AI304)-COUNTA(#REF!)-COUNTA(TAB_Offres[Ressource 1])))),""))
)</f>
        <v/>
      </c>
      <c r="AJ304" s="192" t="str">
        <f>IF(TAB_ressource[[#This Row],[Import Ressource]]="","",MAX(AJ$1:AJ303)+1)</f>
        <v/>
      </c>
      <c r="AK304" s="193" t="str">
        <f>IFERROR(INDEX(TAB_ressource[Import Ressource],MATCH(ROW()-ROW($AK$1),TAB_ressource[ID Import ressources],0)),"")</f>
        <v/>
      </c>
      <c r="AN304" s="26">
        <f t="shared" si="16"/>
        <v>0</v>
      </c>
      <c r="BD304" t="s">
        <v>1522</v>
      </c>
      <c r="BE304" t="s">
        <v>1523</v>
      </c>
      <c r="BF304" t="s">
        <v>1524</v>
      </c>
      <c r="BG304" t="s">
        <v>1522</v>
      </c>
    </row>
    <row r="305" spans="13:59" x14ac:dyDescent="0.25">
      <c r="M305" t="str">
        <f>_xlfn.IFNA(IF(VLOOKUP(TAB_Offres[[#This Row],[Reference]],TAB_Offres[[Reference]:[Request State]],COLUMNS(TAB_Offres[[Reference]:[Request State]]),FALSE)=D$6,TAB_Offres[[#This Row],[Reference]],""),"")</f>
        <v/>
      </c>
      <c r="N305" t="str">
        <f>_xlfn.IFNA(IF(VLOOKUP(TAB_Offres[[#This Row],[Reference]],TAB_Offres[[Reference]:[Has Expenses?]],COLUMNS(TAB_Offres[[Reference]:[Has Expenses?]]),FALSE)=J$2,TAB_Offres[[#This Row],[Reference]],""),"")</f>
        <v/>
      </c>
      <c r="O305" t="str">
        <f>IF(Tableau19[[#This Row],[EXPENSES_REF]]="","",MAX(O$1:O304)+1)</f>
        <v/>
      </c>
      <c r="P305" t="str">
        <f t="shared" si="15"/>
        <v/>
      </c>
      <c r="R305" s="635" t="s">
        <v>6190</v>
      </c>
      <c r="S305" s="637">
        <v>272.02999999999997</v>
      </c>
      <c r="T305" s="638">
        <v>291.07</v>
      </c>
      <c r="U305" s="638">
        <v>311.44</v>
      </c>
      <c r="V305" s="638">
        <v>333.24</v>
      </c>
      <c r="W305" s="638">
        <v>356.57</v>
      </c>
      <c r="X305" s="638">
        <v>381.53</v>
      </c>
      <c r="Y305" s="638">
        <v>408.24</v>
      </c>
      <c r="Z305" s="638">
        <v>436.82</v>
      </c>
      <c r="AA305" s="638">
        <v>467.4</v>
      </c>
      <c r="AB305" s="638">
        <v>500.12</v>
      </c>
      <c r="AC305" s="638">
        <v>535.13</v>
      </c>
      <c r="AD305" s="112"/>
      <c r="AI305" s="191" t="str">
        <f>IFERROR(_xlfn.SINGLE(
IF(_xlfn.SINGLE(INDEX(TAB_Offres[Ressource 1],ROWS(Params!AI$2:$AI305)))=0,NA(),
INDEX(TAB_Offres[Ressource 1],ROWS(Params!AI$2:$AI305)))),
IFERROR(_xlfn.SINGLE(IF(_xlfn.SINGLE(INDEX(#REF!,ROWS(Params!AI$2:$AI305)-COUNTA(TAB_Offres[Ressource 1])))=0,NA(),
INDEX(#REF!,ROWS(Params!AI$2:$AI305)-COUNTA(TAB_Offres[Ressource 1])))),
IFERROR(_xlfn.SINGLE(IF(_xlfn.SINGLE(INDEX(#REF!,ROWS(Params!AI$2:$AI305)-COUNTA(#REF!)-COUNTA(TAB_Offres[Ressource 1])))=0,NA(),
INDEX(#REF!,ROWS(Params!AI$2:$AI305)-COUNTA(#REF!)-COUNTA(TAB_Offres[Ressource 1])))),""))
)</f>
        <v/>
      </c>
      <c r="AJ305" s="192" t="str">
        <f>IF(TAB_ressource[[#This Row],[Import Ressource]]="","",MAX(AJ$1:AJ304)+1)</f>
        <v/>
      </c>
      <c r="AK305" s="193" t="str">
        <f>IFERROR(INDEX(TAB_ressource[Import Ressource],MATCH(ROW()-ROW($AK$1),TAB_ressource[ID Import ressources],0)),"")</f>
        <v/>
      </c>
      <c r="AN305" s="26">
        <f t="shared" si="16"/>
        <v>0</v>
      </c>
      <c r="BD305" t="s">
        <v>1525</v>
      </c>
      <c r="BE305" t="s">
        <v>1526</v>
      </c>
      <c r="BF305" t="s">
        <v>1527</v>
      </c>
      <c r="BG305" t="s">
        <v>1525</v>
      </c>
    </row>
    <row r="306" spans="13:59" ht="26.4" x14ac:dyDescent="0.25">
      <c r="M306" t="str">
        <f>_xlfn.IFNA(IF(VLOOKUP(TAB_Offres[[#This Row],[Reference]],TAB_Offres[[Reference]:[Request State]],COLUMNS(TAB_Offres[[Reference]:[Request State]]),FALSE)=D$6,TAB_Offres[[#This Row],[Reference]],""),"")</f>
        <v/>
      </c>
      <c r="N306" t="str">
        <f>_xlfn.IFNA(IF(VLOOKUP(TAB_Offres[[#This Row],[Reference]],TAB_Offres[[Reference]:[Has Expenses?]],COLUMNS(TAB_Offres[[Reference]:[Has Expenses?]]),FALSE)=J$2,TAB_Offres[[#This Row],[Reference]],""),"")</f>
        <v/>
      </c>
      <c r="O306" t="str">
        <f>IF(Tableau19[[#This Row],[EXPENSES_REF]]="","",MAX(O$1:O305)+1)</f>
        <v/>
      </c>
      <c r="P306" t="str">
        <f t="shared" si="15"/>
        <v/>
      </c>
      <c r="R306" s="635" t="s">
        <v>6191</v>
      </c>
      <c r="S306" s="637">
        <v>272.02999999999997</v>
      </c>
      <c r="T306" s="638">
        <v>291.07</v>
      </c>
      <c r="U306" s="638">
        <v>311.44</v>
      </c>
      <c r="V306" s="638">
        <v>333.24</v>
      </c>
      <c r="W306" s="638">
        <v>356.57</v>
      </c>
      <c r="X306" s="638">
        <v>381.53</v>
      </c>
      <c r="Y306" s="638">
        <v>408.24</v>
      </c>
      <c r="Z306" s="638">
        <v>436.82</v>
      </c>
      <c r="AA306" s="638">
        <v>467.4</v>
      </c>
      <c r="AB306" s="638">
        <v>500.12</v>
      </c>
      <c r="AC306" s="638">
        <v>535.13</v>
      </c>
      <c r="AD306" s="112"/>
      <c r="AI306" s="191" t="str">
        <f>IFERROR(_xlfn.SINGLE(
IF(_xlfn.SINGLE(INDEX(TAB_Offres[Ressource 1],ROWS(Params!AI$2:$AI306)))=0,NA(),
INDEX(TAB_Offres[Ressource 1],ROWS(Params!AI$2:$AI306)))),
IFERROR(_xlfn.SINGLE(IF(_xlfn.SINGLE(INDEX(#REF!,ROWS(Params!AI$2:$AI306)-COUNTA(TAB_Offres[Ressource 1])))=0,NA(),
INDEX(#REF!,ROWS(Params!AI$2:$AI306)-COUNTA(TAB_Offres[Ressource 1])))),
IFERROR(_xlfn.SINGLE(IF(_xlfn.SINGLE(INDEX(#REF!,ROWS(Params!AI$2:$AI306)-COUNTA(#REF!)-COUNTA(TAB_Offres[Ressource 1])))=0,NA(),
INDEX(#REF!,ROWS(Params!AI$2:$AI306)-COUNTA(#REF!)-COUNTA(TAB_Offres[Ressource 1])))),""))
)</f>
        <v/>
      </c>
      <c r="AJ306" s="192" t="str">
        <f>IF(TAB_ressource[[#This Row],[Import Ressource]]="","",MAX(AJ$1:AJ305)+1)</f>
        <v/>
      </c>
      <c r="AK306" s="193" t="str">
        <f>IFERROR(INDEX(TAB_ressource[Import Ressource],MATCH(ROW()-ROW($AK$1),TAB_ressource[ID Import ressources],0)),"")</f>
        <v/>
      </c>
      <c r="AN306" s="26">
        <f t="shared" si="16"/>
        <v>0</v>
      </c>
      <c r="BD306" t="s">
        <v>1528</v>
      </c>
      <c r="BE306" t="s">
        <v>1529</v>
      </c>
      <c r="BF306" t="s">
        <v>1530</v>
      </c>
      <c r="BG306" t="s">
        <v>1528</v>
      </c>
    </row>
    <row r="307" spans="13:59" x14ac:dyDescent="0.25">
      <c r="M307" t="str">
        <f>_xlfn.IFNA(IF(VLOOKUP(TAB_Offres[[#This Row],[Reference]],TAB_Offres[[Reference]:[Request State]],COLUMNS(TAB_Offres[[Reference]:[Request State]]),FALSE)=D$6,TAB_Offres[[#This Row],[Reference]],""),"")</f>
        <v/>
      </c>
      <c r="N307" t="str">
        <f>_xlfn.IFNA(IF(VLOOKUP(TAB_Offres[[#This Row],[Reference]],TAB_Offres[[Reference]:[Has Expenses?]],COLUMNS(TAB_Offres[[Reference]:[Has Expenses?]]),FALSE)=J$2,TAB_Offres[[#This Row],[Reference]],""),"")</f>
        <v/>
      </c>
      <c r="O307" t="str">
        <f>IF(Tableau19[[#This Row],[EXPENSES_REF]]="","",MAX(O$1:O306)+1)</f>
        <v/>
      </c>
      <c r="P307" t="str">
        <f t="shared" si="15"/>
        <v/>
      </c>
      <c r="R307" s="635" t="s">
        <v>6192</v>
      </c>
      <c r="S307" s="637">
        <v>272.02999999999997</v>
      </c>
      <c r="T307" s="638">
        <v>291.07</v>
      </c>
      <c r="U307" s="638">
        <v>311.44</v>
      </c>
      <c r="V307" s="638">
        <v>333.24</v>
      </c>
      <c r="W307" s="638">
        <v>356.57</v>
      </c>
      <c r="X307" s="638">
        <v>381.53</v>
      </c>
      <c r="Y307" s="638">
        <v>408.24</v>
      </c>
      <c r="Z307" s="638">
        <v>436.82</v>
      </c>
      <c r="AA307" s="638">
        <v>467.4</v>
      </c>
      <c r="AB307" s="638">
        <v>500.12</v>
      </c>
      <c r="AC307" s="638">
        <v>535.13</v>
      </c>
      <c r="AD307" s="112"/>
      <c r="AI307" s="191" t="str">
        <f>IFERROR(_xlfn.SINGLE(
IF(_xlfn.SINGLE(INDEX(TAB_Offres[Ressource 1],ROWS(Params!AI$2:$AI307)))=0,NA(),
INDEX(TAB_Offres[Ressource 1],ROWS(Params!AI$2:$AI307)))),
IFERROR(_xlfn.SINGLE(IF(_xlfn.SINGLE(INDEX(#REF!,ROWS(Params!AI$2:$AI307)-COUNTA(TAB_Offres[Ressource 1])))=0,NA(),
INDEX(#REF!,ROWS(Params!AI$2:$AI307)-COUNTA(TAB_Offres[Ressource 1])))),
IFERROR(_xlfn.SINGLE(IF(_xlfn.SINGLE(INDEX(#REF!,ROWS(Params!AI$2:$AI307)-COUNTA(#REF!)-COUNTA(TAB_Offres[Ressource 1])))=0,NA(),
INDEX(#REF!,ROWS(Params!AI$2:$AI307)-COUNTA(#REF!)-COUNTA(TAB_Offres[Ressource 1])))),""))
)</f>
        <v/>
      </c>
      <c r="AJ307" s="192" t="str">
        <f>IF(TAB_ressource[[#This Row],[Import Ressource]]="","",MAX(AJ$1:AJ306)+1)</f>
        <v/>
      </c>
      <c r="AK307" s="193" t="str">
        <f>IFERROR(INDEX(TAB_ressource[Import Ressource],MATCH(ROW()-ROW($AK$1),TAB_ressource[ID Import ressources],0)),"")</f>
        <v/>
      </c>
      <c r="AN307" s="26">
        <f t="shared" si="16"/>
        <v>0</v>
      </c>
      <c r="BD307" t="s">
        <v>1531</v>
      </c>
      <c r="BE307" t="s">
        <v>1532</v>
      </c>
      <c r="BF307" t="s">
        <v>1533</v>
      </c>
      <c r="BG307" t="s">
        <v>1531</v>
      </c>
    </row>
    <row r="308" spans="13:59" ht="26.4" x14ac:dyDescent="0.25">
      <c r="M308" t="str">
        <f>_xlfn.IFNA(IF(VLOOKUP(TAB_Offres[[#This Row],[Reference]],TAB_Offres[[Reference]:[Request State]],COLUMNS(TAB_Offres[[Reference]:[Request State]]),FALSE)=D$6,TAB_Offres[[#This Row],[Reference]],""),"")</f>
        <v/>
      </c>
      <c r="N308" t="str">
        <f>_xlfn.IFNA(IF(VLOOKUP(TAB_Offres[[#This Row],[Reference]],TAB_Offres[[Reference]:[Has Expenses?]],COLUMNS(TAB_Offres[[Reference]:[Has Expenses?]]),FALSE)=J$2,TAB_Offres[[#This Row],[Reference]],""),"")</f>
        <v/>
      </c>
      <c r="O308" t="str">
        <f>IF(Tableau19[[#This Row],[EXPENSES_REF]]="","",MAX(O$1:O307)+1)</f>
        <v/>
      </c>
      <c r="P308" t="str">
        <f t="shared" si="15"/>
        <v/>
      </c>
      <c r="R308" s="635" t="s">
        <v>6193</v>
      </c>
      <c r="S308" s="637">
        <v>272.02999999999997</v>
      </c>
      <c r="T308" s="638">
        <v>291.07</v>
      </c>
      <c r="U308" s="638">
        <v>311.44</v>
      </c>
      <c r="V308" s="638">
        <v>333.24</v>
      </c>
      <c r="W308" s="638">
        <v>356.57</v>
      </c>
      <c r="X308" s="638">
        <v>381.53</v>
      </c>
      <c r="Y308" s="638">
        <v>408.24</v>
      </c>
      <c r="Z308" s="638">
        <v>436.82</v>
      </c>
      <c r="AA308" s="638">
        <v>467.4</v>
      </c>
      <c r="AB308" s="638">
        <v>500.12</v>
      </c>
      <c r="AC308" s="638">
        <v>535.13</v>
      </c>
      <c r="AD308" s="112"/>
      <c r="AI308" s="191" t="str">
        <f>IFERROR(_xlfn.SINGLE(
IF(_xlfn.SINGLE(INDEX(TAB_Offres[Ressource 1],ROWS(Params!AI$2:$AI308)))=0,NA(),
INDEX(TAB_Offres[Ressource 1],ROWS(Params!AI$2:$AI308)))),
IFERROR(_xlfn.SINGLE(IF(_xlfn.SINGLE(INDEX(#REF!,ROWS(Params!AI$2:$AI308)-COUNTA(TAB_Offres[Ressource 1])))=0,NA(),
INDEX(#REF!,ROWS(Params!AI$2:$AI308)-COUNTA(TAB_Offres[Ressource 1])))),
IFERROR(_xlfn.SINGLE(IF(_xlfn.SINGLE(INDEX(#REF!,ROWS(Params!AI$2:$AI308)-COUNTA(#REF!)-COUNTA(TAB_Offres[Ressource 1])))=0,NA(),
INDEX(#REF!,ROWS(Params!AI$2:$AI308)-COUNTA(#REF!)-COUNTA(TAB_Offres[Ressource 1])))),""))
)</f>
        <v/>
      </c>
      <c r="AJ308" s="192" t="str">
        <f>IF(TAB_ressource[[#This Row],[Import Ressource]]="","",MAX(AJ$1:AJ307)+1)</f>
        <v/>
      </c>
      <c r="AK308" s="193" t="str">
        <f>IFERROR(INDEX(TAB_ressource[Import Ressource],MATCH(ROW()-ROW($AK$1),TAB_ressource[ID Import ressources],0)),"")</f>
        <v/>
      </c>
      <c r="AN308" s="26">
        <f t="shared" si="16"/>
        <v>0</v>
      </c>
      <c r="BD308" t="s">
        <v>1534</v>
      </c>
      <c r="BE308" t="s">
        <v>1535</v>
      </c>
      <c r="BF308" t="s">
        <v>1536</v>
      </c>
      <c r="BG308" t="s">
        <v>1534</v>
      </c>
    </row>
    <row r="309" spans="13:59" x14ac:dyDescent="0.25">
      <c r="M309" t="str">
        <f>_xlfn.IFNA(IF(VLOOKUP(TAB_Offres[[#This Row],[Reference]],TAB_Offres[[Reference]:[Request State]],COLUMNS(TAB_Offres[[Reference]:[Request State]]),FALSE)=D$6,TAB_Offres[[#This Row],[Reference]],""),"")</f>
        <v/>
      </c>
      <c r="N309" t="str">
        <f>_xlfn.IFNA(IF(VLOOKUP(TAB_Offres[[#This Row],[Reference]],TAB_Offres[[Reference]:[Has Expenses?]],COLUMNS(TAB_Offres[[Reference]:[Has Expenses?]]),FALSE)=J$2,TAB_Offres[[#This Row],[Reference]],""),"")</f>
        <v/>
      </c>
      <c r="O309" t="str">
        <f>IF(Tableau19[[#This Row],[EXPENSES_REF]]="","",MAX(O$1:O308)+1)</f>
        <v/>
      </c>
      <c r="P309" t="str">
        <f t="shared" si="15"/>
        <v/>
      </c>
      <c r="R309" s="635" t="s">
        <v>6194</v>
      </c>
      <c r="S309" s="637">
        <v>323.85000000000002</v>
      </c>
      <c r="T309" s="638">
        <v>346.52</v>
      </c>
      <c r="U309" s="638">
        <v>370.78</v>
      </c>
      <c r="V309" s="638">
        <v>396.73</v>
      </c>
      <c r="W309" s="638">
        <v>424.5</v>
      </c>
      <c r="X309" s="638">
        <v>454.22</v>
      </c>
      <c r="Y309" s="638">
        <v>486.02</v>
      </c>
      <c r="Z309" s="638">
        <v>520.04</v>
      </c>
      <c r="AA309" s="638">
        <v>556.44000000000005</v>
      </c>
      <c r="AB309" s="638">
        <v>595.39</v>
      </c>
      <c r="AC309" s="638">
        <v>637.07000000000005</v>
      </c>
      <c r="AD309" s="112"/>
      <c r="AI309" s="191" t="str">
        <f>IFERROR(_xlfn.SINGLE(
IF(_xlfn.SINGLE(INDEX(TAB_Offres[Ressource 1],ROWS(Params!AI$2:$AI309)))=0,NA(),
INDEX(TAB_Offres[Ressource 1],ROWS(Params!AI$2:$AI309)))),
IFERROR(_xlfn.SINGLE(IF(_xlfn.SINGLE(INDEX(#REF!,ROWS(Params!AI$2:$AI309)-COUNTA(TAB_Offres[Ressource 1])))=0,NA(),
INDEX(#REF!,ROWS(Params!AI$2:$AI309)-COUNTA(TAB_Offres[Ressource 1])))),
IFERROR(_xlfn.SINGLE(IF(_xlfn.SINGLE(INDEX(#REF!,ROWS(Params!AI$2:$AI309)-COUNTA(#REF!)-COUNTA(TAB_Offres[Ressource 1])))=0,NA(),
INDEX(#REF!,ROWS(Params!AI$2:$AI309)-COUNTA(#REF!)-COUNTA(TAB_Offres[Ressource 1])))),""))
)</f>
        <v/>
      </c>
      <c r="AJ309" s="192" t="str">
        <f>IF(TAB_ressource[[#This Row],[Import Ressource]]="","",MAX(AJ$1:AJ308)+1)</f>
        <v/>
      </c>
      <c r="AK309" s="193" t="str">
        <f>IFERROR(INDEX(TAB_ressource[Import Ressource],MATCH(ROW()-ROW($AK$1),TAB_ressource[ID Import ressources],0)),"")</f>
        <v/>
      </c>
      <c r="AN309" s="26">
        <f t="shared" si="16"/>
        <v>0</v>
      </c>
      <c r="BD309" t="s">
        <v>1537</v>
      </c>
      <c r="BE309" t="s">
        <v>1538</v>
      </c>
      <c r="BF309" t="s">
        <v>1539</v>
      </c>
      <c r="BG309" t="s">
        <v>1537</v>
      </c>
    </row>
    <row r="310" spans="13:59" x14ac:dyDescent="0.25">
      <c r="M310" t="str">
        <f>_xlfn.IFNA(IF(VLOOKUP(TAB_Offres[[#This Row],[Reference]],TAB_Offres[[Reference]:[Request State]],COLUMNS(TAB_Offres[[Reference]:[Request State]]),FALSE)=D$6,TAB_Offres[[#This Row],[Reference]],""),"")</f>
        <v/>
      </c>
      <c r="N310" t="str">
        <f>_xlfn.IFNA(IF(VLOOKUP(TAB_Offres[[#This Row],[Reference]],TAB_Offres[[Reference]:[Has Expenses?]],COLUMNS(TAB_Offres[[Reference]:[Has Expenses?]]),FALSE)=J$2,TAB_Offres[[#This Row],[Reference]],""),"")</f>
        <v/>
      </c>
      <c r="O310" t="str">
        <f>IF(Tableau19[[#This Row],[EXPENSES_REF]]="","",MAX(O$1:O309)+1)</f>
        <v/>
      </c>
      <c r="P310" t="str">
        <f t="shared" si="15"/>
        <v/>
      </c>
      <c r="R310" s="635" t="s">
        <v>6195</v>
      </c>
      <c r="S310" s="637">
        <v>272.02999999999997</v>
      </c>
      <c r="T310" s="638">
        <v>291.07</v>
      </c>
      <c r="U310" s="638">
        <v>311.44</v>
      </c>
      <c r="V310" s="638">
        <v>333.24</v>
      </c>
      <c r="W310" s="638">
        <v>356.57</v>
      </c>
      <c r="X310" s="638">
        <v>381.53</v>
      </c>
      <c r="Y310" s="638">
        <v>408.24</v>
      </c>
      <c r="Z310" s="638">
        <v>436.82</v>
      </c>
      <c r="AA310" s="638">
        <v>467.4</v>
      </c>
      <c r="AB310" s="638">
        <v>500.12</v>
      </c>
      <c r="AC310" s="638">
        <v>535.13</v>
      </c>
      <c r="AD310" s="112"/>
      <c r="AI310" s="191" t="str">
        <f>IFERROR(_xlfn.SINGLE(
IF(_xlfn.SINGLE(INDEX(TAB_Offres[Ressource 1],ROWS(Params!AI$2:$AI310)))=0,NA(),
INDEX(TAB_Offres[Ressource 1],ROWS(Params!AI$2:$AI310)))),
IFERROR(_xlfn.SINGLE(IF(_xlfn.SINGLE(INDEX(#REF!,ROWS(Params!AI$2:$AI310)-COUNTA(TAB_Offres[Ressource 1])))=0,NA(),
INDEX(#REF!,ROWS(Params!AI$2:$AI310)-COUNTA(TAB_Offres[Ressource 1])))),
IFERROR(_xlfn.SINGLE(IF(_xlfn.SINGLE(INDEX(#REF!,ROWS(Params!AI$2:$AI310)-COUNTA(#REF!)-COUNTA(TAB_Offres[Ressource 1])))=0,NA(),
INDEX(#REF!,ROWS(Params!AI$2:$AI310)-COUNTA(#REF!)-COUNTA(TAB_Offres[Ressource 1])))),""))
)</f>
        <v/>
      </c>
      <c r="AJ310" s="192" t="str">
        <f>IF(TAB_ressource[[#This Row],[Import Ressource]]="","",MAX(AJ$1:AJ309)+1)</f>
        <v/>
      </c>
      <c r="AK310" s="193" t="str">
        <f>IFERROR(INDEX(TAB_ressource[Import Ressource],MATCH(ROW()-ROW($AK$1),TAB_ressource[ID Import ressources],0)),"")</f>
        <v/>
      </c>
      <c r="AN310" s="26">
        <f t="shared" si="16"/>
        <v>0</v>
      </c>
      <c r="BD310" t="s">
        <v>1540</v>
      </c>
      <c r="BE310" t="s">
        <v>1541</v>
      </c>
      <c r="BF310" t="s">
        <v>1542</v>
      </c>
      <c r="BG310" t="s">
        <v>1540</v>
      </c>
    </row>
    <row r="311" spans="13:59" x14ac:dyDescent="0.25">
      <c r="M311" t="str">
        <f>_xlfn.IFNA(IF(VLOOKUP(TAB_Offres[[#This Row],[Reference]],TAB_Offres[[Reference]:[Request State]],COLUMNS(TAB_Offres[[Reference]:[Request State]]),FALSE)=D$6,TAB_Offres[[#This Row],[Reference]],""),"")</f>
        <v/>
      </c>
      <c r="N311" t="str">
        <f>_xlfn.IFNA(IF(VLOOKUP(TAB_Offres[[#This Row],[Reference]],TAB_Offres[[Reference]:[Has Expenses?]],COLUMNS(TAB_Offres[[Reference]:[Has Expenses?]]),FALSE)=J$2,TAB_Offres[[#This Row],[Reference]],""),"")</f>
        <v/>
      </c>
      <c r="O311" t="str">
        <f>IF(Tableau19[[#This Row],[EXPENSES_REF]]="","",MAX(O$1:O310)+1)</f>
        <v/>
      </c>
      <c r="P311" t="str">
        <f t="shared" si="15"/>
        <v/>
      </c>
      <c r="R311" s="635" t="s">
        <v>6196</v>
      </c>
      <c r="S311" s="637">
        <v>323.85000000000002</v>
      </c>
      <c r="T311" s="638">
        <v>346.52</v>
      </c>
      <c r="U311" s="638">
        <v>370.78</v>
      </c>
      <c r="V311" s="638">
        <v>396.73</v>
      </c>
      <c r="W311" s="638">
        <v>424.5</v>
      </c>
      <c r="X311" s="638">
        <v>454.22</v>
      </c>
      <c r="Y311" s="638">
        <v>486.02</v>
      </c>
      <c r="Z311" s="638">
        <v>520.04</v>
      </c>
      <c r="AA311" s="638">
        <v>556.44000000000005</v>
      </c>
      <c r="AB311" s="638">
        <v>595.39</v>
      </c>
      <c r="AC311" s="638">
        <v>637.07000000000005</v>
      </c>
      <c r="AD311" s="112"/>
      <c r="AI311" s="191" t="str">
        <f>IFERROR(_xlfn.SINGLE(
IF(_xlfn.SINGLE(INDEX(TAB_Offres[Ressource 1],ROWS(Params!AI$2:$AI311)))=0,NA(),
INDEX(TAB_Offres[Ressource 1],ROWS(Params!AI$2:$AI311)))),
IFERROR(_xlfn.SINGLE(IF(_xlfn.SINGLE(INDEX(#REF!,ROWS(Params!AI$2:$AI311)-COUNTA(TAB_Offres[Ressource 1])))=0,NA(),
INDEX(#REF!,ROWS(Params!AI$2:$AI311)-COUNTA(TAB_Offres[Ressource 1])))),
IFERROR(_xlfn.SINGLE(IF(_xlfn.SINGLE(INDEX(#REF!,ROWS(Params!AI$2:$AI311)-COUNTA(#REF!)-COUNTA(TAB_Offres[Ressource 1])))=0,NA(),
INDEX(#REF!,ROWS(Params!AI$2:$AI311)-COUNTA(#REF!)-COUNTA(TAB_Offres[Ressource 1])))),""))
)</f>
        <v/>
      </c>
      <c r="AJ311" s="192" t="str">
        <f>IF(TAB_ressource[[#This Row],[Import Ressource]]="","",MAX(AJ$1:AJ310)+1)</f>
        <v/>
      </c>
      <c r="AK311" s="193" t="str">
        <f>IFERROR(INDEX(TAB_ressource[Import Ressource],MATCH(ROW()-ROW($AK$1),TAB_ressource[ID Import ressources],0)),"")</f>
        <v/>
      </c>
      <c r="AN311" s="26">
        <f t="shared" si="16"/>
        <v>0</v>
      </c>
      <c r="BD311" t="s">
        <v>1543</v>
      </c>
      <c r="BE311" t="s">
        <v>1544</v>
      </c>
      <c r="BF311" t="s">
        <v>1545</v>
      </c>
      <c r="BG311" t="s">
        <v>1543</v>
      </c>
    </row>
    <row r="312" spans="13:59" x14ac:dyDescent="0.25">
      <c r="M312" t="str">
        <f>_xlfn.IFNA(IF(VLOOKUP(TAB_Offres[[#This Row],[Reference]],TAB_Offres[[Reference]:[Request State]],COLUMNS(TAB_Offres[[Reference]:[Request State]]),FALSE)=D$6,TAB_Offres[[#This Row],[Reference]],""),"")</f>
        <v/>
      </c>
      <c r="N312" t="str">
        <f>_xlfn.IFNA(IF(VLOOKUP(TAB_Offres[[#This Row],[Reference]],TAB_Offres[[Reference]:[Has Expenses?]],COLUMNS(TAB_Offres[[Reference]:[Has Expenses?]]),FALSE)=J$2,TAB_Offres[[#This Row],[Reference]],""),"")</f>
        <v/>
      </c>
      <c r="O312" t="str">
        <f>IF(Tableau19[[#This Row],[EXPENSES_REF]]="","",MAX(O$1:O311)+1)</f>
        <v/>
      </c>
      <c r="P312" t="str">
        <f t="shared" si="15"/>
        <v/>
      </c>
      <c r="R312" s="635" t="s">
        <v>6197</v>
      </c>
      <c r="S312" s="637">
        <v>272.02999999999997</v>
      </c>
      <c r="T312" s="638">
        <v>291.07</v>
      </c>
      <c r="U312" s="638">
        <v>311.44</v>
      </c>
      <c r="V312" s="638">
        <v>333.24</v>
      </c>
      <c r="W312" s="638">
        <v>356.57</v>
      </c>
      <c r="X312" s="638">
        <v>381.53</v>
      </c>
      <c r="Y312" s="638">
        <v>408.24</v>
      </c>
      <c r="Z312" s="638">
        <v>436.82</v>
      </c>
      <c r="AA312" s="638">
        <v>467.4</v>
      </c>
      <c r="AB312" s="638">
        <v>500.12</v>
      </c>
      <c r="AC312" s="638">
        <v>535.13</v>
      </c>
      <c r="AD312" s="112"/>
      <c r="AI312" s="191" t="str">
        <f>IFERROR(_xlfn.SINGLE(
IF(_xlfn.SINGLE(INDEX(TAB_Offres[Ressource 1],ROWS(Params!AI$2:$AI312)))=0,NA(),
INDEX(TAB_Offres[Ressource 1],ROWS(Params!AI$2:$AI312)))),
IFERROR(_xlfn.SINGLE(IF(_xlfn.SINGLE(INDEX(#REF!,ROWS(Params!AI$2:$AI312)-COUNTA(TAB_Offres[Ressource 1])))=0,NA(),
INDEX(#REF!,ROWS(Params!AI$2:$AI312)-COUNTA(TAB_Offres[Ressource 1])))),
IFERROR(_xlfn.SINGLE(IF(_xlfn.SINGLE(INDEX(#REF!,ROWS(Params!AI$2:$AI312)-COUNTA(#REF!)-COUNTA(TAB_Offres[Ressource 1])))=0,NA(),
INDEX(#REF!,ROWS(Params!AI$2:$AI312)-COUNTA(#REF!)-COUNTA(TAB_Offres[Ressource 1])))),""))
)</f>
        <v/>
      </c>
      <c r="AJ312" s="192" t="str">
        <f>IF(TAB_ressource[[#This Row],[Import Ressource]]="","",MAX(AJ$1:AJ311)+1)</f>
        <v/>
      </c>
      <c r="AK312" s="193" t="str">
        <f>IFERROR(INDEX(TAB_ressource[Import Ressource],MATCH(ROW()-ROW($AK$1),TAB_ressource[ID Import ressources],0)),"")</f>
        <v/>
      </c>
      <c r="AN312" s="26">
        <f t="shared" si="16"/>
        <v>0</v>
      </c>
      <c r="BD312" t="s">
        <v>1546</v>
      </c>
      <c r="BE312" t="s">
        <v>1547</v>
      </c>
      <c r="BF312" t="s">
        <v>1548</v>
      </c>
      <c r="BG312" t="s">
        <v>1546</v>
      </c>
    </row>
    <row r="313" spans="13:59" x14ac:dyDescent="0.25">
      <c r="M313" t="str">
        <f>_xlfn.IFNA(IF(VLOOKUP(TAB_Offres[[#This Row],[Reference]],TAB_Offres[[Reference]:[Request State]],COLUMNS(TAB_Offres[[Reference]:[Request State]]),FALSE)=D$6,TAB_Offres[[#This Row],[Reference]],""),"")</f>
        <v/>
      </c>
      <c r="N313" t="str">
        <f>_xlfn.IFNA(IF(VLOOKUP(TAB_Offres[[#This Row],[Reference]],TAB_Offres[[Reference]:[Has Expenses?]],COLUMNS(TAB_Offres[[Reference]:[Has Expenses?]]),FALSE)=J$2,TAB_Offres[[#This Row],[Reference]],""),"")</f>
        <v/>
      </c>
      <c r="O313" t="str">
        <f>IF(Tableau19[[#This Row],[EXPENSES_REF]]="","",MAX(O$1:O312)+1)</f>
        <v/>
      </c>
      <c r="P313" t="str">
        <f t="shared" si="15"/>
        <v/>
      </c>
      <c r="R313" s="635"/>
      <c r="S313" s="637"/>
      <c r="T313" s="638"/>
      <c r="U313" s="638"/>
      <c r="V313" s="638"/>
      <c r="W313" s="638"/>
      <c r="X313" s="638"/>
      <c r="Y313" s="638"/>
      <c r="Z313" s="638"/>
      <c r="AA313" s="638"/>
      <c r="AB313" s="638"/>
      <c r="AC313" s="638"/>
      <c r="AD313" s="112"/>
      <c r="AI313" s="191" t="str">
        <f>IFERROR(_xlfn.SINGLE(
IF(_xlfn.SINGLE(INDEX(TAB_Offres[Ressource 1],ROWS(Params!AI$2:$AI313)))=0,NA(),
INDEX(TAB_Offres[Ressource 1],ROWS(Params!AI$2:$AI313)))),
IFERROR(_xlfn.SINGLE(IF(_xlfn.SINGLE(INDEX(#REF!,ROWS(Params!AI$2:$AI313)-COUNTA(TAB_Offres[Ressource 1])))=0,NA(),
INDEX(#REF!,ROWS(Params!AI$2:$AI313)-COUNTA(TAB_Offres[Ressource 1])))),
IFERROR(_xlfn.SINGLE(IF(_xlfn.SINGLE(INDEX(#REF!,ROWS(Params!AI$2:$AI313)-COUNTA(#REF!)-COUNTA(TAB_Offres[Ressource 1])))=0,NA(),
INDEX(#REF!,ROWS(Params!AI$2:$AI313)-COUNTA(#REF!)-COUNTA(TAB_Offres[Ressource 1])))),""))
)</f>
        <v/>
      </c>
      <c r="AJ313" s="192" t="str">
        <f>IF(TAB_ressource[[#This Row],[Import Ressource]]="","",MAX(AJ$1:AJ312)+1)</f>
        <v/>
      </c>
      <c r="AK313" s="193" t="str">
        <f>IFERROR(INDEX(TAB_ressource[Import Ressource],MATCH(ROW()-ROW($AK$1),TAB_ressource[ID Import ressources],0)),"")</f>
        <v/>
      </c>
      <c r="AN313" s="26">
        <f t="shared" si="16"/>
        <v>0</v>
      </c>
      <c r="BD313" t="s">
        <v>1549</v>
      </c>
      <c r="BE313" t="s">
        <v>1550</v>
      </c>
      <c r="BF313" t="s">
        <v>1551</v>
      </c>
      <c r="BG313" t="s">
        <v>1549</v>
      </c>
    </row>
    <row r="314" spans="13:59" ht="26.4" x14ac:dyDescent="0.25">
      <c r="M314" t="str">
        <f>_xlfn.IFNA(IF(VLOOKUP(TAB_Offres[[#This Row],[Reference]],TAB_Offres[[Reference]:[Request State]],COLUMNS(TAB_Offres[[Reference]:[Request State]]),FALSE)=D$6,TAB_Offres[[#This Row],[Reference]],""),"")</f>
        <v/>
      </c>
      <c r="N314" t="str">
        <f>_xlfn.IFNA(IF(VLOOKUP(TAB_Offres[[#This Row],[Reference]],TAB_Offres[[Reference]:[Has Expenses?]],COLUMNS(TAB_Offres[[Reference]:[Has Expenses?]]),FALSE)=J$2,TAB_Offres[[#This Row],[Reference]],""),"")</f>
        <v/>
      </c>
      <c r="O314" t="str">
        <f>IF(Tableau19[[#This Row],[EXPENSES_REF]]="","",MAX(O$1:O313)+1)</f>
        <v/>
      </c>
      <c r="P314" t="str">
        <f t="shared" si="15"/>
        <v/>
      </c>
      <c r="R314" s="639" t="s">
        <v>6198</v>
      </c>
      <c r="S314" s="640"/>
      <c r="T314" s="641"/>
      <c r="U314" s="641"/>
      <c r="V314" s="641"/>
      <c r="W314" s="641"/>
      <c r="X314" s="641"/>
      <c r="Y314" s="641"/>
      <c r="Z314" s="641"/>
      <c r="AA314" s="641"/>
      <c r="AB314" s="641"/>
      <c r="AC314" s="641"/>
      <c r="AD314" s="112"/>
      <c r="AI314" s="191" t="str">
        <f>IFERROR(_xlfn.SINGLE(
IF(_xlfn.SINGLE(INDEX(TAB_Offres[Ressource 1],ROWS(Params!AI$2:$AI314)))=0,NA(),
INDEX(TAB_Offres[Ressource 1],ROWS(Params!AI$2:$AI314)))),
IFERROR(_xlfn.SINGLE(IF(_xlfn.SINGLE(INDEX(#REF!,ROWS(Params!AI$2:$AI314)-COUNTA(TAB_Offres[Ressource 1])))=0,NA(),
INDEX(#REF!,ROWS(Params!AI$2:$AI314)-COUNTA(TAB_Offres[Ressource 1])))),
IFERROR(_xlfn.SINGLE(IF(_xlfn.SINGLE(INDEX(#REF!,ROWS(Params!AI$2:$AI314)-COUNTA(#REF!)-COUNTA(TAB_Offres[Ressource 1])))=0,NA(),
INDEX(#REF!,ROWS(Params!AI$2:$AI314)-COUNTA(#REF!)-COUNTA(TAB_Offres[Ressource 1])))),""))
)</f>
        <v/>
      </c>
      <c r="AJ314" s="192" t="str">
        <f>IF(TAB_ressource[[#This Row],[Import Ressource]]="","",MAX(AJ$1:AJ313)+1)</f>
        <v/>
      </c>
      <c r="AK314" s="193" t="str">
        <f>IFERROR(INDEX(TAB_ressource[Import Ressource],MATCH(ROW()-ROW($AK$1),TAB_ressource[ID Import ressources],0)),"")</f>
        <v/>
      </c>
      <c r="AN314" s="26">
        <f t="shared" si="16"/>
        <v>0</v>
      </c>
      <c r="BD314" t="s">
        <v>1552</v>
      </c>
      <c r="BE314" t="s">
        <v>1553</v>
      </c>
      <c r="BF314" t="s">
        <v>1554</v>
      </c>
      <c r="BG314" t="s">
        <v>1552</v>
      </c>
    </row>
    <row r="315" spans="13:59" x14ac:dyDescent="0.25">
      <c r="M315" t="str">
        <f>_xlfn.IFNA(IF(VLOOKUP(TAB_Offres[[#This Row],[Reference]],TAB_Offres[[Reference]:[Request State]],COLUMNS(TAB_Offres[[Reference]:[Request State]]),FALSE)=D$6,TAB_Offres[[#This Row],[Reference]],""),"")</f>
        <v/>
      </c>
      <c r="N315" t="str">
        <f>_xlfn.IFNA(IF(VLOOKUP(TAB_Offres[[#This Row],[Reference]],TAB_Offres[[Reference]:[Has Expenses?]],COLUMNS(TAB_Offres[[Reference]:[Has Expenses?]]),FALSE)=J$2,TAB_Offres[[#This Row],[Reference]],""),"")</f>
        <v/>
      </c>
      <c r="O315" t="str">
        <f>IF(Tableau19[[#This Row],[EXPENSES_REF]]="","",MAX(O$1:O314)+1)</f>
        <v/>
      </c>
      <c r="P315" t="str">
        <f t="shared" si="15"/>
        <v/>
      </c>
      <c r="AI315" s="191" t="str">
        <f>IFERROR(_xlfn.SINGLE(
IF(_xlfn.SINGLE(INDEX(TAB_Offres[Ressource 1],ROWS(Params!AI$2:$AI315)))=0,NA(),
INDEX(TAB_Offres[Ressource 1],ROWS(Params!AI$2:$AI315)))),
IFERROR(_xlfn.SINGLE(IF(_xlfn.SINGLE(INDEX(#REF!,ROWS(Params!AI$2:$AI315)-COUNTA(TAB_Offres[Ressource 1])))=0,NA(),
INDEX(#REF!,ROWS(Params!AI$2:$AI315)-COUNTA(TAB_Offres[Ressource 1])))),
IFERROR(_xlfn.SINGLE(IF(_xlfn.SINGLE(INDEX(#REF!,ROWS(Params!AI$2:$AI315)-COUNTA(#REF!)-COUNTA(TAB_Offres[Ressource 1])))=0,NA(),
INDEX(#REF!,ROWS(Params!AI$2:$AI315)-COUNTA(#REF!)-COUNTA(TAB_Offres[Ressource 1])))),""))
)</f>
        <v/>
      </c>
      <c r="AJ315" s="192" t="str">
        <f>IF(TAB_ressource[[#This Row],[Import Ressource]]="","",MAX(AJ$1:AJ314)+1)</f>
        <v/>
      </c>
      <c r="AK315" s="193" t="str">
        <f>IFERROR(INDEX(TAB_ressource[Import Ressource],MATCH(ROW()-ROW($AK$1),TAB_ressource[ID Import ressources],0)),"")</f>
        <v/>
      </c>
      <c r="AN315" s="26">
        <f t="shared" si="16"/>
        <v>0</v>
      </c>
      <c r="BD315" t="s">
        <v>1555</v>
      </c>
      <c r="BE315" t="s">
        <v>1556</v>
      </c>
      <c r="BF315" t="s">
        <v>1557</v>
      </c>
      <c r="BG315" t="s">
        <v>1555</v>
      </c>
    </row>
    <row r="316" spans="13:59" x14ac:dyDescent="0.25">
      <c r="M316" t="str">
        <f>_xlfn.IFNA(IF(VLOOKUP(TAB_Offres[[#This Row],[Reference]],TAB_Offres[[Reference]:[Request State]],COLUMNS(TAB_Offres[[Reference]:[Request State]]),FALSE)=D$6,TAB_Offres[[#This Row],[Reference]],""),"")</f>
        <v/>
      </c>
      <c r="N316" t="str">
        <f>_xlfn.IFNA(IF(VLOOKUP(TAB_Offres[[#This Row],[Reference]],TAB_Offres[[Reference]:[Has Expenses?]],COLUMNS(TAB_Offres[[Reference]:[Has Expenses?]]),FALSE)=J$2,TAB_Offres[[#This Row],[Reference]],""),"")</f>
        <v/>
      </c>
      <c r="O316" t="str">
        <f>IF(Tableau19[[#This Row],[EXPENSES_REF]]="","",MAX(O$1:O315)+1)</f>
        <v/>
      </c>
      <c r="P316" t="str">
        <f t="shared" si="15"/>
        <v/>
      </c>
      <c r="AI316" s="191" t="str">
        <f>IFERROR(_xlfn.SINGLE(
IF(_xlfn.SINGLE(INDEX(TAB_Offres[Ressource 1],ROWS(Params!AI$2:$AI316)))=0,NA(),
INDEX(TAB_Offres[Ressource 1],ROWS(Params!AI$2:$AI316)))),
IFERROR(_xlfn.SINGLE(IF(_xlfn.SINGLE(INDEX(#REF!,ROWS(Params!AI$2:$AI316)-COUNTA(TAB_Offres[Ressource 1])))=0,NA(),
INDEX(#REF!,ROWS(Params!AI$2:$AI316)-COUNTA(TAB_Offres[Ressource 1])))),
IFERROR(_xlfn.SINGLE(IF(_xlfn.SINGLE(INDEX(#REF!,ROWS(Params!AI$2:$AI316)-COUNTA(#REF!)-COUNTA(TAB_Offres[Ressource 1])))=0,NA(),
INDEX(#REF!,ROWS(Params!AI$2:$AI316)-COUNTA(#REF!)-COUNTA(TAB_Offres[Ressource 1])))),""))
)</f>
        <v/>
      </c>
      <c r="AJ316" s="192" t="str">
        <f>IF(TAB_ressource[[#This Row],[Import Ressource]]="","",MAX(AJ$1:AJ315)+1)</f>
        <v/>
      </c>
      <c r="AK316" s="193" t="str">
        <f>IFERROR(INDEX(TAB_ressource[Import Ressource],MATCH(ROW()-ROW($AK$1),TAB_ressource[ID Import ressources],0)),"")</f>
        <v/>
      </c>
      <c r="AN316" s="26">
        <f t="shared" si="16"/>
        <v>0</v>
      </c>
      <c r="BD316" t="s">
        <v>1558</v>
      </c>
      <c r="BE316" t="s">
        <v>1559</v>
      </c>
      <c r="BF316" t="s">
        <v>1560</v>
      </c>
      <c r="BG316" t="s">
        <v>1558</v>
      </c>
    </row>
    <row r="317" spans="13:59" x14ac:dyDescent="0.25">
      <c r="M317" t="str">
        <f>_xlfn.IFNA(IF(VLOOKUP(TAB_Offres[[#This Row],[Reference]],TAB_Offres[[Reference]:[Request State]],COLUMNS(TAB_Offres[[Reference]:[Request State]]),FALSE)=D$6,TAB_Offres[[#This Row],[Reference]],""),"")</f>
        <v/>
      </c>
      <c r="N317" t="str">
        <f>_xlfn.IFNA(IF(VLOOKUP(TAB_Offres[[#This Row],[Reference]],TAB_Offres[[Reference]:[Has Expenses?]],COLUMNS(TAB_Offres[[Reference]:[Has Expenses?]]),FALSE)=J$2,TAB_Offres[[#This Row],[Reference]],""),"")</f>
        <v/>
      </c>
      <c r="O317" t="str">
        <f>IF(Tableau19[[#This Row],[EXPENSES_REF]]="","",MAX(O$1:O316)+1)</f>
        <v/>
      </c>
      <c r="P317" t="str">
        <f t="shared" si="15"/>
        <v/>
      </c>
      <c r="AI317" s="191" t="str">
        <f>IFERROR(_xlfn.SINGLE(
IF(_xlfn.SINGLE(INDEX(TAB_Offres[Ressource 1],ROWS(Params!AI$2:$AI317)))=0,NA(),
INDEX(TAB_Offres[Ressource 1],ROWS(Params!AI$2:$AI317)))),
IFERROR(_xlfn.SINGLE(IF(_xlfn.SINGLE(INDEX(#REF!,ROWS(Params!AI$2:$AI317)-COUNTA(TAB_Offres[Ressource 1])))=0,NA(),
INDEX(#REF!,ROWS(Params!AI$2:$AI317)-COUNTA(TAB_Offres[Ressource 1])))),
IFERROR(_xlfn.SINGLE(IF(_xlfn.SINGLE(INDEX(#REF!,ROWS(Params!AI$2:$AI317)-COUNTA(#REF!)-COUNTA(TAB_Offres[Ressource 1])))=0,NA(),
INDEX(#REF!,ROWS(Params!AI$2:$AI317)-COUNTA(#REF!)-COUNTA(TAB_Offres[Ressource 1])))),""))
)</f>
        <v/>
      </c>
      <c r="AJ317" s="192" t="str">
        <f>IF(TAB_ressource[[#This Row],[Import Ressource]]="","",MAX(AJ$1:AJ316)+1)</f>
        <v/>
      </c>
      <c r="AK317" s="193" t="str">
        <f>IFERROR(INDEX(TAB_ressource[Import Ressource],MATCH(ROW()-ROW($AK$1),TAB_ressource[ID Import ressources],0)),"")</f>
        <v/>
      </c>
      <c r="AN317" s="26">
        <f t="shared" si="16"/>
        <v>0</v>
      </c>
      <c r="BD317" t="s">
        <v>1561</v>
      </c>
      <c r="BE317" t="s">
        <v>1562</v>
      </c>
      <c r="BF317" t="s">
        <v>1563</v>
      </c>
      <c r="BG317" t="s">
        <v>1561</v>
      </c>
    </row>
    <row r="318" spans="13:59" x14ac:dyDescent="0.25">
      <c r="M318" t="str">
        <f>_xlfn.IFNA(IF(VLOOKUP(TAB_Offres[[#This Row],[Reference]],TAB_Offres[[Reference]:[Request State]],COLUMNS(TAB_Offres[[Reference]:[Request State]]),FALSE)=D$6,TAB_Offres[[#This Row],[Reference]],""),"")</f>
        <v/>
      </c>
      <c r="N318" t="str">
        <f>_xlfn.IFNA(IF(VLOOKUP(TAB_Offres[[#This Row],[Reference]],TAB_Offres[[Reference]:[Has Expenses?]],COLUMNS(TAB_Offres[[Reference]:[Has Expenses?]]),FALSE)=J$2,TAB_Offres[[#This Row],[Reference]],""),"")</f>
        <v/>
      </c>
      <c r="O318" t="str">
        <f>IF(Tableau19[[#This Row],[EXPENSES_REF]]="","",MAX(O$1:O317)+1)</f>
        <v/>
      </c>
      <c r="P318" t="str">
        <f t="shared" si="15"/>
        <v/>
      </c>
      <c r="AI318" s="191" t="str">
        <f>IFERROR(_xlfn.SINGLE(
IF(_xlfn.SINGLE(INDEX(TAB_Offres[Ressource 1],ROWS(Params!AI$2:$AI318)))=0,NA(),
INDEX(TAB_Offres[Ressource 1],ROWS(Params!AI$2:$AI318)))),
IFERROR(_xlfn.SINGLE(IF(_xlfn.SINGLE(INDEX(#REF!,ROWS(Params!AI$2:$AI318)-COUNTA(TAB_Offres[Ressource 1])))=0,NA(),
INDEX(#REF!,ROWS(Params!AI$2:$AI318)-COUNTA(TAB_Offres[Ressource 1])))),
IFERROR(_xlfn.SINGLE(IF(_xlfn.SINGLE(INDEX(#REF!,ROWS(Params!AI$2:$AI318)-COUNTA(#REF!)-COUNTA(TAB_Offres[Ressource 1])))=0,NA(),
INDEX(#REF!,ROWS(Params!AI$2:$AI318)-COUNTA(#REF!)-COUNTA(TAB_Offres[Ressource 1])))),""))
)</f>
        <v/>
      </c>
      <c r="AJ318" s="192" t="str">
        <f>IF(TAB_ressource[[#This Row],[Import Ressource]]="","",MAX(AJ$1:AJ317)+1)</f>
        <v/>
      </c>
      <c r="AK318" s="193" t="str">
        <f>IFERROR(INDEX(TAB_ressource[Import Ressource],MATCH(ROW()-ROW($AK$1),TAB_ressource[ID Import ressources],0)),"")</f>
        <v/>
      </c>
      <c r="AN318" s="26">
        <f t="shared" si="16"/>
        <v>0</v>
      </c>
      <c r="BD318" t="s">
        <v>1564</v>
      </c>
      <c r="BE318" t="s">
        <v>1565</v>
      </c>
      <c r="BF318" t="s">
        <v>1566</v>
      </c>
      <c r="BG318" t="s">
        <v>1564</v>
      </c>
    </row>
    <row r="319" spans="13:59" x14ac:dyDescent="0.25">
      <c r="M319" t="str">
        <f>_xlfn.IFNA(IF(VLOOKUP(TAB_Offres[[#This Row],[Reference]],TAB_Offres[[Reference]:[Request State]],COLUMNS(TAB_Offres[[Reference]:[Request State]]),FALSE)=D$6,TAB_Offres[[#This Row],[Reference]],""),"")</f>
        <v/>
      </c>
      <c r="N319" t="str">
        <f>_xlfn.IFNA(IF(VLOOKUP(TAB_Offres[[#This Row],[Reference]],TAB_Offres[[Reference]:[Has Expenses?]],COLUMNS(TAB_Offres[[Reference]:[Has Expenses?]]),FALSE)=J$2,TAB_Offres[[#This Row],[Reference]],""),"")</f>
        <v/>
      </c>
      <c r="O319" t="str">
        <f>IF(Tableau19[[#This Row],[EXPENSES_REF]]="","",MAX(O$1:O318)+1)</f>
        <v/>
      </c>
      <c r="P319" t="str">
        <f t="shared" si="15"/>
        <v/>
      </c>
      <c r="AI319" s="191" t="str">
        <f>IFERROR(_xlfn.SINGLE(
IF(_xlfn.SINGLE(INDEX(TAB_Offres[Ressource 1],ROWS(Params!AI$2:$AI319)))=0,NA(),
INDEX(TAB_Offres[Ressource 1],ROWS(Params!AI$2:$AI319)))),
IFERROR(_xlfn.SINGLE(IF(_xlfn.SINGLE(INDEX(#REF!,ROWS(Params!AI$2:$AI319)-COUNTA(TAB_Offres[Ressource 1])))=0,NA(),
INDEX(#REF!,ROWS(Params!AI$2:$AI319)-COUNTA(TAB_Offres[Ressource 1])))),
IFERROR(_xlfn.SINGLE(IF(_xlfn.SINGLE(INDEX(#REF!,ROWS(Params!AI$2:$AI319)-COUNTA(#REF!)-COUNTA(TAB_Offres[Ressource 1])))=0,NA(),
INDEX(#REF!,ROWS(Params!AI$2:$AI319)-COUNTA(#REF!)-COUNTA(TAB_Offres[Ressource 1])))),""))
)</f>
        <v/>
      </c>
      <c r="AJ319" s="192" t="str">
        <f>IF(TAB_ressource[[#This Row],[Import Ressource]]="","",MAX(AJ$1:AJ318)+1)</f>
        <v/>
      </c>
      <c r="AK319" s="193" t="str">
        <f>IFERROR(INDEX(TAB_ressource[Import Ressource],MATCH(ROW()-ROW($AK$1),TAB_ressource[ID Import ressources],0)),"")</f>
        <v/>
      </c>
      <c r="AN319" s="26">
        <f t="shared" si="16"/>
        <v>0</v>
      </c>
      <c r="BD319" t="s">
        <v>1567</v>
      </c>
      <c r="BE319" t="s">
        <v>1568</v>
      </c>
      <c r="BF319" t="s">
        <v>1569</v>
      </c>
      <c r="BG319" t="s">
        <v>1567</v>
      </c>
    </row>
    <row r="320" spans="13:59" x14ac:dyDescent="0.25">
      <c r="M320" t="str">
        <f>_xlfn.IFNA(IF(VLOOKUP(TAB_Offres[[#This Row],[Reference]],TAB_Offres[[Reference]:[Request State]],COLUMNS(TAB_Offres[[Reference]:[Request State]]),FALSE)=D$6,TAB_Offres[[#This Row],[Reference]],""),"")</f>
        <v/>
      </c>
      <c r="N320" t="str">
        <f>_xlfn.IFNA(IF(VLOOKUP(TAB_Offres[[#This Row],[Reference]],TAB_Offres[[Reference]:[Has Expenses?]],COLUMNS(TAB_Offres[[Reference]:[Has Expenses?]]),FALSE)=J$2,TAB_Offres[[#This Row],[Reference]],""),"")</f>
        <v/>
      </c>
      <c r="O320" t="str">
        <f>IF(Tableau19[[#This Row],[EXPENSES_REF]]="","",MAX(O$1:O319)+1)</f>
        <v/>
      </c>
      <c r="P320" t="str">
        <f t="shared" si="15"/>
        <v/>
      </c>
      <c r="AI320" s="191" t="str">
        <f>IFERROR(_xlfn.SINGLE(
IF(_xlfn.SINGLE(INDEX(TAB_Offres[Ressource 1],ROWS(Params!AI$2:$AI320)))=0,NA(),
INDEX(TAB_Offres[Ressource 1],ROWS(Params!AI$2:$AI320)))),
IFERROR(_xlfn.SINGLE(IF(_xlfn.SINGLE(INDEX(#REF!,ROWS(Params!AI$2:$AI320)-COUNTA(TAB_Offres[Ressource 1])))=0,NA(),
INDEX(#REF!,ROWS(Params!AI$2:$AI320)-COUNTA(TAB_Offres[Ressource 1])))),
IFERROR(_xlfn.SINGLE(IF(_xlfn.SINGLE(INDEX(#REF!,ROWS(Params!AI$2:$AI320)-COUNTA(#REF!)-COUNTA(TAB_Offres[Ressource 1])))=0,NA(),
INDEX(#REF!,ROWS(Params!AI$2:$AI320)-COUNTA(#REF!)-COUNTA(TAB_Offres[Ressource 1])))),""))
)</f>
        <v/>
      </c>
      <c r="AJ320" s="192" t="str">
        <f>IF(TAB_ressource[[#This Row],[Import Ressource]]="","",MAX(AJ$1:AJ319)+1)</f>
        <v/>
      </c>
      <c r="AK320" s="193" t="str">
        <f>IFERROR(INDEX(TAB_ressource[Import Ressource],MATCH(ROW()-ROW($AK$1),TAB_ressource[ID Import ressources],0)),"")</f>
        <v/>
      </c>
      <c r="AN320" s="26">
        <f t="shared" si="16"/>
        <v>0</v>
      </c>
      <c r="BD320" t="s">
        <v>1570</v>
      </c>
      <c r="BE320" t="s">
        <v>1571</v>
      </c>
      <c r="BF320" t="s">
        <v>1572</v>
      </c>
      <c r="BG320" t="s">
        <v>1570</v>
      </c>
    </row>
    <row r="321" spans="13:59" x14ac:dyDescent="0.25">
      <c r="M321" t="str">
        <f>_xlfn.IFNA(IF(VLOOKUP(TAB_Offres[[#This Row],[Reference]],TAB_Offres[[Reference]:[Request State]],COLUMNS(TAB_Offres[[Reference]:[Request State]]),FALSE)=D$6,TAB_Offres[[#This Row],[Reference]],""),"")</f>
        <v/>
      </c>
      <c r="N321" t="str">
        <f>_xlfn.IFNA(IF(VLOOKUP(TAB_Offres[[#This Row],[Reference]],TAB_Offres[[Reference]:[Has Expenses?]],COLUMNS(TAB_Offres[[Reference]:[Has Expenses?]]),FALSE)=J$2,TAB_Offres[[#This Row],[Reference]],""),"")</f>
        <v/>
      </c>
      <c r="O321" t="str">
        <f>IF(Tableau19[[#This Row],[EXPENSES_REF]]="","",MAX(O$1:O320)+1)</f>
        <v/>
      </c>
      <c r="P321" t="str">
        <f t="shared" si="15"/>
        <v/>
      </c>
      <c r="AI321" s="191" t="str">
        <f>IFERROR(_xlfn.SINGLE(
IF(_xlfn.SINGLE(INDEX(TAB_Offres[Ressource 1],ROWS(Params!AI$2:$AI321)))=0,NA(),
INDEX(TAB_Offres[Ressource 1],ROWS(Params!AI$2:$AI321)))),
IFERROR(_xlfn.SINGLE(IF(_xlfn.SINGLE(INDEX(#REF!,ROWS(Params!AI$2:$AI321)-COUNTA(TAB_Offres[Ressource 1])))=0,NA(),
INDEX(#REF!,ROWS(Params!AI$2:$AI321)-COUNTA(TAB_Offres[Ressource 1])))),
IFERROR(_xlfn.SINGLE(IF(_xlfn.SINGLE(INDEX(#REF!,ROWS(Params!AI$2:$AI321)-COUNTA(#REF!)-COUNTA(TAB_Offres[Ressource 1])))=0,NA(),
INDEX(#REF!,ROWS(Params!AI$2:$AI321)-COUNTA(#REF!)-COUNTA(TAB_Offres[Ressource 1])))),""))
)</f>
        <v/>
      </c>
      <c r="AJ321" s="192" t="str">
        <f>IF(TAB_ressource[[#This Row],[Import Ressource]]="","",MAX(AJ$1:AJ320)+1)</f>
        <v/>
      </c>
      <c r="AK321" s="193" t="str">
        <f>IFERROR(INDEX(TAB_ressource[Import Ressource],MATCH(ROW()-ROW($AK$1),TAB_ressource[ID Import ressources],0)),"")</f>
        <v/>
      </c>
      <c r="AN321" s="26">
        <f t="shared" si="16"/>
        <v>0</v>
      </c>
      <c r="BD321" t="s">
        <v>1573</v>
      </c>
      <c r="BE321" t="s">
        <v>1574</v>
      </c>
      <c r="BF321" t="s">
        <v>1575</v>
      </c>
      <c r="BG321" t="s">
        <v>1573</v>
      </c>
    </row>
    <row r="322" spans="13:59" x14ac:dyDescent="0.25">
      <c r="M322" t="str">
        <f>_xlfn.IFNA(IF(VLOOKUP(TAB_Offres[[#This Row],[Reference]],TAB_Offres[[Reference]:[Request State]],COLUMNS(TAB_Offres[[Reference]:[Request State]]),FALSE)=D$6,TAB_Offres[[#This Row],[Reference]],""),"")</f>
        <v/>
      </c>
      <c r="N322" t="str">
        <f>_xlfn.IFNA(IF(VLOOKUP(TAB_Offres[[#This Row],[Reference]],TAB_Offres[[Reference]:[Has Expenses?]],COLUMNS(TAB_Offres[[Reference]:[Has Expenses?]]),FALSE)=J$2,TAB_Offres[[#This Row],[Reference]],""),"")</f>
        <v/>
      </c>
      <c r="O322" t="str">
        <f>IF(Tableau19[[#This Row],[EXPENSES_REF]]="","",MAX(O$1:O321)+1)</f>
        <v/>
      </c>
      <c r="P322" t="str">
        <f t="shared" ref="P322:P385" si="17">IFERROR(INDEX($N$2:$N$1001,MATCH(ROW()-ROW($P$1),$O$2:$O$1001,0)),"")</f>
        <v/>
      </c>
      <c r="AI322" s="191" t="str">
        <f>IFERROR(_xlfn.SINGLE(
IF(_xlfn.SINGLE(INDEX(TAB_Offres[Ressource 1],ROWS(Params!AI$2:$AI322)))=0,NA(),
INDEX(TAB_Offres[Ressource 1],ROWS(Params!AI$2:$AI322)))),
IFERROR(_xlfn.SINGLE(IF(_xlfn.SINGLE(INDEX(#REF!,ROWS(Params!AI$2:$AI322)-COUNTA(TAB_Offres[Ressource 1])))=0,NA(),
INDEX(#REF!,ROWS(Params!AI$2:$AI322)-COUNTA(TAB_Offres[Ressource 1])))),
IFERROR(_xlfn.SINGLE(IF(_xlfn.SINGLE(INDEX(#REF!,ROWS(Params!AI$2:$AI322)-COUNTA(#REF!)-COUNTA(TAB_Offres[Ressource 1])))=0,NA(),
INDEX(#REF!,ROWS(Params!AI$2:$AI322)-COUNTA(#REF!)-COUNTA(TAB_Offres[Ressource 1])))),""))
)</f>
        <v/>
      </c>
      <c r="AJ322" s="192" t="str">
        <f>IF(TAB_ressource[[#This Row],[Import Ressource]]="","",MAX(AJ$1:AJ321)+1)</f>
        <v/>
      </c>
      <c r="AK322" s="193" t="str">
        <f>IFERROR(INDEX(TAB_ressource[Import Ressource],MATCH(ROW()-ROW($AK$1),TAB_ressource[ID Import ressources],0)),"")</f>
        <v/>
      </c>
      <c r="AN322" s="26">
        <f t="shared" si="16"/>
        <v>0</v>
      </c>
      <c r="BD322" t="s">
        <v>1576</v>
      </c>
      <c r="BE322" t="s">
        <v>1577</v>
      </c>
      <c r="BF322" t="s">
        <v>1578</v>
      </c>
      <c r="BG322" t="s">
        <v>1576</v>
      </c>
    </row>
    <row r="323" spans="13:59" x14ac:dyDescent="0.25">
      <c r="M323" t="str">
        <f>_xlfn.IFNA(IF(VLOOKUP(TAB_Offres[[#This Row],[Reference]],TAB_Offres[[Reference]:[Request State]],COLUMNS(TAB_Offres[[Reference]:[Request State]]),FALSE)=D$6,TAB_Offres[[#This Row],[Reference]],""),"")</f>
        <v/>
      </c>
      <c r="N323" t="str">
        <f>_xlfn.IFNA(IF(VLOOKUP(TAB_Offres[[#This Row],[Reference]],TAB_Offres[[Reference]:[Has Expenses?]],COLUMNS(TAB_Offres[[Reference]:[Has Expenses?]]),FALSE)=J$2,TAB_Offres[[#This Row],[Reference]],""),"")</f>
        <v/>
      </c>
      <c r="O323" t="str">
        <f>IF(Tableau19[[#This Row],[EXPENSES_REF]]="","",MAX(O$1:O322)+1)</f>
        <v/>
      </c>
      <c r="P323" t="str">
        <f t="shared" si="17"/>
        <v/>
      </c>
      <c r="AI323" s="191" t="str">
        <f>IFERROR(_xlfn.SINGLE(
IF(_xlfn.SINGLE(INDEX(TAB_Offres[Ressource 1],ROWS(Params!AI$2:$AI323)))=0,NA(),
INDEX(TAB_Offres[Ressource 1],ROWS(Params!AI$2:$AI323)))),
IFERROR(_xlfn.SINGLE(IF(_xlfn.SINGLE(INDEX(#REF!,ROWS(Params!AI$2:$AI323)-COUNTA(TAB_Offres[Ressource 1])))=0,NA(),
INDEX(#REF!,ROWS(Params!AI$2:$AI323)-COUNTA(TAB_Offres[Ressource 1])))),
IFERROR(_xlfn.SINGLE(IF(_xlfn.SINGLE(INDEX(#REF!,ROWS(Params!AI$2:$AI323)-COUNTA(#REF!)-COUNTA(TAB_Offres[Ressource 1])))=0,NA(),
INDEX(#REF!,ROWS(Params!AI$2:$AI323)-COUNTA(#REF!)-COUNTA(TAB_Offres[Ressource 1])))),""))
)</f>
        <v/>
      </c>
      <c r="AJ323" s="192" t="str">
        <f>IF(TAB_ressource[[#This Row],[Import Ressource]]="","",MAX(AJ$1:AJ322)+1)</f>
        <v/>
      </c>
      <c r="AK323" s="193" t="str">
        <f>IFERROR(INDEX(TAB_ressource[Import Ressource],MATCH(ROW()-ROW($AK$1),TAB_ressource[ID Import ressources],0)),"")</f>
        <v/>
      </c>
      <c r="AN323" s="26">
        <f t="shared" ref="AN323:AN377" si="18">AM323</f>
        <v>0</v>
      </c>
      <c r="BD323" t="s">
        <v>1579</v>
      </c>
      <c r="BE323" t="s">
        <v>1580</v>
      </c>
      <c r="BF323" t="s">
        <v>1581</v>
      </c>
      <c r="BG323" t="s">
        <v>1579</v>
      </c>
    </row>
    <row r="324" spans="13:59" x14ac:dyDescent="0.25">
      <c r="M324" t="str">
        <f>_xlfn.IFNA(IF(VLOOKUP(TAB_Offres[[#This Row],[Reference]],TAB_Offres[[Reference]:[Request State]],COLUMNS(TAB_Offres[[Reference]:[Request State]]),FALSE)=D$6,TAB_Offres[[#This Row],[Reference]],""),"")</f>
        <v/>
      </c>
      <c r="N324" t="str">
        <f>_xlfn.IFNA(IF(VLOOKUP(TAB_Offres[[#This Row],[Reference]],TAB_Offres[[Reference]:[Has Expenses?]],COLUMNS(TAB_Offres[[Reference]:[Has Expenses?]]),FALSE)=J$2,TAB_Offres[[#This Row],[Reference]],""),"")</f>
        <v/>
      </c>
      <c r="O324" t="str">
        <f>IF(Tableau19[[#This Row],[EXPENSES_REF]]="","",MAX(O$1:O323)+1)</f>
        <v/>
      </c>
      <c r="P324" t="str">
        <f t="shared" si="17"/>
        <v/>
      </c>
      <c r="AI324" s="191" t="str">
        <f>IFERROR(_xlfn.SINGLE(
IF(_xlfn.SINGLE(INDEX(TAB_Offres[Ressource 1],ROWS(Params!AI$2:$AI324)))=0,NA(),
INDEX(TAB_Offres[Ressource 1],ROWS(Params!AI$2:$AI324)))),
IFERROR(_xlfn.SINGLE(IF(_xlfn.SINGLE(INDEX(#REF!,ROWS(Params!AI$2:$AI324)-COUNTA(TAB_Offres[Ressource 1])))=0,NA(),
INDEX(#REF!,ROWS(Params!AI$2:$AI324)-COUNTA(TAB_Offres[Ressource 1])))),
IFERROR(_xlfn.SINGLE(IF(_xlfn.SINGLE(INDEX(#REF!,ROWS(Params!AI$2:$AI324)-COUNTA(#REF!)-COUNTA(TAB_Offres[Ressource 1])))=0,NA(),
INDEX(#REF!,ROWS(Params!AI$2:$AI324)-COUNTA(#REF!)-COUNTA(TAB_Offres[Ressource 1])))),""))
)</f>
        <v/>
      </c>
      <c r="AJ324" s="192" t="str">
        <f>IF(TAB_ressource[[#This Row],[Import Ressource]]="","",MAX(AJ$1:AJ323)+1)</f>
        <v/>
      </c>
      <c r="AK324" s="193" t="str">
        <f>IFERROR(INDEX(TAB_ressource[Import Ressource],MATCH(ROW()-ROW($AK$1),TAB_ressource[ID Import ressources],0)),"")</f>
        <v/>
      </c>
      <c r="AN324" s="26">
        <f t="shared" si="18"/>
        <v>0</v>
      </c>
      <c r="BD324" t="s">
        <v>1582</v>
      </c>
      <c r="BE324" t="s">
        <v>1583</v>
      </c>
      <c r="BF324" t="s">
        <v>1584</v>
      </c>
      <c r="BG324" t="s">
        <v>1582</v>
      </c>
    </row>
    <row r="325" spans="13:59" x14ac:dyDescent="0.25">
      <c r="M325" t="str">
        <f>_xlfn.IFNA(IF(VLOOKUP(TAB_Offres[[#This Row],[Reference]],TAB_Offres[[Reference]:[Request State]],COLUMNS(TAB_Offres[[Reference]:[Request State]]),FALSE)=D$6,TAB_Offres[[#This Row],[Reference]],""),"")</f>
        <v/>
      </c>
      <c r="N325" t="str">
        <f>_xlfn.IFNA(IF(VLOOKUP(TAB_Offres[[#This Row],[Reference]],TAB_Offres[[Reference]:[Has Expenses?]],COLUMNS(TAB_Offres[[Reference]:[Has Expenses?]]),FALSE)=J$2,TAB_Offres[[#This Row],[Reference]],""),"")</f>
        <v/>
      </c>
      <c r="O325" t="str">
        <f>IF(Tableau19[[#This Row],[EXPENSES_REF]]="","",MAX(O$1:O324)+1)</f>
        <v/>
      </c>
      <c r="P325" t="str">
        <f t="shared" si="17"/>
        <v/>
      </c>
      <c r="AI325" s="191" t="str">
        <f>IFERROR(_xlfn.SINGLE(
IF(_xlfn.SINGLE(INDEX(TAB_Offres[Ressource 1],ROWS(Params!AI$2:$AI325)))=0,NA(),
INDEX(TAB_Offres[Ressource 1],ROWS(Params!AI$2:$AI325)))),
IFERROR(_xlfn.SINGLE(IF(_xlfn.SINGLE(INDEX(#REF!,ROWS(Params!AI$2:$AI325)-COUNTA(TAB_Offres[Ressource 1])))=0,NA(),
INDEX(#REF!,ROWS(Params!AI$2:$AI325)-COUNTA(TAB_Offres[Ressource 1])))),
IFERROR(_xlfn.SINGLE(IF(_xlfn.SINGLE(INDEX(#REF!,ROWS(Params!AI$2:$AI325)-COUNTA(#REF!)-COUNTA(TAB_Offres[Ressource 1])))=0,NA(),
INDEX(#REF!,ROWS(Params!AI$2:$AI325)-COUNTA(#REF!)-COUNTA(TAB_Offres[Ressource 1])))),""))
)</f>
        <v/>
      </c>
      <c r="AJ325" s="192" t="str">
        <f>IF(TAB_ressource[[#This Row],[Import Ressource]]="","",MAX(AJ$1:AJ324)+1)</f>
        <v/>
      </c>
      <c r="AK325" s="193" t="str">
        <f>IFERROR(INDEX(TAB_ressource[Import Ressource],MATCH(ROW()-ROW($AK$1),TAB_ressource[ID Import ressources],0)),"")</f>
        <v/>
      </c>
      <c r="AN325" s="26">
        <f t="shared" si="18"/>
        <v>0</v>
      </c>
      <c r="BD325" t="s">
        <v>1585</v>
      </c>
      <c r="BE325" t="s">
        <v>1586</v>
      </c>
      <c r="BF325" t="s">
        <v>1587</v>
      </c>
      <c r="BG325" t="s">
        <v>1585</v>
      </c>
    </row>
    <row r="326" spans="13:59" x14ac:dyDescent="0.25">
      <c r="M326" t="str">
        <f>_xlfn.IFNA(IF(VLOOKUP(TAB_Offres[[#This Row],[Reference]],TAB_Offres[[Reference]:[Request State]],COLUMNS(TAB_Offres[[Reference]:[Request State]]),FALSE)=D$6,TAB_Offres[[#This Row],[Reference]],""),"")</f>
        <v/>
      </c>
      <c r="N326" t="str">
        <f>_xlfn.IFNA(IF(VLOOKUP(TAB_Offres[[#This Row],[Reference]],TAB_Offres[[Reference]:[Has Expenses?]],COLUMNS(TAB_Offres[[Reference]:[Has Expenses?]]),FALSE)=J$2,TAB_Offres[[#This Row],[Reference]],""),"")</f>
        <v/>
      </c>
      <c r="O326" t="str">
        <f>IF(Tableau19[[#This Row],[EXPENSES_REF]]="","",MAX(O$1:O325)+1)</f>
        <v/>
      </c>
      <c r="P326" t="str">
        <f t="shared" si="17"/>
        <v/>
      </c>
      <c r="AI326" s="191" t="str">
        <f>IFERROR(_xlfn.SINGLE(
IF(_xlfn.SINGLE(INDEX(TAB_Offres[Ressource 1],ROWS(Params!AI$2:$AI326)))=0,NA(),
INDEX(TAB_Offres[Ressource 1],ROWS(Params!AI$2:$AI326)))),
IFERROR(_xlfn.SINGLE(IF(_xlfn.SINGLE(INDEX(#REF!,ROWS(Params!AI$2:$AI326)-COUNTA(TAB_Offres[Ressource 1])))=0,NA(),
INDEX(#REF!,ROWS(Params!AI$2:$AI326)-COUNTA(TAB_Offres[Ressource 1])))),
IFERROR(_xlfn.SINGLE(IF(_xlfn.SINGLE(INDEX(#REF!,ROWS(Params!AI$2:$AI326)-COUNTA(#REF!)-COUNTA(TAB_Offres[Ressource 1])))=0,NA(),
INDEX(#REF!,ROWS(Params!AI$2:$AI326)-COUNTA(#REF!)-COUNTA(TAB_Offres[Ressource 1])))),""))
)</f>
        <v/>
      </c>
      <c r="AJ326" s="192" t="str">
        <f>IF(TAB_ressource[[#This Row],[Import Ressource]]="","",MAX(AJ$1:AJ325)+1)</f>
        <v/>
      </c>
      <c r="AK326" s="193" t="str">
        <f>IFERROR(INDEX(TAB_ressource[Import Ressource],MATCH(ROW()-ROW($AK$1),TAB_ressource[ID Import ressources],0)),"")</f>
        <v/>
      </c>
      <c r="AN326" s="26">
        <f t="shared" si="18"/>
        <v>0</v>
      </c>
      <c r="BD326" t="s">
        <v>1588</v>
      </c>
      <c r="BE326" t="s">
        <v>1589</v>
      </c>
      <c r="BF326" t="s">
        <v>1590</v>
      </c>
      <c r="BG326" t="s">
        <v>1588</v>
      </c>
    </row>
    <row r="327" spans="13:59" x14ac:dyDescent="0.25">
      <c r="M327" t="str">
        <f>_xlfn.IFNA(IF(VLOOKUP(TAB_Offres[[#This Row],[Reference]],TAB_Offres[[Reference]:[Request State]],COLUMNS(TAB_Offres[[Reference]:[Request State]]),FALSE)=D$6,TAB_Offres[[#This Row],[Reference]],""),"")</f>
        <v/>
      </c>
      <c r="N327" t="str">
        <f>_xlfn.IFNA(IF(VLOOKUP(TAB_Offres[[#This Row],[Reference]],TAB_Offres[[Reference]:[Has Expenses?]],COLUMNS(TAB_Offres[[Reference]:[Has Expenses?]]),FALSE)=J$2,TAB_Offres[[#This Row],[Reference]],""),"")</f>
        <v/>
      </c>
      <c r="O327" t="str">
        <f>IF(Tableau19[[#This Row],[EXPENSES_REF]]="","",MAX(O$1:O326)+1)</f>
        <v/>
      </c>
      <c r="P327" t="str">
        <f t="shared" si="17"/>
        <v/>
      </c>
      <c r="AI327" s="191" t="str">
        <f>IFERROR(_xlfn.SINGLE(
IF(_xlfn.SINGLE(INDEX(TAB_Offres[Ressource 1],ROWS(Params!AI$2:$AI327)))=0,NA(),
INDEX(TAB_Offres[Ressource 1],ROWS(Params!AI$2:$AI327)))),
IFERROR(_xlfn.SINGLE(IF(_xlfn.SINGLE(INDEX(#REF!,ROWS(Params!AI$2:$AI327)-COUNTA(TAB_Offres[Ressource 1])))=0,NA(),
INDEX(#REF!,ROWS(Params!AI$2:$AI327)-COUNTA(TAB_Offres[Ressource 1])))),
IFERROR(_xlfn.SINGLE(IF(_xlfn.SINGLE(INDEX(#REF!,ROWS(Params!AI$2:$AI327)-COUNTA(#REF!)-COUNTA(TAB_Offres[Ressource 1])))=0,NA(),
INDEX(#REF!,ROWS(Params!AI$2:$AI327)-COUNTA(#REF!)-COUNTA(TAB_Offres[Ressource 1])))),""))
)</f>
        <v/>
      </c>
      <c r="AJ327" s="192" t="str">
        <f>IF(TAB_ressource[[#This Row],[Import Ressource]]="","",MAX(AJ$1:AJ326)+1)</f>
        <v/>
      </c>
      <c r="AK327" s="193" t="str">
        <f>IFERROR(INDEX(TAB_ressource[Import Ressource],MATCH(ROW()-ROW($AK$1),TAB_ressource[ID Import ressources],0)),"")</f>
        <v/>
      </c>
      <c r="AN327" s="26">
        <f t="shared" si="18"/>
        <v>0</v>
      </c>
      <c r="BD327" t="s">
        <v>1591</v>
      </c>
      <c r="BE327" t="s">
        <v>1592</v>
      </c>
      <c r="BF327" t="s">
        <v>1593</v>
      </c>
      <c r="BG327" t="s">
        <v>1591</v>
      </c>
    </row>
    <row r="328" spans="13:59" x14ac:dyDescent="0.25">
      <c r="M328" t="str">
        <f>_xlfn.IFNA(IF(VLOOKUP(TAB_Offres[[#This Row],[Reference]],TAB_Offres[[Reference]:[Request State]],COLUMNS(TAB_Offres[[Reference]:[Request State]]),FALSE)=D$6,TAB_Offres[[#This Row],[Reference]],""),"")</f>
        <v/>
      </c>
      <c r="N328" t="str">
        <f>_xlfn.IFNA(IF(VLOOKUP(TAB_Offres[[#This Row],[Reference]],TAB_Offres[[Reference]:[Has Expenses?]],COLUMNS(TAB_Offres[[Reference]:[Has Expenses?]]),FALSE)=J$2,TAB_Offres[[#This Row],[Reference]],""),"")</f>
        <v/>
      </c>
      <c r="O328" t="str">
        <f>IF(Tableau19[[#This Row],[EXPENSES_REF]]="","",MAX(O$1:O327)+1)</f>
        <v/>
      </c>
      <c r="P328" t="str">
        <f t="shared" si="17"/>
        <v/>
      </c>
      <c r="AI328" s="191" t="str">
        <f>IFERROR(_xlfn.SINGLE(
IF(_xlfn.SINGLE(INDEX(TAB_Offres[Ressource 1],ROWS(Params!AI$2:$AI328)))=0,NA(),
INDEX(TAB_Offres[Ressource 1],ROWS(Params!AI$2:$AI328)))),
IFERROR(_xlfn.SINGLE(IF(_xlfn.SINGLE(INDEX(#REF!,ROWS(Params!AI$2:$AI328)-COUNTA(TAB_Offres[Ressource 1])))=0,NA(),
INDEX(#REF!,ROWS(Params!AI$2:$AI328)-COUNTA(TAB_Offres[Ressource 1])))),
IFERROR(_xlfn.SINGLE(IF(_xlfn.SINGLE(INDEX(#REF!,ROWS(Params!AI$2:$AI328)-COUNTA(#REF!)-COUNTA(TAB_Offres[Ressource 1])))=0,NA(),
INDEX(#REF!,ROWS(Params!AI$2:$AI328)-COUNTA(#REF!)-COUNTA(TAB_Offres[Ressource 1])))),""))
)</f>
        <v/>
      </c>
      <c r="AJ328" s="192" t="str">
        <f>IF(TAB_ressource[[#This Row],[Import Ressource]]="","",MAX(AJ$1:AJ327)+1)</f>
        <v/>
      </c>
      <c r="AK328" s="193" t="str">
        <f>IFERROR(INDEX(TAB_ressource[Import Ressource],MATCH(ROW()-ROW($AK$1),TAB_ressource[ID Import ressources],0)),"")</f>
        <v/>
      </c>
      <c r="AN328" s="26">
        <f t="shared" si="18"/>
        <v>0</v>
      </c>
      <c r="BD328" t="s">
        <v>1594</v>
      </c>
      <c r="BE328" t="s">
        <v>1595</v>
      </c>
      <c r="BF328" t="s">
        <v>1596</v>
      </c>
      <c r="BG328" t="s">
        <v>1594</v>
      </c>
    </row>
    <row r="329" spans="13:59" x14ac:dyDescent="0.25">
      <c r="M329" t="str">
        <f>_xlfn.IFNA(IF(VLOOKUP(TAB_Offres[[#This Row],[Reference]],TAB_Offres[[Reference]:[Request State]],COLUMNS(TAB_Offres[[Reference]:[Request State]]),FALSE)=D$6,TAB_Offres[[#This Row],[Reference]],""),"")</f>
        <v/>
      </c>
      <c r="N329" t="str">
        <f>_xlfn.IFNA(IF(VLOOKUP(TAB_Offres[[#This Row],[Reference]],TAB_Offres[[Reference]:[Has Expenses?]],COLUMNS(TAB_Offres[[Reference]:[Has Expenses?]]),FALSE)=J$2,TAB_Offres[[#This Row],[Reference]],""),"")</f>
        <v/>
      </c>
      <c r="O329" t="str">
        <f>IF(Tableau19[[#This Row],[EXPENSES_REF]]="","",MAX(O$1:O328)+1)</f>
        <v/>
      </c>
      <c r="P329" t="str">
        <f t="shared" si="17"/>
        <v/>
      </c>
      <c r="AI329" s="191" t="str">
        <f>IFERROR(_xlfn.SINGLE(
IF(_xlfn.SINGLE(INDEX(TAB_Offres[Ressource 1],ROWS(Params!AI$2:$AI329)))=0,NA(),
INDEX(TAB_Offres[Ressource 1],ROWS(Params!AI$2:$AI329)))),
IFERROR(_xlfn.SINGLE(IF(_xlfn.SINGLE(INDEX(#REF!,ROWS(Params!AI$2:$AI329)-COUNTA(TAB_Offres[Ressource 1])))=0,NA(),
INDEX(#REF!,ROWS(Params!AI$2:$AI329)-COUNTA(TAB_Offres[Ressource 1])))),
IFERROR(_xlfn.SINGLE(IF(_xlfn.SINGLE(INDEX(#REF!,ROWS(Params!AI$2:$AI329)-COUNTA(#REF!)-COUNTA(TAB_Offres[Ressource 1])))=0,NA(),
INDEX(#REF!,ROWS(Params!AI$2:$AI329)-COUNTA(#REF!)-COUNTA(TAB_Offres[Ressource 1])))),""))
)</f>
        <v/>
      </c>
      <c r="AJ329" s="192" t="str">
        <f>IF(TAB_ressource[[#This Row],[Import Ressource]]="","",MAX(AJ$1:AJ328)+1)</f>
        <v/>
      </c>
      <c r="AK329" s="193" t="str">
        <f>IFERROR(INDEX(TAB_ressource[Import Ressource],MATCH(ROW()-ROW($AK$1),TAB_ressource[ID Import ressources],0)),"")</f>
        <v/>
      </c>
      <c r="AN329" s="26">
        <f t="shared" si="18"/>
        <v>0</v>
      </c>
      <c r="BD329" t="s">
        <v>1597</v>
      </c>
      <c r="BE329" t="s">
        <v>1598</v>
      </c>
      <c r="BF329" t="s">
        <v>1599</v>
      </c>
      <c r="BG329" t="s">
        <v>1597</v>
      </c>
    </row>
    <row r="330" spans="13:59" x14ac:dyDescent="0.25">
      <c r="M330" t="str">
        <f>_xlfn.IFNA(IF(VLOOKUP(TAB_Offres[[#This Row],[Reference]],TAB_Offres[[Reference]:[Request State]],COLUMNS(TAB_Offres[[Reference]:[Request State]]),FALSE)=D$6,TAB_Offres[[#This Row],[Reference]],""),"")</f>
        <v/>
      </c>
      <c r="N330" t="str">
        <f>_xlfn.IFNA(IF(VLOOKUP(TAB_Offres[[#This Row],[Reference]],TAB_Offres[[Reference]:[Has Expenses?]],COLUMNS(TAB_Offres[[Reference]:[Has Expenses?]]),FALSE)=J$2,TAB_Offres[[#This Row],[Reference]],""),"")</f>
        <v/>
      </c>
      <c r="O330" t="str">
        <f>IF(Tableau19[[#This Row],[EXPENSES_REF]]="","",MAX(O$1:O329)+1)</f>
        <v/>
      </c>
      <c r="P330" t="str">
        <f t="shared" si="17"/>
        <v/>
      </c>
      <c r="AI330" s="191" t="str">
        <f>IFERROR(_xlfn.SINGLE(
IF(_xlfn.SINGLE(INDEX(TAB_Offres[Ressource 1],ROWS(Params!AI$2:$AI330)))=0,NA(),
INDEX(TAB_Offres[Ressource 1],ROWS(Params!AI$2:$AI330)))),
IFERROR(_xlfn.SINGLE(IF(_xlfn.SINGLE(INDEX(#REF!,ROWS(Params!AI$2:$AI330)-COUNTA(TAB_Offres[Ressource 1])))=0,NA(),
INDEX(#REF!,ROWS(Params!AI$2:$AI330)-COUNTA(TAB_Offres[Ressource 1])))),
IFERROR(_xlfn.SINGLE(IF(_xlfn.SINGLE(INDEX(#REF!,ROWS(Params!AI$2:$AI330)-COUNTA(#REF!)-COUNTA(TAB_Offres[Ressource 1])))=0,NA(),
INDEX(#REF!,ROWS(Params!AI$2:$AI330)-COUNTA(#REF!)-COUNTA(TAB_Offres[Ressource 1])))),""))
)</f>
        <v/>
      </c>
      <c r="AJ330" s="192" t="str">
        <f>IF(TAB_ressource[[#This Row],[Import Ressource]]="","",MAX(AJ$1:AJ329)+1)</f>
        <v/>
      </c>
      <c r="AK330" s="193" t="str">
        <f>IFERROR(INDEX(TAB_ressource[Import Ressource],MATCH(ROW()-ROW($AK$1),TAB_ressource[ID Import ressources],0)),"")</f>
        <v/>
      </c>
      <c r="AN330" s="26">
        <f t="shared" si="18"/>
        <v>0</v>
      </c>
      <c r="BD330" t="s">
        <v>1600</v>
      </c>
      <c r="BE330" t="s">
        <v>1601</v>
      </c>
      <c r="BF330" t="s">
        <v>1602</v>
      </c>
      <c r="BG330" t="s">
        <v>1600</v>
      </c>
    </row>
    <row r="331" spans="13:59" x14ac:dyDescent="0.25">
      <c r="M331" t="str">
        <f>_xlfn.IFNA(IF(VLOOKUP(TAB_Offres[[#This Row],[Reference]],TAB_Offres[[Reference]:[Request State]],COLUMNS(TAB_Offres[[Reference]:[Request State]]),FALSE)=D$6,TAB_Offres[[#This Row],[Reference]],""),"")</f>
        <v/>
      </c>
      <c r="N331" t="str">
        <f>_xlfn.IFNA(IF(VLOOKUP(TAB_Offres[[#This Row],[Reference]],TAB_Offres[[Reference]:[Has Expenses?]],COLUMNS(TAB_Offres[[Reference]:[Has Expenses?]]),FALSE)=J$2,TAB_Offres[[#This Row],[Reference]],""),"")</f>
        <v/>
      </c>
      <c r="O331" t="str">
        <f>IF(Tableau19[[#This Row],[EXPENSES_REF]]="","",MAX(O$1:O330)+1)</f>
        <v/>
      </c>
      <c r="P331" t="str">
        <f t="shared" si="17"/>
        <v/>
      </c>
      <c r="AI331" s="191" t="str">
        <f>IFERROR(_xlfn.SINGLE(
IF(_xlfn.SINGLE(INDEX(TAB_Offres[Ressource 1],ROWS(Params!AI$2:$AI331)))=0,NA(),
INDEX(TAB_Offres[Ressource 1],ROWS(Params!AI$2:$AI331)))),
IFERROR(_xlfn.SINGLE(IF(_xlfn.SINGLE(INDEX(#REF!,ROWS(Params!AI$2:$AI331)-COUNTA(TAB_Offres[Ressource 1])))=0,NA(),
INDEX(#REF!,ROWS(Params!AI$2:$AI331)-COUNTA(TAB_Offres[Ressource 1])))),
IFERROR(_xlfn.SINGLE(IF(_xlfn.SINGLE(INDEX(#REF!,ROWS(Params!AI$2:$AI331)-COUNTA(#REF!)-COUNTA(TAB_Offres[Ressource 1])))=0,NA(),
INDEX(#REF!,ROWS(Params!AI$2:$AI331)-COUNTA(#REF!)-COUNTA(TAB_Offres[Ressource 1])))),""))
)</f>
        <v/>
      </c>
      <c r="AJ331" s="192" t="str">
        <f>IF(TAB_ressource[[#This Row],[Import Ressource]]="","",MAX(AJ$1:AJ330)+1)</f>
        <v/>
      </c>
      <c r="AK331" s="193" t="str">
        <f>IFERROR(INDEX(TAB_ressource[Import Ressource],MATCH(ROW()-ROW($AK$1),TAB_ressource[ID Import ressources],0)),"")</f>
        <v/>
      </c>
      <c r="AN331" s="26">
        <f t="shared" si="18"/>
        <v>0</v>
      </c>
      <c r="BD331" t="s">
        <v>1603</v>
      </c>
      <c r="BE331" t="s">
        <v>1604</v>
      </c>
      <c r="BF331" t="s">
        <v>1605</v>
      </c>
      <c r="BG331" t="s">
        <v>1603</v>
      </c>
    </row>
    <row r="332" spans="13:59" x14ac:dyDescent="0.25">
      <c r="M332" t="str">
        <f>_xlfn.IFNA(IF(VLOOKUP(TAB_Offres[[#This Row],[Reference]],TAB_Offres[[Reference]:[Request State]],COLUMNS(TAB_Offres[[Reference]:[Request State]]),FALSE)=D$6,TAB_Offres[[#This Row],[Reference]],""),"")</f>
        <v/>
      </c>
      <c r="N332" t="str">
        <f>_xlfn.IFNA(IF(VLOOKUP(TAB_Offres[[#This Row],[Reference]],TAB_Offres[[Reference]:[Has Expenses?]],COLUMNS(TAB_Offres[[Reference]:[Has Expenses?]]),FALSE)=J$2,TAB_Offres[[#This Row],[Reference]],""),"")</f>
        <v/>
      </c>
      <c r="O332" t="str">
        <f>IF(Tableau19[[#This Row],[EXPENSES_REF]]="","",MAX(O$1:O331)+1)</f>
        <v/>
      </c>
      <c r="P332" t="str">
        <f t="shared" si="17"/>
        <v/>
      </c>
      <c r="AI332" s="191" t="str">
        <f>IFERROR(_xlfn.SINGLE(
IF(_xlfn.SINGLE(INDEX(TAB_Offres[Ressource 1],ROWS(Params!AI$2:$AI332)))=0,NA(),
INDEX(TAB_Offres[Ressource 1],ROWS(Params!AI$2:$AI332)))),
IFERROR(_xlfn.SINGLE(IF(_xlfn.SINGLE(INDEX(#REF!,ROWS(Params!AI$2:$AI332)-COUNTA(TAB_Offres[Ressource 1])))=0,NA(),
INDEX(#REF!,ROWS(Params!AI$2:$AI332)-COUNTA(TAB_Offres[Ressource 1])))),
IFERROR(_xlfn.SINGLE(IF(_xlfn.SINGLE(INDEX(#REF!,ROWS(Params!AI$2:$AI332)-COUNTA(#REF!)-COUNTA(TAB_Offres[Ressource 1])))=0,NA(),
INDEX(#REF!,ROWS(Params!AI$2:$AI332)-COUNTA(#REF!)-COUNTA(TAB_Offres[Ressource 1])))),""))
)</f>
        <v/>
      </c>
      <c r="AJ332" s="192" t="str">
        <f>IF(TAB_ressource[[#This Row],[Import Ressource]]="","",MAX(AJ$1:AJ331)+1)</f>
        <v/>
      </c>
      <c r="AK332" s="193" t="str">
        <f>IFERROR(INDEX(TAB_ressource[Import Ressource],MATCH(ROW()-ROW($AK$1),TAB_ressource[ID Import ressources],0)),"")</f>
        <v/>
      </c>
      <c r="AN332" s="26">
        <f t="shared" si="18"/>
        <v>0</v>
      </c>
      <c r="BD332" t="s">
        <v>1606</v>
      </c>
      <c r="BE332" t="s">
        <v>1607</v>
      </c>
      <c r="BF332" t="s">
        <v>1608</v>
      </c>
      <c r="BG332" t="s">
        <v>1606</v>
      </c>
    </row>
    <row r="333" spans="13:59" x14ac:dyDescent="0.25">
      <c r="M333" t="str">
        <f>_xlfn.IFNA(IF(VLOOKUP(TAB_Offres[[#This Row],[Reference]],TAB_Offres[[Reference]:[Request State]],COLUMNS(TAB_Offres[[Reference]:[Request State]]),FALSE)=D$6,TAB_Offres[[#This Row],[Reference]],""),"")</f>
        <v/>
      </c>
      <c r="N333" t="str">
        <f>_xlfn.IFNA(IF(VLOOKUP(TAB_Offres[[#This Row],[Reference]],TAB_Offres[[Reference]:[Has Expenses?]],COLUMNS(TAB_Offres[[Reference]:[Has Expenses?]]),FALSE)=J$2,TAB_Offres[[#This Row],[Reference]],""),"")</f>
        <v/>
      </c>
      <c r="O333" t="str">
        <f>IF(Tableau19[[#This Row],[EXPENSES_REF]]="","",MAX(O$1:O332)+1)</f>
        <v/>
      </c>
      <c r="P333" t="str">
        <f t="shared" si="17"/>
        <v/>
      </c>
      <c r="AI333" s="191" t="str">
        <f>IFERROR(_xlfn.SINGLE(
IF(_xlfn.SINGLE(INDEX(TAB_Offres[Ressource 1],ROWS(Params!AI$2:$AI333)))=0,NA(),
INDEX(TAB_Offres[Ressource 1],ROWS(Params!AI$2:$AI333)))),
IFERROR(_xlfn.SINGLE(IF(_xlfn.SINGLE(INDEX(#REF!,ROWS(Params!AI$2:$AI333)-COUNTA(TAB_Offres[Ressource 1])))=0,NA(),
INDEX(#REF!,ROWS(Params!AI$2:$AI333)-COUNTA(TAB_Offres[Ressource 1])))),
IFERROR(_xlfn.SINGLE(IF(_xlfn.SINGLE(INDEX(#REF!,ROWS(Params!AI$2:$AI333)-COUNTA(#REF!)-COUNTA(TAB_Offres[Ressource 1])))=0,NA(),
INDEX(#REF!,ROWS(Params!AI$2:$AI333)-COUNTA(#REF!)-COUNTA(TAB_Offres[Ressource 1])))),""))
)</f>
        <v/>
      </c>
      <c r="AJ333" s="192" t="str">
        <f>IF(TAB_ressource[[#This Row],[Import Ressource]]="","",MAX(AJ$1:AJ332)+1)</f>
        <v/>
      </c>
      <c r="AK333" s="193" t="str">
        <f>IFERROR(INDEX(TAB_ressource[Import Ressource],MATCH(ROW()-ROW($AK$1),TAB_ressource[ID Import ressources],0)),"")</f>
        <v/>
      </c>
      <c r="AN333" s="26">
        <f t="shared" si="18"/>
        <v>0</v>
      </c>
      <c r="BD333" t="s">
        <v>1609</v>
      </c>
      <c r="BE333" t="s">
        <v>1610</v>
      </c>
      <c r="BF333" t="s">
        <v>1611</v>
      </c>
      <c r="BG333" t="s">
        <v>1609</v>
      </c>
    </row>
    <row r="334" spans="13:59" x14ac:dyDescent="0.25">
      <c r="M334" t="str">
        <f>_xlfn.IFNA(IF(VLOOKUP(TAB_Offres[[#This Row],[Reference]],TAB_Offres[[Reference]:[Request State]],COLUMNS(TAB_Offres[[Reference]:[Request State]]),FALSE)=D$6,TAB_Offres[[#This Row],[Reference]],""),"")</f>
        <v/>
      </c>
      <c r="N334" t="str">
        <f>_xlfn.IFNA(IF(VLOOKUP(TAB_Offres[[#This Row],[Reference]],TAB_Offres[[Reference]:[Has Expenses?]],COLUMNS(TAB_Offres[[Reference]:[Has Expenses?]]),FALSE)=J$2,TAB_Offres[[#This Row],[Reference]],""),"")</f>
        <v/>
      </c>
      <c r="O334" t="str">
        <f>IF(Tableau19[[#This Row],[EXPENSES_REF]]="","",MAX(O$1:O333)+1)</f>
        <v/>
      </c>
      <c r="P334" t="str">
        <f t="shared" si="17"/>
        <v/>
      </c>
      <c r="AI334" s="191" t="str">
        <f>IFERROR(_xlfn.SINGLE(
IF(_xlfn.SINGLE(INDEX(TAB_Offres[Ressource 1],ROWS(Params!AI$2:$AI334)))=0,NA(),
INDEX(TAB_Offres[Ressource 1],ROWS(Params!AI$2:$AI334)))),
IFERROR(_xlfn.SINGLE(IF(_xlfn.SINGLE(INDEX(#REF!,ROWS(Params!AI$2:$AI334)-COUNTA(TAB_Offres[Ressource 1])))=0,NA(),
INDEX(#REF!,ROWS(Params!AI$2:$AI334)-COUNTA(TAB_Offres[Ressource 1])))),
IFERROR(_xlfn.SINGLE(IF(_xlfn.SINGLE(INDEX(#REF!,ROWS(Params!AI$2:$AI334)-COUNTA(#REF!)-COUNTA(TAB_Offres[Ressource 1])))=0,NA(),
INDEX(#REF!,ROWS(Params!AI$2:$AI334)-COUNTA(#REF!)-COUNTA(TAB_Offres[Ressource 1])))),""))
)</f>
        <v/>
      </c>
      <c r="AJ334" s="192" t="str">
        <f>IF(TAB_ressource[[#This Row],[Import Ressource]]="","",MAX(AJ$1:AJ333)+1)</f>
        <v/>
      </c>
      <c r="AK334" s="193" t="str">
        <f>IFERROR(INDEX(TAB_ressource[Import Ressource],MATCH(ROW()-ROW($AK$1),TAB_ressource[ID Import ressources],0)),"")</f>
        <v/>
      </c>
      <c r="AN334" s="26">
        <f t="shared" si="18"/>
        <v>0</v>
      </c>
      <c r="BD334" t="s">
        <v>1612</v>
      </c>
      <c r="BE334" t="s">
        <v>1613</v>
      </c>
      <c r="BF334" t="s">
        <v>1614</v>
      </c>
      <c r="BG334" t="s">
        <v>1612</v>
      </c>
    </row>
    <row r="335" spans="13:59" x14ac:dyDescent="0.25">
      <c r="M335" t="str">
        <f>_xlfn.IFNA(IF(VLOOKUP(TAB_Offres[[#This Row],[Reference]],TAB_Offres[[Reference]:[Request State]],COLUMNS(TAB_Offres[[Reference]:[Request State]]),FALSE)=D$6,TAB_Offres[[#This Row],[Reference]],""),"")</f>
        <v/>
      </c>
      <c r="N335" t="str">
        <f>_xlfn.IFNA(IF(VLOOKUP(TAB_Offres[[#This Row],[Reference]],TAB_Offres[[Reference]:[Has Expenses?]],COLUMNS(TAB_Offres[[Reference]:[Has Expenses?]]),FALSE)=J$2,TAB_Offres[[#This Row],[Reference]],""),"")</f>
        <v/>
      </c>
      <c r="O335" t="str">
        <f>IF(Tableau19[[#This Row],[EXPENSES_REF]]="","",MAX(O$1:O334)+1)</f>
        <v/>
      </c>
      <c r="P335" t="str">
        <f t="shared" si="17"/>
        <v/>
      </c>
      <c r="AI335" s="191" t="str">
        <f>IFERROR(_xlfn.SINGLE(
IF(_xlfn.SINGLE(INDEX(TAB_Offres[Ressource 1],ROWS(Params!AI$2:$AI335)))=0,NA(),
INDEX(TAB_Offres[Ressource 1],ROWS(Params!AI$2:$AI335)))),
IFERROR(_xlfn.SINGLE(IF(_xlfn.SINGLE(INDEX(#REF!,ROWS(Params!AI$2:$AI335)-COUNTA(TAB_Offres[Ressource 1])))=0,NA(),
INDEX(#REF!,ROWS(Params!AI$2:$AI335)-COUNTA(TAB_Offres[Ressource 1])))),
IFERROR(_xlfn.SINGLE(IF(_xlfn.SINGLE(INDEX(#REF!,ROWS(Params!AI$2:$AI335)-COUNTA(#REF!)-COUNTA(TAB_Offres[Ressource 1])))=0,NA(),
INDEX(#REF!,ROWS(Params!AI$2:$AI335)-COUNTA(#REF!)-COUNTA(TAB_Offres[Ressource 1])))),""))
)</f>
        <v/>
      </c>
      <c r="AJ335" s="192" t="str">
        <f>IF(TAB_ressource[[#This Row],[Import Ressource]]="","",MAX(AJ$1:AJ334)+1)</f>
        <v/>
      </c>
      <c r="AK335" s="193" t="str">
        <f>IFERROR(INDEX(TAB_ressource[Import Ressource],MATCH(ROW()-ROW($AK$1),TAB_ressource[ID Import ressources],0)),"")</f>
        <v/>
      </c>
      <c r="AN335" s="26">
        <f t="shared" si="18"/>
        <v>0</v>
      </c>
      <c r="BD335" t="s">
        <v>1615</v>
      </c>
      <c r="BE335" t="s">
        <v>1616</v>
      </c>
      <c r="BF335" t="s">
        <v>1617</v>
      </c>
      <c r="BG335" t="s">
        <v>1615</v>
      </c>
    </row>
    <row r="336" spans="13:59" x14ac:dyDescent="0.25">
      <c r="M336" t="str">
        <f>_xlfn.IFNA(IF(VLOOKUP(TAB_Offres[[#This Row],[Reference]],TAB_Offres[[Reference]:[Request State]],COLUMNS(TAB_Offres[[Reference]:[Request State]]),FALSE)=D$6,TAB_Offres[[#This Row],[Reference]],""),"")</f>
        <v/>
      </c>
      <c r="N336" t="str">
        <f>_xlfn.IFNA(IF(VLOOKUP(TAB_Offres[[#This Row],[Reference]],TAB_Offres[[Reference]:[Has Expenses?]],COLUMNS(TAB_Offres[[Reference]:[Has Expenses?]]),FALSE)=J$2,TAB_Offres[[#This Row],[Reference]],""),"")</f>
        <v/>
      </c>
      <c r="O336" t="str">
        <f>IF(Tableau19[[#This Row],[EXPENSES_REF]]="","",MAX(O$1:O335)+1)</f>
        <v/>
      </c>
      <c r="P336" t="str">
        <f t="shared" si="17"/>
        <v/>
      </c>
      <c r="AI336" s="191" t="str">
        <f>IFERROR(_xlfn.SINGLE(
IF(_xlfn.SINGLE(INDEX(TAB_Offres[Ressource 1],ROWS(Params!AI$2:$AI336)))=0,NA(),
INDEX(TAB_Offres[Ressource 1],ROWS(Params!AI$2:$AI336)))),
IFERROR(_xlfn.SINGLE(IF(_xlfn.SINGLE(INDEX(#REF!,ROWS(Params!AI$2:$AI336)-COUNTA(TAB_Offres[Ressource 1])))=0,NA(),
INDEX(#REF!,ROWS(Params!AI$2:$AI336)-COUNTA(TAB_Offres[Ressource 1])))),
IFERROR(_xlfn.SINGLE(IF(_xlfn.SINGLE(INDEX(#REF!,ROWS(Params!AI$2:$AI336)-COUNTA(#REF!)-COUNTA(TAB_Offres[Ressource 1])))=0,NA(),
INDEX(#REF!,ROWS(Params!AI$2:$AI336)-COUNTA(#REF!)-COUNTA(TAB_Offres[Ressource 1])))),""))
)</f>
        <v/>
      </c>
      <c r="AJ336" s="192" t="str">
        <f>IF(TAB_ressource[[#This Row],[Import Ressource]]="","",MAX(AJ$1:AJ335)+1)</f>
        <v/>
      </c>
      <c r="AK336" s="193" t="str">
        <f>IFERROR(INDEX(TAB_ressource[Import Ressource],MATCH(ROW()-ROW($AK$1),TAB_ressource[ID Import ressources],0)),"")</f>
        <v/>
      </c>
      <c r="AN336" s="26">
        <f t="shared" si="18"/>
        <v>0</v>
      </c>
      <c r="BD336" t="s">
        <v>1618</v>
      </c>
      <c r="BE336" t="s">
        <v>1619</v>
      </c>
      <c r="BF336" t="s">
        <v>1620</v>
      </c>
      <c r="BG336" t="s">
        <v>1618</v>
      </c>
    </row>
    <row r="337" spans="13:59" x14ac:dyDescent="0.25">
      <c r="M337" t="str">
        <f>_xlfn.IFNA(IF(VLOOKUP(TAB_Offres[[#This Row],[Reference]],TAB_Offres[[Reference]:[Request State]],COLUMNS(TAB_Offres[[Reference]:[Request State]]),FALSE)=D$6,TAB_Offres[[#This Row],[Reference]],""),"")</f>
        <v/>
      </c>
      <c r="N337" t="str">
        <f>_xlfn.IFNA(IF(VLOOKUP(TAB_Offres[[#This Row],[Reference]],TAB_Offres[[Reference]:[Has Expenses?]],COLUMNS(TAB_Offres[[Reference]:[Has Expenses?]]),FALSE)=J$2,TAB_Offres[[#This Row],[Reference]],""),"")</f>
        <v/>
      </c>
      <c r="O337" t="str">
        <f>IF(Tableau19[[#This Row],[EXPENSES_REF]]="","",MAX(O$1:O336)+1)</f>
        <v/>
      </c>
      <c r="P337" t="str">
        <f t="shared" si="17"/>
        <v/>
      </c>
      <c r="AI337" s="191" t="str">
        <f>IFERROR(_xlfn.SINGLE(
IF(_xlfn.SINGLE(INDEX(TAB_Offres[Ressource 1],ROWS(Params!AI$2:$AI337)))=0,NA(),
INDEX(TAB_Offres[Ressource 1],ROWS(Params!AI$2:$AI337)))),
IFERROR(_xlfn.SINGLE(IF(_xlfn.SINGLE(INDEX(#REF!,ROWS(Params!AI$2:$AI337)-COUNTA(TAB_Offres[Ressource 1])))=0,NA(),
INDEX(#REF!,ROWS(Params!AI$2:$AI337)-COUNTA(TAB_Offres[Ressource 1])))),
IFERROR(_xlfn.SINGLE(IF(_xlfn.SINGLE(INDEX(#REF!,ROWS(Params!AI$2:$AI337)-COUNTA(#REF!)-COUNTA(TAB_Offres[Ressource 1])))=0,NA(),
INDEX(#REF!,ROWS(Params!AI$2:$AI337)-COUNTA(#REF!)-COUNTA(TAB_Offres[Ressource 1])))),""))
)</f>
        <v/>
      </c>
      <c r="AJ337" s="192" t="str">
        <f>IF(TAB_ressource[[#This Row],[Import Ressource]]="","",MAX(AJ$1:AJ336)+1)</f>
        <v/>
      </c>
      <c r="AK337" s="193" t="str">
        <f>IFERROR(INDEX(TAB_ressource[Import Ressource],MATCH(ROW()-ROW($AK$1),TAB_ressource[ID Import ressources],0)),"")</f>
        <v/>
      </c>
      <c r="AN337" s="26">
        <f t="shared" si="18"/>
        <v>0</v>
      </c>
      <c r="BD337" t="s">
        <v>1621</v>
      </c>
      <c r="BE337" t="s">
        <v>1622</v>
      </c>
      <c r="BF337" t="s">
        <v>1623</v>
      </c>
      <c r="BG337" t="s">
        <v>1621</v>
      </c>
    </row>
    <row r="338" spans="13:59" x14ac:dyDescent="0.25">
      <c r="M338" t="str">
        <f>_xlfn.IFNA(IF(VLOOKUP(TAB_Offres[[#This Row],[Reference]],TAB_Offres[[Reference]:[Request State]],COLUMNS(TAB_Offres[[Reference]:[Request State]]),FALSE)=D$6,TAB_Offres[[#This Row],[Reference]],""),"")</f>
        <v/>
      </c>
      <c r="N338" t="str">
        <f>_xlfn.IFNA(IF(VLOOKUP(TAB_Offres[[#This Row],[Reference]],TAB_Offres[[Reference]:[Has Expenses?]],COLUMNS(TAB_Offres[[Reference]:[Has Expenses?]]),FALSE)=J$2,TAB_Offres[[#This Row],[Reference]],""),"")</f>
        <v/>
      </c>
      <c r="O338" t="str">
        <f>IF(Tableau19[[#This Row],[EXPENSES_REF]]="","",MAX(O$1:O337)+1)</f>
        <v/>
      </c>
      <c r="P338" t="str">
        <f t="shared" si="17"/>
        <v/>
      </c>
      <c r="AI338" s="191" t="str">
        <f>IFERROR(_xlfn.SINGLE(
IF(_xlfn.SINGLE(INDEX(TAB_Offres[Ressource 1],ROWS(Params!AI$2:$AI338)))=0,NA(),
INDEX(TAB_Offres[Ressource 1],ROWS(Params!AI$2:$AI338)))),
IFERROR(_xlfn.SINGLE(IF(_xlfn.SINGLE(INDEX(#REF!,ROWS(Params!AI$2:$AI338)-COUNTA(TAB_Offres[Ressource 1])))=0,NA(),
INDEX(#REF!,ROWS(Params!AI$2:$AI338)-COUNTA(TAB_Offres[Ressource 1])))),
IFERROR(_xlfn.SINGLE(IF(_xlfn.SINGLE(INDEX(#REF!,ROWS(Params!AI$2:$AI338)-COUNTA(#REF!)-COUNTA(TAB_Offres[Ressource 1])))=0,NA(),
INDEX(#REF!,ROWS(Params!AI$2:$AI338)-COUNTA(#REF!)-COUNTA(TAB_Offres[Ressource 1])))),""))
)</f>
        <v/>
      </c>
      <c r="AJ338" s="192" t="str">
        <f>IF(TAB_ressource[[#This Row],[Import Ressource]]="","",MAX(AJ$1:AJ337)+1)</f>
        <v/>
      </c>
      <c r="AK338" s="193" t="str">
        <f>IFERROR(INDEX(TAB_ressource[Import Ressource],MATCH(ROW()-ROW($AK$1),TAB_ressource[ID Import ressources],0)),"")</f>
        <v/>
      </c>
      <c r="AN338" s="26">
        <f t="shared" si="18"/>
        <v>0</v>
      </c>
      <c r="BD338" t="s">
        <v>1624</v>
      </c>
      <c r="BE338" t="s">
        <v>1625</v>
      </c>
      <c r="BF338" t="s">
        <v>1626</v>
      </c>
      <c r="BG338" t="s">
        <v>1624</v>
      </c>
    </row>
    <row r="339" spans="13:59" x14ac:dyDescent="0.25">
      <c r="M339" t="str">
        <f>_xlfn.IFNA(IF(VLOOKUP(TAB_Offres[[#This Row],[Reference]],TAB_Offres[[Reference]:[Request State]],COLUMNS(TAB_Offres[[Reference]:[Request State]]),FALSE)=D$6,TAB_Offres[[#This Row],[Reference]],""),"")</f>
        <v/>
      </c>
      <c r="N339" t="str">
        <f>_xlfn.IFNA(IF(VLOOKUP(TAB_Offres[[#This Row],[Reference]],TAB_Offres[[Reference]:[Has Expenses?]],COLUMNS(TAB_Offres[[Reference]:[Has Expenses?]]),FALSE)=J$2,TAB_Offres[[#This Row],[Reference]],""),"")</f>
        <v/>
      </c>
      <c r="O339" t="str">
        <f>IF(Tableau19[[#This Row],[EXPENSES_REF]]="","",MAX(O$1:O338)+1)</f>
        <v/>
      </c>
      <c r="P339" t="str">
        <f t="shared" si="17"/>
        <v/>
      </c>
      <c r="AI339" s="191" t="str">
        <f>IFERROR(_xlfn.SINGLE(
IF(_xlfn.SINGLE(INDEX(TAB_Offres[Ressource 1],ROWS(Params!AI$2:$AI339)))=0,NA(),
INDEX(TAB_Offres[Ressource 1],ROWS(Params!AI$2:$AI339)))),
IFERROR(_xlfn.SINGLE(IF(_xlfn.SINGLE(INDEX(#REF!,ROWS(Params!AI$2:$AI339)-COUNTA(TAB_Offres[Ressource 1])))=0,NA(),
INDEX(#REF!,ROWS(Params!AI$2:$AI339)-COUNTA(TAB_Offres[Ressource 1])))),
IFERROR(_xlfn.SINGLE(IF(_xlfn.SINGLE(INDEX(#REF!,ROWS(Params!AI$2:$AI339)-COUNTA(#REF!)-COUNTA(TAB_Offres[Ressource 1])))=0,NA(),
INDEX(#REF!,ROWS(Params!AI$2:$AI339)-COUNTA(#REF!)-COUNTA(TAB_Offres[Ressource 1])))),""))
)</f>
        <v/>
      </c>
      <c r="AJ339" s="192" t="str">
        <f>IF(TAB_ressource[[#This Row],[Import Ressource]]="","",MAX(AJ$1:AJ338)+1)</f>
        <v/>
      </c>
      <c r="AK339" s="193" t="str">
        <f>IFERROR(INDEX(TAB_ressource[Import Ressource],MATCH(ROW()-ROW($AK$1),TAB_ressource[ID Import ressources],0)),"")</f>
        <v/>
      </c>
      <c r="AN339" s="26">
        <f t="shared" si="18"/>
        <v>0</v>
      </c>
      <c r="BD339" t="s">
        <v>1627</v>
      </c>
      <c r="BE339" t="s">
        <v>1628</v>
      </c>
      <c r="BF339" t="s">
        <v>1629</v>
      </c>
      <c r="BG339" t="s">
        <v>1627</v>
      </c>
    </row>
    <row r="340" spans="13:59" x14ac:dyDescent="0.25">
      <c r="M340" t="str">
        <f>_xlfn.IFNA(IF(VLOOKUP(TAB_Offres[[#This Row],[Reference]],TAB_Offres[[Reference]:[Request State]],COLUMNS(TAB_Offres[[Reference]:[Request State]]),FALSE)=D$6,TAB_Offres[[#This Row],[Reference]],""),"")</f>
        <v/>
      </c>
      <c r="N340" t="str">
        <f>_xlfn.IFNA(IF(VLOOKUP(TAB_Offres[[#This Row],[Reference]],TAB_Offres[[Reference]:[Has Expenses?]],COLUMNS(TAB_Offres[[Reference]:[Has Expenses?]]),FALSE)=J$2,TAB_Offres[[#This Row],[Reference]],""),"")</f>
        <v/>
      </c>
      <c r="O340" t="str">
        <f>IF(Tableau19[[#This Row],[EXPENSES_REF]]="","",MAX(O$1:O339)+1)</f>
        <v/>
      </c>
      <c r="P340" t="str">
        <f t="shared" si="17"/>
        <v/>
      </c>
      <c r="AI340" s="191" t="str">
        <f>IFERROR(_xlfn.SINGLE(
IF(_xlfn.SINGLE(INDEX(TAB_Offres[Ressource 1],ROWS(Params!AI$2:$AI340)))=0,NA(),
INDEX(TAB_Offres[Ressource 1],ROWS(Params!AI$2:$AI340)))),
IFERROR(_xlfn.SINGLE(IF(_xlfn.SINGLE(INDEX(#REF!,ROWS(Params!AI$2:$AI340)-COUNTA(TAB_Offres[Ressource 1])))=0,NA(),
INDEX(#REF!,ROWS(Params!AI$2:$AI340)-COUNTA(TAB_Offres[Ressource 1])))),
IFERROR(_xlfn.SINGLE(IF(_xlfn.SINGLE(INDEX(#REF!,ROWS(Params!AI$2:$AI340)-COUNTA(#REF!)-COUNTA(TAB_Offres[Ressource 1])))=0,NA(),
INDEX(#REF!,ROWS(Params!AI$2:$AI340)-COUNTA(#REF!)-COUNTA(TAB_Offres[Ressource 1])))),""))
)</f>
        <v/>
      </c>
      <c r="AJ340" s="192" t="str">
        <f>IF(TAB_ressource[[#This Row],[Import Ressource]]="","",MAX(AJ$1:AJ339)+1)</f>
        <v/>
      </c>
      <c r="AK340" s="193" t="str">
        <f>IFERROR(INDEX(TAB_ressource[Import Ressource],MATCH(ROW()-ROW($AK$1),TAB_ressource[ID Import ressources],0)),"")</f>
        <v/>
      </c>
      <c r="AN340" s="26">
        <f t="shared" si="18"/>
        <v>0</v>
      </c>
      <c r="BD340" t="s">
        <v>1630</v>
      </c>
      <c r="BE340" t="s">
        <v>1631</v>
      </c>
      <c r="BF340" t="s">
        <v>1632</v>
      </c>
      <c r="BG340" t="s">
        <v>1630</v>
      </c>
    </row>
    <row r="341" spans="13:59" x14ac:dyDescent="0.25">
      <c r="M341" t="str">
        <f>_xlfn.IFNA(IF(VLOOKUP(TAB_Offres[[#This Row],[Reference]],TAB_Offres[[Reference]:[Request State]],COLUMNS(TAB_Offres[[Reference]:[Request State]]),FALSE)=D$6,TAB_Offres[[#This Row],[Reference]],""),"")</f>
        <v/>
      </c>
      <c r="N341" t="str">
        <f>_xlfn.IFNA(IF(VLOOKUP(TAB_Offres[[#This Row],[Reference]],TAB_Offres[[Reference]:[Has Expenses?]],COLUMNS(TAB_Offres[[Reference]:[Has Expenses?]]),FALSE)=J$2,TAB_Offres[[#This Row],[Reference]],""),"")</f>
        <v/>
      </c>
      <c r="O341" t="str">
        <f>IF(Tableau19[[#This Row],[EXPENSES_REF]]="","",MAX(O$1:O340)+1)</f>
        <v/>
      </c>
      <c r="P341" t="str">
        <f t="shared" si="17"/>
        <v/>
      </c>
      <c r="AI341" s="191" t="str">
        <f>IFERROR(_xlfn.SINGLE(
IF(_xlfn.SINGLE(INDEX(TAB_Offres[Ressource 1],ROWS(Params!AI$2:$AI341)))=0,NA(),
INDEX(TAB_Offres[Ressource 1],ROWS(Params!AI$2:$AI341)))),
IFERROR(_xlfn.SINGLE(IF(_xlfn.SINGLE(INDEX(#REF!,ROWS(Params!AI$2:$AI341)-COUNTA(TAB_Offres[Ressource 1])))=0,NA(),
INDEX(#REF!,ROWS(Params!AI$2:$AI341)-COUNTA(TAB_Offres[Ressource 1])))),
IFERROR(_xlfn.SINGLE(IF(_xlfn.SINGLE(INDEX(#REF!,ROWS(Params!AI$2:$AI341)-COUNTA(#REF!)-COUNTA(TAB_Offres[Ressource 1])))=0,NA(),
INDEX(#REF!,ROWS(Params!AI$2:$AI341)-COUNTA(#REF!)-COUNTA(TAB_Offres[Ressource 1])))),""))
)</f>
        <v/>
      </c>
      <c r="AJ341" s="192" t="str">
        <f>IF(TAB_ressource[[#This Row],[Import Ressource]]="","",MAX(AJ$1:AJ340)+1)</f>
        <v/>
      </c>
      <c r="AK341" s="193" t="str">
        <f>IFERROR(INDEX(TAB_ressource[Import Ressource],MATCH(ROW()-ROW($AK$1),TAB_ressource[ID Import ressources],0)),"")</f>
        <v/>
      </c>
      <c r="AN341" s="26">
        <f t="shared" si="18"/>
        <v>0</v>
      </c>
      <c r="BD341" t="s">
        <v>1633</v>
      </c>
      <c r="BE341" t="s">
        <v>1634</v>
      </c>
      <c r="BF341" t="s">
        <v>1635</v>
      </c>
      <c r="BG341" t="s">
        <v>1633</v>
      </c>
    </row>
    <row r="342" spans="13:59" x14ac:dyDescent="0.25">
      <c r="M342" t="str">
        <f>_xlfn.IFNA(IF(VLOOKUP(TAB_Offres[[#This Row],[Reference]],TAB_Offres[[Reference]:[Request State]],COLUMNS(TAB_Offres[[Reference]:[Request State]]),FALSE)=D$6,TAB_Offres[[#This Row],[Reference]],""),"")</f>
        <v/>
      </c>
      <c r="N342" t="str">
        <f>_xlfn.IFNA(IF(VLOOKUP(TAB_Offres[[#This Row],[Reference]],TAB_Offres[[Reference]:[Has Expenses?]],COLUMNS(TAB_Offres[[Reference]:[Has Expenses?]]),FALSE)=J$2,TAB_Offres[[#This Row],[Reference]],""),"")</f>
        <v/>
      </c>
      <c r="O342" t="str">
        <f>IF(Tableau19[[#This Row],[EXPENSES_REF]]="","",MAX(O$1:O341)+1)</f>
        <v/>
      </c>
      <c r="P342" t="str">
        <f t="shared" si="17"/>
        <v/>
      </c>
      <c r="AI342" s="191" t="str">
        <f>IFERROR(_xlfn.SINGLE(
IF(_xlfn.SINGLE(INDEX(TAB_Offres[Ressource 1],ROWS(Params!AI$2:$AI342)))=0,NA(),
INDEX(TAB_Offres[Ressource 1],ROWS(Params!AI$2:$AI342)))),
IFERROR(_xlfn.SINGLE(IF(_xlfn.SINGLE(INDEX(#REF!,ROWS(Params!AI$2:$AI342)-COUNTA(TAB_Offres[Ressource 1])))=0,NA(),
INDEX(#REF!,ROWS(Params!AI$2:$AI342)-COUNTA(TAB_Offres[Ressource 1])))),
IFERROR(_xlfn.SINGLE(IF(_xlfn.SINGLE(INDEX(#REF!,ROWS(Params!AI$2:$AI342)-COUNTA(#REF!)-COUNTA(TAB_Offres[Ressource 1])))=0,NA(),
INDEX(#REF!,ROWS(Params!AI$2:$AI342)-COUNTA(#REF!)-COUNTA(TAB_Offres[Ressource 1])))),""))
)</f>
        <v/>
      </c>
      <c r="AJ342" s="192" t="str">
        <f>IF(TAB_ressource[[#This Row],[Import Ressource]]="","",MAX(AJ$1:AJ341)+1)</f>
        <v/>
      </c>
      <c r="AK342" s="193" t="str">
        <f>IFERROR(INDEX(TAB_ressource[Import Ressource],MATCH(ROW()-ROW($AK$1),TAB_ressource[ID Import ressources],0)),"")</f>
        <v/>
      </c>
      <c r="AN342" s="26">
        <f t="shared" si="18"/>
        <v>0</v>
      </c>
      <c r="BD342" t="s">
        <v>1636</v>
      </c>
      <c r="BE342" t="s">
        <v>1637</v>
      </c>
      <c r="BF342" t="s">
        <v>1638</v>
      </c>
      <c r="BG342" t="s">
        <v>1636</v>
      </c>
    </row>
    <row r="343" spans="13:59" x14ac:dyDescent="0.25">
      <c r="M343" t="str">
        <f>_xlfn.IFNA(IF(VLOOKUP(TAB_Offres[[#This Row],[Reference]],TAB_Offres[[Reference]:[Request State]],COLUMNS(TAB_Offres[[Reference]:[Request State]]),FALSE)=D$6,TAB_Offres[[#This Row],[Reference]],""),"")</f>
        <v/>
      </c>
      <c r="N343" t="str">
        <f>_xlfn.IFNA(IF(VLOOKUP(TAB_Offres[[#This Row],[Reference]],TAB_Offres[[Reference]:[Has Expenses?]],COLUMNS(TAB_Offres[[Reference]:[Has Expenses?]]),FALSE)=J$2,TAB_Offres[[#This Row],[Reference]],""),"")</f>
        <v/>
      </c>
      <c r="O343" t="str">
        <f>IF(Tableau19[[#This Row],[EXPENSES_REF]]="","",MAX(O$1:O342)+1)</f>
        <v/>
      </c>
      <c r="P343" t="str">
        <f t="shared" si="17"/>
        <v/>
      </c>
      <c r="AI343" s="191" t="str">
        <f>IFERROR(_xlfn.SINGLE(
IF(_xlfn.SINGLE(INDEX(TAB_Offres[Ressource 1],ROWS(Params!AI$2:$AI343)))=0,NA(),
INDEX(TAB_Offres[Ressource 1],ROWS(Params!AI$2:$AI343)))),
IFERROR(_xlfn.SINGLE(IF(_xlfn.SINGLE(INDEX(#REF!,ROWS(Params!AI$2:$AI343)-COUNTA(TAB_Offres[Ressource 1])))=0,NA(),
INDEX(#REF!,ROWS(Params!AI$2:$AI343)-COUNTA(TAB_Offres[Ressource 1])))),
IFERROR(_xlfn.SINGLE(IF(_xlfn.SINGLE(INDEX(#REF!,ROWS(Params!AI$2:$AI343)-COUNTA(#REF!)-COUNTA(TAB_Offres[Ressource 1])))=0,NA(),
INDEX(#REF!,ROWS(Params!AI$2:$AI343)-COUNTA(#REF!)-COUNTA(TAB_Offres[Ressource 1])))),""))
)</f>
        <v/>
      </c>
      <c r="AJ343" s="192" t="str">
        <f>IF(TAB_ressource[[#This Row],[Import Ressource]]="","",MAX(AJ$1:AJ342)+1)</f>
        <v/>
      </c>
      <c r="AK343" s="193" t="str">
        <f>IFERROR(INDEX(TAB_ressource[Import Ressource],MATCH(ROW()-ROW($AK$1),TAB_ressource[ID Import ressources],0)),"")</f>
        <v/>
      </c>
      <c r="AN343" s="26">
        <f t="shared" si="18"/>
        <v>0</v>
      </c>
      <c r="BD343" t="s">
        <v>1639</v>
      </c>
      <c r="BE343" t="s">
        <v>1640</v>
      </c>
      <c r="BF343" t="s">
        <v>1641</v>
      </c>
      <c r="BG343" t="s">
        <v>1639</v>
      </c>
    </row>
    <row r="344" spans="13:59" x14ac:dyDescent="0.25">
      <c r="M344" t="str">
        <f>_xlfn.IFNA(IF(VLOOKUP(TAB_Offres[[#This Row],[Reference]],TAB_Offres[[Reference]:[Request State]],COLUMNS(TAB_Offres[[Reference]:[Request State]]),FALSE)=D$6,TAB_Offres[[#This Row],[Reference]],""),"")</f>
        <v/>
      </c>
      <c r="N344" t="str">
        <f>_xlfn.IFNA(IF(VLOOKUP(TAB_Offres[[#This Row],[Reference]],TAB_Offres[[Reference]:[Has Expenses?]],COLUMNS(TAB_Offres[[Reference]:[Has Expenses?]]),FALSE)=J$2,TAB_Offres[[#This Row],[Reference]],""),"")</f>
        <v/>
      </c>
      <c r="O344" t="str">
        <f>IF(Tableau19[[#This Row],[EXPENSES_REF]]="","",MAX(O$1:O343)+1)</f>
        <v/>
      </c>
      <c r="P344" t="str">
        <f t="shared" si="17"/>
        <v/>
      </c>
      <c r="AI344" s="191" t="str">
        <f>IFERROR(_xlfn.SINGLE(
IF(_xlfn.SINGLE(INDEX(TAB_Offres[Ressource 1],ROWS(Params!AI$2:$AI344)))=0,NA(),
INDEX(TAB_Offres[Ressource 1],ROWS(Params!AI$2:$AI344)))),
IFERROR(_xlfn.SINGLE(IF(_xlfn.SINGLE(INDEX(#REF!,ROWS(Params!AI$2:$AI344)-COUNTA(TAB_Offres[Ressource 1])))=0,NA(),
INDEX(#REF!,ROWS(Params!AI$2:$AI344)-COUNTA(TAB_Offres[Ressource 1])))),
IFERROR(_xlfn.SINGLE(IF(_xlfn.SINGLE(INDEX(#REF!,ROWS(Params!AI$2:$AI344)-COUNTA(#REF!)-COUNTA(TAB_Offres[Ressource 1])))=0,NA(),
INDEX(#REF!,ROWS(Params!AI$2:$AI344)-COUNTA(#REF!)-COUNTA(TAB_Offres[Ressource 1])))),""))
)</f>
        <v/>
      </c>
      <c r="AJ344" s="192" t="str">
        <f>IF(TAB_ressource[[#This Row],[Import Ressource]]="","",MAX(AJ$1:AJ343)+1)</f>
        <v/>
      </c>
      <c r="AK344" s="193" t="str">
        <f>IFERROR(INDEX(TAB_ressource[Import Ressource],MATCH(ROW()-ROW($AK$1),TAB_ressource[ID Import ressources],0)),"")</f>
        <v/>
      </c>
      <c r="AN344" s="26">
        <f t="shared" si="18"/>
        <v>0</v>
      </c>
      <c r="BD344" t="s">
        <v>1642</v>
      </c>
      <c r="BE344" t="s">
        <v>1643</v>
      </c>
      <c r="BF344" t="s">
        <v>1644</v>
      </c>
      <c r="BG344" t="s">
        <v>1642</v>
      </c>
    </row>
    <row r="345" spans="13:59" x14ac:dyDescent="0.25">
      <c r="M345" t="str">
        <f>_xlfn.IFNA(IF(VLOOKUP(TAB_Offres[[#This Row],[Reference]],TAB_Offres[[Reference]:[Request State]],COLUMNS(TAB_Offres[[Reference]:[Request State]]),FALSE)=D$6,TAB_Offres[[#This Row],[Reference]],""),"")</f>
        <v/>
      </c>
      <c r="N345" t="str">
        <f>_xlfn.IFNA(IF(VLOOKUP(TAB_Offres[[#This Row],[Reference]],TAB_Offres[[Reference]:[Has Expenses?]],COLUMNS(TAB_Offres[[Reference]:[Has Expenses?]]),FALSE)=J$2,TAB_Offres[[#This Row],[Reference]],""),"")</f>
        <v/>
      </c>
      <c r="O345" t="str">
        <f>IF(Tableau19[[#This Row],[EXPENSES_REF]]="","",MAX(O$1:O344)+1)</f>
        <v/>
      </c>
      <c r="P345" t="str">
        <f t="shared" si="17"/>
        <v/>
      </c>
      <c r="AI345" s="191" t="str">
        <f>IFERROR(_xlfn.SINGLE(
IF(_xlfn.SINGLE(INDEX(TAB_Offres[Ressource 1],ROWS(Params!AI$2:$AI345)))=0,NA(),
INDEX(TAB_Offres[Ressource 1],ROWS(Params!AI$2:$AI345)))),
IFERROR(_xlfn.SINGLE(IF(_xlfn.SINGLE(INDEX(#REF!,ROWS(Params!AI$2:$AI345)-COUNTA(TAB_Offres[Ressource 1])))=0,NA(),
INDEX(#REF!,ROWS(Params!AI$2:$AI345)-COUNTA(TAB_Offres[Ressource 1])))),
IFERROR(_xlfn.SINGLE(IF(_xlfn.SINGLE(INDEX(#REF!,ROWS(Params!AI$2:$AI345)-COUNTA(#REF!)-COUNTA(TAB_Offres[Ressource 1])))=0,NA(),
INDEX(#REF!,ROWS(Params!AI$2:$AI345)-COUNTA(#REF!)-COUNTA(TAB_Offres[Ressource 1])))),""))
)</f>
        <v/>
      </c>
      <c r="AJ345" s="192" t="str">
        <f>IF(TAB_ressource[[#This Row],[Import Ressource]]="","",MAX(AJ$1:AJ344)+1)</f>
        <v/>
      </c>
      <c r="AK345" s="193" t="str">
        <f>IFERROR(INDEX(TAB_ressource[Import Ressource],MATCH(ROW()-ROW($AK$1),TAB_ressource[ID Import ressources],0)),"")</f>
        <v/>
      </c>
      <c r="AN345" s="26">
        <f t="shared" si="18"/>
        <v>0</v>
      </c>
      <c r="BD345" t="s">
        <v>1645</v>
      </c>
      <c r="BE345" t="s">
        <v>1646</v>
      </c>
      <c r="BF345" t="s">
        <v>1647</v>
      </c>
      <c r="BG345" t="s">
        <v>1645</v>
      </c>
    </row>
    <row r="346" spans="13:59" x14ac:dyDescent="0.25">
      <c r="M346" t="str">
        <f>_xlfn.IFNA(IF(VLOOKUP(TAB_Offres[[#This Row],[Reference]],TAB_Offres[[Reference]:[Request State]],COLUMNS(TAB_Offres[[Reference]:[Request State]]),FALSE)=D$6,TAB_Offres[[#This Row],[Reference]],""),"")</f>
        <v/>
      </c>
      <c r="N346" t="str">
        <f>_xlfn.IFNA(IF(VLOOKUP(TAB_Offres[[#This Row],[Reference]],TAB_Offres[[Reference]:[Has Expenses?]],COLUMNS(TAB_Offres[[Reference]:[Has Expenses?]]),FALSE)=J$2,TAB_Offres[[#This Row],[Reference]],""),"")</f>
        <v/>
      </c>
      <c r="O346" t="str">
        <f>IF(Tableau19[[#This Row],[EXPENSES_REF]]="","",MAX(O$1:O345)+1)</f>
        <v/>
      </c>
      <c r="P346" t="str">
        <f t="shared" si="17"/>
        <v/>
      </c>
      <c r="AI346" s="191" t="str">
        <f>IFERROR(_xlfn.SINGLE(
IF(_xlfn.SINGLE(INDEX(TAB_Offres[Ressource 1],ROWS(Params!AI$2:$AI346)))=0,NA(),
INDEX(TAB_Offres[Ressource 1],ROWS(Params!AI$2:$AI346)))),
IFERROR(_xlfn.SINGLE(IF(_xlfn.SINGLE(INDEX(#REF!,ROWS(Params!AI$2:$AI346)-COUNTA(TAB_Offres[Ressource 1])))=0,NA(),
INDEX(#REF!,ROWS(Params!AI$2:$AI346)-COUNTA(TAB_Offres[Ressource 1])))),
IFERROR(_xlfn.SINGLE(IF(_xlfn.SINGLE(INDEX(#REF!,ROWS(Params!AI$2:$AI346)-COUNTA(#REF!)-COUNTA(TAB_Offres[Ressource 1])))=0,NA(),
INDEX(#REF!,ROWS(Params!AI$2:$AI346)-COUNTA(#REF!)-COUNTA(TAB_Offres[Ressource 1])))),""))
)</f>
        <v/>
      </c>
      <c r="AJ346" s="192" t="str">
        <f>IF(TAB_ressource[[#This Row],[Import Ressource]]="","",MAX(AJ$1:AJ345)+1)</f>
        <v/>
      </c>
      <c r="AK346" s="193" t="str">
        <f>IFERROR(INDEX(TAB_ressource[Import Ressource],MATCH(ROW()-ROW($AK$1),TAB_ressource[ID Import ressources],0)),"")</f>
        <v/>
      </c>
      <c r="AN346" s="26">
        <f t="shared" si="18"/>
        <v>0</v>
      </c>
      <c r="BD346" t="s">
        <v>1648</v>
      </c>
      <c r="BE346" t="s">
        <v>1649</v>
      </c>
      <c r="BF346" t="s">
        <v>1650</v>
      </c>
      <c r="BG346" t="s">
        <v>1648</v>
      </c>
    </row>
    <row r="347" spans="13:59" x14ac:dyDescent="0.25">
      <c r="M347" t="str">
        <f>_xlfn.IFNA(IF(VLOOKUP(TAB_Offres[[#This Row],[Reference]],TAB_Offres[[Reference]:[Request State]],COLUMNS(TAB_Offres[[Reference]:[Request State]]),FALSE)=D$6,TAB_Offres[[#This Row],[Reference]],""),"")</f>
        <v/>
      </c>
      <c r="N347" t="str">
        <f>_xlfn.IFNA(IF(VLOOKUP(TAB_Offres[[#This Row],[Reference]],TAB_Offres[[Reference]:[Has Expenses?]],COLUMNS(TAB_Offres[[Reference]:[Has Expenses?]]),FALSE)=J$2,TAB_Offres[[#This Row],[Reference]],""),"")</f>
        <v/>
      </c>
      <c r="O347" t="str">
        <f>IF(Tableau19[[#This Row],[EXPENSES_REF]]="","",MAX(O$1:O346)+1)</f>
        <v/>
      </c>
      <c r="P347" t="str">
        <f t="shared" si="17"/>
        <v/>
      </c>
      <c r="AI347" s="191" t="str">
        <f>IFERROR(_xlfn.SINGLE(
IF(_xlfn.SINGLE(INDEX(TAB_Offres[Ressource 1],ROWS(Params!AI$2:$AI347)))=0,NA(),
INDEX(TAB_Offres[Ressource 1],ROWS(Params!AI$2:$AI347)))),
IFERROR(_xlfn.SINGLE(IF(_xlfn.SINGLE(INDEX(#REF!,ROWS(Params!AI$2:$AI347)-COUNTA(TAB_Offres[Ressource 1])))=0,NA(),
INDEX(#REF!,ROWS(Params!AI$2:$AI347)-COUNTA(TAB_Offres[Ressource 1])))),
IFERROR(_xlfn.SINGLE(IF(_xlfn.SINGLE(INDEX(#REF!,ROWS(Params!AI$2:$AI347)-COUNTA(#REF!)-COUNTA(TAB_Offres[Ressource 1])))=0,NA(),
INDEX(#REF!,ROWS(Params!AI$2:$AI347)-COUNTA(#REF!)-COUNTA(TAB_Offres[Ressource 1])))),""))
)</f>
        <v/>
      </c>
      <c r="AJ347" s="192" t="str">
        <f>IF(TAB_ressource[[#This Row],[Import Ressource]]="","",MAX(AJ$1:AJ346)+1)</f>
        <v/>
      </c>
      <c r="AK347" s="193" t="str">
        <f>IFERROR(INDEX(TAB_ressource[Import Ressource],MATCH(ROW()-ROW($AK$1),TAB_ressource[ID Import ressources],0)),"")</f>
        <v/>
      </c>
      <c r="AN347" s="26">
        <f t="shared" si="18"/>
        <v>0</v>
      </c>
      <c r="BD347" t="s">
        <v>1651</v>
      </c>
      <c r="BE347" t="s">
        <v>1652</v>
      </c>
      <c r="BF347" t="s">
        <v>1653</v>
      </c>
      <c r="BG347" t="s">
        <v>1651</v>
      </c>
    </row>
    <row r="348" spans="13:59" x14ac:dyDescent="0.25">
      <c r="M348" t="str">
        <f>_xlfn.IFNA(IF(VLOOKUP(TAB_Offres[[#This Row],[Reference]],TAB_Offres[[Reference]:[Request State]],COLUMNS(TAB_Offres[[Reference]:[Request State]]),FALSE)=D$6,TAB_Offres[[#This Row],[Reference]],""),"")</f>
        <v/>
      </c>
      <c r="N348" t="str">
        <f>_xlfn.IFNA(IF(VLOOKUP(TAB_Offres[[#This Row],[Reference]],TAB_Offres[[Reference]:[Has Expenses?]],COLUMNS(TAB_Offres[[Reference]:[Has Expenses?]]),FALSE)=J$2,TAB_Offres[[#This Row],[Reference]],""),"")</f>
        <v/>
      </c>
      <c r="O348" t="str">
        <f>IF(Tableau19[[#This Row],[EXPENSES_REF]]="","",MAX(O$1:O347)+1)</f>
        <v/>
      </c>
      <c r="P348" t="str">
        <f t="shared" si="17"/>
        <v/>
      </c>
      <c r="AI348" s="191" t="str">
        <f>IFERROR(_xlfn.SINGLE(
IF(_xlfn.SINGLE(INDEX(TAB_Offres[Ressource 1],ROWS(Params!AI$2:$AI348)))=0,NA(),
INDEX(TAB_Offres[Ressource 1],ROWS(Params!AI$2:$AI348)))),
IFERROR(_xlfn.SINGLE(IF(_xlfn.SINGLE(INDEX(#REF!,ROWS(Params!AI$2:$AI348)-COUNTA(TAB_Offres[Ressource 1])))=0,NA(),
INDEX(#REF!,ROWS(Params!AI$2:$AI348)-COUNTA(TAB_Offres[Ressource 1])))),
IFERROR(_xlfn.SINGLE(IF(_xlfn.SINGLE(INDEX(#REF!,ROWS(Params!AI$2:$AI348)-COUNTA(#REF!)-COUNTA(TAB_Offres[Ressource 1])))=0,NA(),
INDEX(#REF!,ROWS(Params!AI$2:$AI348)-COUNTA(#REF!)-COUNTA(TAB_Offres[Ressource 1])))),""))
)</f>
        <v/>
      </c>
      <c r="AJ348" s="192" t="str">
        <f>IF(TAB_ressource[[#This Row],[Import Ressource]]="","",MAX(AJ$1:AJ347)+1)</f>
        <v/>
      </c>
      <c r="AK348" s="193" t="str">
        <f>IFERROR(INDEX(TAB_ressource[Import Ressource],MATCH(ROW()-ROW($AK$1),TAB_ressource[ID Import ressources],0)),"")</f>
        <v/>
      </c>
      <c r="AN348" s="26">
        <f t="shared" si="18"/>
        <v>0</v>
      </c>
      <c r="BD348" t="s">
        <v>1654</v>
      </c>
      <c r="BE348" t="s">
        <v>1655</v>
      </c>
      <c r="BF348" t="s">
        <v>1656</v>
      </c>
      <c r="BG348" t="s">
        <v>1654</v>
      </c>
    </row>
    <row r="349" spans="13:59" x14ac:dyDescent="0.25">
      <c r="M349" t="str">
        <f>_xlfn.IFNA(IF(VLOOKUP(TAB_Offres[[#This Row],[Reference]],TAB_Offres[[Reference]:[Request State]],COLUMNS(TAB_Offres[[Reference]:[Request State]]),FALSE)=D$6,TAB_Offres[[#This Row],[Reference]],""),"")</f>
        <v/>
      </c>
      <c r="N349" t="str">
        <f>_xlfn.IFNA(IF(VLOOKUP(TAB_Offres[[#This Row],[Reference]],TAB_Offres[[Reference]:[Has Expenses?]],COLUMNS(TAB_Offres[[Reference]:[Has Expenses?]]),FALSE)=J$2,TAB_Offres[[#This Row],[Reference]],""),"")</f>
        <v/>
      </c>
      <c r="O349" t="str">
        <f>IF(Tableau19[[#This Row],[EXPENSES_REF]]="","",MAX(O$1:O348)+1)</f>
        <v/>
      </c>
      <c r="P349" t="str">
        <f t="shared" si="17"/>
        <v/>
      </c>
      <c r="AI349" s="191" t="str">
        <f>IFERROR(_xlfn.SINGLE(
IF(_xlfn.SINGLE(INDEX(TAB_Offres[Ressource 1],ROWS(Params!AI$2:$AI349)))=0,NA(),
INDEX(TAB_Offres[Ressource 1],ROWS(Params!AI$2:$AI349)))),
IFERROR(_xlfn.SINGLE(IF(_xlfn.SINGLE(INDEX(#REF!,ROWS(Params!AI$2:$AI349)-COUNTA(TAB_Offres[Ressource 1])))=0,NA(),
INDEX(#REF!,ROWS(Params!AI$2:$AI349)-COUNTA(TAB_Offres[Ressource 1])))),
IFERROR(_xlfn.SINGLE(IF(_xlfn.SINGLE(INDEX(#REF!,ROWS(Params!AI$2:$AI349)-COUNTA(#REF!)-COUNTA(TAB_Offres[Ressource 1])))=0,NA(),
INDEX(#REF!,ROWS(Params!AI$2:$AI349)-COUNTA(#REF!)-COUNTA(TAB_Offres[Ressource 1])))),""))
)</f>
        <v/>
      </c>
      <c r="AJ349" s="192" t="str">
        <f>IF(TAB_ressource[[#This Row],[Import Ressource]]="","",MAX(AJ$1:AJ348)+1)</f>
        <v/>
      </c>
      <c r="AK349" s="193" t="str">
        <f>IFERROR(INDEX(TAB_ressource[Import Ressource],MATCH(ROW()-ROW($AK$1),TAB_ressource[ID Import ressources],0)),"")</f>
        <v/>
      </c>
      <c r="AN349" s="26">
        <f t="shared" si="18"/>
        <v>0</v>
      </c>
      <c r="BD349" t="s">
        <v>1657</v>
      </c>
      <c r="BE349" t="s">
        <v>1658</v>
      </c>
      <c r="BF349" t="s">
        <v>1659</v>
      </c>
      <c r="BG349" t="s">
        <v>1657</v>
      </c>
    </row>
    <row r="350" spans="13:59" x14ac:dyDescent="0.25">
      <c r="M350" t="str">
        <f>_xlfn.IFNA(IF(VLOOKUP(TAB_Offres[[#This Row],[Reference]],TAB_Offres[[Reference]:[Request State]],COLUMNS(TAB_Offres[[Reference]:[Request State]]),FALSE)=D$6,TAB_Offres[[#This Row],[Reference]],""),"")</f>
        <v/>
      </c>
      <c r="N350" t="str">
        <f>_xlfn.IFNA(IF(VLOOKUP(TAB_Offres[[#This Row],[Reference]],TAB_Offres[[Reference]:[Has Expenses?]],COLUMNS(TAB_Offres[[Reference]:[Has Expenses?]]),FALSE)=J$2,TAB_Offres[[#This Row],[Reference]],""),"")</f>
        <v/>
      </c>
      <c r="O350" t="str">
        <f>IF(Tableau19[[#This Row],[EXPENSES_REF]]="","",MAX(O$1:O349)+1)</f>
        <v/>
      </c>
      <c r="P350" t="str">
        <f t="shared" si="17"/>
        <v/>
      </c>
      <c r="AI350" s="191" t="str">
        <f>IFERROR(_xlfn.SINGLE(
IF(_xlfn.SINGLE(INDEX(TAB_Offres[Ressource 1],ROWS(Params!AI$2:$AI350)))=0,NA(),
INDEX(TAB_Offres[Ressource 1],ROWS(Params!AI$2:$AI350)))),
IFERROR(_xlfn.SINGLE(IF(_xlfn.SINGLE(INDEX(#REF!,ROWS(Params!AI$2:$AI350)-COUNTA(TAB_Offres[Ressource 1])))=0,NA(),
INDEX(#REF!,ROWS(Params!AI$2:$AI350)-COUNTA(TAB_Offres[Ressource 1])))),
IFERROR(_xlfn.SINGLE(IF(_xlfn.SINGLE(INDEX(#REF!,ROWS(Params!AI$2:$AI350)-COUNTA(#REF!)-COUNTA(TAB_Offres[Ressource 1])))=0,NA(),
INDEX(#REF!,ROWS(Params!AI$2:$AI350)-COUNTA(#REF!)-COUNTA(TAB_Offres[Ressource 1])))),""))
)</f>
        <v/>
      </c>
      <c r="AJ350" s="192" t="str">
        <f>IF(TAB_ressource[[#This Row],[Import Ressource]]="","",MAX(AJ$1:AJ349)+1)</f>
        <v/>
      </c>
      <c r="AK350" s="193" t="str">
        <f>IFERROR(INDEX(TAB_ressource[Import Ressource],MATCH(ROW()-ROW($AK$1),TAB_ressource[ID Import ressources],0)),"")</f>
        <v/>
      </c>
      <c r="AN350" s="26">
        <f t="shared" si="18"/>
        <v>0</v>
      </c>
      <c r="BD350" t="s">
        <v>1660</v>
      </c>
      <c r="BE350" t="s">
        <v>1661</v>
      </c>
      <c r="BF350" t="s">
        <v>1662</v>
      </c>
      <c r="BG350" t="s">
        <v>1660</v>
      </c>
    </row>
    <row r="351" spans="13:59" x14ac:dyDescent="0.25">
      <c r="M351" t="str">
        <f>_xlfn.IFNA(IF(VLOOKUP(TAB_Offres[[#This Row],[Reference]],TAB_Offres[[Reference]:[Request State]],COLUMNS(TAB_Offres[[Reference]:[Request State]]),FALSE)=D$6,TAB_Offres[[#This Row],[Reference]],""),"")</f>
        <v/>
      </c>
      <c r="N351" t="str">
        <f>_xlfn.IFNA(IF(VLOOKUP(TAB_Offres[[#This Row],[Reference]],TAB_Offres[[Reference]:[Has Expenses?]],COLUMNS(TAB_Offres[[Reference]:[Has Expenses?]]),FALSE)=J$2,TAB_Offres[[#This Row],[Reference]],""),"")</f>
        <v/>
      </c>
      <c r="O351" t="str">
        <f>IF(Tableau19[[#This Row],[EXPENSES_REF]]="","",MAX(O$1:O350)+1)</f>
        <v/>
      </c>
      <c r="P351" t="str">
        <f t="shared" si="17"/>
        <v/>
      </c>
      <c r="AI351" s="191" t="str">
        <f>IFERROR(_xlfn.SINGLE(
IF(_xlfn.SINGLE(INDEX(TAB_Offres[Ressource 1],ROWS(Params!AI$2:$AI351)))=0,NA(),
INDEX(TAB_Offres[Ressource 1],ROWS(Params!AI$2:$AI351)))),
IFERROR(_xlfn.SINGLE(IF(_xlfn.SINGLE(INDEX(#REF!,ROWS(Params!AI$2:$AI351)-COUNTA(TAB_Offres[Ressource 1])))=0,NA(),
INDEX(#REF!,ROWS(Params!AI$2:$AI351)-COUNTA(TAB_Offres[Ressource 1])))),
IFERROR(_xlfn.SINGLE(IF(_xlfn.SINGLE(INDEX(#REF!,ROWS(Params!AI$2:$AI351)-COUNTA(#REF!)-COUNTA(TAB_Offres[Ressource 1])))=0,NA(),
INDEX(#REF!,ROWS(Params!AI$2:$AI351)-COUNTA(#REF!)-COUNTA(TAB_Offres[Ressource 1])))),""))
)</f>
        <v/>
      </c>
      <c r="AJ351" s="192" t="str">
        <f>IF(TAB_ressource[[#This Row],[Import Ressource]]="","",MAX(AJ$1:AJ350)+1)</f>
        <v/>
      </c>
      <c r="AK351" s="193" t="str">
        <f>IFERROR(INDEX(TAB_ressource[Import Ressource],MATCH(ROW()-ROW($AK$1),TAB_ressource[ID Import ressources],0)),"")</f>
        <v/>
      </c>
      <c r="AN351" s="26">
        <f t="shared" si="18"/>
        <v>0</v>
      </c>
      <c r="BD351" t="s">
        <v>1663</v>
      </c>
      <c r="BE351" t="s">
        <v>1664</v>
      </c>
      <c r="BF351" t="s">
        <v>1665</v>
      </c>
      <c r="BG351" t="s">
        <v>1663</v>
      </c>
    </row>
    <row r="352" spans="13:59" x14ac:dyDescent="0.25">
      <c r="M352" t="str">
        <f>_xlfn.IFNA(IF(VLOOKUP(TAB_Offres[[#This Row],[Reference]],TAB_Offres[[Reference]:[Request State]],COLUMNS(TAB_Offres[[Reference]:[Request State]]),FALSE)=D$6,TAB_Offres[[#This Row],[Reference]],""),"")</f>
        <v/>
      </c>
      <c r="N352" t="str">
        <f>_xlfn.IFNA(IF(VLOOKUP(TAB_Offres[[#This Row],[Reference]],TAB_Offres[[Reference]:[Has Expenses?]],COLUMNS(TAB_Offres[[Reference]:[Has Expenses?]]),FALSE)=J$2,TAB_Offres[[#This Row],[Reference]],""),"")</f>
        <v/>
      </c>
      <c r="O352" t="str">
        <f>IF(Tableau19[[#This Row],[EXPENSES_REF]]="","",MAX(O$1:O351)+1)</f>
        <v/>
      </c>
      <c r="P352" t="str">
        <f t="shared" si="17"/>
        <v/>
      </c>
      <c r="AI352" s="191" t="str">
        <f>IFERROR(_xlfn.SINGLE(
IF(_xlfn.SINGLE(INDEX(TAB_Offres[Ressource 1],ROWS(Params!AI$2:$AI352)))=0,NA(),
INDEX(TAB_Offres[Ressource 1],ROWS(Params!AI$2:$AI352)))),
IFERROR(_xlfn.SINGLE(IF(_xlfn.SINGLE(INDEX(#REF!,ROWS(Params!AI$2:$AI352)-COUNTA(TAB_Offres[Ressource 1])))=0,NA(),
INDEX(#REF!,ROWS(Params!AI$2:$AI352)-COUNTA(TAB_Offres[Ressource 1])))),
IFERROR(_xlfn.SINGLE(IF(_xlfn.SINGLE(INDEX(#REF!,ROWS(Params!AI$2:$AI352)-COUNTA(#REF!)-COUNTA(TAB_Offres[Ressource 1])))=0,NA(),
INDEX(#REF!,ROWS(Params!AI$2:$AI352)-COUNTA(#REF!)-COUNTA(TAB_Offres[Ressource 1])))),""))
)</f>
        <v/>
      </c>
      <c r="AJ352" s="192" t="str">
        <f>IF(TAB_ressource[[#This Row],[Import Ressource]]="","",MAX(AJ$1:AJ351)+1)</f>
        <v/>
      </c>
      <c r="AK352" s="193" t="str">
        <f>IFERROR(INDEX(TAB_ressource[Import Ressource],MATCH(ROW()-ROW($AK$1),TAB_ressource[ID Import ressources],0)),"")</f>
        <v/>
      </c>
      <c r="AN352" s="26">
        <f t="shared" si="18"/>
        <v>0</v>
      </c>
      <c r="BD352" t="s">
        <v>1666</v>
      </c>
      <c r="BE352" t="s">
        <v>1667</v>
      </c>
      <c r="BF352" t="s">
        <v>1668</v>
      </c>
      <c r="BG352" t="s">
        <v>1666</v>
      </c>
    </row>
    <row r="353" spans="13:59" x14ac:dyDescent="0.25">
      <c r="M353" t="str">
        <f>_xlfn.IFNA(IF(VLOOKUP(TAB_Offres[[#This Row],[Reference]],TAB_Offres[[Reference]:[Request State]],COLUMNS(TAB_Offres[[Reference]:[Request State]]),FALSE)=D$6,TAB_Offres[[#This Row],[Reference]],""),"")</f>
        <v/>
      </c>
      <c r="N353" t="str">
        <f>_xlfn.IFNA(IF(VLOOKUP(TAB_Offres[[#This Row],[Reference]],TAB_Offres[[Reference]:[Has Expenses?]],COLUMNS(TAB_Offres[[Reference]:[Has Expenses?]]),FALSE)=J$2,TAB_Offres[[#This Row],[Reference]],""),"")</f>
        <v/>
      </c>
      <c r="O353" t="str">
        <f>IF(Tableau19[[#This Row],[EXPENSES_REF]]="","",MAX(O$1:O352)+1)</f>
        <v/>
      </c>
      <c r="P353" t="str">
        <f t="shared" si="17"/>
        <v/>
      </c>
      <c r="AI353" s="191" t="str">
        <f>IFERROR(_xlfn.SINGLE(
IF(_xlfn.SINGLE(INDEX(TAB_Offres[Ressource 1],ROWS(Params!AI$2:$AI353)))=0,NA(),
INDEX(TAB_Offres[Ressource 1],ROWS(Params!AI$2:$AI353)))),
IFERROR(_xlfn.SINGLE(IF(_xlfn.SINGLE(INDEX(#REF!,ROWS(Params!AI$2:$AI353)-COUNTA(TAB_Offres[Ressource 1])))=0,NA(),
INDEX(#REF!,ROWS(Params!AI$2:$AI353)-COUNTA(TAB_Offres[Ressource 1])))),
IFERROR(_xlfn.SINGLE(IF(_xlfn.SINGLE(INDEX(#REF!,ROWS(Params!AI$2:$AI353)-COUNTA(#REF!)-COUNTA(TAB_Offres[Ressource 1])))=0,NA(),
INDEX(#REF!,ROWS(Params!AI$2:$AI353)-COUNTA(#REF!)-COUNTA(TAB_Offres[Ressource 1])))),""))
)</f>
        <v/>
      </c>
      <c r="AJ353" s="192" t="str">
        <f>IF(TAB_ressource[[#This Row],[Import Ressource]]="","",MAX(AJ$1:AJ352)+1)</f>
        <v/>
      </c>
      <c r="AK353" s="193" t="str">
        <f>IFERROR(INDEX(TAB_ressource[Import Ressource],MATCH(ROW()-ROW($AK$1),TAB_ressource[ID Import ressources],0)),"")</f>
        <v/>
      </c>
      <c r="AN353" s="26">
        <f t="shared" si="18"/>
        <v>0</v>
      </c>
      <c r="BD353" t="s">
        <v>1669</v>
      </c>
      <c r="BE353" t="s">
        <v>1670</v>
      </c>
      <c r="BF353" t="s">
        <v>1671</v>
      </c>
      <c r="BG353" t="s">
        <v>1669</v>
      </c>
    </row>
    <row r="354" spans="13:59" x14ac:dyDescent="0.25">
      <c r="M354" t="str">
        <f>_xlfn.IFNA(IF(VLOOKUP(TAB_Offres[[#This Row],[Reference]],TAB_Offres[[Reference]:[Request State]],COLUMNS(TAB_Offres[[Reference]:[Request State]]),FALSE)=D$6,TAB_Offres[[#This Row],[Reference]],""),"")</f>
        <v/>
      </c>
      <c r="N354" t="str">
        <f>_xlfn.IFNA(IF(VLOOKUP(TAB_Offres[[#This Row],[Reference]],TAB_Offres[[Reference]:[Has Expenses?]],COLUMNS(TAB_Offres[[Reference]:[Has Expenses?]]),FALSE)=J$2,TAB_Offres[[#This Row],[Reference]],""),"")</f>
        <v/>
      </c>
      <c r="O354" t="str">
        <f>IF(Tableau19[[#This Row],[EXPENSES_REF]]="","",MAX(O$1:O353)+1)</f>
        <v/>
      </c>
      <c r="P354" t="str">
        <f t="shared" si="17"/>
        <v/>
      </c>
      <c r="AI354" s="191" t="str">
        <f>IFERROR(_xlfn.SINGLE(
IF(_xlfn.SINGLE(INDEX(TAB_Offres[Ressource 1],ROWS(Params!AI$2:$AI354)))=0,NA(),
INDEX(TAB_Offres[Ressource 1],ROWS(Params!AI$2:$AI354)))),
IFERROR(_xlfn.SINGLE(IF(_xlfn.SINGLE(INDEX(#REF!,ROWS(Params!AI$2:$AI354)-COUNTA(TAB_Offres[Ressource 1])))=0,NA(),
INDEX(#REF!,ROWS(Params!AI$2:$AI354)-COUNTA(TAB_Offres[Ressource 1])))),
IFERROR(_xlfn.SINGLE(IF(_xlfn.SINGLE(INDEX(#REF!,ROWS(Params!AI$2:$AI354)-COUNTA(#REF!)-COUNTA(TAB_Offres[Ressource 1])))=0,NA(),
INDEX(#REF!,ROWS(Params!AI$2:$AI354)-COUNTA(#REF!)-COUNTA(TAB_Offres[Ressource 1])))),""))
)</f>
        <v/>
      </c>
      <c r="AJ354" s="192" t="str">
        <f>IF(TAB_ressource[[#This Row],[Import Ressource]]="","",MAX(AJ$1:AJ353)+1)</f>
        <v/>
      </c>
      <c r="AK354" s="193" t="str">
        <f>IFERROR(INDEX(TAB_ressource[Import Ressource],MATCH(ROW()-ROW($AK$1),TAB_ressource[ID Import ressources],0)),"")</f>
        <v/>
      </c>
      <c r="AN354" s="26">
        <f t="shared" si="18"/>
        <v>0</v>
      </c>
      <c r="BD354" t="s">
        <v>1672</v>
      </c>
      <c r="BE354" t="s">
        <v>1673</v>
      </c>
      <c r="BF354" t="s">
        <v>1674</v>
      </c>
      <c r="BG354" t="s">
        <v>1672</v>
      </c>
    </row>
    <row r="355" spans="13:59" x14ac:dyDescent="0.25">
      <c r="M355" t="str">
        <f>_xlfn.IFNA(IF(VLOOKUP(TAB_Offres[[#This Row],[Reference]],TAB_Offres[[Reference]:[Request State]],COLUMNS(TAB_Offres[[Reference]:[Request State]]),FALSE)=D$6,TAB_Offres[[#This Row],[Reference]],""),"")</f>
        <v/>
      </c>
      <c r="N355" t="str">
        <f>_xlfn.IFNA(IF(VLOOKUP(TAB_Offres[[#This Row],[Reference]],TAB_Offres[[Reference]:[Has Expenses?]],COLUMNS(TAB_Offres[[Reference]:[Has Expenses?]]),FALSE)=J$2,TAB_Offres[[#This Row],[Reference]],""),"")</f>
        <v/>
      </c>
      <c r="O355" t="str">
        <f>IF(Tableau19[[#This Row],[EXPENSES_REF]]="","",MAX(O$1:O354)+1)</f>
        <v/>
      </c>
      <c r="P355" t="str">
        <f t="shared" si="17"/>
        <v/>
      </c>
      <c r="AI355" s="191" t="str">
        <f>IFERROR(_xlfn.SINGLE(
IF(_xlfn.SINGLE(INDEX(TAB_Offres[Ressource 1],ROWS(Params!AI$2:$AI355)))=0,NA(),
INDEX(TAB_Offres[Ressource 1],ROWS(Params!AI$2:$AI355)))),
IFERROR(_xlfn.SINGLE(IF(_xlfn.SINGLE(INDEX(#REF!,ROWS(Params!AI$2:$AI355)-COUNTA(TAB_Offres[Ressource 1])))=0,NA(),
INDEX(#REF!,ROWS(Params!AI$2:$AI355)-COUNTA(TAB_Offres[Ressource 1])))),
IFERROR(_xlfn.SINGLE(IF(_xlfn.SINGLE(INDEX(#REF!,ROWS(Params!AI$2:$AI355)-COUNTA(#REF!)-COUNTA(TAB_Offres[Ressource 1])))=0,NA(),
INDEX(#REF!,ROWS(Params!AI$2:$AI355)-COUNTA(#REF!)-COUNTA(TAB_Offres[Ressource 1])))),""))
)</f>
        <v/>
      </c>
      <c r="AJ355" s="192" t="str">
        <f>IF(TAB_ressource[[#This Row],[Import Ressource]]="","",MAX(AJ$1:AJ354)+1)</f>
        <v/>
      </c>
      <c r="AK355" s="193" t="str">
        <f>IFERROR(INDEX(TAB_ressource[Import Ressource],MATCH(ROW()-ROW($AK$1),TAB_ressource[ID Import ressources],0)),"")</f>
        <v/>
      </c>
      <c r="AN355" s="26">
        <f t="shared" si="18"/>
        <v>0</v>
      </c>
      <c r="BD355" t="s">
        <v>1675</v>
      </c>
      <c r="BE355" t="s">
        <v>1676</v>
      </c>
      <c r="BF355" t="s">
        <v>1677</v>
      </c>
      <c r="BG355" t="s">
        <v>1675</v>
      </c>
    </row>
    <row r="356" spans="13:59" x14ac:dyDescent="0.25">
      <c r="M356" t="str">
        <f>_xlfn.IFNA(IF(VLOOKUP(TAB_Offres[[#This Row],[Reference]],TAB_Offres[[Reference]:[Request State]],COLUMNS(TAB_Offres[[Reference]:[Request State]]),FALSE)=D$6,TAB_Offres[[#This Row],[Reference]],""),"")</f>
        <v/>
      </c>
      <c r="N356" t="str">
        <f>_xlfn.IFNA(IF(VLOOKUP(TAB_Offres[[#This Row],[Reference]],TAB_Offres[[Reference]:[Has Expenses?]],COLUMNS(TAB_Offres[[Reference]:[Has Expenses?]]),FALSE)=J$2,TAB_Offres[[#This Row],[Reference]],""),"")</f>
        <v/>
      </c>
      <c r="O356" t="str">
        <f>IF(Tableau19[[#This Row],[EXPENSES_REF]]="","",MAX(O$1:O355)+1)</f>
        <v/>
      </c>
      <c r="P356" t="str">
        <f t="shared" si="17"/>
        <v/>
      </c>
      <c r="AI356" s="191" t="str">
        <f>IFERROR(_xlfn.SINGLE(
IF(_xlfn.SINGLE(INDEX(TAB_Offres[Ressource 1],ROWS(Params!AI$2:$AI356)))=0,NA(),
INDEX(TAB_Offres[Ressource 1],ROWS(Params!AI$2:$AI356)))),
IFERROR(_xlfn.SINGLE(IF(_xlfn.SINGLE(INDEX(#REF!,ROWS(Params!AI$2:$AI356)-COUNTA(TAB_Offres[Ressource 1])))=0,NA(),
INDEX(#REF!,ROWS(Params!AI$2:$AI356)-COUNTA(TAB_Offres[Ressource 1])))),
IFERROR(_xlfn.SINGLE(IF(_xlfn.SINGLE(INDEX(#REF!,ROWS(Params!AI$2:$AI356)-COUNTA(#REF!)-COUNTA(TAB_Offres[Ressource 1])))=0,NA(),
INDEX(#REF!,ROWS(Params!AI$2:$AI356)-COUNTA(#REF!)-COUNTA(TAB_Offres[Ressource 1])))),""))
)</f>
        <v/>
      </c>
      <c r="AJ356" s="192" t="str">
        <f>IF(TAB_ressource[[#This Row],[Import Ressource]]="","",MAX(AJ$1:AJ355)+1)</f>
        <v/>
      </c>
      <c r="AK356" s="193" t="str">
        <f>IFERROR(INDEX(TAB_ressource[Import Ressource],MATCH(ROW()-ROW($AK$1),TAB_ressource[ID Import ressources],0)),"")</f>
        <v/>
      </c>
      <c r="AN356" s="26">
        <f t="shared" si="18"/>
        <v>0</v>
      </c>
      <c r="BD356" t="s">
        <v>1678</v>
      </c>
      <c r="BE356" t="s">
        <v>1679</v>
      </c>
      <c r="BF356" t="s">
        <v>1680</v>
      </c>
      <c r="BG356" t="s">
        <v>1678</v>
      </c>
    </row>
    <row r="357" spans="13:59" x14ac:dyDescent="0.25">
      <c r="M357" t="str">
        <f>_xlfn.IFNA(IF(VLOOKUP(TAB_Offres[[#This Row],[Reference]],TAB_Offres[[Reference]:[Request State]],COLUMNS(TAB_Offres[[Reference]:[Request State]]),FALSE)=D$6,TAB_Offres[[#This Row],[Reference]],""),"")</f>
        <v/>
      </c>
      <c r="N357" t="str">
        <f>_xlfn.IFNA(IF(VLOOKUP(TAB_Offres[[#This Row],[Reference]],TAB_Offres[[Reference]:[Has Expenses?]],COLUMNS(TAB_Offres[[Reference]:[Has Expenses?]]),FALSE)=J$2,TAB_Offres[[#This Row],[Reference]],""),"")</f>
        <v/>
      </c>
      <c r="O357" t="str">
        <f>IF(Tableau19[[#This Row],[EXPENSES_REF]]="","",MAX(O$1:O356)+1)</f>
        <v/>
      </c>
      <c r="P357" t="str">
        <f t="shared" si="17"/>
        <v/>
      </c>
      <c r="AI357" s="191" t="str">
        <f>IFERROR(_xlfn.SINGLE(
IF(_xlfn.SINGLE(INDEX(TAB_Offres[Ressource 1],ROWS(Params!AI$2:$AI357)))=0,NA(),
INDEX(TAB_Offres[Ressource 1],ROWS(Params!AI$2:$AI357)))),
IFERROR(_xlfn.SINGLE(IF(_xlfn.SINGLE(INDEX(#REF!,ROWS(Params!AI$2:$AI357)-COUNTA(TAB_Offres[Ressource 1])))=0,NA(),
INDEX(#REF!,ROWS(Params!AI$2:$AI357)-COUNTA(TAB_Offres[Ressource 1])))),
IFERROR(_xlfn.SINGLE(IF(_xlfn.SINGLE(INDEX(#REF!,ROWS(Params!AI$2:$AI357)-COUNTA(#REF!)-COUNTA(TAB_Offres[Ressource 1])))=0,NA(),
INDEX(#REF!,ROWS(Params!AI$2:$AI357)-COUNTA(#REF!)-COUNTA(TAB_Offres[Ressource 1])))),""))
)</f>
        <v/>
      </c>
      <c r="AJ357" s="192" t="str">
        <f>IF(TAB_ressource[[#This Row],[Import Ressource]]="","",MAX(AJ$1:AJ356)+1)</f>
        <v/>
      </c>
      <c r="AK357" s="193" t="str">
        <f>IFERROR(INDEX(TAB_ressource[Import Ressource],MATCH(ROW()-ROW($AK$1),TAB_ressource[ID Import ressources],0)),"")</f>
        <v/>
      </c>
      <c r="AN357" s="26">
        <f t="shared" si="18"/>
        <v>0</v>
      </c>
      <c r="BD357" t="s">
        <v>1681</v>
      </c>
      <c r="BE357" t="s">
        <v>1682</v>
      </c>
      <c r="BF357" t="s">
        <v>1683</v>
      </c>
      <c r="BG357" t="s">
        <v>1681</v>
      </c>
    </row>
    <row r="358" spans="13:59" x14ac:dyDescent="0.25">
      <c r="M358" t="str">
        <f>_xlfn.IFNA(IF(VLOOKUP(TAB_Offres[[#This Row],[Reference]],TAB_Offres[[Reference]:[Request State]],COLUMNS(TAB_Offres[[Reference]:[Request State]]),FALSE)=D$6,TAB_Offres[[#This Row],[Reference]],""),"")</f>
        <v/>
      </c>
      <c r="N358" t="str">
        <f>_xlfn.IFNA(IF(VLOOKUP(TAB_Offres[[#This Row],[Reference]],TAB_Offres[[Reference]:[Has Expenses?]],COLUMNS(TAB_Offres[[Reference]:[Has Expenses?]]),FALSE)=J$2,TAB_Offres[[#This Row],[Reference]],""),"")</f>
        <v/>
      </c>
      <c r="O358" t="str">
        <f>IF(Tableau19[[#This Row],[EXPENSES_REF]]="","",MAX(O$1:O357)+1)</f>
        <v/>
      </c>
      <c r="P358" t="str">
        <f t="shared" si="17"/>
        <v/>
      </c>
      <c r="AI358" s="191" t="str">
        <f>IFERROR(_xlfn.SINGLE(
IF(_xlfn.SINGLE(INDEX(TAB_Offres[Ressource 1],ROWS(Params!AI$2:$AI358)))=0,NA(),
INDEX(TAB_Offres[Ressource 1],ROWS(Params!AI$2:$AI358)))),
IFERROR(_xlfn.SINGLE(IF(_xlfn.SINGLE(INDEX(#REF!,ROWS(Params!AI$2:$AI358)-COUNTA(TAB_Offres[Ressource 1])))=0,NA(),
INDEX(#REF!,ROWS(Params!AI$2:$AI358)-COUNTA(TAB_Offres[Ressource 1])))),
IFERROR(_xlfn.SINGLE(IF(_xlfn.SINGLE(INDEX(#REF!,ROWS(Params!AI$2:$AI358)-COUNTA(#REF!)-COUNTA(TAB_Offres[Ressource 1])))=0,NA(),
INDEX(#REF!,ROWS(Params!AI$2:$AI358)-COUNTA(#REF!)-COUNTA(TAB_Offres[Ressource 1])))),""))
)</f>
        <v/>
      </c>
      <c r="AJ358" s="192" t="str">
        <f>IF(TAB_ressource[[#This Row],[Import Ressource]]="","",MAX(AJ$1:AJ357)+1)</f>
        <v/>
      </c>
      <c r="AK358" s="193" t="str">
        <f>IFERROR(INDEX(TAB_ressource[Import Ressource],MATCH(ROW()-ROW($AK$1),TAB_ressource[ID Import ressources],0)),"")</f>
        <v/>
      </c>
      <c r="AN358" s="26">
        <f t="shared" si="18"/>
        <v>0</v>
      </c>
      <c r="BD358" t="s">
        <v>1684</v>
      </c>
      <c r="BE358" t="s">
        <v>1685</v>
      </c>
      <c r="BF358" t="s">
        <v>1686</v>
      </c>
      <c r="BG358" t="s">
        <v>1684</v>
      </c>
    </row>
    <row r="359" spans="13:59" x14ac:dyDescent="0.25">
      <c r="M359" t="str">
        <f>_xlfn.IFNA(IF(VLOOKUP(TAB_Offres[[#This Row],[Reference]],TAB_Offres[[Reference]:[Request State]],COLUMNS(TAB_Offres[[Reference]:[Request State]]),FALSE)=D$6,TAB_Offres[[#This Row],[Reference]],""),"")</f>
        <v/>
      </c>
      <c r="N359" t="str">
        <f>_xlfn.IFNA(IF(VLOOKUP(TAB_Offres[[#This Row],[Reference]],TAB_Offres[[Reference]:[Has Expenses?]],COLUMNS(TAB_Offres[[Reference]:[Has Expenses?]]),FALSE)=J$2,TAB_Offres[[#This Row],[Reference]],""),"")</f>
        <v/>
      </c>
      <c r="O359" t="str">
        <f>IF(Tableau19[[#This Row],[EXPENSES_REF]]="","",MAX(O$1:O358)+1)</f>
        <v/>
      </c>
      <c r="P359" t="str">
        <f t="shared" si="17"/>
        <v/>
      </c>
      <c r="AI359" s="191" t="str">
        <f>IFERROR(_xlfn.SINGLE(
IF(_xlfn.SINGLE(INDEX(TAB_Offres[Ressource 1],ROWS(Params!AI$2:$AI359)))=0,NA(),
INDEX(TAB_Offres[Ressource 1],ROWS(Params!AI$2:$AI359)))),
IFERROR(_xlfn.SINGLE(IF(_xlfn.SINGLE(INDEX(#REF!,ROWS(Params!AI$2:$AI359)-COUNTA(TAB_Offres[Ressource 1])))=0,NA(),
INDEX(#REF!,ROWS(Params!AI$2:$AI359)-COUNTA(TAB_Offres[Ressource 1])))),
IFERROR(_xlfn.SINGLE(IF(_xlfn.SINGLE(INDEX(#REF!,ROWS(Params!AI$2:$AI359)-COUNTA(#REF!)-COUNTA(TAB_Offres[Ressource 1])))=0,NA(),
INDEX(#REF!,ROWS(Params!AI$2:$AI359)-COUNTA(#REF!)-COUNTA(TAB_Offres[Ressource 1])))),""))
)</f>
        <v/>
      </c>
      <c r="AJ359" s="192" t="str">
        <f>IF(TAB_ressource[[#This Row],[Import Ressource]]="","",MAX(AJ$1:AJ358)+1)</f>
        <v/>
      </c>
      <c r="AK359" s="193" t="str">
        <f>IFERROR(INDEX(TAB_ressource[Import Ressource],MATCH(ROW()-ROW($AK$1),TAB_ressource[ID Import ressources],0)),"")</f>
        <v/>
      </c>
      <c r="AN359" s="26">
        <f t="shared" si="18"/>
        <v>0</v>
      </c>
      <c r="BD359" t="s">
        <v>1687</v>
      </c>
      <c r="BE359" t="s">
        <v>1688</v>
      </c>
      <c r="BF359" t="s">
        <v>1689</v>
      </c>
      <c r="BG359" t="s">
        <v>1687</v>
      </c>
    </row>
    <row r="360" spans="13:59" x14ac:dyDescent="0.25">
      <c r="M360" t="str">
        <f>_xlfn.IFNA(IF(VLOOKUP(TAB_Offres[[#This Row],[Reference]],TAB_Offres[[Reference]:[Request State]],COLUMNS(TAB_Offres[[Reference]:[Request State]]),FALSE)=D$6,TAB_Offres[[#This Row],[Reference]],""),"")</f>
        <v/>
      </c>
      <c r="N360" t="str">
        <f>_xlfn.IFNA(IF(VLOOKUP(TAB_Offres[[#This Row],[Reference]],TAB_Offres[[Reference]:[Has Expenses?]],COLUMNS(TAB_Offres[[Reference]:[Has Expenses?]]),FALSE)=J$2,TAB_Offres[[#This Row],[Reference]],""),"")</f>
        <v/>
      </c>
      <c r="O360" t="str">
        <f>IF(Tableau19[[#This Row],[EXPENSES_REF]]="","",MAX(O$1:O359)+1)</f>
        <v/>
      </c>
      <c r="P360" t="str">
        <f t="shared" si="17"/>
        <v/>
      </c>
      <c r="AI360" s="191" t="str">
        <f>IFERROR(_xlfn.SINGLE(
IF(_xlfn.SINGLE(INDEX(TAB_Offres[Ressource 1],ROWS(Params!AI$2:$AI360)))=0,NA(),
INDEX(TAB_Offres[Ressource 1],ROWS(Params!AI$2:$AI360)))),
IFERROR(_xlfn.SINGLE(IF(_xlfn.SINGLE(INDEX(#REF!,ROWS(Params!AI$2:$AI360)-COUNTA(TAB_Offres[Ressource 1])))=0,NA(),
INDEX(#REF!,ROWS(Params!AI$2:$AI360)-COUNTA(TAB_Offres[Ressource 1])))),
IFERROR(_xlfn.SINGLE(IF(_xlfn.SINGLE(INDEX(#REF!,ROWS(Params!AI$2:$AI360)-COUNTA(#REF!)-COUNTA(TAB_Offres[Ressource 1])))=0,NA(),
INDEX(#REF!,ROWS(Params!AI$2:$AI360)-COUNTA(#REF!)-COUNTA(TAB_Offres[Ressource 1])))),""))
)</f>
        <v/>
      </c>
      <c r="AJ360" s="192" t="str">
        <f>IF(TAB_ressource[[#This Row],[Import Ressource]]="","",MAX(AJ$1:AJ359)+1)</f>
        <v/>
      </c>
      <c r="AK360" s="193" t="str">
        <f>IFERROR(INDEX(TAB_ressource[Import Ressource],MATCH(ROW()-ROW($AK$1),TAB_ressource[ID Import ressources],0)),"")</f>
        <v/>
      </c>
      <c r="AN360" s="26">
        <f t="shared" si="18"/>
        <v>0</v>
      </c>
      <c r="BD360" t="s">
        <v>1690</v>
      </c>
      <c r="BE360" t="s">
        <v>1691</v>
      </c>
      <c r="BF360" t="s">
        <v>1692</v>
      </c>
      <c r="BG360" t="s">
        <v>1690</v>
      </c>
    </row>
    <row r="361" spans="13:59" x14ac:dyDescent="0.25">
      <c r="M361" t="str">
        <f>_xlfn.IFNA(IF(VLOOKUP(TAB_Offres[[#This Row],[Reference]],TAB_Offres[[Reference]:[Request State]],COLUMNS(TAB_Offres[[Reference]:[Request State]]),FALSE)=D$6,TAB_Offres[[#This Row],[Reference]],""),"")</f>
        <v/>
      </c>
      <c r="N361" t="str">
        <f>_xlfn.IFNA(IF(VLOOKUP(TAB_Offres[[#This Row],[Reference]],TAB_Offres[[Reference]:[Has Expenses?]],COLUMNS(TAB_Offres[[Reference]:[Has Expenses?]]),FALSE)=J$2,TAB_Offres[[#This Row],[Reference]],""),"")</f>
        <v/>
      </c>
      <c r="O361" t="str">
        <f>IF(Tableau19[[#This Row],[EXPENSES_REF]]="","",MAX(O$1:O360)+1)</f>
        <v/>
      </c>
      <c r="P361" t="str">
        <f t="shared" si="17"/>
        <v/>
      </c>
      <c r="AI361" s="191" t="str">
        <f>IFERROR(_xlfn.SINGLE(
IF(_xlfn.SINGLE(INDEX(TAB_Offres[Ressource 1],ROWS(Params!AI$2:$AI361)))=0,NA(),
INDEX(TAB_Offres[Ressource 1],ROWS(Params!AI$2:$AI361)))),
IFERROR(_xlfn.SINGLE(IF(_xlfn.SINGLE(INDEX(#REF!,ROWS(Params!AI$2:$AI361)-COUNTA(TAB_Offres[Ressource 1])))=0,NA(),
INDEX(#REF!,ROWS(Params!AI$2:$AI361)-COUNTA(TAB_Offres[Ressource 1])))),
IFERROR(_xlfn.SINGLE(IF(_xlfn.SINGLE(INDEX(#REF!,ROWS(Params!AI$2:$AI361)-COUNTA(#REF!)-COUNTA(TAB_Offres[Ressource 1])))=0,NA(),
INDEX(#REF!,ROWS(Params!AI$2:$AI361)-COUNTA(#REF!)-COUNTA(TAB_Offres[Ressource 1])))),""))
)</f>
        <v/>
      </c>
      <c r="AJ361" s="192" t="str">
        <f>IF(TAB_ressource[[#This Row],[Import Ressource]]="","",MAX(AJ$1:AJ360)+1)</f>
        <v/>
      </c>
      <c r="AK361" s="193" t="str">
        <f>IFERROR(INDEX(TAB_ressource[Import Ressource],MATCH(ROW()-ROW($AK$1),TAB_ressource[ID Import ressources],0)),"")</f>
        <v/>
      </c>
      <c r="AN361" s="26">
        <f t="shared" si="18"/>
        <v>0</v>
      </c>
      <c r="BD361" t="s">
        <v>1693</v>
      </c>
      <c r="BE361" t="s">
        <v>1694</v>
      </c>
      <c r="BF361" t="s">
        <v>1695</v>
      </c>
      <c r="BG361" t="s">
        <v>1693</v>
      </c>
    </row>
    <row r="362" spans="13:59" x14ac:dyDescent="0.25">
      <c r="M362" t="str">
        <f>_xlfn.IFNA(IF(VLOOKUP(TAB_Offres[[#This Row],[Reference]],TAB_Offres[[Reference]:[Request State]],COLUMNS(TAB_Offres[[Reference]:[Request State]]),FALSE)=D$6,TAB_Offres[[#This Row],[Reference]],""),"")</f>
        <v/>
      </c>
      <c r="N362" t="str">
        <f>_xlfn.IFNA(IF(VLOOKUP(TAB_Offres[[#This Row],[Reference]],TAB_Offres[[Reference]:[Has Expenses?]],COLUMNS(TAB_Offres[[Reference]:[Has Expenses?]]),FALSE)=J$2,TAB_Offres[[#This Row],[Reference]],""),"")</f>
        <v/>
      </c>
      <c r="O362" t="str">
        <f>IF(Tableau19[[#This Row],[EXPENSES_REF]]="","",MAX(O$1:O361)+1)</f>
        <v/>
      </c>
      <c r="P362" t="str">
        <f t="shared" si="17"/>
        <v/>
      </c>
      <c r="AI362" s="191" t="str">
        <f>IFERROR(_xlfn.SINGLE(
IF(_xlfn.SINGLE(INDEX(TAB_Offres[Ressource 1],ROWS(Params!AI$2:$AI362)))=0,NA(),
INDEX(TAB_Offres[Ressource 1],ROWS(Params!AI$2:$AI362)))),
IFERROR(_xlfn.SINGLE(IF(_xlfn.SINGLE(INDEX(#REF!,ROWS(Params!AI$2:$AI362)-COUNTA(TAB_Offres[Ressource 1])))=0,NA(),
INDEX(#REF!,ROWS(Params!AI$2:$AI362)-COUNTA(TAB_Offres[Ressource 1])))),
IFERROR(_xlfn.SINGLE(IF(_xlfn.SINGLE(INDEX(#REF!,ROWS(Params!AI$2:$AI362)-COUNTA(#REF!)-COUNTA(TAB_Offres[Ressource 1])))=0,NA(),
INDEX(#REF!,ROWS(Params!AI$2:$AI362)-COUNTA(#REF!)-COUNTA(TAB_Offres[Ressource 1])))),""))
)</f>
        <v/>
      </c>
      <c r="AJ362" s="192" t="str">
        <f>IF(TAB_ressource[[#This Row],[Import Ressource]]="","",MAX(AJ$1:AJ361)+1)</f>
        <v/>
      </c>
      <c r="AK362" s="193" t="str">
        <f>IFERROR(INDEX(TAB_ressource[Import Ressource],MATCH(ROW()-ROW($AK$1),TAB_ressource[ID Import ressources],0)),"")</f>
        <v/>
      </c>
      <c r="AN362" s="26">
        <f t="shared" si="18"/>
        <v>0</v>
      </c>
      <c r="BD362" t="s">
        <v>1696</v>
      </c>
      <c r="BE362" t="s">
        <v>1697</v>
      </c>
      <c r="BF362" t="s">
        <v>1698</v>
      </c>
      <c r="BG362" t="s">
        <v>1696</v>
      </c>
    </row>
    <row r="363" spans="13:59" x14ac:dyDescent="0.25">
      <c r="M363" t="str">
        <f>_xlfn.IFNA(IF(VLOOKUP(TAB_Offres[[#This Row],[Reference]],TAB_Offres[[Reference]:[Request State]],COLUMNS(TAB_Offres[[Reference]:[Request State]]),FALSE)=D$6,TAB_Offres[[#This Row],[Reference]],""),"")</f>
        <v/>
      </c>
      <c r="N363" t="str">
        <f>_xlfn.IFNA(IF(VLOOKUP(TAB_Offres[[#This Row],[Reference]],TAB_Offres[[Reference]:[Has Expenses?]],COLUMNS(TAB_Offres[[Reference]:[Has Expenses?]]),FALSE)=J$2,TAB_Offres[[#This Row],[Reference]],""),"")</f>
        <v/>
      </c>
      <c r="O363" t="str">
        <f>IF(Tableau19[[#This Row],[EXPENSES_REF]]="","",MAX(O$1:O362)+1)</f>
        <v/>
      </c>
      <c r="P363" t="str">
        <f t="shared" si="17"/>
        <v/>
      </c>
      <c r="AI363" s="191" t="str">
        <f>IFERROR(_xlfn.SINGLE(
IF(_xlfn.SINGLE(INDEX(TAB_Offres[Ressource 1],ROWS(Params!AI$2:$AI363)))=0,NA(),
INDEX(TAB_Offres[Ressource 1],ROWS(Params!AI$2:$AI363)))),
IFERROR(_xlfn.SINGLE(IF(_xlfn.SINGLE(INDEX(#REF!,ROWS(Params!AI$2:$AI363)-COUNTA(TAB_Offres[Ressource 1])))=0,NA(),
INDEX(#REF!,ROWS(Params!AI$2:$AI363)-COUNTA(TAB_Offres[Ressource 1])))),
IFERROR(_xlfn.SINGLE(IF(_xlfn.SINGLE(INDEX(#REF!,ROWS(Params!AI$2:$AI363)-COUNTA(#REF!)-COUNTA(TAB_Offres[Ressource 1])))=0,NA(),
INDEX(#REF!,ROWS(Params!AI$2:$AI363)-COUNTA(#REF!)-COUNTA(TAB_Offres[Ressource 1])))),""))
)</f>
        <v/>
      </c>
      <c r="AJ363" s="192" t="str">
        <f>IF(TAB_ressource[[#This Row],[Import Ressource]]="","",MAX(AJ$1:AJ362)+1)</f>
        <v/>
      </c>
      <c r="AK363" s="193" t="str">
        <f>IFERROR(INDEX(TAB_ressource[Import Ressource],MATCH(ROW()-ROW($AK$1),TAB_ressource[ID Import ressources],0)),"")</f>
        <v/>
      </c>
      <c r="AN363" s="26">
        <f t="shared" si="18"/>
        <v>0</v>
      </c>
      <c r="BD363" t="s">
        <v>1699</v>
      </c>
      <c r="BE363" t="s">
        <v>1700</v>
      </c>
      <c r="BF363" t="s">
        <v>1701</v>
      </c>
      <c r="BG363" t="s">
        <v>1699</v>
      </c>
    </row>
    <row r="364" spans="13:59" x14ac:dyDescent="0.25">
      <c r="M364" t="str">
        <f>_xlfn.IFNA(IF(VLOOKUP(TAB_Offres[[#This Row],[Reference]],TAB_Offres[[Reference]:[Request State]],COLUMNS(TAB_Offres[[Reference]:[Request State]]),FALSE)=D$6,TAB_Offres[[#This Row],[Reference]],""),"")</f>
        <v/>
      </c>
      <c r="N364" t="str">
        <f>_xlfn.IFNA(IF(VLOOKUP(TAB_Offres[[#This Row],[Reference]],TAB_Offres[[Reference]:[Has Expenses?]],COLUMNS(TAB_Offres[[Reference]:[Has Expenses?]]),FALSE)=J$2,TAB_Offres[[#This Row],[Reference]],""),"")</f>
        <v/>
      </c>
      <c r="O364" t="str">
        <f>IF(Tableau19[[#This Row],[EXPENSES_REF]]="","",MAX(O$1:O363)+1)</f>
        <v/>
      </c>
      <c r="P364" t="str">
        <f t="shared" si="17"/>
        <v/>
      </c>
      <c r="AI364" s="191" t="str">
        <f>IFERROR(_xlfn.SINGLE(
IF(_xlfn.SINGLE(INDEX(TAB_Offres[Ressource 1],ROWS(Params!AI$2:$AI364)))=0,NA(),
INDEX(TAB_Offres[Ressource 1],ROWS(Params!AI$2:$AI364)))),
IFERROR(_xlfn.SINGLE(IF(_xlfn.SINGLE(INDEX(#REF!,ROWS(Params!AI$2:$AI364)-COUNTA(TAB_Offres[Ressource 1])))=0,NA(),
INDEX(#REF!,ROWS(Params!AI$2:$AI364)-COUNTA(TAB_Offres[Ressource 1])))),
IFERROR(_xlfn.SINGLE(IF(_xlfn.SINGLE(INDEX(#REF!,ROWS(Params!AI$2:$AI364)-COUNTA(#REF!)-COUNTA(TAB_Offres[Ressource 1])))=0,NA(),
INDEX(#REF!,ROWS(Params!AI$2:$AI364)-COUNTA(#REF!)-COUNTA(TAB_Offres[Ressource 1])))),""))
)</f>
        <v/>
      </c>
      <c r="AJ364" s="192" t="str">
        <f>IF(TAB_ressource[[#This Row],[Import Ressource]]="","",MAX(AJ$1:AJ363)+1)</f>
        <v/>
      </c>
      <c r="AK364" s="193" t="str">
        <f>IFERROR(INDEX(TAB_ressource[Import Ressource],MATCH(ROW()-ROW($AK$1),TAB_ressource[ID Import ressources],0)),"")</f>
        <v/>
      </c>
      <c r="AN364" s="26">
        <f t="shared" si="18"/>
        <v>0</v>
      </c>
      <c r="BD364" t="s">
        <v>1702</v>
      </c>
      <c r="BE364" t="s">
        <v>1703</v>
      </c>
      <c r="BF364" t="s">
        <v>1704</v>
      </c>
      <c r="BG364" t="s">
        <v>1702</v>
      </c>
    </row>
    <row r="365" spans="13:59" x14ac:dyDescent="0.25">
      <c r="M365" t="str">
        <f>_xlfn.IFNA(IF(VLOOKUP(TAB_Offres[[#This Row],[Reference]],TAB_Offres[[Reference]:[Request State]],COLUMNS(TAB_Offres[[Reference]:[Request State]]),FALSE)=D$6,TAB_Offres[[#This Row],[Reference]],""),"")</f>
        <v/>
      </c>
      <c r="N365" t="str">
        <f>_xlfn.IFNA(IF(VLOOKUP(TAB_Offres[[#This Row],[Reference]],TAB_Offres[[Reference]:[Has Expenses?]],COLUMNS(TAB_Offres[[Reference]:[Has Expenses?]]),FALSE)=J$2,TAB_Offres[[#This Row],[Reference]],""),"")</f>
        <v/>
      </c>
      <c r="O365" t="str">
        <f>IF(Tableau19[[#This Row],[EXPENSES_REF]]="","",MAX(O$1:O364)+1)</f>
        <v/>
      </c>
      <c r="P365" t="str">
        <f t="shared" si="17"/>
        <v/>
      </c>
      <c r="AI365" s="191" t="str">
        <f>IFERROR(_xlfn.SINGLE(
IF(_xlfn.SINGLE(INDEX(TAB_Offres[Ressource 1],ROWS(Params!AI$2:$AI365)))=0,NA(),
INDEX(TAB_Offres[Ressource 1],ROWS(Params!AI$2:$AI365)))),
IFERROR(_xlfn.SINGLE(IF(_xlfn.SINGLE(INDEX(#REF!,ROWS(Params!AI$2:$AI365)-COUNTA(TAB_Offres[Ressource 1])))=0,NA(),
INDEX(#REF!,ROWS(Params!AI$2:$AI365)-COUNTA(TAB_Offres[Ressource 1])))),
IFERROR(_xlfn.SINGLE(IF(_xlfn.SINGLE(INDEX(#REF!,ROWS(Params!AI$2:$AI365)-COUNTA(#REF!)-COUNTA(TAB_Offres[Ressource 1])))=0,NA(),
INDEX(#REF!,ROWS(Params!AI$2:$AI365)-COUNTA(#REF!)-COUNTA(TAB_Offres[Ressource 1])))),""))
)</f>
        <v/>
      </c>
      <c r="AJ365" s="192" t="str">
        <f>IF(TAB_ressource[[#This Row],[Import Ressource]]="","",MAX(AJ$1:AJ364)+1)</f>
        <v/>
      </c>
      <c r="AK365" s="193" t="str">
        <f>IFERROR(INDEX(TAB_ressource[Import Ressource],MATCH(ROW()-ROW($AK$1),TAB_ressource[ID Import ressources],0)),"")</f>
        <v/>
      </c>
      <c r="AN365" s="26">
        <f t="shared" si="18"/>
        <v>0</v>
      </c>
      <c r="BD365" t="s">
        <v>1705</v>
      </c>
      <c r="BE365" t="s">
        <v>1706</v>
      </c>
      <c r="BF365" t="s">
        <v>1707</v>
      </c>
      <c r="BG365" t="s">
        <v>1705</v>
      </c>
    </row>
    <row r="366" spans="13:59" x14ac:dyDescent="0.25">
      <c r="M366" t="str">
        <f>_xlfn.IFNA(IF(VLOOKUP(TAB_Offres[[#This Row],[Reference]],TAB_Offres[[Reference]:[Request State]],COLUMNS(TAB_Offres[[Reference]:[Request State]]),FALSE)=D$6,TAB_Offres[[#This Row],[Reference]],""),"")</f>
        <v/>
      </c>
      <c r="N366" t="str">
        <f>_xlfn.IFNA(IF(VLOOKUP(TAB_Offres[[#This Row],[Reference]],TAB_Offres[[Reference]:[Has Expenses?]],COLUMNS(TAB_Offres[[Reference]:[Has Expenses?]]),FALSE)=J$2,TAB_Offres[[#This Row],[Reference]],""),"")</f>
        <v/>
      </c>
      <c r="O366" t="str">
        <f>IF(Tableau19[[#This Row],[EXPENSES_REF]]="","",MAX(O$1:O365)+1)</f>
        <v/>
      </c>
      <c r="P366" t="str">
        <f t="shared" si="17"/>
        <v/>
      </c>
      <c r="AI366" s="191" t="str">
        <f>IFERROR(_xlfn.SINGLE(
IF(_xlfn.SINGLE(INDEX(TAB_Offres[Ressource 1],ROWS(Params!AI$2:$AI366)))=0,NA(),
INDEX(TAB_Offres[Ressource 1],ROWS(Params!AI$2:$AI366)))),
IFERROR(_xlfn.SINGLE(IF(_xlfn.SINGLE(INDEX(#REF!,ROWS(Params!AI$2:$AI366)-COUNTA(TAB_Offres[Ressource 1])))=0,NA(),
INDEX(#REF!,ROWS(Params!AI$2:$AI366)-COUNTA(TAB_Offres[Ressource 1])))),
IFERROR(_xlfn.SINGLE(IF(_xlfn.SINGLE(INDEX(#REF!,ROWS(Params!AI$2:$AI366)-COUNTA(#REF!)-COUNTA(TAB_Offres[Ressource 1])))=0,NA(),
INDEX(#REF!,ROWS(Params!AI$2:$AI366)-COUNTA(#REF!)-COUNTA(TAB_Offres[Ressource 1])))),""))
)</f>
        <v/>
      </c>
      <c r="AJ366" s="192" t="str">
        <f>IF(TAB_ressource[[#This Row],[Import Ressource]]="","",MAX(AJ$1:AJ365)+1)</f>
        <v/>
      </c>
      <c r="AK366" s="193" t="str">
        <f>IFERROR(INDEX(TAB_ressource[Import Ressource],MATCH(ROW()-ROW($AK$1),TAB_ressource[ID Import ressources],0)),"")</f>
        <v/>
      </c>
      <c r="AN366" s="26">
        <f t="shared" si="18"/>
        <v>0</v>
      </c>
      <c r="BD366" t="s">
        <v>1708</v>
      </c>
      <c r="BE366" t="s">
        <v>1709</v>
      </c>
      <c r="BF366" t="s">
        <v>1710</v>
      </c>
      <c r="BG366" t="s">
        <v>1708</v>
      </c>
    </row>
    <row r="367" spans="13:59" x14ac:dyDescent="0.25">
      <c r="M367" t="str">
        <f>_xlfn.IFNA(IF(VLOOKUP(TAB_Offres[[#This Row],[Reference]],TAB_Offres[[Reference]:[Request State]],COLUMNS(TAB_Offres[[Reference]:[Request State]]),FALSE)=D$6,TAB_Offres[[#This Row],[Reference]],""),"")</f>
        <v/>
      </c>
      <c r="N367" t="str">
        <f>_xlfn.IFNA(IF(VLOOKUP(TAB_Offres[[#This Row],[Reference]],TAB_Offres[[Reference]:[Has Expenses?]],COLUMNS(TAB_Offres[[Reference]:[Has Expenses?]]),FALSE)=J$2,TAB_Offres[[#This Row],[Reference]],""),"")</f>
        <v/>
      </c>
      <c r="O367" t="str">
        <f>IF(Tableau19[[#This Row],[EXPENSES_REF]]="","",MAX(O$1:O366)+1)</f>
        <v/>
      </c>
      <c r="P367" t="str">
        <f t="shared" si="17"/>
        <v/>
      </c>
      <c r="AI367" s="191" t="str">
        <f>IFERROR(_xlfn.SINGLE(
IF(_xlfn.SINGLE(INDEX(TAB_Offres[Ressource 1],ROWS(Params!AI$2:$AI367)))=0,NA(),
INDEX(TAB_Offres[Ressource 1],ROWS(Params!AI$2:$AI367)))),
IFERROR(_xlfn.SINGLE(IF(_xlfn.SINGLE(INDEX(#REF!,ROWS(Params!AI$2:$AI367)-COUNTA(TAB_Offres[Ressource 1])))=0,NA(),
INDEX(#REF!,ROWS(Params!AI$2:$AI367)-COUNTA(TAB_Offres[Ressource 1])))),
IFERROR(_xlfn.SINGLE(IF(_xlfn.SINGLE(INDEX(#REF!,ROWS(Params!AI$2:$AI367)-COUNTA(#REF!)-COUNTA(TAB_Offres[Ressource 1])))=0,NA(),
INDEX(#REF!,ROWS(Params!AI$2:$AI367)-COUNTA(#REF!)-COUNTA(TAB_Offres[Ressource 1])))),""))
)</f>
        <v/>
      </c>
      <c r="AJ367" s="192" t="str">
        <f>IF(TAB_ressource[[#This Row],[Import Ressource]]="","",MAX(AJ$1:AJ366)+1)</f>
        <v/>
      </c>
      <c r="AK367" s="193" t="str">
        <f>IFERROR(INDEX(TAB_ressource[Import Ressource],MATCH(ROW()-ROW($AK$1),TAB_ressource[ID Import ressources],0)),"")</f>
        <v/>
      </c>
      <c r="AN367" s="26">
        <f t="shared" si="18"/>
        <v>0</v>
      </c>
      <c r="BD367" t="s">
        <v>1711</v>
      </c>
      <c r="BE367" t="s">
        <v>1712</v>
      </c>
      <c r="BF367" t="s">
        <v>1713</v>
      </c>
      <c r="BG367" t="s">
        <v>1711</v>
      </c>
    </row>
    <row r="368" spans="13:59" x14ac:dyDescent="0.25">
      <c r="M368" t="str">
        <f>_xlfn.IFNA(IF(VLOOKUP(TAB_Offres[[#This Row],[Reference]],TAB_Offres[[Reference]:[Request State]],COLUMNS(TAB_Offres[[Reference]:[Request State]]),FALSE)=D$6,TAB_Offres[[#This Row],[Reference]],""),"")</f>
        <v/>
      </c>
      <c r="N368" t="str">
        <f>_xlfn.IFNA(IF(VLOOKUP(TAB_Offres[[#This Row],[Reference]],TAB_Offres[[Reference]:[Has Expenses?]],COLUMNS(TAB_Offres[[Reference]:[Has Expenses?]]),FALSE)=J$2,TAB_Offres[[#This Row],[Reference]],""),"")</f>
        <v/>
      </c>
      <c r="O368" t="str">
        <f>IF(Tableau19[[#This Row],[EXPENSES_REF]]="","",MAX(O$1:O367)+1)</f>
        <v/>
      </c>
      <c r="P368" t="str">
        <f t="shared" si="17"/>
        <v/>
      </c>
      <c r="AI368" s="191" t="str">
        <f>IFERROR(_xlfn.SINGLE(
IF(_xlfn.SINGLE(INDEX(TAB_Offres[Ressource 1],ROWS(Params!AI$2:$AI368)))=0,NA(),
INDEX(TAB_Offres[Ressource 1],ROWS(Params!AI$2:$AI368)))),
IFERROR(_xlfn.SINGLE(IF(_xlfn.SINGLE(INDEX(#REF!,ROWS(Params!AI$2:$AI368)-COUNTA(TAB_Offres[Ressource 1])))=0,NA(),
INDEX(#REF!,ROWS(Params!AI$2:$AI368)-COUNTA(TAB_Offres[Ressource 1])))),
IFERROR(_xlfn.SINGLE(IF(_xlfn.SINGLE(INDEX(#REF!,ROWS(Params!AI$2:$AI368)-COUNTA(#REF!)-COUNTA(TAB_Offres[Ressource 1])))=0,NA(),
INDEX(#REF!,ROWS(Params!AI$2:$AI368)-COUNTA(#REF!)-COUNTA(TAB_Offres[Ressource 1])))),""))
)</f>
        <v/>
      </c>
      <c r="AJ368" s="192" t="str">
        <f>IF(TAB_ressource[[#This Row],[Import Ressource]]="","",MAX(AJ$1:AJ367)+1)</f>
        <v/>
      </c>
      <c r="AK368" s="193" t="str">
        <f>IFERROR(INDEX(TAB_ressource[Import Ressource],MATCH(ROW()-ROW($AK$1),TAB_ressource[ID Import ressources],0)),"")</f>
        <v/>
      </c>
      <c r="AN368" s="26">
        <f t="shared" si="18"/>
        <v>0</v>
      </c>
      <c r="BD368" t="s">
        <v>1714</v>
      </c>
      <c r="BE368" t="s">
        <v>1715</v>
      </c>
      <c r="BF368" t="s">
        <v>1716</v>
      </c>
      <c r="BG368" t="s">
        <v>1714</v>
      </c>
    </row>
    <row r="369" spans="13:59" x14ac:dyDescent="0.25">
      <c r="M369" t="str">
        <f>_xlfn.IFNA(IF(VLOOKUP(TAB_Offres[[#This Row],[Reference]],TAB_Offres[[Reference]:[Request State]],COLUMNS(TAB_Offres[[Reference]:[Request State]]),FALSE)=D$6,TAB_Offres[[#This Row],[Reference]],""),"")</f>
        <v/>
      </c>
      <c r="N369" t="str">
        <f>_xlfn.IFNA(IF(VLOOKUP(TAB_Offres[[#This Row],[Reference]],TAB_Offres[[Reference]:[Has Expenses?]],COLUMNS(TAB_Offres[[Reference]:[Has Expenses?]]),FALSE)=J$2,TAB_Offres[[#This Row],[Reference]],""),"")</f>
        <v/>
      </c>
      <c r="O369" t="str">
        <f>IF(Tableau19[[#This Row],[EXPENSES_REF]]="","",MAX(O$1:O368)+1)</f>
        <v/>
      </c>
      <c r="P369" t="str">
        <f t="shared" si="17"/>
        <v/>
      </c>
      <c r="AI369" s="191" t="str">
        <f>IFERROR(_xlfn.SINGLE(
IF(_xlfn.SINGLE(INDEX(TAB_Offres[Ressource 1],ROWS(Params!AI$2:$AI369)))=0,NA(),
INDEX(TAB_Offres[Ressource 1],ROWS(Params!AI$2:$AI369)))),
IFERROR(_xlfn.SINGLE(IF(_xlfn.SINGLE(INDEX(#REF!,ROWS(Params!AI$2:$AI369)-COUNTA(TAB_Offres[Ressource 1])))=0,NA(),
INDEX(#REF!,ROWS(Params!AI$2:$AI369)-COUNTA(TAB_Offres[Ressource 1])))),
IFERROR(_xlfn.SINGLE(IF(_xlfn.SINGLE(INDEX(#REF!,ROWS(Params!AI$2:$AI369)-COUNTA(#REF!)-COUNTA(TAB_Offres[Ressource 1])))=0,NA(),
INDEX(#REF!,ROWS(Params!AI$2:$AI369)-COUNTA(#REF!)-COUNTA(TAB_Offres[Ressource 1])))),""))
)</f>
        <v/>
      </c>
      <c r="AJ369" s="192" t="str">
        <f>IF(TAB_ressource[[#This Row],[Import Ressource]]="","",MAX(AJ$1:AJ368)+1)</f>
        <v/>
      </c>
      <c r="AK369" s="193" t="str">
        <f>IFERROR(INDEX(TAB_ressource[Import Ressource],MATCH(ROW()-ROW($AK$1),TAB_ressource[ID Import ressources],0)),"")</f>
        <v/>
      </c>
      <c r="AN369" s="26">
        <f t="shared" si="18"/>
        <v>0</v>
      </c>
      <c r="BD369" t="s">
        <v>1717</v>
      </c>
      <c r="BE369" t="s">
        <v>1718</v>
      </c>
      <c r="BF369" t="s">
        <v>1719</v>
      </c>
      <c r="BG369" t="s">
        <v>1717</v>
      </c>
    </row>
    <row r="370" spans="13:59" x14ac:dyDescent="0.25">
      <c r="M370" t="str">
        <f>_xlfn.IFNA(IF(VLOOKUP(TAB_Offres[[#This Row],[Reference]],TAB_Offres[[Reference]:[Request State]],COLUMNS(TAB_Offres[[Reference]:[Request State]]),FALSE)=D$6,TAB_Offres[[#This Row],[Reference]],""),"")</f>
        <v/>
      </c>
      <c r="N370" t="str">
        <f>_xlfn.IFNA(IF(VLOOKUP(TAB_Offres[[#This Row],[Reference]],TAB_Offres[[Reference]:[Has Expenses?]],COLUMNS(TAB_Offres[[Reference]:[Has Expenses?]]),FALSE)=J$2,TAB_Offres[[#This Row],[Reference]],""),"")</f>
        <v/>
      </c>
      <c r="O370" t="str">
        <f>IF(Tableau19[[#This Row],[EXPENSES_REF]]="","",MAX(O$1:O369)+1)</f>
        <v/>
      </c>
      <c r="P370" t="str">
        <f t="shared" si="17"/>
        <v/>
      </c>
      <c r="AI370" s="191" t="str">
        <f>IFERROR(_xlfn.SINGLE(
IF(_xlfn.SINGLE(INDEX(TAB_Offres[Ressource 1],ROWS(Params!AI$2:$AI370)))=0,NA(),
INDEX(TAB_Offres[Ressource 1],ROWS(Params!AI$2:$AI370)))),
IFERROR(_xlfn.SINGLE(IF(_xlfn.SINGLE(INDEX(#REF!,ROWS(Params!AI$2:$AI370)-COUNTA(TAB_Offres[Ressource 1])))=0,NA(),
INDEX(#REF!,ROWS(Params!AI$2:$AI370)-COUNTA(TAB_Offres[Ressource 1])))),
IFERROR(_xlfn.SINGLE(IF(_xlfn.SINGLE(INDEX(#REF!,ROWS(Params!AI$2:$AI370)-COUNTA(#REF!)-COUNTA(TAB_Offres[Ressource 1])))=0,NA(),
INDEX(#REF!,ROWS(Params!AI$2:$AI370)-COUNTA(#REF!)-COUNTA(TAB_Offres[Ressource 1])))),""))
)</f>
        <v/>
      </c>
      <c r="AJ370" s="192" t="str">
        <f>IF(TAB_ressource[[#This Row],[Import Ressource]]="","",MAX(AJ$1:AJ369)+1)</f>
        <v/>
      </c>
      <c r="AK370" s="193" t="str">
        <f>IFERROR(INDEX(TAB_ressource[Import Ressource],MATCH(ROW()-ROW($AK$1),TAB_ressource[ID Import ressources],0)),"")</f>
        <v/>
      </c>
      <c r="AN370" s="26">
        <f t="shared" si="18"/>
        <v>0</v>
      </c>
      <c r="BD370" t="s">
        <v>1720</v>
      </c>
      <c r="BE370" t="s">
        <v>1721</v>
      </c>
      <c r="BF370" t="s">
        <v>1722</v>
      </c>
      <c r="BG370" t="s">
        <v>1720</v>
      </c>
    </row>
    <row r="371" spans="13:59" x14ac:dyDescent="0.25">
      <c r="M371" t="str">
        <f>_xlfn.IFNA(IF(VLOOKUP(TAB_Offres[[#This Row],[Reference]],TAB_Offres[[Reference]:[Request State]],COLUMNS(TAB_Offres[[Reference]:[Request State]]),FALSE)=D$6,TAB_Offres[[#This Row],[Reference]],""),"")</f>
        <v/>
      </c>
      <c r="N371" t="str">
        <f>_xlfn.IFNA(IF(VLOOKUP(TAB_Offres[[#This Row],[Reference]],TAB_Offres[[Reference]:[Has Expenses?]],COLUMNS(TAB_Offres[[Reference]:[Has Expenses?]]),FALSE)=J$2,TAB_Offres[[#This Row],[Reference]],""),"")</f>
        <v/>
      </c>
      <c r="O371" t="str">
        <f>IF(Tableau19[[#This Row],[EXPENSES_REF]]="","",MAX(O$1:O370)+1)</f>
        <v/>
      </c>
      <c r="P371" t="str">
        <f t="shared" si="17"/>
        <v/>
      </c>
      <c r="AI371" s="191" t="str">
        <f>IFERROR(_xlfn.SINGLE(
IF(_xlfn.SINGLE(INDEX(TAB_Offres[Ressource 1],ROWS(Params!AI$2:$AI371)))=0,NA(),
INDEX(TAB_Offres[Ressource 1],ROWS(Params!AI$2:$AI371)))),
IFERROR(_xlfn.SINGLE(IF(_xlfn.SINGLE(INDEX(#REF!,ROWS(Params!AI$2:$AI371)-COUNTA(TAB_Offres[Ressource 1])))=0,NA(),
INDEX(#REF!,ROWS(Params!AI$2:$AI371)-COUNTA(TAB_Offres[Ressource 1])))),
IFERROR(_xlfn.SINGLE(IF(_xlfn.SINGLE(INDEX(#REF!,ROWS(Params!AI$2:$AI371)-COUNTA(#REF!)-COUNTA(TAB_Offres[Ressource 1])))=0,NA(),
INDEX(#REF!,ROWS(Params!AI$2:$AI371)-COUNTA(#REF!)-COUNTA(TAB_Offres[Ressource 1])))),""))
)</f>
        <v/>
      </c>
      <c r="AJ371" s="192" t="str">
        <f>IF(TAB_ressource[[#This Row],[Import Ressource]]="","",MAX(AJ$1:AJ370)+1)</f>
        <v/>
      </c>
      <c r="AK371" s="193" t="str">
        <f>IFERROR(INDEX(TAB_ressource[Import Ressource],MATCH(ROW()-ROW($AK$1),TAB_ressource[ID Import ressources],0)),"")</f>
        <v/>
      </c>
      <c r="AN371" s="26">
        <f t="shared" si="18"/>
        <v>0</v>
      </c>
      <c r="BD371" t="s">
        <v>1723</v>
      </c>
      <c r="BE371" t="s">
        <v>1724</v>
      </c>
      <c r="BF371" t="s">
        <v>1725</v>
      </c>
      <c r="BG371" t="s">
        <v>1723</v>
      </c>
    </row>
    <row r="372" spans="13:59" x14ac:dyDescent="0.25">
      <c r="M372" t="str">
        <f>_xlfn.IFNA(IF(VLOOKUP(TAB_Offres[[#This Row],[Reference]],TAB_Offres[[Reference]:[Request State]],COLUMNS(TAB_Offres[[Reference]:[Request State]]),FALSE)=D$6,TAB_Offres[[#This Row],[Reference]],""),"")</f>
        <v/>
      </c>
      <c r="N372" t="str">
        <f>_xlfn.IFNA(IF(VLOOKUP(TAB_Offres[[#This Row],[Reference]],TAB_Offres[[Reference]:[Has Expenses?]],COLUMNS(TAB_Offres[[Reference]:[Has Expenses?]]),FALSE)=J$2,TAB_Offres[[#This Row],[Reference]],""),"")</f>
        <v/>
      </c>
      <c r="O372" t="str">
        <f>IF(Tableau19[[#This Row],[EXPENSES_REF]]="","",MAX(O$1:O371)+1)</f>
        <v/>
      </c>
      <c r="P372" t="str">
        <f t="shared" si="17"/>
        <v/>
      </c>
      <c r="AI372" s="191" t="str">
        <f>IFERROR(_xlfn.SINGLE(
IF(_xlfn.SINGLE(INDEX(TAB_Offres[Ressource 1],ROWS(Params!AI$2:$AI372)))=0,NA(),
INDEX(TAB_Offres[Ressource 1],ROWS(Params!AI$2:$AI372)))),
IFERROR(_xlfn.SINGLE(IF(_xlfn.SINGLE(INDEX(#REF!,ROWS(Params!AI$2:$AI372)-COUNTA(TAB_Offres[Ressource 1])))=0,NA(),
INDEX(#REF!,ROWS(Params!AI$2:$AI372)-COUNTA(TAB_Offres[Ressource 1])))),
IFERROR(_xlfn.SINGLE(IF(_xlfn.SINGLE(INDEX(#REF!,ROWS(Params!AI$2:$AI372)-COUNTA(#REF!)-COUNTA(TAB_Offres[Ressource 1])))=0,NA(),
INDEX(#REF!,ROWS(Params!AI$2:$AI372)-COUNTA(#REF!)-COUNTA(TAB_Offres[Ressource 1])))),""))
)</f>
        <v/>
      </c>
      <c r="AJ372" s="192" t="str">
        <f>IF(TAB_ressource[[#This Row],[Import Ressource]]="","",MAX(AJ$1:AJ371)+1)</f>
        <v/>
      </c>
      <c r="AK372" s="193" t="str">
        <f>IFERROR(INDEX(TAB_ressource[Import Ressource],MATCH(ROW()-ROW($AK$1),TAB_ressource[ID Import ressources],0)),"")</f>
        <v/>
      </c>
      <c r="AN372" s="26">
        <f t="shared" si="18"/>
        <v>0</v>
      </c>
      <c r="BD372" t="s">
        <v>1726</v>
      </c>
      <c r="BE372" t="s">
        <v>1727</v>
      </c>
      <c r="BF372" t="s">
        <v>1728</v>
      </c>
      <c r="BG372" t="s">
        <v>1726</v>
      </c>
    </row>
    <row r="373" spans="13:59" x14ac:dyDescent="0.25">
      <c r="M373" t="str">
        <f>_xlfn.IFNA(IF(VLOOKUP(TAB_Offres[[#This Row],[Reference]],TAB_Offres[[Reference]:[Request State]],COLUMNS(TAB_Offres[[Reference]:[Request State]]),FALSE)=D$6,TAB_Offres[[#This Row],[Reference]],""),"")</f>
        <v/>
      </c>
      <c r="N373" t="str">
        <f>_xlfn.IFNA(IF(VLOOKUP(TAB_Offres[[#This Row],[Reference]],TAB_Offres[[Reference]:[Has Expenses?]],COLUMNS(TAB_Offres[[Reference]:[Has Expenses?]]),FALSE)=J$2,TAB_Offres[[#This Row],[Reference]],""),"")</f>
        <v/>
      </c>
      <c r="O373" t="str">
        <f>IF(Tableau19[[#This Row],[EXPENSES_REF]]="","",MAX(O$1:O372)+1)</f>
        <v/>
      </c>
      <c r="P373" t="str">
        <f t="shared" si="17"/>
        <v/>
      </c>
      <c r="AI373" s="191" t="str">
        <f>IFERROR(_xlfn.SINGLE(
IF(_xlfn.SINGLE(INDEX(TAB_Offres[Ressource 1],ROWS(Params!AI$2:$AI373)))=0,NA(),
INDEX(TAB_Offres[Ressource 1],ROWS(Params!AI$2:$AI373)))),
IFERROR(_xlfn.SINGLE(IF(_xlfn.SINGLE(INDEX(#REF!,ROWS(Params!AI$2:$AI373)-COUNTA(TAB_Offres[Ressource 1])))=0,NA(),
INDEX(#REF!,ROWS(Params!AI$2:$AI373)-COUNTA(TAB_Offres[Ressource 1])))),
IFERROR(_xlfn.SINGLE(IF(_xlfn.SINGLE(INDEX(#REF!,ROWS(Params!AI$2:$AI373)-COUNTA(#REF!)-COUNTA(TAB_Offres[Ressource 1])))=0,NA(),
INDEX(#REF!,ROWS(Params!AI$2:$AI373)-COUNTA(#REF!)-COUNTA(TAB_Offres[Ressource 1])))),""))
)</f>
        <v/>
      </c>
      <c r="AJ373" s="192" t="str">
        <f>IF(TAB_ressource[[#This Row],[Import Ressource]]="","",MAX(AJ$1:AJ372)+1)</f>
        <v/>
      </c>
      <c r="AK373" s="193" t="str">
        <f>IFERROR(INDEX(TAB_ressource[Import Ressource],MATCH(ROW()-ROW($AK$1),TAB_ressource[ID Import ressources],0)),"")</f>
        <v/>
      </c>
      <c r="AN373" s="26">
        <f t="shared" si="18"/>
        <v>0</v>
      </c>
      <c r="BD373" t="s">
        <v>1729</v>
      </c>
      <c r="BE373" t="s">
        <v>1730</v>
      </c>
      <c r="BF373" t="s">
        <v>1731</v>
      </c>
      <c r="BG373" t="s">
        <v>1729</v>
      </c>
    </row>
    <row r="374" spans="13:59" x14ac:dyDescent="0.25">
      <c r="M374" t="str">
        <f>_xlfn.IFNA(IF(VLOOKUP(TAB_Offres[[#This Row],[Reference]],TAB_Offres[[Reference]:[Request State]],COLUMNS(TAB_Offres[[Reference]:[Request State]]),FALSE)=D$6,TAB_Offres[[#This Row],[Reference]],""),"")</f>
        <v/>
      </c>
      <c r="N374" t="str">
        <f>_xlfn.IFNA(IF(VLOOKUP(TAB_Offres[[#This Row],[Reference]],TAB_Offres[[Reference]:[Has Expenses?]],COLUMNS(TAB_Offres[[Reference]:[Has Expenses?]]),FALSE)=J$2,TAB_Offres[[#This Row],[Reference]],""),"")</f>
        <v/>
      </c>
      <c r="O374" t="str">
        <f>IF(Tableau19[[#This Row],[EXPENSES_REF]]="","",MAX(O$1:O373)+1)</f>
        <v/>
      </c>
      <c r="P374" t="str">
        <f t="shared" si="17"/>
        <v/>
      </c>
      <c r="AI374" s="191" t="str">
        <f>IFERROR(_xlfn.SINGLE(
IF(_xlfn.SINGLE(INDEX(TAB_Offres[Ressource 1],ROWS(Params!AI$2:$AI374)))=0,NA(),
INDEX(TAB_Offres[Ressource 1],ROWS(Params!AI$2:$AI374)))),
IFERROR(_xlfn.SINGLE(IF(_xlfn.SINGLE(INDEX(#REF!,ROWS(Params!AI$2:$AI374)-COUNTA(TAB_Offres[Ressource 1])))=0,NA(),
INDEX(#REF!,ROWS(Params!AI$2:$AI374)-COUNTA(TAB_Offres[Ressource 1])))),
IFERROR(_xlfn.SINGLE(IF(_xlfn.SINGLE(INDEX(#REF!,ROWS(Params!AI$2:$AI374)-COUNTA(#REF!)-COUNTA(TAB_Offres[Ressource 1])))=0,NA(),
INDEX(#REF!,ROWS(Params!AI$2:$AI374)-COUNTA(#REF!)-COUNTA(TAB_Offres[Ressource 1])))),""))
)</f>
        <v/>
      </c>
      <c r="AJ374" s="192" t="str">
        <f>IF(TAB_ressource[[#This Row],[Import Ressource]]="","",MAX(AJ$1:AJ373)+1)</f>
        <v/>
      </c>
      <c r="AK374" s="193" t="str">
        <f>IFERROR(INDEX(TAB_ressource[Import Ressource],MATCH(ROW()-ROW($AK$1),TAB_ressource[ID Import ressources],0)),"")</f>
        <v/>
      </c>
      <c r="AN374" s="26">
        <f t="shared" si="18"/>
        <v>0</v>
      </c>
      <c r="BD374" t="s">
        <v>1732</v>
      </c>
      <c r="BE374" t="s">
        <v>1733</v>
      </c>
      <c r="BF374" t="s">
        <v>1734</v>
      </c>
      <c r="BG374" t="s">
        <v>1732</v>
      </c>
    </row>
    <row r="375" spans="13:59" x14ac:dyDescent="0.25">
      <c r="M375" t="str">
        <f>_xlfn.IFNA(IF(VLOOKUP(TAB_Offres[[#This Row],[Reference]],TAB_Offres[[Reference]:[Request State]],COLUMNS(TAB_Offres[[Reference]:[Request State]]),FALSE)=D$6,TAB_Offres[[#This Row],[Reference]],""),"")</f>
        <v/>
      </c>
      <c r="N375" t="str">
        <f>_xlfn.IFNA(IF(VLOOKUP(TAB_Offres[[#This Row],[Reference]],TAB_Offres[[Reference]:[Has Expenses?]],COLUMNS(TAB_Offres[[Reference]:[Has Expenses?]]),FALSE)=J$2,TAB_Offres[[#This Row],[Reference]],""),"")</f>
        <v/>
      </c>
      <c r="O375" t="str">
        <f>IF(Tableau19[[#This Row],[EXPENSES_REF]]="","",MAX(O$1:O374)+1)</f>
        <v/>
      </c>
      <c r="P375" t="str">
        <f t="shared" si="17"/>
        <v/>
      </c>
      <c r="AI375" s="191" t="str">
        <f>IFERROR(_xlfn.SINGLE(
IF(_xlfn.SINGLE(INDEX(TAB_Offres[Ressource 1],ROWS(Params!AI$2:$AI375)))=0,NA(),
INDEX(TAB_Offres[Ressource 1],ROWS(Params!AI$2:$AI375)))),
IFERROR(_xlfn.SINGLE(IF(_xlfn.SINGLE(INDEX(#REF!,ROWS(Params!AI$2:$AI375)-COUNTA(TAB_Offres[Ressource 1])))=0,NA(),
INDEX(#REF!,ROWS(Params!AI$2:$AI375)-COUNTA(TAB_Offres[Ressource 1])))),
IFERROR(_xlfn.SINGLE(IF(_xlfn.SINGLE(INDEX(#REF!,ROWS(Params!AI$2:$AI375)-COUNTA(#REF!)-COUNTA(TAB_Offres[Ressource 1])))=0,NA(),
INDEX(#REF!,ROWS(Params!AI$2:$AI375)-COUNTA(#REF!)-COUNTA(TAB_Offres[Ressource 1])))),""))
)</f>
        <v/>
      </c>
      <c r="AJ375" s="192" t="str">
        <f>IF(TAB_ressource[[#This Row],[Import Ressource]]="","",MAX(AJ$1:AJ374)+1)</f>
        <v/>
      </c>
      <c r="AK375" s="193" t="str">
        <f>IFERROR(INDEX(TAB_ressource[Import Ressource],MATCH(ROW()-ROW($AK$1),TAB_ressource[ID Import ressources],0)),"")</f>
        <v/>
      </c>
      <c r="AN375" s="26">
        <f t="shared" si="18"/>
        <v>0</v>
      </c>
      <c r="BD375" t="s">
        <v>1735</v>
      </c>
      <c r="BE375" t="s">
        <v>1736</v>
      </c>
      <c r="BF375" t="s">
        <v>1737</v>
      </c>
      <c r="BG375" t="s">
        <v>1735</v>
      </c>
    </row>
    <row r="376" spans="13:59" x14ac:dyDescent="0.25">
      <c r="M376" t="str">
        <f>_xlfn.IFNA(IF(VLOOKUP(TAB_Offres[[#This Row],[Reference]],TAB_Offres[[Reference]:[Request State]],COLUMNS(TAB_Offres[[Reference]:[Request State]]),FALSE)=D$6,TAB_Offres[[#This Row],[Reference]],""),"")</f>
        <v/>
      </c>
      <c r="N376" t="str">
        <f>_xlfn.IFNA(IF(VLOOKUP(TAB_Offres[[#This Row],[Reference]],TAB_Offres[[Reference]:[Has Expenses?]],COLUMNS(TAB_Offres[[Reference]:[Has Expenses?]]),FALSE)=J$2,TAB_Offres[[#This Row],[Reference]],""),"")</f>
        <v/>
      </c>
      <c r="O376" t="str">
        <f>IF(Tableau19[[#This Row],[EXPENSES_REF]]="","",MAX(O$1:O375)+1)</f>
        <v/>
      </c>
      <c r="P376" t="str">
        <f t="shared" si="17"/>
        <v/>
      </c>
      <c r="AI376" s="191" t="str">
        <f>IFERROR(_xlfn.SINGLE(
IF(_xlfn.SINGLE(INDEX(TAB_Offres[Ressource 1],ROWS(Params!AI$2:$AI376)))=0,NA(),
INDEX(TAB_Offres[Ressource 1],ROWS(Params!AI$2:$AI376)))),
IFERROR(_xlfn.SINGLE(IF(_xlfn.SINGLE(INDEX(#REF!,ROWS(Params!AI$2:$AI376)-COUNTA(TAB_Offres[Ressource 1])))=0,NA(),
INDEX(#REF!,ROWS(Params!AI$2:$AI376)-COUNTA(TAB_Offres[Ressource 1])))),
IFERROR(_xlfn.SINGLE(IF(_xlfn.SINGLE(INDEX(#REF!,ROWS(Params!AI$2:$AI376)-COUNTA(#REF!)-COUNTA(TAB_Offres[Ressource 1])))=0,NA(),
INDEX(#REF!,ROWS(Params!AI$2:$AI376)-COUNTA(#REF!)-COUNTA(TAB_Offres[Ressource 1])))),""))
)</f>
        <v/>
      </c>
      <c r="AJ376" s="192" t="str">
        <f>IF(TAB_ressource[[#This Row],[Import Ressource]]="","",MAX(AJ$1:AJ375)+1)</f>
        <v/>
      </c>
      <c r="AK376" s="193" t="str">
        <f>IFERROR(INDEX(TAB_ressource[Import Ressource],MATCH(ROW()-ROW($AK$1),TAB_ressource[ID Import ressources],0)),"")</f>
        <v/>
      </c>
      <c r="AN376" s="26">
        <f t="shared" si="18"/>
        <v>0</v>
      </c>
      <c r="BD376" t="s">
        <v>1738</v>
      </c>
      <c r="BE376" t="s">
        <v>1739</v>
      </c>
      <c r="BF376" t="s">
        <v>1740</v>
      </c>
      <c r="BG376" t="s">
        <v>1738</v>
      </c>
    </row>
    <row r="377" spans="13:59" x14ac:dyDescent="0.25">
      <c r="M377" t="str">
        <f>_xlfn.IFNA(IF(VLOOKUP(TAB_Offres[[#This Row],[Reference]],TAB_Offres[[Reference]:[Request State]],COLUMNS(TAB_Offres[[Reference]:[Request State]]),FALSE)=D$6,TAB_Offres[[#This Row],[Reference]],""),"")</f>
        <v/>
      </c>
      <c r="N377" t="str">
        <f>_xlfn.IFNA(IF(VLOOKUP(TAB_Offres[[#This Row],[Reference]],TAB_Offres[[Reference]:[Has Expenses?]],COLUMNS(TAB_Offres[[Reference]:[Has Expenses?]]),FALSE)=J$2,TAB_Offres[[#This Row],[Reference]],""),"")</f>
        <v/>
      </c>
      <c r="O377" t="str">
        <f>IF(Tableau19[[#This Row],[EXPENSES_REF]]="","",MAX(O$1:O376)+1)</f>
        <v/>
      </c>
      <c r="P377" t="str">
        <f t="shared" si="17"/>
        <v/>
      </c>
      <c r="AI377" s="191" t="str">
        <f>IFERROR(_xlfn.SINGLE(
IF(_xlfn.SINGLE(INDEX(TAB_Offres[Ressource 1],ROWS(Params!AI$2:$AI377)))=0,NA(),
INDEX(TAB_Offres[Ressource 1],ROWS(Params!AI$2:$AI377)))),
IFERROR(_xlfn.SINGLE(IF(_xlfn.SINGLE(INDEX(#REF!,ROWS(Params!AI$2:$AI377)-COUNTA(TAB_Offres[Ressource 1])))=0,NA(),
INDEX(#REF!,ROWS(Params!AI$2:$AI377)-COUNTA(TAB_Offres[Ressource 1])))),
IFERROR(_xlfn.SINGLE(IF(_xlfn.SINGLE(INDEX(#REF!,ROWS(Params!AI$2:$AI377)-COUNTA(#REF!)-COUNTA(TAB_Offres[Ressource 1])))=0,NA(),
INDEX(#REF!,ROWS(Params!AI$2:$AI377)-COUNTA(#REF!)-COUNTA(TAB_Offres[Ressource 1])))),""))
)</f>
        <v/>
      </c>
      <c r="AJ377" s="192" t="str">
        <f>IF(TAB_ressource[[#This Row],[Import Ressource]]="","",MAX(AJ$1:AJ376)+1)</f>
        <v/>
      </c>
      <c r="AK377" s="193" t="str">
        <f>IFERROR(INDEX(TAB_ressource[Import Ressource],MATCH(ROW()-ROW($AK$1),TAB_ressource[ID Import ressources],0)),"")</f>
        <v/>
      </c>
      <c r="AN377" s="26">
        <f t="shared" si="18"/>
        <v>0</v>
      </c>
      <c r="BD377" t="s">
        <v>1741</v>
      </c>
      <c r="BE377" t="s">
        <v>1742</v>
      </c>
      <c r="BF377" t="s">
        <v>1743</v>
      </c>
      <c r="BG377" t="s">
        <v>1741</v>
      </c>
    </row>
    <row r="378" spans="13:59" x14ac:dyDescent="0.25">
      <c r="M378" t="str">
        <f>_xlfn.IFNA(IF(VLOOKUP(TAB_Offres[[#This Row],[Reference]],TAB_Offres[[Reference]:[Request State]],COLUMNS(TAB_Offres[[Reference]:[Request State]]),FALSE)=D$6,TAB_Offres[[#This Row],[Reference]],""),"")</f>
        <v/>
      </c>
      <c r="N378" t="str">
        <f>_xlfn.IFNA(IF(VLOOKUP(TAB_Offres[[#This Row],[Reference]],TAB_Offres[[Reference]:[Has Expenses?]],COLUMNS(TAB_Offres[[Reference]:[Has Expenses?]]),FALSE)=J$2,TAB_Offres[[#This Row],[Reference]],""),"")</f>
        <v/>
      </c>
      <c r="O378" t="str">
        <f>IF(Tableau19[[#This Row],[EXPENSES_REF]]="","",MAX(O$1:O377)+1)</f>
        <v/>
      </c>
      <c r="P378" t="str">
        <f t="shared" si="17"/>
        <v/>
      </c>
      <c r="AI378" s="191" t="str">
        <f>IFERROR(_xlfn.SINGLE(
IF(_xlfn.SINGLE(INDEX(TAB_Offres[Ressource 1],ROWS(Params!AI$2:$AI378)))=0,NA(),
INDEX(TAB_Offres[Ressource 1],ROWS(Params!AI$2:$AI378)))),
IFERROR(_xlfn.SINGLE(IF(_xlfn.SINGLE(INDEX(#REF!,ROWS(Params!AI$2:$AI378)-COUNTA(TAB_Offres[Ressource 1])))=0,NA(),
INDEX(#REF!,ROWS(Params!AI$2:$AI378)-COUNTA(TAB_Offres[Ressource 1])))),
IFERROR(_xlfn.SINGLE(IF(_xlfn.SINGLE(INDEX(#REF!,ROWS(Params!AI$2:$AI378)-COUNTA(#REF!)-COUNTA(TAB_Offres[Ressource 1])))=0,NA(),
INDEX(#REF!,ROWS(Params!AI$2:$AI378)-COUNTA(#REF!)-COUNTA(TAB_Offres[Ressource 1])))),""))
)</f>
        <v/>
      </c>
      <c r="AJ378" s="192" t="str">
        <f>IF(TAB_ressource[[#This Row],[Import Ressource]]="","",MAX(AJ$1:AJ377)+1)</f>
        <v/>
      </c>
      <c r="AK378" s="193" t="str">
        <f>IFERROR(INDEX(TAB_ressource[Import Ressource],MATCH(ROW()-ROW($AK$1),TAB_ressource[ID Import ressources],0)),"")</f>
        <v/>
      </c>
      <c r="BD378" t="s">
        <v>1744</v>
      </c>
      <c r="BE378" t="s">
        <v>1745</v>
      </c>
      <c r="BF378" t="s">
        <v>1746</v>
      </c>
      <c r="BG378" t="s">
        <v>1744</v>
      </c>
    </row>
    <row r="379" spans="13:59" x14ac:dyDescent="0.25">
      <c r="M379" t="str">
        <f>_xlfn.IFNA(IF(VLOOKUP(TAB_Offres[[#This Row],[Reference]],TAB_Offres[[Reference]:[Request State]],COLUMNS(TAB_Offres[[Reference]:[Request State]]),FALSE)=D$6,TAB_Offres[[#This Row],[Reference]],""),"")</f>
        <v/>
      </c>
      <c r="N379" t="str">
        <f>_xlfn.IFNA(IF(VLOOKUP(TAB_Offres[[#This Row],[Reference]],TAB_Offres[[Reference]:[Has Expenses?]],COLUMNS(TAB_Offres[[Reference]:[Has Expenses?]]),FALSE)=J$2,TAB_Offres[[#This Row],[Reference]],""),"")</f>
        <v/>
      </c>
      <c r="O379" t="str">
        <f>IF(Tableau19[[#This Row],[EXPENSES_REF]]="","",MAX(O$1:O378)+1)</f>
        <v/>
      </c>
      <c r="P379" t="str">
        <f t="shared" si="17"/>
        <v/>
      </c>
      <c r="AI379" s="191" t="str">
        <f>IFERROR(_xlfn.SINGLE(
IF(_xlfn.SINGLE(INDEX(TAB_Offres[Ressource 1],ROWS(Params!AI$2:$AI379)))=0,NA(),
INDEX(TAB_Offres[Ressource 1],ROWS(Params!AI$2:$AI379)))),
IFERROR(_xlfn.SINGLE(IF(_xlfn.SINGLE(INDEX(#REF!,ROWS(Params!AI$2:$AI379)-COUNTA(TAB_Offres[Ressource 1])))=0,NA(),
INDEX(#REF!,ROWS(Params!AI$2:$AI379)-COUNTA(TAB_Offres[Ressource 1])))),
IFERROR(_xlfn.SINGLE(IF(_xlfn.SINGLE(INDEX(#REF!,ROWS(Params!AI$2:$AI379)-COUNTA(#REF!)-COUNTA(TAB_Offres[Ressource 1])))=0,NA(),
INDEX(#REF!,ROWS(Params!AI$2:$AI379)-COUNTA(#REF!)-COUNTA(TAB_Offres[Ressource 1])))),""))
)</f>
        <v/>
      </c>
      <c r="AJ379" s="192" t="str">
        <f>IF(TAB_ressource[[#This Row],[Import Ressource]]="","",MAX(AJ$1:AJ378)+1)</f>
        <v/>
      </c>
      <c r="AK379" s="193" t="str">
        <f>IFERROR(INDEX(TAB_ressource[Import Ressource],MATCH(ROW()-ROW($AK$1),TAB_ressource[ID Import ressources],0)),"")</f>
        <v/>
      </c>
      <c r="BD379" t="s">
        <v>1747</v>
      </c>
      <c r="BE379" t="s">
        <v>1748</v>
      </c>
      <c r="BF379" t="s">
        <v>1749</v>
      </c>
      <c r="BG379" t="s">
        <v>1747</v>
      </c>
    </row>
    <row r="380" spans="13:59" x14ac:dyDescent="0.25">
      <c r="M380" t="str">
        <f>_xlfn.IFNA(IF(VLOOKUP(TAB_Offres[[#This Row],[Reference]],TAB_Offres[[Reference]:[Request State]],COLUMNS(TAB_Offres[[Reference]:[Request State]]),FALSE)=D$6,TAB_Offres[[#This Row],[Reference]],""),"")</f>
        <v/>
      </c>
      <c r="N380" t="str">
        <f>_xlfn.IFNA(IF(VLOOKUP(TAB_Offres[[#This Row],[Reference]],TAB_Offres[[Reference]:[Has Expenses?]],COLUMNS(TAB_Offres[[Reference]:[Has Expenses?]]),FALSE)=J$2,TAB_Offres[[#This Row],[Reference]],""),"")</f>
        <v/>
      </c>
      <c r="O380" t="str">
        <f>IF(Tableau19[[#This Row],[EXPENSES_REF]]="","",MAX(O$1:O379)+1)</f>
        <v/>
      </c>
      <c r="P380" t="str">
        <f t="shared" si="17"/>
        <v/>
      </c>
      <c r="AI380" s="191" t="str">
        <f>IFERROR(_xlfn.SINGLE(
IF(_xlfn.SINGLE(INDEX(TAB_Offres[Ressource 1],ROWS(Params!AI$2:$AI380)))=0,NA(),
INDEX(TAB_Offres[Ressource 1],ROWS(Params!AI$2:$AI380)))),
IFERROR(_xlfn.SINGLE(IF(_xlfn.SINGLE(INDEX(#REF!,ROWS(Params!AI$2:$AI380)-COUNTA(TAB_Offres[Ressource 1])))=0,NA(),
INDEX(#REF!,ROWS(Params!AI$2:$AI380)-COUNTA(TAB_Offres[Ressource 1])))),
IFERROR(_xlfn.SINGLE(IF(_xlfn.SINGLE(INDEX(#REF!,ROWS(Params!AI$2:$AI380)-COUNTA(#REF!)-COUNTA(TAB_Offres[Ressource 1])))=0,NA(),
INDEX(#REF!,ROWS(Params!AI$2:$AI380)-COUNTA(#REF!)-COUNTA(TAB_Offres[Ressource 1])))),""))
)</f>
        <v/>
      </c>
      <c r="AJ380" s="192" t="str">
        <f>IF(TAB_ressource[[#This Row],[Import Ressource]]="","",MAX(AJ$1:AJ379)+1)</f>
        <v/>
      </c>
      <c r="AK380" s="193" t="str">
        <f>IFERROR(INDEX(TAB_ressource[Import Ressource],MATCH(ROW()-ROW($AK$1),TAB_ressource[ID Import ressources],0)),"")</f>
        <v/>
      </c>
      <c r="BD380" t="s">
        <v>1750</v>
      </c>
      <c r="BE380" t="s">
        <v>1751</v>
      </c>
      <c r="BF380" t="s">
        <v>1752</v>
      </c>
      <c r="BG380" t="s">
        <v>1750</v>
      </c>
    </row>
    <row r="381" spans="13:59" x14ac:dyDescent="0.25">
      <c r="M381" t="str">
        <f>_xlfn.IFNA(IF(VLOOKUP(TAB_Offres[[#This Row],[Reference]],TAB_Offres[[Reference]:[Request State]],COLUMNS(TAB_Offres[[Reference]:[Request State]]),FALSE)=D$6,TAB_Offres[[#This Row],[Reference]],""),"")</f>
        <v/>
      </c>
      <c r="N381" t="str">
        <f>_xlfn.IFNA(IF(VLOOKUP(TAB_Offres[[#This Row],[Reference]],TAB_Offres[[Reference]:[Has Expenses?]],COLUMNS(TAB_Offres[[Reference]:[Has Expenses?]]),FALSE)=J$2,TAB_Offres[[#This Row],[Reference]],""),"")</f>
        <v/>
      </c>
      <c r="O381" t="str">
        <f>IF(Tableau19[[#This Row],[EXPENSES_REF]]="","",MAX(O$1:O380)+1)</f>
        <v/>
      </c>
      <c r="P381" t="str">
        <f t="shared" si="17"/>
        <v/>
      </c>
      <c r="AI381" s="191" t="str">
        <f>IFERROR(_xlfn.SINGLE(
IF(_xlfn.SINGLE(INDEX(TAB_Offres[Ressource 1],ROWS(Params!AI$2:$AI381)))=0,NA(),
INDEX(TAB_Offres[Ressource 1],ROWS(Params!AI$2:$AI381)))),
IFERROR(_xlfn.SINGLE(IF(_xlfn.SINGLE(INDEX(#REF!,ROWS(Params!AI$2:$AI381)-COUNTA(TAB_Offres[Ressource 1])))=0,NA(),
INDEX(#REF!,ROWS(Params!AI$2:$AI381)-COUNTA(TAB_Offres[Ressource 1])))),
IFERROR(_xlfn.SINGLE(IF(_xlfn.SINGLE(INDEX(#REF!,ROWS(Params!AI$2:$AI381)-COUNTA(#REF!)-COUNTA(TAB_Offres[Ressource 1])))=0,NA(),
INDEX(#REF!,ROWS(Params!AI$2:$AI381)-COUNTA(#REF!)-COUNTA(TAB_Offres[Ressource 1])))),""))
)</f>
        <v/>
      </c>
      <c r="AJ381" s="192" t="str">
        <f>IF(TAB_ressource[[#This Row],[Import Ressource]]="","",MAX(AJ$1:AJ380)+1)</f>
        <v/>
      </c>
      <c r="AK381" s="193" t="str">
        <f>IFERROR(INDEX(TAB_ressource[Import Ressource],MATCH(ROW()-ROW($AK$1),TAB_ressource[ID Import ressources],0)),"")</f>
        <v/>
      </c>
      <c r="BD381" t="s">
        <v>1753</v>
      </c>
      <c r="BE381" t="s">
        <v>1754</v>
      </c>
      <c r="BF381" t="s">
        <v>1755</v>
      </c>
      <c r="BG381" t="s">
        <v>1753</v>
      </c>
    </row>
    <row r="382" spans="13:59" x14ac:dyDescent="0.25">
      <c r="M382" t="str">
        <f>_xlfn.IFNA(IF(VLOOKUP(TAB_Offres[[#This Row],[Reference]],TAB_Offres[[Reference]:[Request State]],COLUMNS(TAB_Offres[[Reference]:[Request State]]),FALSE)=D$6,TAB_Offres[[#This Row],[Reference]],""),"")</f>
        <v/>
      </c>
      <c r="N382" t="str">
        <f>_xlfn.IFNA(IF(VLOOKUP(TAB_Offres[[#This Row],[Reference]],TAB_Offres[[Reference]:[Has Expenses?]],COLUMNS(TAB_Offres[[Reference]:[Has Expenses?]]),FALSE)=J$2,TAB_Offres[[#This Row],[Reference]],""),"")</f>
        <v/>
      </c>
      <c r="O382" t="str">
        <f>IF(Tableau19[[#This Row],[EXPENSES_REF]]="","",MAX(O$1:O381)+1)</f>
        <v/>
      </c>
      <c r="P382" t="str">
        <f t="shared" si="17"/>
        <v/>
      </c>
      <c r="AI382" s="191" t="str">
        <f>IFERROR(_xlfn.SINGLE(
IF(_xlfn.SINGLE(INDEX(TAB_Offres[Ressource 1],ROWS(Params!AI$2:$AI382)))=0,NA(),
INDEX(TAB_Offres[Ressource 1],ROWS(Params!AI$2:$AI382)))),
IFERROR(_xlfn.SINGLE(IF(_xlfn.SINGLE(INDEX(#REF!,ROWS(Params!AI$2:$AI382)-COUNTA(TAB_Offres[Ressource 1])))=0,NA(),
INDEX(#REF!,ROWS(Params!AI$2:$AI382)-COUNTA(TAB_Offres[Ressource 1])))),
IFERROR(_xlfn.SINGLE(IF(_xlfn.SINGLE(INDEX(#REF!,ROWS(Params!AI$2:$AI382)-COUNTA(#REF!)-COUNTA(TAB_Offres[Ressource 1])))=0,NA(),
INDEX(#REF!,ROWS(Params!AI$2:$AI382)-COUNTA(#REF!)-COUNTA(TAB_Offres[Ressource 1])))),""))
)</f>
        <v/>
      </c>
      <c r="AJ382" s="192" t="str">
        <f>IF(TAB_ressource[[#This Row],[Import Ressource]]="","",MAX(AJ$1:AJ381)+1)</f>
        <v/>
      </c>
      <c r="AK382" s="193" t="str">
        <f>IFERROR(INDEX(TAB_ressource[Import Ressource],MATCH(ROW()-ROW($AK$1),TAB_ressource[ID Import ressources],0)),"")</f>
        <v/>
      </c>
      <c r="BD382" t="s">
        <v>1756</v>
      </c>
      <c r="BE382" t="s">
        <v>1757</v>
      </c>
      <c r="BF382" t="s">
        <v>1758</v>
      </c>
      <c r="BG382" t="s">
        <v>1756</v>
      </c>
    </row>
    <row r="383" spans="13:59" x14ac:dyDescent="0.25">
      <c r="M383" t="str">
        <f>_xlfn.IFNA(IF(VLOOKUP(TAB_Offres[[#This Row],[Reference]],TAB_Offres[[Reference]:[Request State]],COLUMNS(TAB_Offres[[Reference]:[Request State]]),FALSE)=D$6,TAB_Offres[[#This Row],[Reference]],""),"")</f>
        <v/>
      </c>
      <c r="N383" t="str">
        <f>_xlfn.IFNA(IF(VLOOKUP(TAB_Offres[[#This Row],[Reference]],TAB_Offres[[Reference]:[Has Expenses?]],COLUMNS(TAB_Offres[[Reference]:[Has Expenses?]]),FALSE)=J$2,TAB_Offres[[#This Row],[Reference]],""),"")</f>
        <v/>
      </c>
      <c r="O383" t="str">
        <f>IF(Tableau19[[#This Row],[EXPENSES_REF]]="","",MAX(O$1:O382)+1)</f>
        <v/>
      </c>
      <c r="P383" t="str">
        <f t="shared" si="17"/>
        <v/>
      </c>
      <c r="AI383" s="191" t="str">
        <f>IFERROR(_xlfn.SINGLE(
IF(_xlfn.SINGLE(INDEX(TAB_Offres[Ressource 1],ROWS(Params!AI$2:$AI383)))=0,NA(),
INDEX(TAB_Offres[Ressource 1],ROWS(Params!AI$2:$AI383)))),
IFERROR(_xlfn.SINGLE(IF(_xlfn.SINGLE(INDEX(#REF!,ROWS(Params!AI$2:$AI383)-COUNTA(TAB_Offres[Ressource 1])))=0,NA(),
INDEX(#REF!,ROWS(Params!AI$2:$AI383)-COUNTA(TAB_Offres[Ressource 1])))),
IFERROR(_xlfn.SINGLE(IF(_xlfn.SINGLE(INDEX(#REF!,ROWS(Params!AI$2:$AI383)-COUNTA(#REF!)-COUNTA(TAB_Offres[Ressource 1])))=0,NA(),
INDEX(#REF!,ROWS(Params!AI$2:$AI383)-COUNTA(#REF!)-COUNTA(TAB_Offres[Ressource 1])))),""))
)</f>
        <v/>
      </c>
      <c r="AJ383" s="192" t="str">
        <f>IF(TAB_ressource[[#This Row],[Import Ressource]]="","",MAX(AJ$1:AJ382)+1)</f>
        <v/>
      </c>
      <c r="AK383" s="193" t="str">
        <f>IFERROR(INDEX(TAB_ressource[Import Ressource],MATCH(ROW()-ROW($AK$1),TAB_ressource[ID Import ressources],0)),"")</f>
        <v/>
      </c>
      <c r="BD383" t="s">
        <v>1759</v>
      </c>
      <c r="BE383" t="s">
        <v>1760</v>
      </c>
      <c r="BF383" t="s">
        <v>1761</v>
      </c>
      <c r="BG383" t="s">
        <v>1759</v>
      </c>
    </row>
    <row r="384" spans="13:59" x14ac:dyDescent="0.25">
      <c r="M384" t="str">
        <f>_xlfn.IFNA(IF(VLOOKUP(TAB_Offres[[#This Row],[Reference]],TAB_Offres[[Reference]:[Request State]],COLUMNS(TAB_Offres[[Reference]:[Request State]]),FALSE)=D$6,TAB_Offres[[#This Row],[Reference]],""),"")</f>
        <v/>
      </c>
      <c r="N384" t="str">
        <f>_xlfn.IFNA(IF(VLOOKUP(TAB_Offres[[#This Row],[Reference]],TAB_Offres[[Reference]:[Has Expenses?]],COLUMNS(TAB_Offres[[Reference]:[Has Expenses?]]),FALSE)=J$2,TAB_Offres[[#This Row],[Reference]],""),"")</f>
        <v/>
      </c>
      <c r="O384" t="str">
        <f>IF(Tableau19[[#This Row],[EXPENSES_REF]]="","",MAX(O$1:O383)+1)</f>
        <v/>
      </c>
      <c r="P384" t="str">
        <f t="shared" si="17"/>
        <v/>
      </c>
      <c r="AI384" s="191" t="str">
        <f>IFERROR(_xlfn.SINGLE(
IF(_xlfn.SINGLE(INDEX(TAB_Offres[Ressource 1],ROWS(Params!AI$2:$AI384)))=0,NA(),
INDEX(TAB_Offres[Ressource 1],ROWS(Params!AI$2:$AI384)))),
IFERROR(_xlfn.SINGLE(IF(_xlfn.SINGLE(INDEX(#REF!,ROWS(Params!AI$2:$AI384)-COUNTA(TAB_Offres[Ressource 1])))=0,NA(),
INDEX(#REF!,ROWS(Params!AI$2:$AI384)-COUNTA(TAB_Offres[Ressource 1])))),
IFERROR(_xlfn.SINGLE(IF(_xlfn.SINGLE(INDEX(#REF!,ROWS(Params!AI$2:$AI384)-COUNTA(#REF!)-COUNTA(TAB_Offres[Ressource 1])))=0,NA(),
INDEX(#REF!,ROWS(Params!AI$2:$AI384)-COUNTA(#REF!)-COUNTA(TAB_Offres[Ressource 1])))),""))
)</f>
        <v/>
      </c>
      <c r="AJ384" s="192" t="str">
        <f>IF(TAB_ressource[[#This Row],[Import Ressource]]="","",MAX(AJ$1:AJ383)+1)</f>
        <v/>
      </c>
      <c r="AK384" s="193" t="str">
        <f>IFERROR(INDEX(TAB_ressource[Import Ressource],MATCH(ROW()-ROW($AK$1),TAB_ressource[ID Import ressources],0)),"")</f>
        <v/>
      </c>
      <c r="BD384" t="s">
        <v>1762</v>
      </c>
      <c r="BE384" t="s">
        <v>1763</v>
      </c>
      <c r="BF384" t="s">
        <v>1764</v>
      </c>
      <c r="BG384" t="s">
        <v>1762</v>
      </c>
    </row>
    <row r="385" spans="13:59" x14ac:dyDescent="0.25">
      <c r="M385" t="str">
        <f>_xlfn.IFNA(IF(VLOOKUP(TAB_Offres[[#This Row],[Reference]],TAB_Offres[[Reference]:[Request State]],COLUMNS(TAB_Offres[[Reference]:[Request State]]),FALSE)=D$6,TAB_Offres[[#This Row],[Reference]],""),"")</f>
        <v/>
      </c>
      <c r="N385" t="str">
        <f>_xlfn.IFNA(IF(VLOOKUP(TAB_Offres[[#This Row],[Reference]],TAB_Offres[[Reference]:[Has Expenses?]],COLUMNS(TAB_Offres[[Reference]:[Has Expenses?]]),FALSE)=J$2,TAB_Offres[[#This Row],[Reference]],""),"")</f>
        <v/>
      </c>
      <c r="O385" t="str">
        <f>IF(Tableau19[[#This Row],[EXPENSES_REF]]="","",MAX(O$1:O384)+1)</f>
        <v/>
      </c>
      <c r="P385" t="str">
        <f t="shared" si="17"/>
        <v/>
      </c>
      <c r="AI385" s="191" t="str">
        <f>IFERROR(_xlfn.SINGLE(
IF(_xlfn.SINGLE(INDEX(TAB_Offres[Ressource 1],ROWS(Params!AI$2:$AI385)))=0,NA(),
INDEX(TAB_Offres[Ressource 1],ROWS(Params!AI$2:$AI385)))),
IFERROR(_xlfn.SINGLE(IF(_xlfn.SINGLE(INDEX(#REF!,ROWS(Params!AI$2:$AI385)-COUNTA(TAB_Offres[Ressource 1])))=0,NA(),
INDEX(#REF!,ROWS(Params!AI$2:$AI385)-COUNTA(TAB_Offres[Ressource 1])))),
IFERROR(_xlfn.SINGLE(IF(_xlfn.SINGLE(INDEX(#REF!,ROWS(Params!AI$2:$AI385)-COUNTA(#REF!)-COUNTA(TAB_Offres[Ressource 1])))=0,NA(),
INDEX(#REF!,ROWS(Params!AI$2:$AI385)-COUNTA(#REF!)-COUNTA(TAB_Offres[Ressource 1])))),""))
)</f>
        <v/>
      </c>
      <c r="AJ385" s="192" t="str">
        <f>IF(TAB_ressource[[#This Row],[Import Ressource]]="","",MAX(AJ$1:AJ384)+1)</f>
        <v/>
      </c>
      <c r="AK385" s="193" t="str">
        <f>IFERROR(INDEX(TAB_ressource[Import Ressource],MATCH(ROW()-ROW($AK$1),TAB_ressource[ID Import ressources],0)),"")</f>
        <v/>
      </c>
      <c r="BD385" t="s">
        <v>1765</v>
      </c>
      <c r="BE385" t="s">
        <v>1766</v>
      </c>
      <c r="BF385" t="s">
        <v>1767</v>
      </c>
      <c r="BG385" t="s">
        <v>1765</v>
      </c>
    </row>
    <row r="386" spans="13:59" x14ac:dyDescent="0.25">
      <c r="M386" t="str">
        <f>_xlfn.IFNA(IF(VLOOKUP(TAB_Offres[[#This Row],[Reference]],TAB_Offres[[Reference]:[Request State]],COLUMNS(TAB_Offres[[Reference]:[Request State]]),FALSE)=D$6,TAB_Offres[[#This Row],[Reference]],""),"")</f>
        <v/>
      </c>
      <c r="N386" t="str">
        <f>_xlfn.IFNA(IF(VLOOKUP(TAB_Offres[[#This Row],[Reference]],TAB_Offres[[Reference]:[Has Expenses?]],COLUMNS(TAB_Offres[[Reference]:[Has Expenses?]]),FALSE)=J$2,TAB_Offres[[#This Row],[Reference]],""),"")</f>
        <v/>
      </c>
      <c r="O386" t="str">
        <f>IF(Tableau19[[#This Row],[EXPENSES_REF]]="","",MAX(O$1:O385)+1)</f>
        <v/>
      </c>
      <c r="P386" t="str">
        <f t="shared" ref="P386:P449" si="19">IFERROR(INDEX($N$2:$N$1001,MATCH(ROW()-ROW($P$1),$O$2:$O$1001,0)),"")</f>
        <v/>
      </c>
      <c r="AI386" s="191" t="str">
        <f>IFERROR(_xlfn.SINGLE(
IF(_xlfn.SINGLE(INDEX(TAB_Offres[Ressource 1],ROWS(Params!AI$2:$AI386)))=0,NA(),
INDEX(TAB_Offres[Ressource 1],ROWS(Params!AI$2:$AI386)))),
IFERROR(_xlfn.SINGLE(IF(_xlfn.SINGLE(INDEX(#REF!,ROWS(Params!AI$2:$AI386)-COUNTA(TAB_Offres[Ressource 1])))=0,NA(),
INDEX(#REF!,ROWS(Params!AI$2:$AI386)-COUNTA(TAB_Offres[Ressource 1])))),
IFERROR(_xlfn.SINGLE(IF(_xlfn.SINGLE(INDEX(#REF!,ROWS(Params!AI$2:$AI386)-COUNTA(#REF!)-COUNTA(TAB_Offres[Ressource 1])))=0,NA(),
INDEX(#REF!,ROWS(Params!AI$2:$AI386)-COUNTA(#REF!)-COUNTA(TAB_Offres[Ressource 1])))),""))
)</f>
        <v/>
      </c>
      <c r="AJ386" s="192" t="str">
        <f>IF(TAB_ressource[[#This Row],[Import Ressource]]="","",MAX(AJ$1:AJ385)+1)</f>
        <v/>
      </c>
      <c r="AK386" s="193" t="str">
        <f>IFERROR(INDEX(TAB_ressource[Import Ressource],MATCH(ROW()-ROW($AK$1),TAB_ressource[ID Import ressources],0)),"")</f>
        <v/>
      </c>
      <c r="BD386" t="s">
        <v>1768</v>
      </c>
      <c r="BE386" t="s">
        <v>1769</v>
      </c>
      <c r="BF386" t="s">
        <v>1770</v>
      </c>
      <c r="BG386" t="s">
        <v>1768</v>
      </c>
    </row>
    <row r="387" spans="13:59" x14ac:dyDescent="0.25">
      <c r="M387" t="str">
        <f>_xlfn.IFNA(IF(VLOOKUP(TAB_Offres[[#This Row],[Reference]],TAB_Offres[[Reference]:[Request State]],COLUMNS(TAB_Offres[[Reference]:[Request State]]),FALSE)=D$6,TAB_Offres[[#This Row],[Reference]],""),"")</f>
        <v/>
      </c>
      <c r="N387" t="str">
        <f>_xlfn.IFNA(IF(VLOOKUP(TAB_Offres[[#This Row],[Reference]],TAB_Offres[[Reference]:[Has Expenses?]],COLUMNS(TAB_Offres[[Reference]:[Has Expenses?]]),FALSE)=J$2,TAB_Offres[[#This Row],[Reference]],""),"")</f>
        <v/>
      </c>
      <c r="O387" t="str">
        <f>IF(Tableau19[[#This Row],[EXPENSES_REF]]="","",MAX(O$1:O386)+1)</f>
        <v/>
      </c>
      <c r="P387" t="str">
        <f t="shared" si="19"/>
        <v/>
      </c>
      <c r="AI387" s="191" t="str">
        <f>IFERROR(_xlfn.SINGLE(
IF(_xlfn.SINGLE(INDEX(TAB_Offres[Ressource 1],ROWS(Params!AI$2:$AI387)))=0,NA(),
INDEX(TAB_Offres[Ressource 1],ROWS(Params!AI$2:$AI387)))),
IFERROR(_xlfn.SINGLE(IF(_xlfn.SINGLE(INDEX(#REF!,ROWS(Params!AI$2:$AI387)-COUNTA(TAB_Offres[Ressource 1])))=0,NA(),
INDEX(#REF!,ROWS(Params!AI$2:$AI387)-COUNTA(TAB_Offres[Ressource 1])))),
IFERROR(_xlfn.SINGLE(IF(_xlfn.SINGLE(INDEX(#REF!,ROWS(Params!AI$2:$AI387)-COUNTA(#REF!)-COUNTA(TAB_Offres[Ressource 1])))=0,NA(),
INDEX(#REF!,ROWS(Params!AI$2:$AI387)-COUNTA(#REF!)-COUNTA(TAB_Offres[Ressource 1])))),""))
)</f>
        <v/>
      </c>
      <c r="AJ387" s="192" t="str">
        <f>IF(TAB_ressource[[#This Row],[Import Ressource]]="","",MAX(AJ$1:AJ386)+1)</f>
        <v/>
      </c>
      <c r="AK387" s="193" t="str">
        <f>IFERROR(INDEX(TAB_ressource[Import Ressource],MATCH(ROW()-ROW($AK$1),TAB_ressource[ID Import ressources],0)),"")</f>
        <v/>
      </c>
      <c r="BD387" t="s">
        <v>1771</v>
      </c>
      <c r="BE387" t="s">
        <v>1772</v>
      </c>
      <c r="BF387" t="s">
        <v>1773</v>
      </c>
      <c r="BG387" t="s">
        <v>1771</v>
      </c>
    </row>
    <row r="388" spans="13:59" x14ac:dyDescent="0.25">
      <c r="M388" t="str">
        <f>_xlfn.IFNA(IF(VLOOKUP(TAB_Offres[[#This Row],[Reference]],TAB_Offres[[Reference]:[Request State]],COLUMNS(TAB_Offres[[Reference]:[Request State]]),FALSE)=D$6,TAB_Offres[[#This Row],[Reference]],""),"")</f>
        <v/>
      </c>
      <c r="N388" t="str">
        <f>_xlfn.IFNA(IF(VLOOKUP(TAB_Offres[[#This Row],[Reference]],TAB_Offres[[Reference]:[Has Expenses?]],COLUMNS(TAB_Offres[[Reference]:[Has Expenses?]]),FALSE)=J$2,TAB_Offres[[#This Row],[Reference]],""),"")</f>
        <v/>
      </c>
      <c r="O388" t="str">
        <f>IF(Tableau19[[#This Row],[EXPENSES_REF]]="","",MAX(O$1:O387)+1)</f>
        <v/>
      </c>
      <c r="P388" t="str">
        <f t="shared" si="19"/>
        <v/>
      </c>
      <c r="AI388" s="191" t="str">
        <f>IFERROR(_xlfn.SINGLE(
IF(_xlfn.SINGLE(INDEX(TAB_Offres[Ressource 1],ROWS(Params!AI$2:$AI388)))=0,NA(),
INDEX(TAB_Offres[Ressource 1],ROWS(Params!AI$2:$AI388)))),
IFERROR(_xlfn.SINGLE(IF(_xlfn.SINGLE(INDEX(#REF!,ROWS(Params!AI$2:$AI388)-COUNTA(TAB_Offres[Ressource 1])))=0,NA(),
INDEX(#REF!,ROWS(Params!AI$2:$AI388)-COUNTA(TAB_Offres[Ressource 1])))),
IFERROR(_xlfn.SINGLE(IF(_xlfn.SINGLE(INDEX(#REF!,ROWS(Params!AI$2:$AI388)-COUNTA(#REF!)-COUNTA(TAB_Offres[Ressource 1])))=0,NA(),
INDEX(#REF!,ROWS(Params!AI$2:$AI388)-COUNTA(#REF!)-COUNTA(TAB_Offres[Ressource 1])))),""))
)</f>
        <v/>
      </c>
      <c r="AJ388" s="192" t="str">
        <f>IF(TAB_ressource[[#This Row],[Import Ressource]]="","",MAX(AJ$1:AJ387)+1)</f>
        <v/>
      </c>
      <c r="AK388" s="193" t="str">
        <f>IFERROR(INDEX(TAB_ressource[Import Ressource],MATCH(ROW()-ROW($AK$1),TAB_ressource[ID Import ressources],0)),"")</f>
        <v/>
      </c>
      <c r="BD388" t="s">
        <v>1774</v>
      </c>
      <c r="BE388" t="s">
        <v>1775</v>
      </c>
      <c r="BF388" t="s">
        <v>1776</v>
      </c>
      <c r="BG388" t="s">
        <v>1774</v>
      </c>
    </row>
    <row r="389" spans="13:59" x14ac:dyDescent="0.25">
      <c r="M389" t="str">
        <f>_xlfn.IFNA(IF(VLOOKUP(TAB_Offres[[#This Row],[Reference]],TAB_Offres[[Reference]:[Request State]],COLUMNS(TAB_Offres[[Reference]:[Request State]]),FALSE)=D$6,TAB_Offres[[#This Row],[Reference]],""),"")</f>
        <v/>
      </c>
      <c r="N389" t="str">
        <f>_xlfn.IFNA(IF(VLOOKUP(TAB_Offres[[#This Row],[Reference]],TAB_Offres[[Reference]:[Has Expenses?]],COLUMNS(TAB_Offres[[Reference]:[Has Expenses?]]),FALSE)=J$2,TAB_Offres[[#This Row],[Reference]],""),"")</f>
        <v/>
      </c>
      <c r="O389" t="str">
        <f>IF(Tableau19[[#This Row],[EXPENSES_REF]]="","",MAX(O$1:O388)+1)</f>
        <v/>
      </c>
      <c r="P389" t="str">
        <f t="shared" si="19"/>
        <v/>
      </c>
      <c r="AI389" s="191" t="str">
        <f>IFERROR(_xlfn.SINGLE(
IF(_xlfn.SINGLE(INDEX(TAB_Offres[Ressource 1],ROWS(Params!AI$2:$AI389)))=0,NA(),
INDEX(TAB_Offres[Ressource 1],ROWS(Params!AI$2:$AI389)))),
IFERROR(_xlfn.SINGLE(IF(_xlfn.SINGLE(INDEX(#REF!,ROWS(Params!AI$2:$AI389)-COUNTA(TAB_Offres[Ressource 1])))=0,NA(),
INDEX(#REF!,ROWS(Params!AI$2:$AI389)-COUNTA(TAB_Offres[Ressource 1])))),
IFERROR(_xlfn.SINGLE(IF(_xlfn.SINGLE(INDEX(#REF!,ROWS(Params!AI$2:$AI389)-COUNTA(#REF!)-COUNTA(TAB_Offres[Ressource 1])))=0,NA(),
INDEX(#REF!,ROWS(Params!AI$2:$AI389)-COUNTA(#REF!)-COUNTA(TAB_Offres[Ressource 1])))),""))
)</f>
        <v/>
      </c>
      <c r="AJ389" s="192" t="str">
        <f>IF(TAB_ressource[[#This Row],[Import Ressource]]="","",MAX(AJ$1:AJ388)+1)</f>
        <v/>
      </c>
      <c r="AK389" s="193" t="str">
        <f>IFERROR(INDEX(TAB_ressource[Import Ressource],MATCH(ROW()-ROW($AK$1),TAB_ressource[ID Import ressources],0)),"")</f>
        <v/>
      </c>
      <c r="BD389" t="s">
        <v>1777</v>
      </c>
      <c r="BE389" t="s">
        <v>1778</v>
      </c>
      <c r="BF389" t="s">
        <v>1779</v>
      </c>
      <c r="BG389" t="s">
        <v>1777</v>
      </c>
    </row>
    <row r="390" spans="13:59" x14ac:dyDescent="0.25">
      <c r="M390" t="str">
        <f>_xlfn.IFNA(IF(VLOOKUP(TAB_Offres[[#This Row],[Reference]],TAB_Offres[[Reference]:[Request State]],COLUMNS(TAB_Offres[[Reference]:[Request State]]),FALSE)=D$6,TAB_Offres[[#This Row],[Reference]],""),"")</f>
        <v/>
      </c>
      <c r="N390" t="str">
        <f>_xlfn.IFNA(IF(VLOOKUP(TAB_Offres[[#This Row],[Reference]],TAB_Offres[[Reference]:[Has Expenses?]],COLUMNS(TAB_Offres[[Reference]:[Has Expenses?]]),FALSE)=J$2,TAB_Offres[[#This Row],[Reference]],""),"")</f>
        <v/>
      </c>
      <c r="O390" t="str">
        <f>IF(Tableau19[[#This Row],[EXPENSES_REF]]="","",MAX(O$1:O389)+1)</f>
        <v/>
      </c>
      <c r="P390" t="str">
        <f t="shared" si="19"/>
        <v/>
      </c>
      <c r="AI390" s="191" t="str">
        <f>IFERROR(_xlfn.SINGLE(
IF(_xlfn.SINGLE(INDEX(TAB_Offres[Ressource 1],ROWS(Params!AI$2:$AI390)))=0,NA(),
INDEX(TAB_Offres[Ressource 1],ROWS(Params!AI$2:$AI390)))),
IFERROR(_xlfn.SINGLE(IF(_xlfn.SINGLE(INDEX(#REF!,ROWS(Params!AI$2:$AI390)-COUNTA(TAB_Offres[Ressource 1])))=0,NA(),
INDEX(#REF!,ROWS(Params!AI$2:$AI390)-COUNTA(TAB_Offres[Ressource 1])))),
IFERROR(_xlfn.SINGLE(IF(_xlfn.SINGLE(INDEX(#REF!,ROWS(Params!AI$2:$AI390)-COUNTA(#REF!)-COUNTA(TAB_Offres[Ressource 1])))=0,NA(),
INDEX(#REF!,ROWS(Params!AI$2:$AI390)-COUNTA(#REF!)-COUNTA(TAB_Offres[Ressource 1])))),""))
)</f>
        <v/>
      </c>
      <c r="AJ390" s="192" t="str">
        <f>IF(TAB_ressource[[#This Row],[Import Ressource]]="","",MAX(AJ$1:AJ389)+1)</f>
        <v/>
      </c>
      <c r="AK390" s="193" t="str">
        <f>IFERROR(INDEX(TAB_ressource[Import Ressource],MATCH(ROW()-ROW($AK$1),TAB_ressource[ID Import ressources],0)),"")</f>
        <v/>
      </c>
      <c r="BD390" t="s">
        <v>1780</v>
      </c>
      <c r="BE390" t="s">
        <v>1781</v>
      </c>
      <c r="BF390" t="s">
        <v>1782</v>
      </c>
      <c r="BG390" t="s">
        <v>1780</v>
      </c>
    </row>
    <row r="391" spans="13:59" x14ac:dyDescent="0.25">
      <c r="M391" t="str">
        <f>_xlfn.IFNA(IF(VLOOKUP(TAB_Offres[[#This Row],[Reference]],TAB_Offres[[Reference]:[Request State]],COLUMNS(TAB_Offres[[Reference]:[Request State]]),FALSE)=D$6,TAB_Offres[[#This Row],[Reference]],""),"")</f>
        <v/>
      </c>
      <c r="N391" t="str">
        <f>_xlfn.IFNA(IF(VLOOKUP(TAB_Offres[[#This Row],[Reference]],TAB_Offres[[Reference]:[Has Expenses?]],COLUMNS(TAB_Offres[[Reference]:[Has Expenses?]]),FALSE)=J$2,TAB_Offres[[#This Row],[Reference]],""),"")</f>
        <v/>
      </c>
      <c r="O391" t="str">
        <f>IF(Tableau19[[#This Row],[EXPENSES_REF]]="","",MAX(O$1:O390)+1)</f>
        <v/>
      </c>
      <c r="P391" t="str">
        <f t="shared" si="19"/>
        <v/>
      </c>
      <c r="AI391" s="191" t="str">
        <f>IFERROR(_xlfn.SINGLE(
IF(_xlfn.SINGLE(INDEX(TAB_Offres[Ressource 1],ROWS(Params!AI$2:$AI391)))=0,NA(),
INDEX(TAB_Offres[Ressource 1],ROWS(Params!AI$2:$AI391)))),
IFERROR(_xlfn.SINGLE(IF(_xlfn.SINGLE(INDEX(#REF!,ROWS(Params!AI$2:$AI391)-COUNTA(TAB_Offres[Ressource 1])))=0,NA(),
INDEX(#REF!,ROWS(Params!AI$2:$AI391)-COUNTA(TAB_Offres[Ressource 1])))),
IFERROR(_xlfn.SINGLE(IF(_xlfn.SINGLE(INDEX(#REF!,ROWS(Params!AI$2:$AI391)-COUNTA(#REF!)-COUNTA(TAB_Offres[Ressource 1])))=0,NA(),
INDEX(#REF!,ROWS(Params!AI$2:$AI391)-COUNTA(#REF!)-COUNTA(TAB_Offres[Ressource 1])))),""))
)</f>
        <v/>
      </c>
      <c r="AJ391" s="192" t="str">
        <f>IF(TAB_ressource[[#This Row],[Import Ressource]]="","",MAX(AJ$1:AJ390)+1)</f>
        <v/>
      </c>
      <c r="AK391" s="193" t="str">
        <f>IFERROR(INDEX(TAB_ressource[Import Ressource],MATCH(ROW()-ROW($AK$1),TAB_ressource[ID Import ressources],0)),"")</f>
        <v/>
      </c>
      <c r="BD391" t="s">
        <v>1783</v>
      </c>
      <c r="BE391" t="s">
        <v>1784</v>
      </c>
      <c r="BF391" t="s">
        <v>1785</v>
      </c>
      <c r="BG391" t="s">
        <v>1783</v>
      </c>
    </row>
    <row r="392" spans="13:59" x14ac:dyDescent="0.25">
      <c r="M392" t="str">
        <f>_xlfn.IFNA(IF(VLOOKUP(TAB_Offres[[#This Row],[Reference]],TAB_Offres[[Reference]:[Request State]],COLUMNS(TAB_Offres[[Reference]:[Request State]]),FALSE)=D$6,TAB_Offres[[#This Row],[Reference]],""),"")</f>
        <v/>
      </c>
      <c r="N392" t="str">
        <f>_xlfn.IFNA(IF(VLOOKUP(TAB_Offres[[#This Row],[Reference]],TAB_Offres[[Reference]:[Has Expenses?]],COLUMNS(TAB_Offres[[Reference]:[Has Expenses?]]),FALSE)=J$2,TAB_Offres[[#This Row],[Reference]],""),"")</f>
        <v/>
      </c>
      <c r="O392" t="str">
        <f>IF(Tableau19[[#This Row],[EXPENSES_REF]]="","",MAX(O$1:O391)+1)</f>
        <v/>
      </c>
      <c r="P392" t="str">
        <f t="shared" si="19"/>
        <v/>
      </c>
      <c r="AI392" s="191" t="str">
        <f>IFERROR(_xlfn.SINGLE(
IF(_xlfn.SINGLE(INDEX(TAB_Offres[Ressource 1],ROWS(Params!AI$2:$AI392)))=0,NA(),
INDEX(TAB_Offres[Ressource 1],ROWS(Params!AI$2:$AI392)))),
IFERROR(_xlfn.SINGLE(IF(_xlfn.SINGLE(INDEX(#REF!,ROWS(Params!AI$2:$AI392)-COUNTA(TAB_Offres[Ressource 1])))=0,NA(),
INDEX(#REF!,ROWS(Params!AI$2:$AI392)-COUNTA(TAB_Offres[Ressource 1])))),
IFERROR(_xlfn.SINGLE(IF(_xlfn.SINGLE(INDEX(#REF!,ROWS(Params!AI$2:$AI392)-COUNTA(#REF!)-COUNTA(TAB_Offres[Ressource 1])))=0,NA(),
INDEX(#REF!,ROWS(Params!AI$2:$AI392)-COUNTA(#REF!)-COUNTA(TAB_Offres[Ressource 1])))),""))
)</f>
        <v/>
      </c>
      <c r="AJ392" s="192" t="str">
        <f>IF(TAB_ressource[[#This Row],[Import Ressource]]="","",MAX(AJ$1:AJ391)+1)</f>
        <v/>
      </c>
      <c r="AK392" s="193" t="str">
        <f>IFERROR(INDEX(TAB_ressource[Import Ressource],MATCH(ROW()-ROW($AK$1),TAB_ressource[ID Import ressources],0)),"")</f>
        <v/>
      </c>
      <c r="BD392" t="s">
        <v>1786</v>
      </c>
      <c r="BE392" t="s">
        <v>1787</v>
      </c>
      <c r="BF392" t="s">
        <v>1788</v>
      </c>
      <c r="BG392" t="s">
        <v>1786</v>
      </c>
    </row>
    <row r="393" spans="13:59" x14ac:dyDescent="0.25">
      <c r="M393" t="str">
        <f>_xlfn.IFNA(IF(VLOOKUP(TAB_Offres[[#This Row],[Reference]],TAB_Offres[[Reference]:[Request State]],COLUMNS(TAB_Offres[[Reference]:[Request State]]),FALSE)=D$6,TAB_Offres[[#This Row],[Reference]],""),"")</f>
        <v/>
      </c>
      <c r="N393" t="str">
        <f>_xlfn.IFNA(IF(VLOOKUP(TAB_Offres[[#This Row],[Reference]],TAB_Offres[[Reference]:[Has Expenses?]],COLUMNS(TAB_Offres[[Reference]:[Has Expenses?]]),FALSE)=J$2,TAB_Offres[[#This Row],[Reference]],""),"")</f>
        <v/>
      </c>
      <c r="O393" t="str">
        <f>IF(Tableau19[[#This Row],[EXPENSES_REF]]="","",MAX(O$1:O392)+1)</f>
        <v/>
      </c>
      <c r="P393" t="str">
        <f t="shared" si="19"/>
        <v/>
      </c>
      <c r="AI393" s="191" t="str">
        <f>IFERROR(_xlfn.SINGLE(
IF(_xlfn.SINGLE(INDEX(TAB_Offres[Ressource 1],ROWS(Params!AI$2:$AI393)))=0,NA(),
INDEX(TAB_Offres[Ressource 1],ROWS(Params!AI$2:$AI393)))),
IFERROR(_xlfn.SINGLE(IF(_xlfn.SINGLE(INDEX(#REF!,ROWS(Params!AI$2:$AI393)-COUNTA(TAB_Offres[Ressource 1])))=0,NA(),
INDEX(#REF!,ROWS(Params!AI$2:$AI393)-COUNTA(TAB_Offres[Ressource 1])))),
IFERROR(_xlfn.SINGLE(IF(_xlfn.SINGLE(INDEX(#REF!,ROWS(Params!AI$2:$AI393)-COUNTA(#REF!)-COUNTA(TAB_Offres[Ressource 1])))=0,NA(),
INDEX(#REF!,ROWS(Params!AI$2:$AI393)-COUNTA(#REF!)-COUNTA(TAB_Offres[Ressource 1])))),""))
)</f>
        <v/>
      </c>
      <c r="AJ393" s="192" t="str">
        <f>IF(TAB_ressource[[#This Row],[Import Ressource]]="","",MAX(AJ$1:AJ392)+1)</f>
        <v/>
      </c>
      <c r="AK393" s="193" t="str">
        <f>IFERROR(INDEX(TAB_ressource[Import Ressource],MATCH(ROW()-ROW($AK$1),TAB_ressource[ID Import ressources],0)),"")</f>
        <v/>
      </c>
      <c r="BD393" t="s">
        <v>1789</v>
      </c>
      <c r="BE393" t="s">
        <v>1790</v>
      </c>
      <c r="BF393" t="s">
        <v>1791</v>
      </c>
      <c r="BG393" t="s">
        <v>1789</v>
      </c>
    </row>
    <row r="394" spans="13:59" x14ac:dyDescent="0.25">
      <c r="M394" t="str">
        <f>_xlfn.IFNA(IF(VLOOKUP(TAB_Offres[[#This Row],[Reference]],TAB_Offres[[Reference]:[Request State]],COLUMNS(TAB_Offres[[Reference]:[Request State]]),FALSE)=D$6,TAB_Offres[[#This Row],[Reference]],""),"")</f>
        <v/>
      </c>
      <c r="N394" t="str">
        <f>_xlfn.IFNA(IF(VLOOKUP(TAB_Offres[[#This Row],[Reference]],TAB_Offres[[Reference]:[Has Expenses?]],COLUMNS(TAB_Offres[[Reference]:[Has Expenses?]]),FALSE)=J$2,TAB_Offres[[#This Row],[Reference]],""),"")</f>
        <v/>
      </c>
      <c r="O394" t="str">
        <f>IF(Tableau19[[#This Row],[EXPENSES_REF]]="","",MAX(O$1:O393)+1)</f>
        <v/>
      </c>
      <c r="P394" t="str">
        <f t="shared" si="19"/>
        <v/>
      </c>
      <c r="AI394" s="191" t="str">
        <f>IFERROR(_xlfn.SINGLE(
IF(_xlfn.SINGLE(INDEX(TAB_Offres[Ressource 1],ROWS(Params!AI$2:$AI394)))=0,NA(),
INDEX(TAB_Offres[Ressource 1],ROWS(Params!AI$2:$AI394)))),
IFERROR(_xlfn.SINGLE(IF(_xlfn.SINGLE(INDEX(#REF!,ROWS(Params!AI$2:$AI394)-COUNTA(TAB_Offres[Ressource 1])))=0,NA(),
INDEX(#REF!,ROWS(Params!AI$2:$AI394)-COUNTA(TAB_Offres[Ressource 1])))),
IFERROR(_xlfn.SINGLE(IF(_xlfn.SINGLE(INDEX(#REF!,ROWS(Params!AI$2:$AI394)-COUNTA(#REF!)-COUNTA(TAB_Offres[Ressource 1])))=0,NA(),
INDEX(#REF!,ROWS(Params!AI$2:$AI394)-COUNTA(#REF!)-COUNTA(TAB_Offres[Ressource 1])))),""))
)</f>
        <v/>
      </c>
      <c r="AJ394" s="192" t="str">
        <f>IF(TAB_ressource[[#This Row],[Import Ressource]]="","",MAX(AJ$1:AJ393)+1)</f>
        <v/>
      </c>
      <c r="AK394" s="193" t="str">
        <f>IFERROR(INDEX(TAB_ressource[Import Ressource],MATCH(ROW()-ROW($AK$1),TAB_ressource[ID Import ressources],0)),"")</f>
        <v/>
      </c>
      <c r="BD394" t="s">
        <v>1792</v>
      </c>
      <c r="BE394" t="s">
        <v>1793</v>
      </c>
      <c r="BF394" t="s">
        <v>1794</v>
      </c>
      <c r="BG394" t="s">
        <v>1792</v>
      </c>
    </row>
    <row r="395" spans="13:59" x14ac:dyDescent="0.25">
      <c r="M395" t="str">
        <f>_xlfn.IFNA(IF(VLOOKUP(TAB_Offres[[#This Row],[Reference]],TAB_Offres[[Reference]:[Request State]],COLUMNS(TAB_Offres[[Reference]:[Request State]]),FALSE)=D$6,TAB_Offres[[#This Row],[Reference]],""),"")</f>
        <v/>
      </c>
      <c r="N395" t="str">
        <f>_xlfn.IFNA(IF(VLOOKUP(TAB_Offres[[#This Row],[Reference]],TAB_Offres[[Reference]:[Has Expenses?]],COLUMNS(TAB_Offres[[Reference]:[Has Expenses?]]),FALSE)=J$2,TAB_Offres[[#This Row],[Reference]],""),"")</f>
        <v/>
      </c>
      <c r="O395" t="str">
        <f>IF(Tableau19[[#This Row],[EXPENSES_REF]]="","",MAX(O$1:O394)+1)</f>
        <v/>
      </c>
      <c r="P395" t="str">
        <f t="shared" si="19"/>
        <v/>
      </c>
      <c r="AI395" s="191" t="str">
        <f>IFERROR(_xlfn.SINGLE(
IF(_xlfn.SINGLE(INDEX(TAB_Offres[Ressource 1],ROWS(Params!AI$2:$AI395)))=0,NA(),
INDEX(TAB_Offres[Ressource 1],ROWS(Params!AI$2:$AI395)))),
IFERROR(_xlfn.SINGLE(IF(_xlfn.SINGLE(INDEX(#REF!,ROWS(Params!AI$2:$AI395)-COUNTA(TAB_Offres[Ressource 1])))=0,NA(),
INDEX(#REF!,ROWS(Params!AI$2:$AI395)-COUNTA(TAB_Offres[Ressource 1])))),
IFERROR(_xlfn.SINGLE(IF(_xlfn.SINGLE(INDEX(#REF!,ROWS(Params!AI$2:$AI395)-COUNTA(#REF!)-COUNTA(TAB_Offres[Ressource 1])))=0,NA(),
INDEX(#REF!,ROWS(Params!AI$2:$AI395)-COUNTA(#REF!)-COUNTA(TAB_Offres[Ressource 1])))),""))
)</f>
        <v/>
      </c>
      <c r="AJ395" s="192" t="str">
        <f>IF(TAB_ressource[[#This Row],[Import Ressource]]="","",MAX(AJ$1:AJ394)+1)</f>
        <v/>
      </c>
      <c r="AK395" s="193" t="str">
        <f>IFERROR(INDEX(TAB_ressource[Import Ressource],MATCH(ROW()-ROW($AK$1),TAB_ressource[ID Import ressources],0)),"")</f>
        <v/>
      </c>
      <c r="BD395" t="s">
        <v>1795</v>
      </c>
      <c r="BE395" t="s">
        <v>1796</v>
      </c>
      <c r="BF395" t="s">
        <v>1797</v>
      </c>
      <c r="BG395" t="s">
        <v>1795</v>
      </c>
    </row>
    <row r="396" spans="13:59" x14ac:dyDescent="0.25">
      <c r="M396" t="str">
        <f>_xlfn.IFNA(IF(VLOOKUP(TAB_Offres[[#This Row],[Reference]],TAB_Offres[[Reference]:[Request State]],COLUMNS(TAB_Offres[[Reference]:[Request State]]),FALSE)=D$6,TAB_Offres[[#This Row],[Reference]],""),"")</f>
        <v/>
      </c>
      <c r="N396" t="str">
        <f>_xlfn.IFNA(IF(VLOOKUP(TAB_Offres[[#This Row],[Reference]],TAB_Offres[[Reference]:[Has Expenses?]],COLUMNS(TAB_Offres[[Reference]:[Has Expenses?]]),FALSE)=J$2,TAB_Offres[[#This Row],[Reference]],""),"")</f>
        <v/>
      </c>
      <c r="O396" t="str">
        <f>IF(Tableau19[[#This Row],[EXPENSES_REF]]="","",MAX(O$1:O395)+1)</f>
        <v/>
      </c>
      <c r="P396" t="str">
        <f t="shared" si="19"/>
        <v/>
      </c>
      <c r="AI396" s="191" t="str">
        <f>IFERROR(_xlfn.SINGLE(
IF(_xlfn.SINGLE(INDEX(TAB_Offres[Ressource 1],ROWS(Params!AI$2:$AI396)))=0,NA(),
INDEX(TAB_Offres[Ressource 1],ROWS(Params!AI$2:$AI396)))),
IFERROR(_xlfn.SINGLE(IF(_xlfn.SINGLE(INDEX(#REF!,ROWS(Params!AI$2:$AI396)-COUNTA(TAB_Offres[Ressource 1])))=0,NA(),
INDEX(#REF!,ROWS(Params!AI$2:$AI396)-COUNTA(TAB_Offres[Ressource 1])))),
IFERROR(_xlfn.SINGLE(IF(_xlfn.SINGLE(INDEX(#REF!,ROWS(Params!AI$2:$AI396)-COUNTA(#REF!)-COUNTA(TAB_Offres[Ressource 1])))=0,NA(),
INDEX(#REF!,ROWS(Params!AI$2:$AI396)-COUNTA(#REF!)-COUNTA(TAB_Offres[Ressource 1])))),""))
)</f>
        <v/>
      </c>
      <c r="AJ396" s="192" t="str">
        <f>IF(TAB_ressource[[#This Row],[Import Ressource]]="","",MAX(AJ$1:AJ395)+1)</f>
        <v/>
      </c>
      <c r="AK396" s="193" t="str">
        <f>IFERROR(INDEX(TAB_ressource[Import Ressource],MATCH(ROW()-ROW($AK$1),TAB_ressource[ID Import ressources],0)),"")</f>
        <v/>
      </c>
      <c r="BD396" t="s">
        <v>1798</v>
      </c>
      <c r="BE396" t="s">
        <v>1799</v>
      </c>
      <c r="BF396" t="s">
        <v>1800</v>
      </c>
      <c r="BG396" t="s">
        <v>1798</v>
      </c>
    </row>
    <row r="397" spans="13:59" x14ac:dyDescent="0.25">
      <c r="M397" t="str">
        <f>_xlfn.IFNA(IF(VLOOKUP(TAB_Offres[[#This Row],[Reference]],TAB_Offres[[Reference]:[Request State]],COLUMNS(TAB_Offres[[Reference]:[Request State]]),FALSE)=D$6,TAB_Offres[[#This Row],[Reference]],""),"")</f>
        <v/>
      </c>
      <c r="N397" t="str">
        <f>_xlfn.IFNA(IF(VLOOKUP(TAB_Offres[[#This Row],[Reference]],TAB_Offres[[Reference]:[Has Expenses?]],COLUMNS(TAB_Offres[[Reference]:[Has Expenses?]]),FALSE)=J$2,TAB_Offres[[#This Row],[Reference]],""),"")</f>
        <v/>
      </c>
      <c r="O397" t="str">
        <f>IF(Tableau19[[#This Row],[EXPENSES_REF]]="","",MAX(O$1:O396)+1)</f>
        <v/>
      </c>
      <c r="P397" t="str">
        <f t="shared" si="19"/>
        <v/>
      </c>
      <c r="AI397" s="191" t="str">
        <f>IFERROR(_xlfn.SINGLE(
IF(_xlfn.SINGLE(INDEX(TAB_Offres[Ressource 1],ROWS(Params!AI$2:$AI397)))=0,NA(),
INDEX(TAB_Offres[Ressource 1],ROWS(Params!AI$2:$AI397)))),
IFERROR(_xlfn.SINGLE(IF(_xlfn.SINGLE(INDEX(#REF!,ROWS(Params!AI$2:$AI397)-COUNTA(TAB_Offres[Ressource 1])))=0,NA(),
INDEX(#REF!,ROWS(Params!AI$2:$AI397)-COUNTA(TAB_Offres[Ressource 1])))),
IFERROR(_xlfn.SINGLE(IF(_xlfn.SINGLE(INDEX(#REF!,ROWS(Params!AI$2:$AI397)-COUNTA(#REF!)-COUNTA(TAB_Offres[Ressource 1])))=0,NA(),
INDEX(#REF!,ROWS(Params!AI$2:$AI397)-COUNTA(#REF!)-COUNTA(TAB_Offres[Ressource 1])))),""))
)</f>
        <v/>
      </c>
      <c r="AJ397" s="192" t="str">
        <f>IF(TAB_ressource[[#This Row],[Import Ressource]]="","",MAX(AJ$1:AJ396)+1)</f>
        <v/>
      </c>
      <c r="AK397" s="193" t="str">
        <f>IFERROR(INDEX(TAB_ressource[Import Ressource],MATCH(ROW()-ROW($AK$1),TAB_ressource[ID Import ressources],0)),"")</f>
        <v/>
      </c>
      <c r="BD397" t="s">
        <v>1801</v>
      </c>
      <c r="BE397" t="s">
        <v>1802</v>
      </c>
      <c r="BF397" t="s">
        <v>1803</v>
      </c>
      <c r="BG397" t="s">
        <v>1801</v>
      </c>
    </row>
    <row r="398" spans="13:59" x14ac:dyDescent="0.25">
      <c r="M398" t="str">
        <f>_xlfn.IFNA(IF(VLOOKUP(TAB_Offres[[#This Row],[Reference]],TAB_Offres[[Reference]:[Request State]],COLUMNS(TAB_Offres[[Reference]:[Request State]]),FALSE)=D$6,TAB_Offres[[#This Row],[Reference]],""),"")</f>
        <v/>
      </c>
      <c r="N398" t="str">
        <f>_xlfn.IFNA(IF(VLOOKUP(TAB_Offres[[#This Row],[Reference]],TAB_Offres[[Reference]:[Has Expenses?]],COLUMNS(TAB_Offres[[Reference]:[Has Expenses?]]),FALSE)=J$2,TAB_Offres[[#This Row],[Reference]],""),"")</f>
        <v/>
      </c>
      <c r="O398" t="str">
        <f>IF(Tableau19[[#This Row],[EXPENSES_REF]]="","",MAX(O$1:O397)+1)</f>
        <v/>
      </c>
      <c r="P398" t="str">
        <f t="shared" si="19"/>
        <v/>
      </c>
      <c r="AI398" s="191" t="str">
        <f>IFERROR(_xlfn.SINGLE(
IF(_xlfn.SINGLE(INDEX(TAB_Offres[Ressource 1],ROWS(Params!AI$2:$AI398)))=0,NA(),
INDEX(TAB_Offres[Ressource 1],ROWS(Params!AI$2:$AI398)))),
IFERROR(_xlfn.SINGLE(IF(_xlfn.SINGLE(INDEX(#REF!,ROWS(Params!AI$2:$AI398)-COUNTA(TAB_Offres[Ressource 1])))=0,NA(),
INDEX(#REF!,ROWS(Params!AI$2:$AI398)-COUNTA(TAB_Offres[Ressource 1])))),
IFERROR(_xlfn.SINGLE(IF(_xlfn.SINGLE(INDEX(#REF!,ROWS(Params!AI$2:$AI398)-COUNTA(#REF!)-COUNTA(TAB_Offres[Ressource 1])))=0,NA(),
INDEX(#REF!,ROWS(Params!AI$2:$AI398)-COUNTA(#REF!)-COUNTA(TAB_Offres[Ressource 1])))),""))
)</f>
        <v/>
      </c>
      <c r="AJ398" s="192" t="str">
        <f>IF(TAB_ressource[[#This Row],[Import Ressource]]="","",MAX(AJ$1:AJ397)+1)</f>
        <v/>
      </c>
      <c r="AK398" s="193" t="str">
        <f>IFERROR(INDEX(TAB_ressource[Import Ressource],MATCH(ROW()-ROW($AK$1),TAB_ressource[ID Import ressources],0)),"")</f>
        <v/>
      </c>
      <c r="BD398" t="s">
        <v>1804</v>
      </c>
      <c r="BE398" t="s">
        <v>1805</v>
      </c>
      <c r="BF398" t="s">
        <v>1806</v>
      </c>
      <c r="BG398" t="s">
        <v>1804</v>
      </c>
    </row>
    <row r="399" spans="13:59" x14ac:dyDescent="0.25">
      <c r="M399" t="str">
        <f>_xlfn.IFNA(IF(VLOOKUP(TAB_Offres[[#This Row],[Reference]],TAB_Offres[[Reference]:[Request State]],COLUMNS(TAB_Offres[[Reference]:[Request State]]),FALSE)=D$6,TAB_Offres[[#This Row],[Reference]],""),"")</f>
        <v/>
      </c>
      <c r="N399" t="str">
        <f>_xlfn.IFNA(IF(VLOOKUP(TAB_Offres[[#This Row],[Reference]],TAB_Offres[[Reference]:[Has Expenses?]],COLUMNS(TAB_Offres[[Reference]:[Has Expenses?]]),FALSE)=J$2,TAB_Offres[[#This Row],[Reference]],""),"")</f>
        <v/>
      </c>
      <c r="O399" t="str">
        <f>IF(Tableau19[[#This Row],[EXPENSES_REF]]="","",MAX(O$1:O398)+1)</f>
        <v/>
      </c>
      <c r="P399" t="str">
        <f t="shared" si="19"/>
        <v/>
      </c>
      <c r="AI399" s="191" t="str">
        <f>IFERROR(_xlfn.SINGLE(
IF(_xlfn.SINGLE(INDEX(TAB_Offres[Ressource 1],ROWS(Params!AI$2:$AI399)))=0,NA(),
INDEX(TAB_Offres[Ressource 1],ROWS(Params!AI$2:$AI399)))),
IFERROR(_xlfn.SINGLE(IF(_xlfn.SINGLE(INDEX(#REF!,ROWS(Params!AI$2:$AI399)-COUNTA(TAB_Offres[Ressource 1])))=0,NA(),
INDEX(#REF!,ROWS(Params!AI$2:$AI399)-COUNTA(TAB_Offres[Ressource 1])))),
IFERROR(_xlfn.SINGLE(IF(_xlfn.SINGLE(INDEX(#REF!,ROWS(Params!AI$2:$AI399)-COUNTA(#REF!)-COUNTA(TAB_Offres[Ressource 1])))=0,NA(),
INDEX(#REF!,ROWS(Params!AI$2:$AI399)-COUNTA(#REF!)-COUNTA(TAB_Offres[Ressource 1])))),""))
)</f>
        <v/>
      </c>
      <c r="AJ399" s="192" t="str">
        <f>IF(TAB_ressource[[#This Row],[Import Ressource]]="","",MAX(AJ$1:AJ398)+1)</f>
        <v/>
      </c>
      <c r="AK399" s="193" t="str">
        <f>IFERROR(INDEX(TAB_ressource[Import Ressource],MATCH(ROW()-ROW($AK$1),TAB_ressource[ID Import ressources],0)),"")</f>
        <v/>
      </c>
      <c r="BD399" t="s">
        <v>1807</v>
      </c>
      <c r="BE399" t="s">
        <v>1808</v>
      </c>
      <c r="BF399" t="s">
        <v>1809</v>
      </c>
      <c r="BG399" t="s">
        <v>1807</v>
      </c>
    </row>
    <row r="400" spans="13:59" x14ac:dyDescent="0.25">
      <c r="M400" t="str">
        <f>_xlfn.IFNA(IF(VLOOKUP(TAB_Offres[[#This Row],[Reference]],TAB_Offres[[Reference]:[Request State]],COLUMNS(TAB_Offres[[Reference]:[Request State]]),FALSE)=D$6,TAB_Offres[[#This Row],[Reference]],""),"")</f>
        <v/>
      </c>
      <c r="N400" t="str">
        <f>_xlfn.IFNA(IF(VLOOKUP(TAB_Offres[[#This Row],[Reference]],TAB_Offres[[Reference]:[Has Expenses?]],COLUMNS(TAB_Offres[[Reference]:[Has Expenses?]]),FALSE)=J$2,TAB_Offres[[#This Row],[Reference]],""),"")</f>
        <v/>
      </c>
      <c r="O400" t="str">
        <f>IF(Tableau19[[#This Row],[EXPENSES_REF]]="","",MAX(O$1:O399)+1)</f>
        <v/>
      </c>
      <c r="P400" t="str">
        <f t="shared" si="19"/>
        <v/>
      </c>
      <c r="AI400" s="191" t="str">
        <f>IFERROR(_xlfn.SINGLE(
IF(_xlfn.SINGLE(INDEX(TAB_Offres[Ressource 1],ROWS(Params!AI$2:$AI400)))=0,NA(),
INDEX(TAB_Offres[Ressource 1],ROWS(Params!AI$2:$AI400)))),
IFERROR(_xlfn.SINGLE(IF(_xlfn.SINGLE(INDEX(#REF!,ROWS(Params!AI$2:$AI400)-COUNTA(TAB_Offres[Ressource 1])))=0,NA(),
INDEX(#REF!,ROWS(Params!AI$2:$AI400)-COUNTA(TAB_Offres[Ressource 1])))),
IFERROR(_xlfn.SINGLE(IF(_xlfn.SINGLE(INDEX(#REF!,ROWS(Params!AI$2:$AI400)-COUNTA(#REF!)-COUNTA(TAB_Offres[Ressource 1])))=0,NA(),
INDEX(#REF!,ROWS(Params!AI$2:$AI400)-COUNTA(#REF!)-COUNTA(TAB_Offres[Ressource 1])))),""))
)</f>
        <v/>
      </c>
      <c r="AJ400" s="192" t="str">
        <f>IF(TAB_ressource[[#This Row],[Import Ressource]]="","",MAX(AJ$1:AJ399)+1)</f>
        <v/>
      </c>
      <c r="AK400" s="193" t="str">
        <f>IFERROR(INDEX(TAB_ressource[Import Ressource],MATCH(ROW()-ROW($AK$1),TAB_ressource[ID Import ressources],0)),"")</f>
        <v/>
      </c>
      <c r="BD400" t="s">
        <v>1810</v>
      </c>
      <c r="BE400" t="s">
        <v>1811</v>
      </c>
      <c r="BF400" t="s">
        <v>1812</v>
      </c>
      <c r="BG400" t="s">
        <v>1810</v>
      </c>
    </row>
    <row r="401" spans="13:59" x14ac:dyDescent="0.25">
      <c r="M401" t="str">
        <f>_xlfn.IFNA(IF(VLOOKUP(TAB_Offres[[#This Row],[Reference]],TAB_Offres[[Reference]:[Request State]],COLUMNS(TAB_Offres[[Reference]:[Request State]]),FALSE)=D$6,TAB_Offres[[#This Row],[Reference]],""),"")</f>
        <v/>
      </c>
      <c r="N401" t="str">
        <f>_xlfn.IFNA(IF(VLOOKUP(TAB_Offres[[#This Row],[Reference]],TAB_Offres[[Reference]:[Has Expenses?]],COLUMNS(TAB_Offres[[Reference]:[Has Expenses?]]),FALSE)=J$2,TAB_Offres[[#This Row],[Reference]],""),"")</f>
        <v/>
      </c>
      <c r="O401" t="str">
        <f>IF(Tableau19[[#This Row],[EXPENSES_REF]]="","",MAX(O$1:O400)+1)</f>
        <v/>
      </c>
      <c r="P401" t="str">
        <f t="shared" si="19"/>
        <v/>
      </c>
      <c r="AI401" s="191" t="str">
        <f>IFERROR(_xlfn.SINGLE(
IF(_xlfn.SINGLE(INDEX(TAB_Offres[Ressource 1],ROWS(Params!AI$2:$AI401)))=0,NA(),
INDEX(TAB_Offres[Ressource 1],ROWS(Params!AI$2:$AI401)))),
IFERROR(_xlfn.SINGLE(IF(_xlfn.SINGLE(INDEX(#REF!,ROWS(Params!AI$2:$AI401)-COUNTA(TAB_Offres[Ressource 1])))=0,NA(),
INDEX(#REF!,ROWS(Params!AI$2:$AI401)-COUNTA(TAB_Offres[Ressource 1])))),
IFERROR(_xlfn.SINGLE(IF(_xlfn.SINGLE(INDEX(#REF!,ROWS(Params!AI$2:$AI401)-COUNTA(#REF!)-COUNTA(TAB_Offres[Ressource 1])))=0,NA(),
INDEX(#REF!,ROWS(Params!AI$2:$AI401)-COUNTA(#REF!)-COUNTA(TAB_Offres[Ressource 1])))),""))
)</f>
        <v/>
      </c>
      <c r="AJ401" s="192" t="str">
        <f>IF(TAB_ressource[[#This Row],[Import Ressource]]="","",MAX(AJ$1:AJ400)+1)</f>
        <v/>
      </c>
      <c r="AK401" s="193" t="str">
        <f>IFERROR(INDEX(TAB_ressource[Import Ressource],MATCH(ROW()-ROW($AK$1),TAB_ressource[ID Import ressources],0)),"")</f>
        <v/>
      </c>
      <c r="BD401" t="s">
        <v>1813</v>
      </c>
      <c r="BE401" t="s">
        <v>1814</v>
      </c>
      <c r="BF401" t="s">
        <v>1815</v>
      </c>
      <c r="BG401" t="s">
        <v>1813</v>
      </c>
    </row>
    <row r="402" spans="13:59" x14ac:dyDescent="0.25">
      <c r="M402" t="str">
        <f>_xlfn.IFNA(IF(VLOOKUP(TAB_Offres[[#This Row],[Reference]],TAB_Offres[[Reference]:[Request State]],COLUMNS(TAB_Offres[[Reference]:[Request State]]),FALSE)=D$6,TAB_Offres[[#This Row],[Reference]],""),"")</f>
        <v/>
      </c>
      <c r="N402" t="str">
        <f>_xlfn.IFNA(IF(VLOOKUP(TAB_Offres[[#This Row],[Reference]],TAB_Offres[[Reference]:[Has Expenses?]],COLUMNS(TAB_Offres[[Reference]:[Has Expenses?]]),FALSE)=J$2,TAB_Offres[[#This Row],[Reference]],""),"")</f>
        <v/>
      </c>
      <c r="O402" t="str">
        <f>IF(Tableau19[[#This Row],[EXPENSES_REF]]="","",MAX(O$1:O401)+1)</f>
        <v/>
      </c>
      <c r="P402" t="str">
        <f t="shared" si="19"/>
        <v/>
      </c>
      <c r="AI402" s="191" t="str">
        <f>IFERROR(_xlfn.SINGLE(
IF(_xlfn.SINGLE(INDEX(TAB_Offres[Ressource 1],ROWS(Params!AI$2:$AI402)))=0,NA(),
INDEX(TAB_Offres[Ressource 1],ROWS(Params!AI$2:$AI402)))),
IFERROR(_xlfn.SINGLE(IF(_xlfn.SINGLE(INDEX(#REF!,ROWS(Params!AI$2:$AI402)-COUNTA(TAB_Offres[Ressource 1])))=0,NA(),
INDEX(#REF!,ROWS(Params!AI$2:$AI402)-COUNTA(TAB_Offres[Ressource 1])))),
IFERROR(_xlfn.SINGLE(IF(_xlfn.SINGLE(INDEX(#REF!,ROWS(Params!AI$2:$AI402)-COUNTA(#REF!)-COUNTA(TAB_Offres[Ressource 1])))=0,NA(),
INDEX(#REF!,ROWS(Params!AI$2:$AI402)-COUNTA(#REF!)-COUNTA(TAB_Offres[Ressource 1])))),""))
)</f>
        <v/>
      </c>
      <c r="AJ402" s="192" t="str">
        <f>IF(TAB_ressource[[#This Row],[Import Ressource]]="","",MAX(AJ$1:AJ401)+1)</f>
        <v/>
      </c>
      <c r="AK402" s="193" t="str">
        <f>IFERROR(INDEX(TAB_ressource[Import Ressource],MATCH(ROW()-ROW($AK$1),TAB_ressource[ID Import ressources],0)),"")</f>
        <v/>
      </c>
      <c r="BD402" t="s">
        <v>1816</v>
      </c>
      <c r="BE402" t="s">
        <v>1817</v>
      </c>
      <c r="BF402" t="s">
        <v>1818</v>
      </c>
      <c r="BG402" t="s">
        <v>1816</v>
      </c>
    </row>
    <row r="403" spans="13:59" x14ac:dyDescent="0.25">
      <c r="M403" t="str">
        <f>_xlfn.IFNA(IF(VLOOKUP(TAB_Offres[[#This Row],[Reference]],TAB_Offres[[Reference]:[Request State]],COLUMNS(TAB_Offres[[Reference]:[Request State]]),FALSE)=D$6,TAB_Offres[[#This Row],[Reference]],""),"")</f>
        <v/>
      </c>
      <c r="N403" t="str">
        <f>_xlfn.IFNA(IF(VLOOKUP(TAB_Offres[[#This Row],[Reference]],TAB_Offres[[Reference]:[Has Expenses?]],COLUMNS(TAB_Offres[[Reference]:[Has Expenses?]]),FALSE)=J$2,TAB_Offres[[#This Row],[Reference]],""),"")</f>
        <v/>
      </c>
      <c r="O403" t="str">
        <f>IF(Tableau19[[#This Row],[EXPENSES_REF]]="","",MAX(O$1:O402)+1)</f>
        <v/>
      </c>
      <c r="P403" t="str">
        <f t="shared" si="19"/>
        <v/>
      </c>
      <c r="AI403" s="191" t="str">
        <f>IFERROR(_xlfn.SINGLE(
IF(_xlfn.SINGLE(INDEX(TAB_Offres[Ressource 1],ROWS(Params!AI$2:$AI403)))=0,NA(),
INDEX(TAB_Offres[Ressource 1],ROWS(Params!AI$2:$AI403)))),
IFERROR(_xlfn.SINGLE(IF(_xlfn.SINGLE(INDEX(#REF!,ROWS(Params!AI$2:$AI403)-COUNTA(TAB_Offres[Ressource 1])))=0,NA(),
INDEX(#REF!,ROWS(Params!AI$2:$AI403)-COUNTA(TAB_Offres[Ressource 1])))),
IFERROR(_xlfn.SINGLE(IF(_xlfn.SINGLE(INDEX(#REF!,ROWS(Params!AI$2:$AI403)-COUNTA(#REF!)-COUNTA(TAB_Offres[Ressource 1])))=0,NA(),
INDEX(#REF!,ROWS(Params!AI$2:$AI403)-COUNTA(#REF!)-COUNTA(TAB_Offres[Ressource 1])))),""))
)</f>
        <v/>
      </c>
      <c r="AJ403" s="192" t="str">
        <f>IF(TAB_ressource[[#This Row],[Import Ressource]]="","",MAX(AJ$1:AJ402)+1)</f>
        <v/>
      </c>
      <c r="AK403" s="193" t="str">
        <f>IFERROR(INDEX(TAB_ressource[Import Ressource],MATCH(ROW()-ROW($AK$1),TAB_ressource[ID Import ressources],0)),"")</f>
        <v/>
      </c>
      <c r="BD403" t="s">
        <v>1819</v>
      </c>
      <c r="BE403" t="s">
        <v>1820</v>
      </c>
      <c r="BF403" t="s">
        <v>1821</v>
      </c>
      <c r="BG403" t="s">
        <v>1819</v>
      </c>
    </row>
    <row r="404" spans="13:59" x14ac:dyDescent="0.25">
      <c r="M404" t="str">
        <f>_xlfn.IFNA(IF(VLOOKUP(TAB_Offres[[#This Row],[Reference]],TAB_Offres[[Reference]:[Request State]],COLUMNS(TAB_Offres[[Reference]:[Request State]]),FALSE)=D$6,TAB_Offres[[#This Row],[Reference]],""),"")</f>
        <v/>
      </c>
      <c r="N404" t="str">
        <f>_xlfn.IFNA(IF(VLOOKUP(TAB_Offres[[#This Row],[Reference]],TAB_Offres[[Reference]:[Has Expenses?]],COLUMNS(TAB_Offres[[Reference]:[Has Expenses?]]),FALSE)=J$2,TAB_Offres[[#This Row],[Reference]],""),"")</f>
        <v/>
      </c>
      <c r="O404" t="str">
        <f>IF(Tableau19[[#This Row],[EXPENSES_REF]]="","",MAX(O$1:O403)+1)</f>
        <v/>
      </c>
      <c r="P404" t="str">
        <f t="shared" si="19"/>
        <v/>
      </c>
      <c r="AI404" s="191" t="str">
        <f>IFERROR(_xlfn.SINGLE(
IF(_xlfn.SINGLE(INDEX(TAB_Offres[Ressource 1],ROWS(Params!AI$2:$AI404)))=0,NA(),
INDEX(TAB_Offres[Ressource 1],ROWS(Params!AI$2:$AI404)))),
IFERROR(_xlfn.SINGLE(IF(_xlfn.SINGLE(INDEX(#REF!,ROWS(Params!AI$2:$AI404)-COUNTA(TAB_Offres[Ressource 1])))=0,NA(),
INDEX(#REF!,ROWS(Params!AI$2:$AI404)-COUNTA(TAB_Offres[Ressource 1])))),
IFERROR(_xlfn.SINGLE(IF(_xlfn.SINGLE(INDEX(#REF!,ROWS(Params!AI$2:$AI404)-COUNTA(#REF!)-COUNTA(TAB_Offres[Ressource 1])))=0,NA(),
INDEX(#REF!,ROWS(Params!AI$2:$AI404)-COUNTA(#REF!)-COUNTA(TAB_Offres[Ressource 1])))),""))
)</f>
        <v/>
      </c>
      <c r="AJ404" s="192" t="str">
        <f>IF(TAB_ressource[[#This Row],[Import Ressource]]="","",MAX(AJ$1:AJ403)+1)</f>
        <v/>
      </c>
      <c r="AK404" s="193" t="str">
        <f>IFERROR(INDEX(TAB_ressource[Import Ressource],MATCH(ROW()-ROW($AK$1),TAB_ressource[ID Import ressources],0)),"")</f>
        <v/>
      </c>
      <c r="BD404" t="s">
        <v>1822</v>
      </c>
      <c r="BE404" t="s">
        <v>1823</v>
      </c>
      <c r="BF404" t="s">
        <v>1824</v>
      </c>
      <c r="BG404" t="s">
        <v>1822</v>
      </c>
    </row>
    <row r="405" spans="13:59" x14ac:dyDescent="0.25">
      <c r="M405" t="str">
        <f>_xlfn.IFNA(IF(VLOOKUP(TAB_Offres[[#This Row],[Reference]],TAB_Offres[[Reference]:[Request State]],COLUMNS(TAB_Offres[[Reference]:[Request State]]),FALSE)=D$6,TAB_Offres[[#This Row],[Reference]],""),"")</f>
        <v/>
      </c>
      <c r="N405" t="str">
        <f>_xlfn.IFNA(IF(VLOOKUP(TAB_Offres[[#This Row],[Reference]],TAB_Offres[[Reference]:[Has Expenses?]],COLUMNS(TAB_Offres[[Reference]:[Has Expenses?]]),FALSE)=J$2,TAB_Offres[[#This Row],[Reference]],""),"")</f>
        <v/>
      </c>
      <c r="O405" t="str">
        <f>IF(Tableau19[[#This Row],[EXPENSES_REF]]="","",MAX(O$1:O404)+1)</f>
        <v/>
      </c>
      <c r="P405" t="str">
        <f t="shared" si="19"/>
        <v/>
      </c>
      <c r="AI405" s="191" t="str">
        <f>IFERROR(_xlfn.SINGLE(
IF(_xlfn.SINGLE(INDEX(TAB_Offres[Ressource 1],ROWS(Params!AI$2:$AI405)))=0,NA(),
INDEX(TAB_Offres[Ressource 1],ROWS(Params!AI$2:$AI405)))),
IFERROR(_xlfn.SINGLE(IF(_xlfn.SINGLE(INDEX(#REF!,ROWS(Params!AI$2:$AI405)-COUNTA(TAB_Offres[Ressource 1])))=0,NA(),
INDEX(#REF!,ROWS(Params!AI$2:$AI405)-COUNTA(TAB_Offres[Ressource 1])))),
IFERROR(_xlfn.SINGLE(IF(_xlfn.SINGLE(INDEX(#REF!,ROWS(Params!AI$2:$AI405)-COUNTA(#REF!)-COUNTA(TAB_Offres[Ressource 1])))=0,NA(),
INDEX(#REF!,ROWS(Params!AI$2:$AI405)-COUNTA(#REF!)-COUNTA(TAB_Offres[Ressource 1])))),""))
)</f>
        <v/>
      </c>
      <c r="AJ405" s="192" t="str">
        <f>IF(TAB_ressource[[#This Row],[Import Ressource]]="","",MAX(AJ$1:AJ404)+1)</f>
        <v/>
      </c>
      <c r="AK405" s="193" t="str">
        <f>IFERROR(INDEX(TAB_ressource[Import Ressource],MATCH(ROW()-ROW($AK$1),TAB_ressource[ID Import ressources],0)),"")</f>
        <v/>
      </c>
      <c r="BD405" t="s">
        <v>1825</v>
      </c>
      <c r="BE405" t="s">
        <v>1826</v>
      </c>
      <c r="BF405" t="s">
        <v>1827</v>
      </c>
      <c r="BG405" t="s">
        <v>1825</v>
      </c>
    </row>
    <row r="406" spans="13:59" x14ac:dyDescent="0.25">
      <c r="M406" t="str">
        <f>_xlfn.IFNA(IF(VLOOKUP(TAB_Offres[[#This Row],[Reference]],TAB_Offres[[Reference]:[Request State]],COLUMNS(TAB_Offres[[Reference]:[Request State]]),FALSE)=D$6,TAB_Offres[[#This Row],[Reference]],""),"")</f>
        <v/>
      </c>
      <c r="N406" t="str">
        <f>_xlfn.IFNA(IF(VLOOKUP(TAB_Offres[[#This Row],[Reference]],TAB_Offres[[Reference]:[Has Expenses?]],COLUMNS(TAB_Offres[[Reference]:[Has Expenses?]]),FALSE)=J$2,TAB_Offres[[#This Row],[Reference]],""),"")</f>
        <v/>
      </c>
      <c r="O406" t="str">
        <f>IF(Tableau19[[#This Row],[EXPENSES_REF]]="","",MAX(O$1:O405)+1)</f>
        <v/>
      </c>
      <c r="P406" t="str">
        <f t="shared" si="19"/>
        <v/>
      </c>
      <c r="AI406" s="191" t="str">
        <f>IFERROR(_xlfn.SINGLE(
IF(_xlfn.SINGLE(INDEX(TAB_Offres[Ressource 1],ROWS(Params!AI$2:$AI406)))=0,NA(),
INDEX(TAB_Offres[Ressource 1],ROWS(Params!AI$2:$AI406)))),
IFERROR(_xlfn.SINGLE(IF(_xlfn.SINGLE(INDEX(#REF!,ROWS(Params!AI$2:$AI406)-COUNTA(TAB_Offres[Ressource 1])))=0,NA(),
INDEX(#REF!,ROWS(Params!AI$2:$AI406)-COUNTA(TAB_Offres[Ressource 1])))),
IFERROR(_xlfn.SINGLE(IF(_xlfn.SINGLE(INDEX(#REF!,ROWS(Params!AI$2:$AI406)-COUNTA(#REF!)-COUNTA(TAB_Offres[Ressource 1])))=0,NA(),
INDEX(#REF!,ROWS(Params!AI$2:$AI406)-COUNTA(#REF!)-COUNTA(TAB_Offres[Ressource 1])))),""))
)</f>
        <v/>
      </c>
      <c r="AJ406" s="192" t="str">
        <f>IF(TAB_ressource[[#This Row],[Import Ressource]]="","",MAX(AJ$1:AJ405)+1)</f>
        <v/>
      </c>
      <c r="AK406" s="193" t="str">
        <f>IFERROR(INDEX(TAB_ressource[Import Ressource],MATCH(ROW()-ROW($AK$1),TAB_ressource[ID Import ressources],0)),"")</f>
        <v/>
      </c>
      <c r="BD406" t="s">
        <v>1828</v>
      </c>
      <c r="BE406" t="s">
        <v>1829</v>
      </c>
      <c r="BF406" t="s">
        <v>1830</v>
      </c>
      <c r="BG406" t="s">
        <v>1828</v>
      </c>
    </row>
    <row r="407" spans="13:59" x14ac:dyDescent="0.25">
      <c r="M407" t="str">
        <f>_xlfn.IFNA(IF(VLOOKUP(TAB_Offres[[#This Row],[Reference]],TAB_Offres[[Reference]:[Request State]],COLUMNS(TAB_Offres[[Reference]:[Request State]]),FALSE)=D$6,TAB_Offres[[#This Row],[Reference]],""),"")</f>
        <v/>
      </c>
      <c r="N407" t="str">
        <f>_xlfn.IFNA(IF(VLOOKUP(TAB_Offres[[#This Row],[Reference]],TAB_Offres[[Reference]:[Has Expenses?]],COLUMNS(TAB_Offres[[Reference]:[Has Expenses?]]),FALSE)=J$2,TAB_Offres[[#This Row],[Reference]],""),"")</f>
        <v/>
      </c>
      <c r="O407" t="str">
        <f>IF(Tableau19[[#This Row],[EXPENSES_REF]]="","",MAX(O$1:O406)+1)</f>
        <v/>
      </c>
      <c r="P407" t="str">
        <f t="shared" si="19"/>
        <v/>
      </c>
      <c r="AI407" s="191" t="str">
        <f>IFERROR(_xlfn.SINGLE(
IF(_xlfn.SINGLE(INDEX(TAB_Offres[Ressource 1],ROWS(Params!AI$2:$AI407)))=0,NA(),
INDEX(TAB_Offres[Ressource 1],ROWS(Params!AI$2:$AI407)))),
IFERROR(_xlfn.SINGLE(IF(_xlfn.SINGLE(INDEX(#REF!,ROWS(Params!AI$2:$AI407)-COUNTA(TAB_Offres[Ressource 1])))=0,NA(),
INDEX(#REF!,ROWS(Params!AI$2:$AI407)-COUNTA(TAB_Offres[Ressource 1])))),
IFERROR(_xlfn.SINGLE(IF(_xlfn.SINGLE(INDEX(#REF!,ROWS(Params!AI$2:$AI407)-COUNTA(#REF!)-COUNTA(TAB_Offres[Ressource 1])))=0,NA(),
INDEX(#REF!,ROWS(Params!AI$2:$AI407)-COUNTA(#REF!)-COUNTA(TAB_Offres[Ressource 1])))),""))
)</f>
        <v/>
      </c>
      <c r="AJ407" s="192" t="str">
        <f>IF(TAB_ressource[[#This Row],[Import Ressource]]="","",MAX(AJ$1:AJ406)+1)</f>
        <v/>
      </c>
      <c r="AK407" s="193" t="str">
        <f>IFERROR(INDEX(TAB_ressource[Import Ressource],MATCH(ROW()-ROW($AK$1),TAB_ressource[ID Import ressources],0)),"")</f>
        <v/>
      </c>
      <c r="BD407" t="s">
        <v>1831</v>
      </c>
      <c r="BE407" t="s">
        <v>1832</v>
      </c>
      <c r="BF407" t="s">
        <v>1833</v>
      </c>
      <c r="BG407" t="s">
        <v>1831</v>
      </c>
    </row>
    <row r="408" spans="13:59" x14ac:dyDescent="0.25">
      <c r="M408" t="str">
        <f>_xlfn.IFNA(IF(VLOOKUP(TAB_Offres[[#This Row],[Reference]],TAB_Offres[[Reference]:[Request State]],COLUMNS(TAB_Offres[[Reference]:[Request State]]),FALSE)=D$6,TAB_Offres[[#This Row],[Reference]],""),"")</f>
        <v/>
      </c>
      <c r="N408" t="str">
        <f>_xlfn.IFNA(IF(VLOOKUP(TAB_Offres[[#This Row],[Reference]],TAB_Offres[[Reference]:[Has Expenses?]],COLUMNS(TAB_Offres[[Reference]:[Has Expenses?]]),FALSE)=J$2,TAB_Offres[[#This Row],[Reference]],""),"")</f>
        <v/>
      </c>
      <c r="O408" t="str">
        <f>IF(Tableau19[[#This Row],[EXPENSES_REF]]="","",MAX(O$1:O407)+1)</f>
        <v/>
      </c>
      <c r="P408" t="str">
        <f t="shared" si="19"/>
        <v/>
      </c>
      <c r="AI408" s="191" t="str">
        <f>IFERROR(_xlfn.SINGLE(
IF(_xlfn.SINGLE(INDEX(TAB_Offres[Ressource 1],ROWS(Params!AI$2:$AI408)))=0,NA(),
INDEX(TAB_Offres[Ressource 1],ROWS(Params!AI$2:$AI408)))),
IFERROR(_xlfn.SINGLE(IF(_xlfn.SINGLE(INDEX(#REF!,ROWS(Params!AI$2:$AI408)-COUNTA(TAB_Offres[Ressource 1])))=0,NA(),
INDEX(#REF!,ROWS(Params!AI$2:$AI408)-COUNTA(TAB_Offres[Ressource 1])))),
IFERROR(_xlfn.SINGLE(IF(_xlfn.SINGLE(INDEX(#REF!,ROWS(Params!AI$2:$AI408)-COUNTA(#REF!)-COUNTA(TAB_Offres[Ressource 1])))=0,NA(),
INDEX(#REF!,ROWS(Params!AI$2:$AI408)-COUNTA(#REF!)-COUNTA(TAB_Offres[Ressource 1])))),""))
)</f>
        <v/>
      </c>
      <c r="AJ408" s="192" t="str">
        <f>IF(TAB_ressource[[#This Row],[Import Ressource]]="","",MAX(AJ$1:AJ407)+1)</f>
        <v/>
      </c>
      <c r="AK408" s="193" t="str">
        <f>IFERROR(INDEX(TAB_ressource[Import Ressource],MATCH(ROW()-ROW($AK$1),TAB_ressource[ID Import ressources],0)),"")</f>
        <v/>
      </c>
      <c r="BD408" t="s">
        <v>1834</v>
      </c>
      <c r="BE408" t="s">
        <v>1835</v>
      </c>
      <c r="BF408" t="s">
        <v>1836</v>
      </c>
      <c r="BG408" t="s">
        <v>1834</v>
      </c>
    </row>
    <row r="409" spans="13:59" x14ac:dyDescent="0.25">
      <c r="M409" t="str">
        <f>_xlfn.IFNA(IF(VLOOKUP(TAB_Offres[[#This Row],[Reference]],TAB_Offres[[Reference]:[Request State]],COLUMNS(TAB_Offres[[Reference]:[Request State]]),FALSE)=D$6,TAB_Offres[[#This Row],[Reference]],""),"")</f>
        <v/>
      </c>
      <c r="N409" t="str">
        <f>_xlfn.IFNA(IF(VLOOKUP(TAB_Offres[[#This Row],[Reference]],TAB_Offres[[Reference]:[Has Expenses?]],COLUMNS(TAB_Offres[[Reference]:[Has Expenses?]]),FALSE)=J$2,TAB_Offres[[#This Row],[Reference]],""),"")</f>
        <v/>
      </c>
      <c r="O409" t="str">
        <f>IF(Tableau19[[#This Row],[EXPENSES_REF]]="","",MAX(O$1:O408)+1)</f>
        <v/>
      </c>
      <c r="P409" t="str">
        <f t="shared" si="19"/>
        <v/>
      </c>
      <c r="AI409" s="191" t="str">
        <f>IFERROR(_xlfn.SINGLE(
IF(_xlfn.SINGLE(INDEX(TAB_Offres[Ressource 1],ROWS(Params!AI$2:$AI409)))=0,NA(),
INDEX(TAB_Offres[Ressource 1],ROWS(Params!AI$2:$AI409)))),
IFERROR(_xlfn.SINGLE(IF(_xlfn.SINGLE(INDEX(#REF!,ROWS(Params!AI$2:$AI409)-COUNTA(TAB_Offres[Ressource 1])))=0,NA(),
INDEX(#REF!,ROWS(Params!AI$2:$AI409)-COUNTA(TAB_Offres[Ressource 1])))),
IFERROR(_xlfn.SINGLE(IF(_xlfn.SINGLE(INDEX(#REF!,ROWS(Params!AI$2:$AI409)-COUNTA(#REF!)-COUNTA(TAB_Offres[Ressource 1])))=0,NA(),
INDEX(#REF!,ROWS(Params!AI$2:$AI409)-COUNTA(#REF!)-COUNTA(TAB_Offres[Ressource 1])))),""))
)</f>
        <v/>
      </c>
      <c r="AJ409" s="192" t="str">
        <f>IF(TAB_ressource[[#This Row],[Import Ressource]]="","",MAX(AJ$1:AJ408)+1)</f>
        <v/>
      </c>
      <c r="AK409" s="193" t="str">
        <f>IFERROR(INDEX(TAB_ressource[Import Ressource],MATCH(ROW()-ROW($AK$1),TAB_ressource[ID Import ressources],0)),"")</f>
        <v/>
      </c>
      <c r="BD409" t="s">
        <v>1837</v>
      </c>
      <c r="BE409" t="s">
        <v>1838</v>
      </c>
      <c r="BF409" t="s">
        <v>1839</v>
      </c>
      <c r="BG409" t="s">
        <v>1837</v>
      </c>
    </row>
    <row r="410" spans="13:59" x14ac:dyDescent="0.25">
      <c r="M410" t="str">
        <f>_xlfn.IFNA(IF(VLOOKUP(TAB_Offres[[#This Row],[Reference]],TAB_Offres[[Reference]:[Request State]],COLUMNS(TAB_Offres[[Reference]:[Request State]]),FALSE)=D$6,TAB_Offres[[#This Row],[Reference]],""),"")</f>
        <v/>
      </c>
      <c r="N410" t="str">
        <f>_xlfn.IFNA(IF(VLOOKUP(TAB_Offres[[#This Row],[Reference]],TAB_Offres[[Reference]:[Has Expenses?]],COLUMNS(TAB_Offres[[Reference]:[Has Expenses?]]),FALSE)=J$2,TAB_Offres[[#This Row],[Reference]],""),"")</f>
        <v/>
      </c>
      <c r="O410" t="str">
        <f>IF(Tableau19[[#This Row],[EXPENSES_REF]]="","",MAX(O$1:O409)+1)</f>
        <v/>
      </c>
      <c r="P410" t="str">
        <f t="shared" si="19"/>
        <v/>
      </c>
      <c r="AI410" s="191" t="str">
        <f>IFERROR(_xlfn.SINGLE(
IF(_xlfn.SINGLE(INDEX(TAB_Offres[Ressource 1],ROWS(Params!AI$2:$AI410)))=0,NA(),
INDEX(TAB_Offres[Ressource 1],ROWS(Params!AI$2:$AI410)))),
IFERROR(_xlfn.SINGLE(IF(_xlfn.SINGLE(INDEX(#REF!,ROWS(Params!AI$2:$AI410)-COUNTA(TAB_Offres[Ressource 1])))=0,NA(),
INDEX(#REF!,ROWS(Params!AI$2:$AI410)-COUNTA(TAB_Offres[Ressource 1])))),
IFERROR(_xlfn.SINGLE(IF(_xlfn.SINGLE(INDEX(#REF!,ROWS(Params!AI$2:$AI410)-COUNTA(#REF!)-COUNTA(TAB_Offres[Ressource 1])))=0,NA(),
INDEX(#REF!,ROWS(Params!AI$2:$AI410)-COUNTA(#REF!)-COUNTA(TAB_Offres[Ressource 1])))),""))
)</f>
        <v/>
      </c>
      <c r="AJ410" s="192" t="str">
        <f>IF(TAB_ressource[[#This Row],[Import Ressource]]="","",MAX(AJ$1:AJ409)+1)</f>
        <v/>
      </c>
      <c r="AK410" s="193" t="str">
        <f>IFERROR(INDEX(TAB_ressource[Import Ressource],MATCH(ROW()-ROW($AK$1),TAB_ressource[ID Import ressources],0)),"")</f>
        <v/>
      </c>
      <c r="BD410" t="s">
        <v>1840</v>
      </c>
      <c r="BE410" t="s">
        <v>1841</v>
      </c>
      <c r="BF410" t="s">
        <v>1842</v>
      </c>
      <c r="BG410" t="s">
        <v>1840</v>
      </c>
    </row>
    <row r="411" spans="13:59" x14ac:dyDescent="0.25">
      <c r="M411" t="str">
        <f>_xlfn.IFNA(IF(VLOOKUP(TAB_Offres[[#This Row],[Reference]],TAB_Offres[[Reference]:[Request State]],COLUMNS(TAB_Offres[[Reference]:[Request State]]),FALSE)=D$6,TAB_Offres[[#This Row],[Reference]],""),"")</f>
        <v/>
      </c>
      <c r="N411" t="str">
        <f>_xlfn.IFNA(IF(VLOOKUP(TAB_Offres[[#This Row],[Reference]],TAB_Offres[[Reference]:[Has Expenses?]],COLUMNS(TAB_Offres[[Reference]:[Has Expenses?]]),FALSE)=J$2,TAB_Offres[[#This Row],[Reference]],""),"")</f>
        <v/>
      </c>
      <c r="O411" t="str">
        <f>IF(Tableau19[[#This Row],[EXPENSES_REF]]="","",MAX(O$1:O410)+1)</f>
        <v/>
      </c>
      <c r="P411" t="str">
        <f t="shared" si="19"/>
        <v/>
      </c>
      <c r="AI411" s="191" t="str">
        <f>IFERROR(_xlfn.SINGLE(
IF(_xlfn.SINGLE(INDEX(TAB_Offres[Ressource 1],ROWS(Params!AI$2:$AI411)))=0,NA(),
INDEX(TAB_Offres[Ressource 1],ROWS(Params!AI$2:$AI411)))),
IFERROR(_xlfn.SINGLE(IF(_xlfn.SINGLE(INDEX(#REF!,ROWS(Params!AI$2:$AI411)-COUNTA(TAB_Offres[Ressource 1])))=0,NA(),
INDEX(#REF!,ROWS(Params!AI$2:$AI411)-COUNTA(TAB_Offres[Ressource 1])))),
IFERROR(_xlfn.SINGLE(IF(_xlfn.SINGLE(INDEX(#REF!,ROWS(Params!AI$2:$AI411)-COUNTA(#REF!)-COUNTA(TAB_Offres[Ressource 1])))=0,NA(),
INDEX(#REF!,ROWS(Params!AI$2:$AI411)-COUNTA(#REF!)-COUNTA(TAB_Offres[Ressource 1])))),""))
)</f>
        <v/>
      </c>
      <c r="AJ411" s="192" t="str">
        <f>IF(TAB_ressource[[#This Row],[Import Ressource]]="","",MAX(AJ$1:AJ410)+1)</f>
        <v/>
      </c>
      <c r="AK411" s="193" t="str">
        <f>IFERROR(INDEX(TAB_ressource[Import Ressource],MATCH(ROW()-ROW($AK$1),TAB_ressource[ID Import ressources],0)),"")</f>
        <v/>
      </c>
      <c r="BD411" t="s">
        <v>1843</v>
      </c>
      <c r="BE411" t="s">
        <v>1844</v>
      </c>
      <c r="BF411" t="s">
        <v>1845</v>
      </c>
      <c r="BG411" t="s">
        <v>1843</v>
      </c>
    </row>
    <row r="412" spans="13:59" x14ac:dyDescent="0.25">
      <c r="M412" t="str">
        <f>_xlfn.IFNA(IF(VLOOKUP(TAB_Offres[[#This Row],[Reference]],TAB_Offres[[Reference]:[Request State]],COLUMNS(TAB_Offres[[Reference]:[Request State]]),FALSE)=D$6,TAB_Offres[[#This Row],[Reference]],""),"")</f>
        <v/>
      </c>
      <c r="N412" t="str">
        <f>_xlfn.IFNA(IF(VLOOKUP(TAB_Offres[[#This Row],[Reference]],TAB_Offres[[Reference]:[Has Expenses?]],COLUMNS(TAB_Offres[[Reference]:[Has Expenses?]]),FALSE)=J$2,TAB_Offres[[#This Row],[Reference]],""),"")</f>
        <v/>
      </c>
      <c r="O412" t="str">
        <f>IF(Tableau19[[#This Row],[EXPENSES_REF]]="","",MAX(O$1:O411)+1)</f>
        <v/>
      </c>
      <c r="P412" t="str">
        <f t="shared" si="19"/>
        <v/>
      </c>
      <c r="AI412" s="191" t="str">
        <f>IFERROR(_xlfn.SINGLE(
IF(_xlfn.SINGLE(INDEX(TAB_Offres[Ressource 1],ROWS(Params!AI$2:$AI412)))=0,NA(),
INDEX(TAB_Offres[Ressource 1],ROWS(Params!AI$2:$AI412)))),
IFERROR(_xlfn.SINGLE(IF(_xlfn.SINGLE(INDEX(#REF!,ROWS(Params!AI$2:$AI412)-COUNTA(TAB_Offres[Ressource 1])))=0,NA(),
INDEX(#REF!,ROWS(Params!AI$2:$AI412)-COUNTA(TAB_Offres[Ressource 1])))),
IFERROR(_xlfn.SINGLE(IF(_xlfn.SINGLE(INDEX(#REF!,ROWS(Params!AI$2:$AI412)-COUNTA(#REF!)-COUNTA(TAB_Offres[Ressource 1])))=0,NA(),
INDEX(#REF!,ROWS(Params!AI$2:$AI412)-COUNTA(#REF!)-COUNTA(TAB_Offres[Ressource 1])))),""))
)</f>
        <v/>
      </c>
      <c r="AJ412" s="192" t="str">
        <f>IF(TAB_ressource[[#This Row],[Import Ressource]]="","",MAX(AJ$1:AJ411)+1)</f>
        <v/>
      </c>
      <c r="AK412" s="193" t="str">
        <f>IFERROR(INDEX(TAB_ressource[Import Ressource],MATCH(ROW()-ROW($AK$1),TAB_ressource[ID Import ressources],0)),"")</f>
        <v/>
      </c>
      <c r="BD412" t="s">
        <v>1846</v>
      </c>
      <c r="BE412" t="s">
        <v>1847</v>
      </c>
      <c r="BF412" t="s">
        <v>1848</v>
      </c>
      <c r="BG412" t="s">
        <v>1846</v>
      </c>
    </row>
    <row r="413" spans="13:59" x14ac:dyDescent="0.25">
      <c r="M413" t="str">
        <f>_xlfn.IFNA(IF(VLOOKUP(TAB_Offres[[#This Row],[Reference]],TAB_Offres[[Reference]:[Request State]],COLUMNS(TAB_Offres[[Reference]:[Request State]]),FALSE)=D$6,TAB_Offres[[#This Row],[Reference]],""),"")</f>
        <v/>
      </c>
      <c r="N413" t="str">
        <f>_xlfn.IFNA(IF(VLOOKUP(TAB_Offres[[#This Row],[Reference]],TAB_Offres[[Reference]:[Has Expenses?]],COLUMNS(TAB_Offres[[Reference]:[Has Expenses?]]),FALSE)=J$2,TAB_Offres[[#This Row],[Reference]],""),"")</f>
        <v/>
      </c>
      <c r="O413" t="str">
        <f>IF(Tableau19[[#This Row],[EXPENSES_REF]]="","",MAX(O$1:O412)+1)</f>
        <v/>
      </c>
      <c r="P413" t="str">
        <f t="shared" si="19"/>
        <v/>
      </c>
      <c r="AI413" s="191" t="str">
        <f>IFERROR(_xlfn.SINGLE(
IF(_xlfn.SINGLE(INDEX(TAB_Offres[Ressource 1],ROWS(Params!AI$2:$AI413)))=0,NA(),
INDEX(TAB_Offres[Ressource 1],ROWS(Params!AI$2:$AI413)))),
IFERROR(_xlfn.SINGLE(IF(_xlfn.SINGLE(INDEX(#REF!,ROWS(Params!AI$2:$AI413)-COUNTA(TAB_Offres[Ressource 1])))=0,NA(),
INDEX(#REF!,ROWS(Params!AI$2:$AI413)-COUNTA(TAB_Offres[Ressource 1])))),
IFERROR(_xlfn.SINGLE(IF(_xlfn.SINGLE(INDEX(#REF!,ROWS(Params!AI$2:$AI413)-COUNTA(#REF!)-COUNTA(TAB_Offres[Ressource 1])))=0,NA(),
INDEX(#REF!,ROWS(Params!AI$2:$AI413)-COUNTA(#REF!)-COUNTA(TAB_Offres[Ressource 1])))),""))
)</f>
        <v/>
      </c>
      <c r="AJ413" s="192" t="str">
        <f>IF(TAB_ressource[[#This Row],[Import Ressource]]="","",MAX(AJ$1:AJ412)+1)</f>
        <v/>
      </c>
      <c r="AK413" s="193" t="str">
        <f>IFERROR(INDEX(TAB_ressource[Import Ressource],MATCH(ROW()-ROW($AK$1),TAB_ressource[ID Import ressources],0)),"")</f>
        <v/>
      </c>
      <c r="BD413" t="s">
        <v>1849</v>
      </c>
      <c r="BE413" t="s">
        <v>1850</v>
      </c>
      <c r="BF413" t="s">
        <v>1851</v>
      </c>
      <c r="BG413" t="s">
        <v>1849</v>
      </c>
    </row>
    <row r="414" spans="13:59" x14ac:dyDescent="0.25">
      <c r="M414" t="str">
        <f>_xlfn.IFNA(IF(VLOOKUP(TAB_Offres[[#This Row],[Reference]],TAB_Offres[[Reference]:[Request State]],COLUMNS(TAB_Offres[[Reference]:[Request State]]),FALSE)=D$6,TAB_Offres[[#This Row],[Reference]],""),"")</f>
        <v/>
      </c>
      <c r="N414" t="str">
        <f>_xlfn.IFNA(IF(VLOOKUP(TAB_Offres[[#This Row],[Reference]],TAB_Offres[[Reference]:[Has Expenses?]],COLUMNS(TAB_Offres[[Reference]:[Has Expenses?]]),FALSE)=J$2,TAB_Offres[[#This Row],[Reference]],""),"")</f>
        <v/>
      </c>
      <c r="O414" t="str">
        <f>IF(Tableau19[[#This Row],[EXPENSES_REF]]="","",MAX(O$1:O413)+1)</f>
        <v/>
      </c>
      <c r="P414" t="str">
        <f t="shared" si="19"/>
        <v/>
      </c>
      <c r="AI414" s="191" t="str">
        <f>IFERROR(_xlfn.SINGLE(
IF(_xlfn.SINGLE(INDEX(TAB_Offres[Ressource 1],ROWS(Params!AI$2:$AI414)))=0,NA(),
INDEX(TAB_Offres[Ressource 1],ROWS(Params!AI$2:$AI414)))),
IFERROR(_xlfn.SINGLE(IF(_xlfn.SINGLE(INDEX(#REF!,ROWS(Params!AI$2:$AI414)-COUNTA(TAB_Offres[Ressource 1])))=0,NA(),
INDEX(#REF!,ROWS(Params!AI$2:$AI414)-COUNTA(TAB_Offres[Ressource 1])))),
IFERROR(_xlfn.SINGLE(IF(_xlfn.SINGLE(INDEX(#REF!,ROWS(Params!AI$2:$AI414)-COUNTA(#REF!)-COUNTA(TAB_Offres[Ressource 1])))=0,NA(),
INDEX(#REF!,ROWS(Params!AI$2:$AI414)-COUNTA(#REF!)-COUNTA(TAB_Offres[Ressource 1])))),""))
)</f>
        <v/>
      </c>
      <c r="AJ414" s="192" t="str">
        <f>IF(TAB_ressource[[#This Row],[Import Ressource]]="","",MAX(AJ$1:AJ413)+1)</f>
        <v/>
      </c>
      <c r="AK414" s="193" t="str">
        <f>IFERROR(INDEX(TAB_ressource[Import Ressource],MATCH(ROW()-ROW($AK$1),TAB_ressource[ID Import ressources],0)),"")</f>
        <v/>
      </c>
      <c r="BD414" t="s">
        <v>1852</v>
      </c>
      <c r="BE414" t="s">
        <v>1853</v>
      </c>
      <c r="BF414" t="s">
        <v>1854</v>
      </c>
      <c r="BG414" t="s">
        <v>1852</v>
      </c>
    </row>
    <row r="415" spans="13:59" x14ac:dyDescent="0.25">
      <c r="M415" t="str">
        <f>_xlfn.IFNA(IF(VLOOKUP(TAB_Offres[[#This Row],[Reference]],TAB_Offres[[Reference]:[Request State]],COLUMNS(TAB_Offres[[Reference]:[Request State]]),FALSE)=D$6,TAB_Offres[[#This Row],[Reference]],""),"")</f>
        <v/>
      </c>
      <c r="N415" t="str">
        <f>_xlfn.IFNA(IF(VLOOKUP(TAB_Offres[[#This Row],[Reference]],TAB_Offres[[Reference]:[Has Expenses?]],COLUMNS(TAB_Offres[[Reference]:[Has Expenses?]]),FALSE)=J$2,TAB_Offres[[#This Row],[Reference]],""),"")</f>
        <v/>
      </c>
      <c r="O415" t="str">
        <f>IF(Tableau19[[#This Row],[EXPENSES_REF]]="","",MAX(O$1:O414)+1)</f>
        <v/>
      </c>
      <c r="P415" t="str">
        <f t="shared" si="19"/>
        <v/>
      </c>
      <c r="AI415" s="191" t="str">
        <f>IFERROR(_xlfn.SINGLE(
IF(_xlfn.SINGLE(INDEX(TAB_Offres[Ressource 1],ROWS(Params!AI$2:$AI415)))=0,NA(),
INDEX(TAB_Offres[Ressource 1],ROWS(Params!AI$2:$AI415)))),
IFERROR(_xlfn.SINGLE(IF(_xlfn.SINGLE(INDEX(#REF!,ROWS(Params!AI$2:$AI415)-COUNTA(TAB_Offres[Ressource 1])))=0,NA(),
INDEX(#REF!,ROWS(Params!AI$2:$AI415)-COUNTA(TAB_Offres[Ressource 1])))),
IFERROR(_xlfn.SINGLE(IF(_xlfn.SINGLE(INDEX(#REF!,ROWS(Params!AI$2:$AI415)-COUNTA(#REF!)-COUNTA(TAB_Offres[Ressource 1])))=0,NA(),
INDEX(#REF!,ROWS(Params!AI$2:$AI415)-COUNTA(#REF!)-COUNTA(TAB_Offres[Ressource 1])))),""))
)</f>
        <v/>
      </c>
      <c r="AJ415" s="192" t="str">
        <f>IF(TAB_ressource[[#This Row],[Import Ressource]]="","",MAX(AJ$1:AJ414)+1)</f>
        <v/>
      </c>
      <c r="AK415" s="193" t="str">
        <f>IFERROR(INDEX(TAB_ressource[Import Ressource],MATCH(ROW()-ROW($AK$1),TAB_ressource[ID Import ressources],0)),"")</f>
        <v/>
      </c>
      <c r="BD415" t="s">
        <v>1855</v>
      </c>
      <c r="BE415" t="s">
        <v>1856</v>
      </c>
      <c r="BF415" t="s">
        <v>1857</v>
      </c>
      <c r="BG415" t="s">
        <v>1855</v>
      </c>
    </row>
    <row r="416" spans="13:59" x14ac:dyDescent="0.25">
      <c r="M416" t="str">
        <f>_xlfn.IFNA(IF(VLOOKUP(TAB_Offres[[#This Row],[Reference]],TAB_Offres[[Reference]:[Request State]],COLUMNS(TAB_Offres[[Reference]:[Request State]]),FALSE)=D$6,TAB_Offres[[#This Row],[Reference]],""),"")</f>
        <v/>
      </c>
      <c r="N416" t="str">
        <f>_xlfn.IFNA(IF(VLOOKUP(TAB_Offres[[#This Row],[Reference]],TAB_Offres[[Reference]:[Has Expenses?]],COLUMNS(TAB_Offres[[Reference]:[Has Expenses?]]),FALSE)=J$2,TAB_Offres[[#This Row],[Reference]],""),"")</f>
        <v/>
      </c>
      <c r="O416" t="str">
        <f>IF(Tableau19[[#This Row],[EXPENSES_REF]]="","",MAX(O$1:O415)+1)</f>
        <v/>
      </c>
      <c r="P416" t="str">
        <f t="shared" si="19"/>
        <v/>
      </c>
      <c r="AI416" s="191" t="str">
        <f>IFERROR(_xlfn.SINGLE(
IF(_xlfn.SINGLE(INDEX(TAB_Offres[Ressource 1],ROWS(Params!AI$2:$AI416)))=0,NA(),
INDEX(TAB_Offres[Ressource 1],ROWS(Params!AI$2:$AI416)))),
IFERROR(_xlfn.SINGLE(IF(_xlfn.SINGLE(INDEX(#REF!,ROWS(Params!AI$2:$AI416)-COUNTA(TAB_Offres[Ressource 1])))=0,NA(),
INDEX(#REF!,ROWS(Params!AI$2:$AI416)-COUNTA(TAB_Offres[Ressource 1])))),
IFERROR(_xlfn.SINGLE(IF(_xlfn.SINGLE(INDEX(#REF!,ROWS(Params!AI$2:$AI416)-COUNTA(#REF!)-COUNTA(TAB_Offres[Ressource 1])))=0,NA(),
INDEX(#REF!,ROWS(Params!AI$2:$AI416)-COUNTA(#REF!)-COUNTA(TAB_Offres[Ressource 1])))),""))
)</f>
        <v/>
      </c>
      <c r="AJ416" s="192" t="str">
        <f>IF(TAB_ressource[[#This Row],[Import Ressource]]="","",MAX(AJ$1:AJ415)+1)</f>
        <v/>
      </c>
      <c r="AK416" s="193" t="str">
        <f>IFERROR(INDEX(TAB_ressource[Import Ressource],MATCH(ROW()-ROW($AK$1),TAB_ressource[ID Import ressources],0)),"")</f>
        <v/>
      </c>
      <c r="BD416" t="s">
        <v>1858</v>
      </c>
      <c r="BE416" t="s">
        <v>1859</v>
      </c>
      <c r="BF416" t="s">
        <v>1860</v>
      </c>
      <c r="BG416" t="s">
        <v>1858</v>
      </c>
    </row>
    <row r="417" spans="13:59" x14ac:dyDescent="0.25">
      <c r="M417" t="str">
        <f>_xlfn.IFNA(IF(VLOOKUP(TAB_Offres[[#This Row],[Reference]],TAB_Offres[[Reference]:[Request State]],COLUMNS(TAB_Offres[[Reference]:[Request State]]),FALSE)=D$6,TAB_Offres[[#This Row],[Reference]],""),"")</f>
        <v/>
      </c>
      <c r="N417" t="str">
        <f>_xlfn.IFNA(IF(VLOOKUP(TAB_Offres[[#This Row],[Reference]],TAB_Offres[[Reference]:[Has Expenses?]],COLUMNS(TAB_Offres[[Reference]:[Has Expenses?]]),FALSE)=J$2,TAB_Offres[[#This Row],[Reference]],""),"")</f>
        <v/>
      </c>
      <c r="O417" t="str">
        <f>IF(Tableau19[[#This Row],[EXPENSES_REF]]="","",MAX(O$1:O416)+1)</f>
        <v/>
      </c>
      <c r="P417" t="str">
        <f t="shared" si="19"/>
        <v/>
      </c>
      <c r="AI417" s="191" t="str">
        <f>IFERROR(_xlfn.SINGLE(
IF(_xlfn.SINGLE(INDEX(TAB_Offres[Ressource 1],ROWS(Params!AI$2:$AI417)))=0,NA(),
INDEX(TAB_Offres[Ressource 1],ROWS(Params!AI$2:$AI417)))),
IFERROR(_xlfn.SINGLE(IF(_xlfn.SINGLE(INDEX(#REF!,ROWS(Params!AI$2:$AI417)-COUNTA(TAB_Offres[Ressource 1])))=0,NA(),
INDEX(#REF!,ROWS(Params!AI$2:$AI417)-COUNTA(TAB_Offres[Ressource 1])))),
IFERROR(_xlfn.SINGLE(IF(_xlfn.SINGLE(INDEX(#REF!,ROWS(Params!AI$2:$AI417)-COUNTA(#REF!)-COUNTA(TAB_Offres[Ressource 1])))=0,NA(),
INDEX(#REF!,ROWS(Params!AI$2:$AI417)-COUNTA(#REF!)-COUNTA(TAB_Offres[Ressource 1])))),""))
)</f>
        <v/>
      </c>
      <c r="AJ417" s="192" t="str">
        <f>IF(TAB_ressource[[#This Row],[Import Ressource]]="","",MAX(AJ$1:AJ416)+1)</f>
        <v/>
      </c>
      <c r="AK417" s="193" t="str">
        <f>IFERROR(INDEX(TAB_ressource[Import Ressource],MATCH(ROW()-ROW($AK$1),TAB_ressource[ID Import ressources],0)),"")</f>
        <v/>
      </c>
      <c r="BD417" t="s">
        <v>1861</v>
      </c>
      <c r="BE417" t="s">
        <v>1862</v>
      </c>
      <c r="BF417" t="s">
        <v>1863</v>
      </c>
      <c r="BG417" t="s">
        <v>1861</v>
      </c>
    </row>
    <row r="418" spans="13:59" x14ac:dyDescent="0.25">
      <c r="M418" t="str">
        <f>_xlfn.IFNA(IF(VLOOKUP(TAB_Offres[[#This Row],[Reference]],TAB_Offres[[Reference]:[Request State]],COLUMNS(TAB_Offres[[Reference]:[Request State]]),FALSE)=D$6,TAB_Offres[[#This Row],[Reference]],""),"")</f>
        <v/>
      </c>
      <c r="N418" t="str">
        <f>_xlfn.IFNA(IF(VLOOKUP(TAB_Offres[[#This Row],[Reference]],TAB_Offres[[Reference]:[Has Expenses?]],COLUMNS(TAB_Offres[[Reference]:[Has Expenses?]]),FALSE)=J$2,TAB_Offres[[#This Row],[Reference]],""),"")</f>
        <v/>
      </c>
      <c r="O418" t="str">
        <f>IF(Tableau19[[#This Row],[EXPENSES_REF]]="","",MAX(O$1:O417)+1)</f>
        <v/>
      </c>
      <c r="P418" t="str">
        <f t="shared" si="19"/>
        <v/>
      </c>
      <c r="AI418" s="191" t="str">
        <f>IFERROR(_xlfn.SINGLE(
IF(_xlfn.SINGLE(INDEX(TAB_Offres[Ressource 1],ROWS(Params!AI$2:$AI418)))=0,NA(),
INDEX(TAB_Offres[Ressource 1],ROWS(Params!AI$2:$AI418)))),
IFERROR(_xlfn.SINGLE(IF(_xlfn.SINGLE(INDEX(#REF!,ROWS(Params!AI$2:$AI418)-COUNTA(TAB_Offres[Ressource 1])))=0,NA(),
INDEX(#REF!,ROWS(Params!AI$2:$AI418)-COUNTA(TAB_Offres[Ressource 1])))),
IFERROR(_xlfn.SINGLE(IF(_xlfn.SINGLE(INDEX(#REF!,ROWS(Params!AI$2:$AI418)-COUNTA(#REF!)-COUNTA(TAB_Offres[Ressource 1])))=0,NA(),
INDEX(#REF!,ROWS(Params!AI$2:$AI418)-COUNTA(#REF!)-COUNTA(TAB_Offres[Ressource 1])))),""))
)</f>
        <v/>
      </c>
      <c r="AJ418" s="192" t="str">
        <f>IF(TAB_ressource[[#This Row],[Import Ressource]]="","",MAX(AJ$1:AJ417)+1)</f>
        <v/>
      </c>
      <c r="AK418" s="193" t="str">
        <f>IFERROR(INDEX(TAB_ressource[Import Ressource],MATCH(ROW()-ROW($AK$1),TAB_ressource[ID Import ressources],0)),"")</f>
        <v/>
      </c>
      <c r="BD418" t="s">
        <v>1864</v>
      </c>
      <c r="BE418" t="s">
        <v>1865</v>
      </c>
      <c r="BF418" t="s">
        <v>1866</v>
      </c>
      <c r="BG418" t="s">
        <v>1864</v>
      </c>
    </row>
    <row r="419" spans="13:59" x14ac:dyDescent="0.25">
      <c r="M419" t="str">
        <f>_xlfn.IFNA(IF(VLOOKUP(TAB_Offres[[#This Row],[Reference]],TAB_Offres[[Reference]:[Request State]],COLUMNS(TAB_Offres[[Reference]:[Request State]]),FALSE)=D$6,TAB_Offres[[#This Row],[Reference]],""),"")</f>
        <v/>
      </c>
      <c r="N419" t="str">
        <f>_xlfn.IFNA(IF(VLOOKUP(TAB_Offres[[#This Row],[Reference]],TAB_Offres[[Reference]:[Has Expenses?]],COLUMNS(TAB_Offres[[Reference]:[Has Expenses?]]),FALSE)=J$2,TAB_Offres[[#This Row],[Reference]],""),"")</f>
        <v/>
      </c>
      <c r="O419" t="str">
        <f>IF(Tableau19[[#This Row],[EXPENSES_REF]]="","",MAX(O$1:O418)+1)</f>
        <v/>
      </c>
      <c r="P419" t="str">
        <f t="shared" si="19"/>
        <v/>
      </c>
      <c r="AI419" s="191" t="str">
        <f>IFERROR(_xlfn.SINGLE(
IF(_xlfn.SINGLE(INDEX(TAB_Offres[Ressource 1],ROWS(Params!AI$2:$AI419)))=0,NA(),
INDEX(TAB_Offres[Ressource 1],ROWS(Params!AI$2:$AI419)))),
IFERROR(_xlfn.SINGLE(IF(_xlfn.SINGLE(INDEX(#REF!,ROWS(Params!AI$2:$AI419)-COUNTA(TAB_Offres[Ressource 1])))=0,NA(),
INDEX(#REF!,ROWS(Params!AI$2:$AI419)-COUNTA(TAB_Offres[Ressource 1])))),
IFERROR(_xlfn.SINGLE(IF(_xlfn.SINGLE(INDEX(#REF!,ROWS(Params!AI$2:$AI419)-COUNTA(#REF!)-COUNTA(TAB_Offres[Ressource 1])))=0,NA(),
INDEX(#REF!,ROWS(Params!AI$2:$AI419)-COUNTA(#REF!)-COUNTA(TAB_Offres[Ressource 1])))),""))
)</f>
        <v/>
      </c>
      <c r="AJ419" s="192" t="str">
        <f>IF(TAB_ressource[[#This Row],[Import Ressource]]="","",MAX(AJ$1:AJ418)+1)</f>
        <v/>
      </c>
      <c r="AK419" s="193" t="str">
        <f>IFERROR(INDEX(TAB_ressource[Import Ressource],MATCH(ROW()-ROW($AK$1),TAB_ressource[ID Import ressources],0)),"")</f>
        <v/>
      </c>
      <c r="BD419" t="s">
        <v>1867</v>
      </c>
      <c r="BE419" t="s">
        <v>1868</v>
      </c>
      <c r="BF419" t="s">
        <v>1869</v>
      </c>
      <c r="BG419" t="s">
        <v>1867</v>
      </c>
    </row>
    <row r="420" spans="13:59" x14ac:dyDescent="0.25">
      <c r="M420" t="str">
        <f>_xlfn.IFNA(IF(VLOOKUP(TAB_Offres[[#This Row],[Reference]],TAB_Offres[[Reference]:[Request State]],COLUMNS(TAB_Offres[[Reference]:[Request State]]),FALSE)=D$6,TAB_Offres[[#This Row],[Reference]],""),"")</f>
        <v/>
      </c>
      <c r="N420" t="str">
        <f>_xlfn.IFNA(IF(VLOOKUP(TAB_Offres[[#This Row],[Reference]],TAB_Offres[[Reference]:[Has Expenses?]],COLUMNS(TAB_Offres[[Reference]:[Has Expenses?]]),FALSE)=J$2,TAB_Offres[[#This Row],[Reference]],""),"")</f>
        <v/>
      </c>
      <c r="O420" t="str">
        <f>IF(Tableau19[[#This Row],[EXPENSES_REF]]="","",MAX(O$1:O419)+1)</f>
        <v/>
      </c>
      <c r="P420" t="str">
        <f t="shared" si="19"/>
        <v/>
      </c>
      <c r="AI420" s="191" t="str">
        <f>IFERROR(_xlfn.SINGLE(
IF(_xlfn.SINGLE(INDEX(TAB_Offres[Ressource 1],ROWS(Params!AI$2:$AI420)))=0,NA(),
INDEX(TAB_Offres[Ressource 1],ROWS(Params!AI$2:$AI420)))),
IFERROR(_xlfn.SINGLE(IF(_xlfn.SINGLE(INDEX(#REF!,ROWS(Params!AI$2:$AI420)-COUNTA(TAB_Offres[Ressource 1])))=0,NA(),
INDEX(#REF!,ROWS(Params!AI$2:$AI420)-COUNTA(TAB_Offres[Ressource 1])))),
IFERROR(_xlfn.SINGLE(IF(_xlfn.SINGLE(INDEX(#REF!,ROWS(Params!AI$2:$AI420)-COUNTA(#REF!)-COUNTA(TAB_Offres[Ressource 1])))=0,NA(),
INDEX(#REF!,ROWS(Params!AI$2:$AI420)-COUNTA(#REF!)-COUNTA(TAB_Offres[Ressource 1])))),""))
)</f>
        <v/>
      </c>
      <c r="AJ420" s="192" t="str">
        <f>IF(TAB_ressource[[#This Row],[Import Ressource]]="","",MAX(AJ$1:AJ419)+1)</f>
        <v/>
      </c>
      <c r="AK420" s="193" t="str">
        <f>IFERROR(INDEX(TAB_ressource[Import Ressource],MATCH(ROW()-ROW($AK$1),TAB_ressource[ID Import ressources],0)),"")</f>
        <v/>
      </c>
      <c r="BD420" t="s">
        <v>1870</v>
      </c>
      <c r="BE420" t="s">
        <v>1871</v>
      </c>
      <c r="BF420" t="s">
        <v>1872</v>
      </c>
      <c r="BG420" t="s">
        <v>1870</v>
      </c>
    </row>
    <row r="421" spans="13:59" x14ac:dyDescent="0.25">
      <c r="M421" t="str">
        <f>_xlfn.IFNA(IF(VLOOKUP(TAB_Offres[[#This Row],[Reference]],TAB_Offres[[Reference]:[Request State]],COLUMNS(TAB_Offres[[Reference]:[Request State]]),FALSE)=D$6,TAB_Offres[[#This Row],[Reference]],""),"")</f>
        <v/>
      </c>
      <c r="N421" t="str">
        <f>_xlfn.IFNA(IF(VLOOKUP(TAB_Offres[[#This Row],[Reference]],TAB_Offres[[Reference]:[Has Expenses?]],COLUMNS(TAB_Offres[[Reference]:[Has Expenses?]]),FALSE)=J$2,TAB_Offres[[#This Row],[Reference]],""),"")</f>
        <v/>
      </c>
      <c r="O421" t="str">
        <f>IF(Tableau19[[#This Row],[EXPENSES_REF]]="","",MAX(O$1:O420)+1)</f>
        <v/>
      </c>
      <c r="P421" t="str">
        <f t="shared" si="19"/>
        <v/>
      </c>
      <c r="AI421" s="191" t="str">
        <f>IFERROR(_xlfn.SINGLE(
IF(_xlfn.SINGLE(INDEX(TAB_Offres[Ressource 1],ROWS(Params!AI$2:$AI421)))=0,NA(),
INDEX(TAB_Offres[Ressource 1],ROWS(Params!AI$2:$AI421)))),
IFERROR(_xlfn.SINGLE(IF(_xlfn.SINGLE(INDEX(#REF!,ROWS(Params!AI$2:$AI421)-COUNTA(TAB_Offres[Ressource 1])))=0,NA(),
INDEX(#REF!,ROWS(Params!AI$2:$AI421)-COUNTA(TAB_Offres[Ressource 1])))),
IFERROR(_xlfn.SINGLE(IF(_xlfn.SINGLE(INDEX(#REF!,ROWS(Params!AI$2:$AI421)-COUNTA(#REF!)-COUNTA(TAB_Offres[Ressource 1])))=0,NA(),
INDEX(#REF!,ROWS(Params!AI$2:$AI421)-COUNTA(#REF!)-COUNTA(TAB_Offres[Ressource 1])))),""))
)</f>
        <v/>
      </c>
      <c r="AJ421" s="192" t="str">
        <f>IF(TAB_ressource[[#This Row],[Import Ressource]]="","",MAX(AJ$1:AJ420)+1)</f>
        <v/>
      </c>
      <c r="AK421" s="193" t="str">
        <f>IFERROR(INDEX(TAB_ressource[Import Ressource],MATCH(ROW()-ROW($AK$1),TAB_ressource[ID Import ressources],0)),"")</f>
        <v/>
      </c>
      <c r="BD421" t="s">
        <v>1873</v>
      </c>
      <c r="BE421" t="s">
        <v>1874</v>
      </c>
      <c r="BF421" t="s">
        <v>1875</v>
      </c>
      <c r="BG421" t="s">
        <v>1873</v>
      </c>
    </row>
    <row r="422" spans="13:59" x14ac:dyDescent="0.25">
      <c r="M422" t="str">
        <f>_xlfn.IFNA(IF(VLOOKUP(TAB_Offres[[#This Row],[Reference]],TAB_Offres[[Reference]:[Request State]],COLUMNS(TAB_Offres[[Reference]:[Request State]]),FALSE)=D$6,TAB_Offres[[#This Row],[Reference]],""),"")</f>
        <v/>
      </c>
      <c r="N422" t="str">
        <f>_xlfn.IFNA(IF(VLOOKUP(TAB_Offres[[#This Row],[Reference]],TAB_Offres[[Reference]:[Has Expenses?]],COLUMNS(TAB_Offres[[Reference]:[Has Expenses?]]),FALSE)=J$2,TAB_Offres[[#This Row],[Reference]],""),"")</f>
        <v/>
      </c>
      <c r="O422" t="str">
        <f>IF(Tableau19[[#This Row],[EXPENSES_REF]]="","",MAX(O$1:O421)+1)</f>
        <v/>
      </c>
      <c r="P422" t="str">
        <f t="shared" si="19"/>
        <v/>
      </c>
      <c r="AI422" s="191" t="str">
        <f>IFERROR(_xlfn.SINGLE(
IF(_xlfn.SINGLE(INDEX(TAB_Offres[Ressource 1],ROWS(Params!AI$2:$AI422)))=0,NA(),
INDEX(TAB_Offres[Ressource 1],ROWS(Params!AI$2:$AI422)))),
IFERROR(_xlfn.SINGLE(IF(_xlfn.SINGLE(INDEX(#REF!,ROWS(Params!AI$2:$AI422)-COUNTA(TAB_Offres[Ressource 1])))=0,NA(),
INDEX(#REF!,ROWS(Params!AI$2:$AI422)-COUNTA(TAB_Offres[Ressource 1])))),
IFERROR(_xlfn.SINGLE(IF(_xlfn.SINGLE(INDEX(#REF!,ROWS(Params!AI$2:$AI422)-COUNTA(#REF!)-COUNTA(TAB_Offres[Ressource 1])))=0,NA(),
INDEX(#REF!,ROWS(Params!AI$2:$AI422)-COUNTA(#REF!)-COUNTA(TAB_Offres[Ressource 1])))),""))
)</f>
        <v/>
      </c>
      <c r="AJ422" s="192" t="str">
        <f>IF(TAB_ressource[[#This Row],[Import Ressource]]="","",MAX(AJ$1:AJ421)+1)</f>
        <v/>
      </c>
      <c r="AK422" s="193" t="str">
        <f>IFERROR(INDEX(TAB_ressource[Import Ressource],MATCH(ROW()-ROW($AK$1),TAB_ressource[ID Import ressources],0)),"")</f>
        <v/>
      </c>
      <c r="BD422" t="s">
        <v>1876</v>
      </c>
      <c r="BE422" t="s">
        <v>1877</v>
      </c>
      <c r="BF422" t="s">
        <v>1878</v>
      </c>
      <c r="BG422" t="s">
        <v>1876</v>
      </c>
    </row>
    <row r="423" spans="13:59" x14ac:dyDescent="0.25">
      <c r="M423" t="str">
        <f>_xlfn.IFNA(IF(VLOOKUP(TAB_Offres[[#This Row],[Reference]],TAB_Offres[[Reference]:[Request State]],COLUMNS(TAB_Offres[[Reference]:[Request State]]),FALSE)=D$6,TAB_Offres[[#This Row],[Reference]],""),"")</f>
        <v/>
      </c>
      <c r="N423" t="str">
        <f>_xlfn.IFNA(IF(VLOOKUP(TAB_Offres[[#This Row],[Reference]],TAB_Offres[[Reference]:[Has Expenses?]],COLUMNS(TAB_Offres[[Reference]:[Has Expenses?]]),FALSE)=J$2,TAB_Offres[[#This Row],[Reference]],""),"")</f>
        <v/>
      </c>
      <c r="O423" t="str">
        <f>IF(Tableau19[[#This Row],[EXPENSES_REF]]="","",MAX(O$1:O422)+1)</f>
        <v/>
      </c>
      <c r="P423" t="str">
        <f t="shared" si="19"/>
        <v/>
      </c>
      <c r="AI423" s="191" t="str">
        <f>IFERROR(_xlfn.SINGLE(
IF(_xlfn.SINGLE(INDEX(TAB_Offres[Ressource 1],ROWS(Params!AI$2:$AI423)))=0,NA(),
INDEX(TAB_Offres[Ressource 1],ROWS(Params!AI$2:$AI423)))),
IFERROR(_xlfn.SINGLE(IF(_xlfn.SINGLE(INDEX(#REF!,ROWS(Params!AI$2:$AI423)-COUNTA(TAB_Offres[Ressource 1])))=0,NA(),
INDEX(#REF!,ROWS(Params!AI$2:$AI423)-COUNTA(TAB_Offres[Ressource 1])))),
IFERROR(_xlfn.SINGLE(IF(_xlfn.SINGLE(INDEX(#REF!,ROWS(Params!AI$2:$AI423)-COUNTA(#REF!)-COUNTA(TAB_Offres[Ressource 1])))=0,NA(),
INDEX(#REF!,ROWS(Params!AI$2:$AI423)-COUNTA(#REF!)-COUNTA(TAB_Offres[Ressource 1])))),""))
)</f>
        <v/>
      </c>
      <c r="AJ423" s="192" t="str">
        <f>IF(TAB_ressource[[#This Row],[Import Ressource]]="","",MAX(AJ$1:AJ422)+1)</f>
        <v/>
      </c>
      <c r="AK423" s="193" t="str">
        <f>IFERROR(INDEX(TAB_ressource[Import Ressource],MATCH(ROW()-ROW($AK$1),TAB_ressource[ID Import ressources],0)),"")</f>
        <v/>
      </c>
      <c r="BD423" t="s">
        <v>1879</v>
      </c>
      <c r="BE423" t="s">
        <v>1880</v>
      </c>
      <c r="BF423" t="s">
        <v>1881</v>
      </c>
      <c r="BG423" t="s">
        <v>1879</v>
      </c>
    </row>
    <row r="424" spans="13:59" x14ac:dyDescent="0.25">
      <c r="M424" t="str">
        <f>_xlfn.IFNA(IF(VLOOKUP(TAB_Offres[[#This Row],[Reference]],TAB_Offres[[Reference]:[Request State]],COLUMNS(TAB_Offres[[Reference]:[Request State]]),FALSE)=D$6,TAB_Offres[[#This Row],[Reference]],""),"")</f>
        <v/>
      </c>
      <c r="N424" t="str">
        <f>_xlfn.IFNA(IF(VLOOKUP(TAB_Offres[[#This Row],[Reference]],TAB_Offres[[Reference]:[Has Expenses?]],COLUMNS(TAB_Offres[[Reference]:[Has Expenses?]]),FALSE)=J$2,TAB_Offres[[#This Row],[Reference]],""),"")</f>
        <v/>
      </c>
      <c r="O424" t="str">
        <f>IF(Tableau19[[#This Row],[EXPENSES_REF]]="","",MAX(O$1:O423)+1)</f>
        <v/>
      </c>
      <c r="P424" t="str">
        <f t="shared" si="19"/>
        <v/>
      </c>
      <c r="AI424" s="191" t="str">
        <f>IFERROR(_xlfn.SINGLE(
IF(_xlfn.SINGLE(INDEX(TAB_Offres[Ressource 1],ROWS(Params!AI$2:$AI424)))=0,NA(),
INDEX(TAB_Offres[Ressource 1],ROWS(Params!AI$2:$AI424)))),
IFERROR(_xlfn.SINGLE(IF(_xlfn.SINGLE(INDEX(#REF!,ROWS(Params!AI$2:$AI424)-COUNTA(TAB_Offres[Ressource 1])))=0,NA(),
INDEX(#REF!,ROWS(Params!AI$2:$AI424)-COUNTA(TAB_Offres[Ressource 1])))),
IFERROR(_xlfn.SINGLE(IF(_xlfn.SINGLE(INDEX(#REF!,ROWS(Params!AI$2:$AI424)-COUNTA(#REF!)-COUNTA(TAB_Offres[Ressource 1])))=0,NA(),
INDEX(#REF!,ROWS(Params!AI$2:$AI424)-COUNTA(#REF!)-COUNTA(TAB_Offres[Ressource 1])))),""))
)</f>
        <v/>
      </c>
      <c r="AJ424" s="192" t="str">
        <f>IF(TAB_ressource[[#This Row],[Import Ressource]]="","",MAX(AJ$1:AJ423)+1)</f>
        <v/>
      </c>
      <c r="AK424" s="193" t="str">
        <f>IFERROR(INDEX(TAB_ressource[Import Ressource],MATCH(ROW()-ROW($AK$1),TAB_ressource[ID Import ressources],0)),"")</f>
        <v/>
      </c>
      <c r="BD424" t="s">
        <v>1882</v>
      </c>
      <c r="BE424" t="s">
        <v>1883</v>
      </c>
      <c r="BF424" t="s">
        <v>1884</v>
      </c>
      <c r="BG424" t="s">
        <v>1882</v>
      </c>
    </row>
    <row r="425" spans="13:59" x14ac:dyDescent="0.25">
      <c r="M425" t="str">
        <f>_xlfn.IFNA(IF(VLOOKUP(TAB_Offres[[#This Row],[Reference]],TAB_Offres[[Reference]:[Request State]],COLUMNS(TAB_Offres[[Reference]:[Request State]]),FALSE)=D$6,TAB_Offres[[#This Row],[Reference]],""),"")</f>
        <v/>
      </c>
      <c r="N425" t="str">
        <f>_xlfn.IFNA(IF(VLOOKUP(TAB_Offres[[#This Row],[Reference]],TAB_Offres[[Reference]:[Has Expenses?]],COLUMNS(TAB_Offres[[Reference]:[Has Expenses?]]),FALSE)=J$2,TAB_Offres[[#This Row],[Reference]],""),"")</f>
        <v/>
      </c>
      <c r="O425" t="str">
        <f>IF(Tableau19[[#This Row],[EXPENSES_REF]]="","",MAX(O$1:O424)+1)</f>
        <v/>
      </c>
      <c r="P425" t="str">
        <f t="shared" si="19"/>
        <v/>
      </c>
      <c r="AI425" s="191" t="str">
        <f>IFERROR(_xlfn.SINGLE(
IF(_xlfn.SINGLE(INDEX(TAB_Offres[Ressource 1],ROWS(Params!AI$2:$AI425)))=0,NA(),
INDEX(TAB_Offres[Ressource 1],ROWS(Params!AI$2:$AI425)))),
IFERROR(_xlfn.SINGLE(IF(_xlfn.SINGLE(INDEX(#REF!,ROWS(Params!AI$2:$AI425)-COUNTA(TAB_Offres[Ressource 1])))=0,NA(),
INDEX(#REF!,ROWS(Params!AI$2:$AI425)-COUNTA(TAB_Offres[Ressource 1])))),
IFERROR(_xlfn.SINGLE(IF(_xlfn.SINGLE(INDEX(#REF!,ROWS(Params!AI$2:$AI425)-COUNTA(#REF!)-COUNTA(TAB_Offres[Ressource 1])))=0,NA(),
INDEX(#REF!,ROWS(Params!AI$2:$AI425)-COUNTA(#REF!)-COUNTA(TAB_Offres[Ressource 1])))),""))
)</f>
        <v/>
      </c>
      <c r="AJ425" s="192" t="str">
        <f>IF(TAB_ressource[[#This Row],[Import Ressource]]="","",MAX(AJ$1:AJ424)+1)</f>
        <v/>
      </c>
      <c r="AK425" s="193" t="str">
        <f>IFERROR(INDEX(TAB_ressource[Import Ressource],MATCH(ROW()-ROW($AK$1),TAB_ressource[ID Import ressources],0)),"")</f>
        <v/>
      </c>
      <c r="BD425" t="s">
        <v>1885</v>
      </c>
      <c r="BE425" t="s">
        <v>1886</v>
      </c>
      <c r="BF425" t="s">
        <v>1887</v>
      </c>
      <c r="BG425" t="s">
        <v>1885</v>
      </c>
    </row>
    <row r="426" spans="13:59" x14ac:dyDescent="0.25">
      <c r="M426" t="str">
        <f>_xlfn.IFNA(IF(VLOOKUP(TAB_Offres[[#This Row],[Reference]],TAB_Offres[[Reference]:[Request State]],COLUMNS(TAB_Offres[[Reference]:[Request State]]),FALSE)=D$6,TAB_Offres[[#This Row],[Reference]],""),"")</f>
        <v/>
      </c>
      <c r="N426" t="str">
        <f>_xlfn.IFNA(IF(VLOOKUP(TAB_Offres[[#This Row],[Reference]],TAB_Offres[[Reference]:[Has Expenses?]],COLUMNS(TAB_Offres[[Reference]:[Has Expenses?]]),FALSE)=J$2,TAB_Offres[[#This Row],[Reference]],""),"")</f>
        <v/>
      </c>
      <c r="O426" t="str">
        <f>IF(Tableau19[[#This Row],[EXPENSES_REF]]="","",MAX(O$1:O425)+1)</f>
        <v/>
      </c>
      <c r="P426" t="str">
        <f t="shared" si="19"/>
        <v/>
      </c>
      <c r="AI426" s="191" t="str">
        <f>IFERROR(_xlfn.SINGLE(
IF(_xlfn.SINGLE(INDEX(TAB_Offres[Ressource 1],ROWS(Params!AI$2:$AI426)))=0,NA(),
INDEX(TAB_Offres[Ressource 1],ROWS(Params!AI$2:$AI426)))),
IFERROR(_xlfn.SINGLE(IF(_xlfn.SINGLE(INDEX(#REF!,ROWS(Params!AI$2:$AI426)-COUNTA(TAB_Offres[Ressource 1])))=0,NA(),
INDEX(#REF!,ROWS(Params!AI$2:$AI426)-COUNTA(TAB_Offres[Ressource 1])))),
IFERROR(_xlfn.SINGLE(IF(_xlfn.SINGLE(INDEX(#REF!,ROWS(Params!AI$2:$AI426)-COUNTA(#REF!)-COUNTA(TAB_Offres[Ressource 1])))=0,NA(),
INDEX(#REF!,ROWS(Params!AI$2:$AI426)-COUNTA(#REF!)-COUNTA(TAB_Offres[Ressource 1])))),""))
)</f>
        <v/>
      </c>
      <c r="AJ426" s="192" t="str">
        <f>IF(TAB_ressource[[#This Row],[Import Ressource]]="","",MAX(AJ$1:AJ425)+1)</f>
        <v/>
      </c>
      <c r="AK426" s="193" t="str">
        <f>IFERROR(INDEX(TAB_ressource[Import Ressource],MATCH(ROW()-ROW($AK$1),TAB_ressource[ID Import ressources],0)),"")</f>
        <v/>
      </c>
      <c r="BD426" t="s">
        <v>1888</v>
      </c>
      <c r="BE426" t="s">
        <v>1889</v>
      </c>
      <c r="BF426" t="s">
        <v>1890</v>
      </c>
      <c r="BG426" t="s">
        <v>1888</v>
      </c>
    </row>
    <row r="427" spans="13:59" x14ac:dyDescent="0.25">
      <c r="M427" t="str">
        <f>_xlfn.IFNA(IF(VLOOKUP(TAB_Offres[[#This Row],[Reference]],TAB_Offres[[Reference]:[Request State]],COLUMNS(TAB_Offres[[Reference]:[Request State]]),FALSE)=D$6,TAB_Offres[[#This Row],[Reference]],""),"")</f>
        <v/>
      </c>
      <c r="N427" t="str">
        <f>_xlfn.IFNA(IF(VLOOKUP(TAB_Offres[[#This Row],[Reference]],TAB_Offres[[Reference]:[Has Expenses?]],COLUMNS(TAB_Offres[[Reference]:[Has Expenses?]]),FALSE)=J$2,TAB_Offres[[#This Row],[Reference]],""),"")</f>
        <v/>
      </c>
      <c r="O427" t="str">
        <f>IF(Tableau19[[#This Row],[EXPENSES_REF]]="","",MAX(O$1:O426)+1)</f>
        <v/>
      </c>
      <c r="P427" t="str">
        <f t="shared" si="19"/>
        <v/>
      </c>
      <c r="AI427" s="191" t="str">
        <f>IFERROR(_xlfn.SINGLE(
IF(_xlfn.SINGLE(INDEX(TAB_Offres[Ressource 1],ROWS(Params!AI$2:$AI427)))=0,NA(),
INDEX(TAB_Offres[Ressource 1],ROWS(Params!AI$2:$AI427)))),
IFERROR(_xlfn.SINGLE(IF(_xlfn.SINGLE(INDEX(#REF!,ROWS(Params!AI$2:$AI427)-COUNTA(TAB_Offres[Ressource 1])))=0,NA(),
INDEX(#REF!,ROWS(Params!AI$2:$AI427)-COUNTA(TAB_Offres[Ressource 1])))),
IFERROR(_xlfn.SINGLE(IF(_xlfn.SINGLE(INDEX(#REF!,ROWS(Params!AI$2:$AI427)-COUNTA(#REF!)-COUNTA(TAB_Offres[Ressource 1])))=0,NA(),
INDEX(#REF!,ROWS(Params!AI$2:$AI427)-COUNTA(#REF!)-COUNTA(TAB_Offres[Ressource 1])))),""))
)</f>
        <v/>
      </c>
      <c r="AJ427" s="192" t="str">
        <f>IF(TAB_ressource[[#This Row],[Import Ressource]]="","",MAX(AJ$1:AJ426)+1)</f>
        <v/>
      </c>
      <c r="AK427" s="193" t="str">
        <f>IFERROR(INDEX(TAB_ressource[Import Ressource],MATCH(ROW()-ROW($AK$1),TAB_ressource[ID Import ressources],0)),"")</f>
        <v/>
      </c>
      <c r="BD427" t="s">
        <v>1891</v>
      </c>
      <c r="BE427" t="s">
        <v>1892</v>
      </c>
      <c r="BF427" t="s">
        <v>1893</v>
      </c>
      <c r="BG427" t="s">
        <v>1891</v>
      </c>
    </row>
    <row r="428" spans="13:59" x14ac:dyDescent="0.25">
      <c r="M428" t="str">
        <f>_xlfn.IFNA(IF(VLOOKUP(TAB_Offres[[#This Row],[Reference]],TAB_Offres[[Reference]:[Request State]],COLUMNS(TAB_Offres[[Reference]:[Request State]]),FALSE)=D$6,TAB_Offres[[#This Row],[Reference]],""),"")</f>
        <v/>
      </c>
      <c r="N428" t="str">
        <f>_xlfn.IFNA(IF(VLOOKUP(TAB_Offres[[#This Row],[Reference]],TAB_Offres[[Reference]:[Has Expenses?]],COLUMNS(TAB_Offres[[Reference]:[Has Expenses?]]),FALSE)=J$2,TAB_Offres[[#This Row],[Reference]],""),"")</f>
        <v/>
      </c>
      <c r="O428" t="str">
        <f>IF(Tableau19[[#This Row],[EXPENSES_REF]]="","",MAX(O$1:O427)+1)</f>
        <v/>
      </c>
      <c r="P428" t="str">
        <f t="shared" si="19"/>
        <v/>
      </c>
      <c r="AI428" s="191" t="str">
        <f>IFERROR(_xlfn.SINGLE(
IF(_xlfn.SINGLE(INDEX(TAB_Offres[Ressource 1],ROWS(Params!AI$2:$AI428)))=0,NA(),
INDEX(TAB_Offres[Ressource 1],ROWS(Params!AI$2:$AI428)))),
IFERROR(_xlfn.SINGLE(IF(_xlfn.SINGLE(INDEX(#REF!,ROWS(Params!AI$2:$AI428)-COUNTA(TAB_Offres[Ressource 1])))=0,NA(),
INDEX(#REF!,ROWS(Params!AI$2:$AI428)-COUNTA(TAB_Offres[Ressource 1])))),
IFERROR(_xlfn.SINGLE(IF(_xlfn.SINGLE(INDEX(#REF!,ROWS(Params!AI$2:$AI428)-COUNTA(#REF!)-COUNTA(TAB_Offres[Ressource 1])))=0,NA(),
INDEX(#REF!,ROWS(Params!AI$2:$AI428)-COUNTA(#REF!)-COUNTA(TAB_Offres[Ressource 1])))),""))
)</f>
        <v/>
      </c>
      <c r="AJ428" s="192" t="str">
        <f>IF(TAB_ressource[[#This Row],[Import Ressource]]="","",MAX(AJ$1:AJ427)+1)</f>
        <v/>
      </c>
      <c r="AK428" s="193" t="str">
        <f>IFERROR(INDEX(TAB_ressource[Import Ressource],MATCH(ROW()-ROW($AK$1),TAB_ressource[ID Import ressources],0)),"")</f>
        <v/>
      </c>
      <c r="BD428" t="s">
        <v>1894</v>
      </c>
      <c r="BE428" t="s">
        <v>1895</v>
      </c>
      <c r="BF428" t="s">
        <v>1896</v>
      </c>
      <c r="BG428" t="s">
        <v>1894</v>
      </c>
    </row>
    <row r="429" spans="13:59" x14ac:dyDescent="0.25">
      <c r="M429" t="str">
        <f>_xlfn.IFNA(IF(VLOOKUP(TAB_Offres[[#This Row],[Reference]],TAB_Offres[[Reference]:[Request State]],COLUMNS(TAB_Offres[[Reference]:[Request State]]),FALSE)=D$6,TAB_Offres[[#This Row],[Reference]],""),"")</f>
        <v/>
      </c>
      <c r="N429" t="str">
        <f>_xlfn.IFNA(IF(VLOOKUP(TAB_Offres[[#This Row],[Reference]],TAB_Offres[[Reference]:[Has Expenses?]],COLUMNS(TAB_Offres[[Reference]:[Has Expenses?]]),FALSE)=J$2,TAB_Offres[[#This Row],[Reference]],""),"")</f>
        <v/>
      </c>
      <c r="O429" t="str">
        <f>IF(Tableau19[[#This Row],[EXPENSES_REF]]="","",MAX(O$1:O428)+1)</f>
        <v/>
      </c>
      <c r="P429" t="str">
        <f t="shared" si="19"/>
        <v/>
      </c>
      <c r="AI429" s="191" t="str">
        <f>IFERROR(_xlfn.SINGLE(
IF(_xlfn.SINGLE(INDEX(TAB_Offres[Ressource 1],ROWS(Params!AI$2:$AI429)))=0,NA(),
INDEX(TAB_Offres[Ressource 1],ROWS(Params!AI$2:$AI429)))),
IFERROR(_xlfn.SINGLE(IF(_xlfn.SINGLE(INDEX(#REF!,ROWS(Params!AI$2:$AI429)-COUNTA(TAB_Offres[Ressource 1])))=0,NA(),
INDEX(#REF!,ROWS(Params!AI$2:$AI429)-COUNTA(TAB_Offres[Ressource 1])))),
IFERROR(_xlfn.SINGLE(IF(_xlfn.SINGLE(INDEX(#REF!,ROWS(Params!AI$2:$AI429)-COUNTA(#REF!)-COUNTA(TAB_Offres[Ressource 1])))=0,NA(),
INDEX(#REF!,ROWS(Params!AI$2:$AI429)-COUNTA(#REF!)-COUNTA(TAB_Offres[Ressource 1])))),""))
)</f>
        <v/>
      </c>
      <c r="AJ429" s="192" t="str">
        <f>IF(TAB_ressource[[#This Row],[Import Ressource]]="","",MAX(AJ$1:AJ428)+1)</f>
        <v/>
      </c>
      <c r="AK429" s="193" t="str">
        <f>IFERROR(INDEX(TAB_ressource[Import Ressource],MATCH(ROW()-ROW($AK$1),TAB_ressource[ID Import ressources],0)),"")</f>
        <v/>
      </c>
      <c r="BD429" t="s">
        <v>1897</v>
      </c>
      <c r="BE429" t="s">
        <v>1898</v>
      </c>
      <c r="BF429" t="s">
        <v>1899</v>
      </c>
      <c r="BG429" t="s">
        <v>1897</v>
      </c>
    </row>
    <row r="430" spans="13:59" x14ac:dyDescent="0.25">
      <c r="M430" t="str">
        <f>_xlfn.IFNA(IF(VLOOKUP(TAB_Offres[[#This Row],[Reference]],TAB_Offres[[Reference]:[Request State]],COLUMNS(TAB_Offres[[Reference]:[Request State]]),FALSE)=D$6,TAB_Offres[[#This Row],[Reference]],""),"")</f>
        <v/>
      </c>
      <c r="N430" t="str">
        <f>_xlfn.IFNA(IF(VLOOKUP(TAB_Offres[[#This Row],[Reference]],TAB_Offres[[Reference]:[Has Expenses?]],COLUMNS(TAB_Offres[[Reference]:[Has Expenses?]]),FALSE)=J$2,TAB_Offres[[#This Row],[Reference]],""),"")</f>
        <v/>
      </c>
      <c r="O430" t="str">
        <f>IF(Tableau19[[#This Row],[EXPENSES_REF]]="","",MAX(O$1:O429)+1)</f>
        <v/>
      </c>
      <c r="P430" t="str">
        <f t="shared" si="19"/>
        <v/>
      </c>
      <c r="AI430" s="191" t="str">
        <f>IFERROR(_xlfn.SINGLE(
IF(_xlfn.SINGLE(INDEX(TAB_Offres[Ressource 1],ROWS(Params!AI$2:$AI430)))=0,NA(),
INDEX(TAB_Offres[Ressource 1],ROWS(Params!AI$2:$AI430)))),
IFERROR(_xlfn.SINGLE(IF(_xlfn.SINGLE(INDEX(#REF!,ROWS(Params!AI$2:$AI430)-COUNTA(TAB_Offres[Ressource 1])))=0,NA(),
INDEX(#REF!,ROWS(Params!AI$2:$AI430)-COUNTA(TAB_Offres[Ressource 1])))),
IFERROR(_xlfn.SINGLE(IF(_xlfn.SINGLE(INDEX(#REF!,ROWS(Params!AI$2:$AI430)-COUNTA(#REF!)-COUNTA(TAB_Offres[Ressource 1])))=0,NA(),
INDEX(#REF!,ROWS(Params!AI$2:$AI430)-COUNTA(#REF!)-COUNTA(TAB_Offres[Ressource 1])))),""))
)</f>
        <v/>
      </c>
      <c r="AJ430" s="192" t="str">
        <f>IF(TAB_ressource[[#This Row],[Import Ressource]]="","",MAX(AJ$1:AJ429)+1)</f>
        <v/>
      </c>
      <c r="AK430" s="193" t="str">
        <f>IFERROR(INDEX(TAB_ressource[Import Ressource],MATCH(ROW()-ROW($AK$1),TAB_ressource[ID Import ressources],0)),"")</f>
        <v/>
      </c>
      <c r="BD430" t="s">
        <v>1900</v>
      </c>
      <c r="BE430" t="s">
        <v>1901</v>
      </c>
      <c r="BF430" t="s">
        <v>1902</v>
      </c>
      <c r="BG430" t="s">
        <v>1900</v>
      </c>
    </row>
    <row r="431" spans="13:59" x14ac:dyDescent="0.25">
      <c r="M431" t="str">
        <f>_xlfn.IFNA(IF(VLOOKUP(TAB_Offres[[#This Row],[Reference]],TAB_Offres[[Reference]:[Request State]],COLUMNS(TAB_Offres[[Reference]:[Request State]]),FALSE)=D$6,TAB_Offres[[#This Row],[Reference]],""),"")</f>
        <v/>
      </c>
      <c r="N431" t="str">
        <f>_xlfn.IFNA(IF(VLOOKUP(TAB_Offres[[#This Row],[Reference]],TAB_Offres[[Reference]:[Has Expenses?]],COLUMNS(TAB_Offres[[Reference]:[Has Expenses?]]),FALSE)=J$2,TAB_Offres[[#This Row],[Reference]],""),"")</f>
        <v/>
      </c>
      <c r="O431" t="str">
        <f>IF(Tableau19[[#This Row],[EXPENSES_REF]]="","",MAX(O$1:O430)+1)</f>
        <v/>
      </c>
      <c r="P431" t="str">
        <f t="shared" si="19"/>
        <v/>
      </c>
      <c r="AI431" s="191" t="str">
        <f>IFERROR(_xlfn.SINGLE(
IF(_xlfn.SINGLE(INDEX(TAB_Offres[Ressource 1],ROWS(Params!AI$2:$AI431)))=0,NA(),
INDEX(TAB_Offres[Ressource 1],ROWS(Params!AI$2:$AI431)))),
IFERROR(_xlfn.SINGLE(IF(_xlfn.SINGLE(INDEX(#REF!,ROWS(Params!AI$2:$AI431)-COUNTA(TAB_Offres[Ressource 1])))=0,NA(),
INDEX(#REF!,ROWS(Params!AI$2:$AI431)-COUNTA(TAB_Offres[Ressource 1])))),
IFERROR(_xlfn.SINGLE(IF(_xlfn.SINGLE(INDEX(#REF!,ROWS(Params!AI$2:$AI431)-COUNTA(#REF!)-COUNTA(TAB_Offres[Ressource 1])))=0,NA(),
INDEX(#REF!,ROWS(Params!AI$2:$AI431)-COUNTA(#REF!)-COUNTA(TAB_Offres[Ressource 1])))),""))
)</f>
        <v/>
      </c>
      <c r="AJ431" s="192" t="str">
        <f>IF(TAB_ressource[[#This Row],[Import Ressource]]="","",MAX(AJ$1:AJ430)+1)</f>
        <v/>
      </c>
      <c r="AK431" s="193" t="str">
        <f>IFERROR(INDEX(TAB_ressource[Import Ressource],MATCH(ROW()-ROW($AK$1),TAB_ressource[ID Import ressources],0)),"")</f>
        <v/>
      </c>
      <c r="BD431" t="s">
        <v>1903</v>
      </c>
      <c r="BE431" t="s">
        <v>1904</v>
      </c>
      <c r="BF431" t="s">
        <v>1905</v>
      </c>
      <c r="BG431" t="s">
        <v>1903</v>
      </c>
    </row>
    <row r="432" spans="13:59" x14ac:dyDescent="0.25">
      <c r="M432" t="str">
        <f>_xlfn.IFNA(IF(VLOOKUP(TAB_Offres[[#This Row],[Reference]],TAB_Offres[[Reference]:[Request State]],COLUMNS(TAB_Offres[[Reference]:[Request State]]),FALSE)=D$6,TAB_Offres[[#This Row],[Reference]],""),"")</f>
        <v/>
      </c>
      <c r="N432" t="str">
        <f>_xlfn.IFNA(IF(VLOOKUP(TAB_Offres[[#This Row],[Reference]],TAB_Offres[[Reference]:[Has Expenses?]],COLUMNS(TAB_Offres[[Reference]:[Has Expenses?]]),FALSE)=J$2,TAB_Offres[[#This Row],[Reference]],""),"")</f>
        <v/>
      </c>
      <c r="O432" t="str">
        <f>IF(Tableau19[[#This Row],[EXPENSES_REF]]="","",MAX(O$1:O431)+1)</f>
        <v/>
      </c>
      <c r="P432" t="str">
        <f t="shared" si="19"/>
        <v/>
      </c>
      <c r="AI432" s="191" t="str">
        <f>IFERROR(_xlfn.SINGLE(
IF(_xlfn.SINGLE(INDEX(TAB_Offres[Ressource 1],ROWS(Params!AI$2:$AI432)))=0,NA(),
INDEX(TAB_Offres[Ressource 1],ROWS(Params!AI$2:$AI432)))),
IFERROR(_xlfn.SINGLE(IF(_xlfn.SINGLE(INDEX(#REF!,ROWS(Params!AI$2:$AI432)-COUNTA(TAB_Offres[Ressource 1])))=0,NA(),
INDEX(#REF!,ROWS(Params!AI$2:$AI432)-COUNTA(TAB_Offres[Ressource 1])))),
IFERROR(_xlfn.SINGLE(IF(_xlfn.SINGLE(INDEX(#REF!,ROWS(Params!AI$2:$AI432)-COUNTA(#REF!)-COUNTA(TAB_Offres[Ressource 1])))=0,NA(),
INDEX(#REF!,ROWS(Params!AI$2:$AI432)-COUNTA(#REF!)-COUNTA(TAB_Offres[Ressource 1])))),""))
)</f>
        <v/>
      </c>
      <c r="AJ432" s="192" t="str">
        <f>IF(TAB_ressource[[#This Row],[Import Ressource]]="","",MAX(AJ$1:AJ431)+1)</f>
        <v/>
      </c>
      <c r="AK432" s="193" t="str">
        <f>IFERROR(INDEX(TAB_ressource[Import Ressource],MATCH(ROW()-ROW($AK$1),TAB_ressource[ID Import ressources],0)),"")</f>
        <v/>
      </c>
      <c r="BD432" t="s">
        <v>1906</v>
      </c>
      <c r="BE432" t="s">
        <v>1907</v>
      </c>
      <c r="BF432" t="s">
        <v>1908</v>
      </c>
      <c r="BG432" t="s">
        <v>1906</v>
      </c>
    </row>
    <row r="433" spans="13:59" x14ac:dyDescent="0.25">
      <c r="M433" t="str">
        <f>_xlfn.IFNA(IF(VLOOKUP(TAB_Offres[[#This Row],[Reference]],TAB_Offres[[Reference]:[Request State]],COLUMNS(TAB_Offres[[Reference]:[Request State]]),FALSE)=D$6,TAB_Offres[[#This Row],[Reference]],""),"")</f>
        <v/>
      </c>
      <c r="N433" t="str">
        <f>_xlfn.IFNA(IF(VLOOKUP(TAB_Offres[[#This Row],[Reference]],TAB_Offres[[Reference]:[Has Expenses?]],COLUMNS(TAB_Offres[[Reference]:[Has Expenses?]]),FALSE)=J$2,TAB_Offres[[#This Row],[Reference]],""),"")</f>
        <v/>
      </c>
      <c r="O433" t="str">
        <f>IF(Tableau19[[#This Row],[EXPENSES_REF]]="","",MAX(O$1:O432)+1)</f>
        <v/>
      </c>
      <c r="P433" t="str">
        <f t="shared" si="19"/>
        <v/>
      </c>
      <c r="AI433" s="191" t="str">
        <f>IFERROR(_xlfn.SINGLE(
IF(_xlfn.SINGLE(INDEX(TAB_Offres[Ressource 1],ROWS(Params!AI$2:$AI433)))=0,NA(),
INDEX(TAB_Offres[Ressource 1],ROWS(Params!AI$2:$AI433)))),
IFERROR(_xlfn.SINGLE(IF(_xlfn.SINGLE(INDEX(#REF!,ROWS(Params!AI$2:$AI433)-COUNTA(TAB_Offres[Ressource 1])))=0,NA(),
INDEX(#REF!,ROWS(Params!AI$2:$AI433)-COUNTA(TAB_Offres[Ressource 1])))),
IFERROR(_xlfn.SINGLE(IF(_xlfn.SINGLE(INDEX(#REF!,ROWS(Params!AI$2:$AI433)-COUNTA(#REF!)-COUNTA(TAB_Offres[Ressource 1])))=0,NA(),
INDEX(#REF!,ROWS(Params!AI$2:$AI433)-COUNTA(#REF!)-COUNTA(TAB_Offres[Ressource 1])))),""))
)</f>
        <v/>
      </c>
      <c r="AJ433" s="192" t="str">
        <f>IF(TAB_ressource[[#This Row],[Import Ressource]]="","",MAX(AJ$1:AJ432)+1)</f>
        <v/>
      </c>
      <c r="AK433" s="193" t="str">
        <f>IFERROR(INDEX(TAB_ressource[Import Ressource],MATCH(ROW()-ROW($AK$1),TAB_ressource[ID Import ressources],0)),"")</f>
        <v/>
      </c>
      <c r="BD433" t="s">
        <v>1909</v>
      </c>
      <c r="BE433" t="s">
        <v>1910</v>
      </c>
      <c r="BF433" t="s">
        <v>1911</v>
      </c>
      <c r="BG433" t="s">
        <v>1909</v>
      </c>
    </row>
    <row r="434" spans="13:59" x14ac:dyDescent="0.25">
      <c r="M434" t="str">
        <f>_xlfn.IFNA(IF(VLOOKUP(TAB_Offres[[#This Row],[Reference]],TAB_Offres[[Reference]:[Request State]],COLUMNS(TAB_Offres[[Reference]:[Request State]]),FALSE)=D$6,TAB_Offres[[#This Row],[Reference]],""),"")</f>
        <v/>
      </c>
      <c r="N434" t="str">
        <f>_xlfn.IFNA(IF(VLOOKUP(TAB_Offres[[#This Row],[Reference]],TAB_Offres[[Reference]:[Has Expenses?]],COLUMNS(TAB_Offres[[Reference]:[Has Expenses?]]),FALSE)=J$2,TAB_Offres[[#This Row],[Reference]],""),"")</f>
        <v/>
      </c>
      <c r="O434" t="str">
        <f>IF(Tableau19[[#This Row],[EXPENSES_REF]]="","",MAX(O$1:O433)+1)</f>
        <v/>
      </c>
      <c r="P434" t="str">
        <f t="shared" si="19"/>
        <v/>
      </c>
      <c r="AI434" s="191" t="str">
        <f>IFERROR(_xlfn.SINGLE(
IF(_xlfn.SINGLE(INDEX(TAB_Offres[Ressource 1],ROWS(Params!AI$2:$AI434)))=0,NA(),
INDEX(TAB_Offres[Ressource 1],ROWS(Params!AI$2:$AI434)))),
IFERROR(_xlfn.SINGLE(IF(_xlfn.SINGLE(INDEX(#REF!,ROWS(Params!AI$2:$AI434)-COUNTA(TAB_Offres[Ressource 1])))=0,NA(),
INDEX(#REF!,ROWS(Params!AI$2:$AI434)-COUNTA(TAB_Offres[Ressource 1])))),
IFERROR(_xlfn.SINGLE(IF(_xlfn.SINGLE(INDEX(#REF!,ROWS(Params!AI$2:$AI434)-COUNTA(#REF!)-COUNTA(TAB_Offres[Ressource 1])))=0,NA(),
INDEX(#REF!,ROWS(Params!AI$2:$AI434)-COUNTA(#REF!)-COUNTA(TAB_Offres[Ressource 1])))),""))
)</f>
        <v/>
      </c>
      <c r="AJ434" s="192" t="str">
        <f>IF(TAB_ressource[[#This Row],[Import Ressource]]="","",MAX(AJ$1:AJ433)+1)</f>
        <v/>
      </c>
      <c r="AK434" s="193" t="str">
        <f>IFERROR(INDEX(TAB_ressource[Import Ressource],MATCH(ROW()-ROW($AK$1),TAB_ressource[ID Import ressources],0)),"")</f>
        <v/>
      </c>
      <c r="BD434" t="s">
        <v>1912</v>
      </c>
      <c r="BE434" t="s">
        <v>1913</v>
      </c>
      <c r="BF434" t="s">
        <v>1914</v>
      </c>
      <c r="BG434" t="s">
        <v>1912</v>
      </c>
    </row>
    <row r="435" spans="13:59" x14ac:dyDescent="0.25">
      <c r="M435" t="str">
        <f>_xlfn.IFNA(IF(VLOOKUP(TAB_Offres[[#This Row],[Reference]],TAB_Offres[[Reference]:[Request State]],COLUMNS(TAB_Offres[[Reference]:[Request State]]),FALSE)=D$6,TAB_Offres[[#This Row],[Reference]],""),"")</f>
        <v/>
      </c>
      <c r="N435" t="str">
        <f>_xlfn.IFNA(IF(VLOOKUP(TAB_Offres[[#This Row],[Reference]],TAB_Offres[[Reference]:[Has Expenses?]],COLUMNS(TAB_Offres[[Reference]:[Has Expenses?]]),FALSE)=J$2,TAB_Offres[[#This Row],[Reference]],""),"")</f>
        <v/>
      </c>
      <c r="O435" t="str">
        <f>IF(Tableau19[[#This Row],[EXPENSES_REF]]="","",MAX(O$1:O434)+1)</f>
        <v/>
      </c>
      <c r="P435" t="str">
        <f t="shared" si="19"/>
        <v/>
      </c>
      <c r="AI435" s="191" t="str">
        <f>IFERROR(_xlfn.SINGLE(
IF(_xlfn.SINGLE(INDEX(TAB_Offres[Ressource 1],ROWS(Params!AI$2:$AI435)))=0,NA(),
INDEX(TAB_Offres[Ressource 1],ROWS(Params!AI$2:$AI435)))),
IFERROR(_xlfn.SINGLE(IF(_xlfn.SINGLE(INDEX(#REF!,ROWS(Params!AI$2:$AI435)-COUNTA(TAB_Offres[Ressource 1])))=0,NA(),
INDEX(#REF!,ROWS(Params!AI$2:$AI435)-COUNTA(TAB_Offres[Ressource 1])))),
IFERROR(_xlfn.SINGLE(IF(_xlfn.SINGLE(INDEX(#REF!,ROWS(Params!AI$2:$AI435)-COUNTA(#REF!)-COUNTA(TAB_Offres[Ressource 1])))=0,NA(),
INDEX(#REF!,ROWS(Params!AI$2:$AI435)-COUNTA(#REF!)-COUNTA(TAB_Offres[Ressource 1])))),""))
)</f>
        <v/>
      </c>
      <c r="AJ435" s="192" t="str">
        <f>IF(TAB_ressource[[#This Row],[Import Ressource]]="","",MAX(AJ$1:AJ434)+1)</f>
        <v/>
      </c>
      <c r="AK435" s="193" t="str">
        <f>IFERROR(INDEX(TAB_ressource[Import Ressource],MATCH(ROW()-ROW($AK$1),TAB_ressource[ID Import ressources],0)),"")</f>
        <v/>
      </c>
      <c r="BD435" t="s">
        <v>1915</v>
      </c>
      <c r="BE435" t="s">
        <v>1916</v>
      </c>
      <c r="BF435" t="s">
        <v>1917</v>
      </c>
      <c r="BG435" t="s">
        <v>1915</v>
      </c>
    </row>
    <row r="436" spans="13:59" x14ac:dyDescent="0.25">
      <c r="M436" t="str">
        <f>_xlfn.IFNA(IF(VLOOKUP(TAB_Offres[[#This Row],[Reference]],TAB_Offres[[Reference]:[Request State]],COLUMNS(TAB_Offres[[Reference]:[Request State]]),FALSE)=D$6,TAB_Offres[[#This Row],[Reference]],""),"")</f>
        <v/>
      </c>
      <c r="N436" t="str">
        <f>_xlfn.IFNA(IF(VLOOKUP(TAB_Offres[[#This Row],[Reference]],TAB_Offres[[Reference]:[Has Expenses?]],COLUMNS(TAB_Offres[[Reference]:[Has Expenses?]]),FALSE)=J$2,TAB_Offres[[#This Row],[Reference]],""),"")</f>
        <v/>
      </c>
      <c r="O436" t="str">
        <f>IF(Tableau19[[#This Row],[EXPENSES_REF]]="","",MAX(O$1:O435)+1)</f>
        <v/>
      </c>
      <c r="P436" t="str">
        <f t="shared" si="19"/>
        <v/>
      </c>
      <c r="AI436" s="191" t="str">
        <f>IFERROR(_xlfn.SINGLE(
IF(_xlfn.SINGLE(INDEX(TAB_Offres[Ressource 1],ROWS(Params!AI$2:$AI436)))=0,NA(),
INDEX(TAB_Offres[Ressource 1],ROWS(Params!AI$2:$AI436)))),
IFERROR(_xlfn.SINGLE(IF(_xlfn.SINGLE(INDEX(#REF!,ROWS(Params!AI$2:$AI436)-COUNTA(TAB_Offres[Ressource 1])))=0,NA(),
INDEX(#REF!,ROWS(Params!AI$2:$AI436)-COUNTA(TAB_Offres[Ressource 1])))),
IFERROR(_xlfn.SINGLE(IF(_xlfn.SINGLE(INDEX(#REF!,ROWS(Params!AI$2:$AI436)-COUNTA(#REF!)-COUNTA(TAB_Offres[Ressource 1])))=0,NA(),
INDEX(#REF!,ROWS(Params!AI$2:$AI436)-COUNTA(#REF!)-COUNTA(TAB_Offres[Ressource 1])))),""))
)</f>
        <v/>
      </c>
      <c r="AJ436" s="192" t="str">
        <f>IF(TAB_ressource[[#This Row],[Import Ressource]]="","",MAX(AJ$1:AJ435)+1)</f>
        <v/>
      </c>
      <c r="AK436" s="193" t="str">
        <f>IFERROR(INDEX(TAB_ressource[Import Ressource],MATCH(ROW()-ROW($AK$1),TAB_ressource[ID Import ressources],0)),"")</f>
        <v/>
      </c>
      <c r="BD436" t="s">
        <v>1918</v>
      </c>
      <c r="BE436" t="s">
        <v>1919</v>
      </c>
      <c r="BF436" t="s">
        <v>1920</v>
      </c>
      <c r="BG436" t="s">
        <v>1918</v>
      </c>
    </row>
    <row r="437" spans="13:59" x14ac:dyDescent="0.25">
      <c r="M437" t="str">
        <f>_xlfn.IFNA(IF(VLOOKUP(TAB_Offres[[#This Row],[Reference]],TAB_Offres[[Reference]:[Request State]],COLUMNS(TAB_Offres[[Reference]:[Request State]]),FALSE)=D$6,TAB_Offres[[#This Row],[Reference]],""),"")</f>
        <v/>
      </c>
      <c r="N437" t="str">
        <f>_xlfn.IFNA(IF(VLOOKUP(TAB_Offres[[#This Row],[Reference]],TAB_Offres[[Reference]:[Has Expenses?]],COLUMNS(TAB_Offres[[Reference]:[Has Expenses?]]),FALSE)=J$2,TAB_Offres[[#This Row],[Reference]],""),"")</f>
        <v/>
      </c>
      <c r="O437" t="str">
        <f>IF(Tableau19[[#This Row],[EXPENSES_REF]]="","",MAX(O$1:O436)+1)</f>
        <v/>
      </c>
      <c r="P437" t="str">
        <f t="shared" si="19"/>
        <v/>
      </c>
      <c r="AI437" s="191" t="str">
        <f>IFERROR(_xlfn.SINGLE(
IF(_xlfn.SINGLE(INDEX(TAB_Offres[Ressource 1],ROWS(Params!AI$2:$AI437)))=0,NA(),
INDEX(TAB_Offres[Ressource 1],ROWS(Params!AI$2:$AI437)))),
IFERROR(_xlfn.SINGLE(IF(_xlfn.SINGLE(INDEX(#REF!,ROWS(Params!AI$2:$AI437)-COUNTA(TAB_Offres[Ressource 1])))=0,NA(),
INDEX(#REF!,ROWS(Params!AI$2:$AI437)-COUNTA(TAB_Offres[Ressource 1])))),
IFERROR(_xlfn.SINGLE(IF(_xlfn.SINGLE(INDEX(#REF!,ROWS(Params!AI$2:$AI437)-COUNTA(#REF!)-COUNTA(TAB_Offres[Ressource 1])))=0,NA(),
INDEX(#REF!,ROWS(Params!AI$2:$AI437)-COUNTA(#REF!)-COUNTA(TAB_Offres[Ressource 1])))),""))
)</f>
        <v/>
      </c>
      <c r="AJ437" s="192" t="str">
        <f>IF(TAB_ressource[[#This Row],[Import Ressource]]="","",MAX(AJ$1:AJ436)+1)</f>
        <v/>
      </c>
      <c r="AK437" s="193" t="str">
        <f>IFERROR(INDEX(TAB_ressource[Import Ressource],MATCH(ROW()-ROW($AK$1),TAB_ressource[ID Import ressources],0)),"")</f>
        <v/>
      </c>
      <c r="BD437" t="s">
        <v>1921</v>
      </c>
      <c r="BE437" t="s">
        <v>1922</v>
      </c>
      <c r="BF437" t="s">
        <v>1923</v>
      </c>
      <c r="BG437" t="s">
        <v>1921</v>
      </c>
    </row>
    <row r="438" spans="13:59" x14ac:dyDescent="0.25">
      <c r="M438" t="str">
        <f>_xlfn.IFNA(IF(VLOOKUP(TAB_Offres[[#This Row],[Reference]],TAB_Offres[[Reference]:[Request State]],COLUMNS(TAB_Offres[[Reference]:[Request State]]),FALSE)=D$6,TAB_Offres[[#This Row],[Reference]],""),"")</f>
        <v/>
      </c>
      <c r="N438" t="str">
        <f>_xlfn.IFNA(IF(VLOOKUP(TAB_Offres[[#This Row],[Reference]],TAB_Offres[[Reference]:[Has Expenses?]],COLUMNS(TAB_Offres[[Reference]:[Has Expenses?]]),FALSE)=J$2,TAB_Offres[[#This Row],[Reference]],""),"")</f>
        <v/>
      </c>
      <c r="O438" t="str">
        <f>IF(Tableau19[[#This Row],[EXPENSES_REF]]="","",MAX(O$1:O437)+1)</f>
        <v/>
      </c>
      <c r="P438" t="str">
        <f t="shared" si="19"/>
        <v/>
      </c>
      <c r="AI438" s="191" t="str">
        <f>IFERROR(_xlfn.SINGLE(
IF(_xlfn.SINGLE(INDEX(TAB_Offres[Ressource 1],ROWS(Params!AI$2:$AI438)))=0,NA(),
INDEX(TAB_Offres[Ressource 1],ROWS(Params!AI$2:$AI438)))),
IFERROR(_xlfn.SINGLE(IF(_xlfn.SINGLE(INDEX(#REF!,ROWS(Params!AI$2:$AI438)-COUNTA(TAB_Offres[Ressource 1])))=0,NA(),
INDEX(#REF!,ROWS(Params!AI$2:$AI438)-COUNTA(TAB_Offres[Ressource 1])))),
IFERROR(_xlfn.SINGLE(IF(_xlfn.SINGLE(INDEX(#REF!,ROWS(Params!AI$2:$AI438)-COUNTA(#REF!)-COUNTA(TAB_Offres[Ressource 1])))=0,NA(),
INDEX(#REF!,ROWS(Params!AI$2:$AI438)-COUNTA(#REF!)-COUNTA(TAB_Offres[Ressource 1])))),""))
)</f>
        <v/>
      </c>
      <c r="AJ438" s="192" t="str">
        <f>IF(TAB_ressource[[#This Row],[Import Ressource]]="","",MAX(AJ$1:AJ437)+1)</f>
        <v/>
      </c>
      <c r="AK438" s="193" t="str">
        <f>IFERROR(INDEX(TAB_ressource[Import Ressource],MATCH(ROW()-ROW($AK$1),TAB_ressource[ID Import ressources],0)),"")</f>
        <v/>
      </c>
      <c r="BD438" t="s">
        <v>1924</v>
      </c>
      <c r="BE438" t="s">
        <v>1925</v>
      </c>
      <c r="BF438" t="s">
        <v>1926</v>
      </c>
      <c r="BG438" t="s">
        <v>1924</v>
      </c>
    </row>
    <row r="439" spans="13:59" x14ac:dyDescent="0.25">
      <c r="M439" t="str">
        <f>_xlfn.IFNA(IF(VLOOKUP(TAB_Offres[[#This Row],[Reference]],TAB_Offres[[Reference]:[Request State]],COLUMNS(TAB_Offres[[Reference]:[Request State]]),FALSE)=D$6,TAB_Offres[[#This Row],[Reference]],""),"")</f>
        <v/>
      </c>
      <c r="N439" t="str">
        <f>_xlfn.IFNA(IF(VLOOKUP(TAB_Offres[[#This Row],[Reference]],TAB_Offres[[Reference]:[Has Expenses?]],COLUMNS(TAB_Offres[[Reference]:[Has Expenses?]]),FALSE)=J$2,TAB_Offres[[#This Row],[Reference]],""),"")</f>
        <v/>
      </c>
      <c r="O439" t="str">
        <f>IF(Tableau19[[#This Row],[EXPENSES_REF]]="","",MAX(O$1:O438)+1)</f>
        <v/>
      </c>
      <c r="P439" t="str">
        <f t="shared" si="19"/>
        <v/>
      </c>
      <c r="AI439" s="191" t="str">
        <f>IFERROR(_xlfn.SINGLE(
IF(_xlfn.SINGLE(INDEX(TAB_Offres[Ressource 1],ROWS(Params!AI$2:$AI439)))=0,NA(),
INDEX(TAB_Offres[Ressource 1],ROWS(Params!AI$2:$AI439)))),
IFERROR(_xlfn.SINGLE(IF(_xlfn.SINGLE(INDEX(#REF!,ROWS(Params!AI$2:$AI439)-COUNTA(TAB_Offres[Ressource 1])))=0,NA(),
INDEX(#REF!,ROWS(Params!AI$2:$AI439)-COUNTA(TAB_Offres[Ressource 1])))),
IFERROR(_xlfn.SINGLE(IF(_xlfn.SINGLE(INDEX(#REF!,ROWS(Params!AI$2:$AI439)-COUNTA(#REF!)-COUNTA(TAB_Offres[Ressource 1])))=0,NA(),
INDEX(#REF!,ROWS(Params!AI$2:$AI439)-COUNTA(#REF!)-COUNTA(TAB_Offres[Ressource 1])))),""))
)</f>
        <v/>
      </c>
      <c r="AJ439" s="192" t="str">
        <f>IF(TAB_ressource[[#This Row],[Import Ressource]]="","",MAX(AJ$1:AJ438)+1)</f>
        <v/>
      </c>
      <c r="AK439" s="193" t="str">
        <f>IFERROR(INDEX(TAB_ressource[Import Ressource],MATCH(ROW()-ROW($AK$1),TAB_ressource[ID Import ressources],0)),"")</f>
        <v/>
      </c>
      <c r="BD439" t="s">
        <v>1927</v>
      </c>
      <c r="BE439" t="s">
        <v>1928</v>
      </c>
      <c r="BF439" t="s">
        <v>1929</v>
      </c>
      <c r="BG439" t="s">
        <v>1927</v>
      </c>
    </row>
    <row r="440" spans="13:59" x14ac:dyDescent="0.25">
      <c r="M440" t="str">
        <f>_xlfn.IFNA(IF(VLOOKUP(TAB_Offres[[#This Row],[Reference]],TAB_Offres[[Reference]:[Request State]],COLUMNS(TAB_Offres[[Reference]:[Request State]]),FALSE)=D$6,TAB_Offres[[#This Row],[Reference]],""),"")</f>
        <v/>
      </c>
      <c r="N440" t="str">
        <f>_xlfn.IFNA(IF(VLOOKUP(TAB_Offres[[#This Row],[Reference]],TAB_Offres[[Reference]:[Has Expenses?]],COLUMNS(TAB_Offres[[Reference]:[Has Expenses?]]),FALSE)=J$2,TAB_Offres[[#This Row],[Reference]],""),"")</f>
        <v/>
      </c>
      <c r="O440" t="str">
        <f>IF(Tableau19[[#This Row],[EXPENSES_REF]]="","",MAX(O$1:O439)+1)</f>
        <v/>
      </c>
      <c r="P440" t="str">
        <f t="shared" si="19"/>
        <v/>
      </c>
      <c r="AI440" s="191" t="str">
        <f>IFERROR(_xlfn.SINGLE(
IF(_xlfn.SINGLE(INDEX(TAB_Offres[Ressource 1],ROWS(Params!AI$2:$AI440)))=0,NA(),
INDEX(TAB_Offres[Ressource 1],ROWS(Params!AI$2:$AI440)))),
IFERROR(_xlfn.SINGLE(IF(_xlfn.SINGLE(INDEX(#REF!,ROWS(Params!AI$2:$AI440)-COUNTA(TAB_Offres[Ressource 1])))=0,NA(),
INDEX(#REF!,ROWS(Params!AI$2:$AI440)-COUNTA(TAB_Offres[Ressource 1])))),
IFERROR(_xlfn.SINGLE(IF(_xlfn.SINGLE(INDEX(#REF!,ROWS(Params!AI$2:$AI440)-COUNTA(#REF!)-COUNTA(TAB_Offres[Ressource 1])))=0,NA(),
INDEX(#REF!,ROWS(Params!AI$2:$AI440)-COUNTA(#REF!)-COUNTA(TAB_Offres[Ressource 1])))),""))
)</f>
        <v/>
      </c>
      <c r="AJ440" s="192" t="str">
        <f>IF(TAB_ressource[[#This Row],[Import Ressource]]="","",MAX(AJ$1:AJ439)+1)</f>
        <v/>
      </c>
      <c r="AK440" s="193" t="str">
        <f>IFERROR(INDEX(TAB_ressource[Import Ressource],MATCH(ROW()-ROW($AK$1),TAB_ressource[ID Import ressources],0)),"")</f>
        <v/>
      </c>
      <c r="BD440" t="s">
        <v>1930</v>
      </c>
      <c r="BE440" t="s">
        <v>1931</v>
      </c>
      <c r="BF440" t="s">
        <v>1932</v>
      </c>
      <c r="BG440" t="s">
        <v>1930</v>
      </c>
    </row>
    <row r="441" spans="13:59" x14ac:dyDescent="0.25">
      <c r="M441" t="str">
        <f>_xlfn.IFNA(IF(VLOOKUP(TAB_Offres[[#This Row],[Reference]],TAB_Offres[[Reference]:[Request State]],COLUMNS(TAB_Offres[[Reference]:[Request State]]),FALSE)=D$6,TAB_Offres[[#This Row],[Reference]],""),"")</f>
        <v/>
      </c>
      <c r="N441" t="str">
        <f>_xlfn.IFNA(IF(VLOOKUP(TAB_Offres[[#This Row],[Reference]],TAB_Offres[[Reference]:[Has Expenses?]],COLUMNS(TAB_Offres[[Reference]:[Has Expenses?]]),FALSE)=J$2,TAB_Offres[[#This Row],[Reference]],""),"")</f>
        <v/>
      </c>
      <c r="O441" t="str">
        <f>IF(Tableau19[[#This Row],[EXPENSES_REF]]="","",MAX(O$1:O440)+1)</f>
        <v/>
      </c>
      <c r="P441" t="str">
        <f t="shared" si="19"/>
        <v/>
      </c>
      <c r="AI441" s="191" t="str">
        <f>IFERROR(_xlfn.SINGLE(
IF(_xlfn.SINGLE(INDEX(TAB_Offres[Ressource 1],ROWS(Params!AI$2:$AI441)))=0,NA(),
INDEX(TAB_Offres[Ressource 1],ROWS(Params!AI$2:$AI441)))),
IFERROR(_xlfn.SINGLE(IF(_xlfn.SINGLE(INDEX(#REF!,ROWS(Params!AI$2:$AI441)-COUNTA(TAB_Offres[Ressource 1])))=0,NA(),
INDEX(#REF!,ROWS(Params!AI$2:$AI441)-COUNTA(TAB_Offres[Ressource 1])))),
IFERROR(_xlfn.SINGLE(IF(_xlfn.SINGLE(INDEX(#REF!,ROWS(Params!AI$2:$AI441)-COUNTA(#REF!)-COUNTA(TAB_Offres[Ressource 1])))=0,NA(),
INDEX(#REF!,ROWS(Params!AI$2:$AI441)-COUNTA(#REF!)-COUNTA(TAB_Offres[Ressource 1])))),""))
)</f>
        <v/>
      </c>
      <c r="AJ441" s="192" t="str">
        <f>IF(TAB_ressource[[#This Row],[Import Ressource]]="","",MAX(AJ$1:AJ440)+1)</f>
        <v/>
      </c>
      <c r="AK441" s="193" t="str">
        <f>IFERROR(INDEX(TAB_ressource[Import Ressource],MATCH(ROW()-ROW($AK$1),TAB_ressource[ID Import ressources],0)),"")</f>
        <v/>
      </c>
      <c r="BD441" t="s">
        <v>1933</v>
      </c>
      <c r="BE441" t="s">
        <v>1934</v>
      </c>
      <c r="BF441" t="s">
        <v>1935</v>
      </c>
      <c r="BG441" t="s">
        <v>1933</v>
      </c>
    </row>
    <row r="442" spans="13:59" x14ac:dyDescent="0.25">
      <c r="M442" t="str">
        <f>_xlfn.IFNA(IF(VLOOKUP(TAB_Offres[[#This Row],[Reference]],TAB_Offres[[Reference]:[Request State]],COLUMNS(TAB_Offres[[Reference]:[Request State]]),FALSE)=D$6,TAB_Offres[[#This Row],[Reference]],""),"")</f>
        <v/>
      </c>
      <c r="N442" t="str">
        <f>_xlfn.IFNA(IF(VLOOKUP(TAB_Offres[[#This Row],[Reference]],TAB_Offres[[Reference]:[Has Expenses?]],COLUMNS(TAB_Offres[[Reference]:[Has Expenses?]]),FALSE)=J$2,TAB_Offres[[#This Row],[Reference]],""),"")</f>
        <v/>
      </c>
      <c r="O442" t="str">
        <f>IF(Tableau19[[#This Row],[EXPENSES_REF]]="","",MAX(O$1:O441)+1)</f>
        <v/>
      </c>
      <c r="P442" t="str">
        <f t="shared" si="19"/>
        <v/>
      </c>
      <c r="AI442" s="191" t="str">
        <f>IFERROR(_xlfn.SINGLE(
IF(_xlfn.SINGLE(INDEX(TAB_Offres[Ressource 1],ROWS(Params!AI$2:$AI442)))=0,NA(),
INDEX(TAB_Offres[Ressource 1],ROWS(Params!AI$2:$AI442)))),
IFERROR(_xlfn.SINGLE(IF(_xlfn.SINGLE(INDEX(#REF!,ROWS(Params!AI$2:$AI442)-COUNTA(TAB_Offres[Ressource 1])))=0,NA(),
INDEX(#REF!,ROWS(Params!AI$2:$AI442)-COUNTA(TAB_Offres[Ressource 1])))),
IFERROR(_xlfn.SINGLE(IF(_xlfn.SINGLE(INDEX(#REF!,ROWS(Params!AI$2:$AI442)-COUNTA(#REF!)-COUNTA(TAB_Offres[Ressource 1])))=0,NA(),
INDEX(#REF!,ROWS(Params!AI$2:$AI442)-COUNTA(#REF!)-COUNTA(TAB_Offres[Ressource 1])))),""))
)</f>
        <v/>
      </c>
      <c r="AJ442" s="192" t="str">
        <f>IF(TAB_ressource[[#This Row],[Import Ressource]]="","",MAX(AJ$1:AJ441)+1)</f>
        <v/>
      </c>
      <c r="AK442" s="193" t="str">
        <f>IFERROR(INDEX(TAB_ressource[Import Ressource],MATCH(ROW()-ROW($AK$1),TAB_ressource[ID Import ressources],0)),"")</f>
        <v/>
      </c>
      <c r="BD442" t="s">
        <v>1936</v>
      </c>
      <c r="BE442" t="s">
        <v>1937</v>
      </c>
      <c r="BF442" t="s">
        <v>1938</v>
      </c>
      <c r="BG442" t="s">
        <v>1936</v>
      </c>
    </row>
    <row r="443" spans="13:59" x14ac:dyDescent="0.25">
      <c r="M443" t="str">
        <f>_xlfn.IFNA(IF(VLOOKUP(TAB_Offres[[#This Row],[Reference]],TAB_Offres[[Reference]:[Request State]],COLUMNS(TAB_Offres[[Reference]:[Request State]]),FALSE)=D$6,TAB_Offres[[#This Row],[Reference]],""),"")</f>
        <v/>
      </c>
      <c r="N443" t="str">
        <f>_xlfn.IFNA(IF(VLOOKUP(TAB_Offres[[#This Row],[Reference]],TAB_Offres[[Reference]:[Has Expenses?]],COLUMNS(TAB_Offres[[Reference]:[Has Expenses?]]),FALSE)=J$2,TAB_Offres[[#This Row],[Reference]],""),"")</f>
        <v/>
      </c>
      <c r="O443" t="str">
        <f>IF(Tableau19[[#This Row],[EXPENSES_REF]]="","",MAX(O$1:O442)+1)</f>
        <v/>
      </c>
      <c r="P443" t="str">
        <f t="shared" si="19"/>
        <v/>
      </c>
      <c r="AI443" s="191" t="str">
        <f>IFERROR(_xlfn.SINGLE(
IF(_xlfn.SINGLE(INDEX(TAB_Offres[Ressource 1],ROWS(Params!AI$2:$AI443)))=0,NA(),
INDEX(TAB_Offres[Ressource 1],ROWS(Params!AI$2:$AI443)))),
IFERROR(_xlfn.SINGLE(IF(_xlfn.SINGLE(INDEX(#REF!,ROWS(Params!AI$2:$AI443)-COUNTA(TAB_Offres[Ressource 1])))=0,NA(),
INDEX(#REF!,ROWS(Params!AI$2:$AI443)-COUNTA(TAB_Offres[Ressource 1])))),
IFERROR(_xlfn.SINGLE(IF(_xlfn.SINGLE(INDEX(#REF!,ROWS(Params!AI$2:$AI443)-COUNTA(#REF!)-COUNTA(TAB_Offres[Ressource 1])))=0,NA(),
INDEX(#REF!,ROWS(Params!AI$2:$AI443)-COUNTA(#REF!)-COUNTA(TAB_Offres[Ressource 1])))),""))
)</f>
        <v/>
      </c>
      <c r="AJ443" s="192" t="str">
        <f>IF(TAB_ressource[[#This Row],[Import Ressource]]="","",MAX(AJ$1:AJ442)+1)</f>
        <v/>
      </c>
      <c r="AK443" s="193" t="str">
        <f>IFERROR(INDEX(TAB_ressource[Import Ressource],MATCH(ROW()-ROW($AK$1),TAB_ressource[ID Import ressources],0)),"")</f>
        <v/>
      </c>
      <c r="BD443" t="s">
        <v>1939</v>
      </c>
      <c r="BE443" t="s">
        <v>1940</v>
      </c>
      <c r="BF443" t="s">
        <v>1941</v>
      </c>
      <c r="BG443" t="s">
        <v>1939</v>
      </c>
    </row>
    <row r="444" spans="13:59" x14ac:dyDescent="0.25">
      <c r="M444" t="str">
        <f>_xlfn.IFNA(IF(VLOOKUP(TAB_Offres[[#This Row],[Reference]],TAB_Offres[[Reference]:[Request State]],COLUMNS(TAB_Offres[[Reference]:[Request State]]),FALSE)=D$6,TAB_Offres[[#This Row],[Reference]],""),"")</f>
        <v/>
      </c>
      <c r="N444" t="str">
        <f>_xlfn.IFNA(IF(VLOOKUP(TAB_Offres[[#This Row],[Reference]],TAB_Offres[[Reference]:[Has Expenses?]],COLUMNS(TAB_Offres[[Reference]:[Has Expenses?]]),FALSE)=J$2,TAB_Offres[[#This Row],[Reference]],""),"")</f>
        <v/>
      </c>
      <c r="O444" t="str">
        <f>IF(Tableau19[[#This Row],[EXPENSES_REF]]="","",MAX(O$1:O443)+1)</f>
        <v/>
      </c>
      <c r="P444" t="str">
        <f t="shared" si="19"/>
        <v/>
      </c>
      <c r="AI444" s="191" t="str">
        <f>IFERROR(_xlfn.SINGLE(
IF(_xlfn.SINGLE(INDEX(TAB_Offres[Ressource 1],ROWS(Params!AI$2:$AI444)))=0,NA(),
INDEX(TAB_Offres[Ressource 1],ROWS(Params!AI$2:$AI444)))),
IFERROR(_xlfn.SINGLE(IF(_xlfn.SINGLE(INDEX(#REF!,ROWS(Params!AI$2:$AI444)-COUNTA(TAB_Offres[Ressource 1])))=0,NA(),
INDEX(#REF!,ROWS(Params!AI$2:$AI444)-COUNTA(TAB_Offres[Ressource 1])))),
IFERROR(_xlfn.SINGLE(IF(_xlfn.SINGLE(INDEX(#REF!,ROWS(Params!AI$2:$AI444)-COUNTA(#REF!)-COUNTA(TAB_Offres[Ressource 1])))=0,NA(),
INDEX(#REF!,ROWS(Params!AI$2:$AI444)-COUNTA(#REF!)-COUNTA(TAB_Offres[Ressource 1])))),""))
)</f>
        <v/>
      </c>
      <c r="AJ444" s="192" t="str">
        <f>IF(TAB_ressource[[#This Row],[Import Ressource]]="","",MAX(AJ$1:AJ443)+1)</f>
        <v/>
      </c>
      <c r="AK444" s="193" t="str">
        <f>IFERROR(INDEX(TAB_ressource[Import Ressource],MATCH(ROW()-ROW($AK$1),TAB_ressource[ID Import ressources],0)),"")</f>
        <v/>
      </c>
      <c r="BD444" t="s">
        <v>1942</v>
      </c>
      <c r="BE444" t="s">
        <v>1943</v>
      </c>
      <c r="BF444" t="s">
        <v>1944</v>
      </c>
      <c r="BG444" t="s">
        <v>1942</v>
      </c>
    </row>
    <row r="445" spans="13:59" x14ac:dyDescent="0.25">
      <c r="M445" t="str">
        <f>_xlfn.IFNA(IF(VLOOKUP(TAB_Offres[[#This Row],[Reference]],TAB_Offres[[Reference]:[Request State]],COLUMNS(TAB_Offres[[Reference]:[Request State]]),FALSE)=D$6,TAB_Offres[[#This Row],[Reference]],""),"")</f>
        <v/>
      </c>
      <c r="N445" t="str">
        <f>_xlfn.IFNA(IF(VLOOKUP(TAB_Offres[[#This Row],[Reference]],TAB_Offres[[Reference]:[Has Expenses?]],COLUMNS(TAB_Offres[[Reference]:[Has Expenses?]]),FALSE)=J$2,TAB_Offres[[#This Row],[Reference]],""),"")</f>
        <v/>
      </c>
      <c r="O445" t="str">
        <f>IF(Tableau19[[#This Row],[EXPENSES_REF]]="","",MAX(O$1:O444)+1)</f>
        <v/>
      </c>
      <c r="P445" t="str">
        <f t="shared" si="19"/>
        <v/>
      </c>
      <c r="AI445" s="191" t="str">
        <f>IFERROR(_xlfn.SINGLE(
IF(_xlfn.SINGLE(INDEX(TAB_Offres[Ressource 1],ROWS(Params!AI$2:$AI445)))=0,NA(),
INDEX(TAB_Offres[Ressource 1],ROWS(Params!AI$2:$AI445)))),
IFERROR(_xlfn.SINGLE(IF(_xlfn.SINGLE(INDEX(#REF!,ROWS(Params!AI$2:$AI445)-COUNTA(TAB_Offres[Ressource 1])))=0,NA(),
INDEX(#REF!,ROWS(Params!AI$2:$AI445)-COUNTA(TAB_Offres[Ressource 1])))),
IFERROR(_xlfn.SINGLE(IF(_xlfn.SINGLE(INDEX(#REF!,ROWS(Params!AI$2:$AI445)-COUNTA(#REF!)-COUNTA(TAB_Offres[Ressource 1])))=0,NA(),
INDEX(#REF!,ROWS(Params!AI$2:$AI445)-COUNTA(#REF!)-COUNTA(TAB_Offres[Ressource 1])))),""))
)</f>
        <v/>
      </c>
      <c r="AJ445" s="192" t="str">
        <f>IF(TAB_ressource[[#This Row],[Import Ressource]]="","",MAX(AJ$1:AJ444)+1)</f>
        <v/>
      </c>
      <c r="AK445" s="193" t="str">
        <f>IFERROR(INDEX(TAB_ressource[Import Ressource],MATCH(ROW()-ROW($AK$1),TAB_ressource[ID Import ressources],0)),"")</f>
        <v/>
      </c>
      <c r="BD445" t="s">
        <v>1945</v>
      </c>
      <c r="BE445" t="s">
        <v>1946</v>
      </c>
      <c r="BF445" t="s">
        <v>1947</v>
      </c>
      <c r="BG445" t="s">
        <v>1945</v>
      </c>
    </row>
    <row r="446" spans="13:59" x14ac:dyDescent="0.25">
      <c r="M446" t="str">
        <f>_xlfn.IFNA(IF(VLOOKUP(TAB_Offres[[#This Row],[Reference]],TAB_Offres[[Reference]:[Request State]],COLUMNS(TAB_Offres[[Reference]:[Request State]]),FALSE)=D$6,TAB_Offres[[#This Row],[Reference]],""),"")</f>
        <v/>
      </c>
      <c r="N446" t="str">
        <f>_xlfn.IFNA(IF(VLOOKUP(TAB_Offres[[#This Row],[Reference]],TAB_Offres[[Reference]:[Has Expenses?]],COLUMNS(TAB_Offres[[Reference]:[Has Expenses?]]),FALSE)=J$2,TAB_Offres[[#This Row],[Reference]],""),"")</f>
        <v/>
      </c>
      <c r="O446" t="str">
        <f>IF(Tableau19[[#This Row],[EXPENSES_REF]]="","",MAX(O$1:O445)+1)</f>
        <v/>
      </c>
      <c r="P446" t="str">
        <f t="shared" si="19"/>
        <v/>
      </c>
      <c r="AI446" s="191" t="str">
        <f>IFERROR(_xlfn.SINGLE(
IF(_xlfn.SINGLE(INDEX(TAB_Offres[Ressource 1],ROWS(Params!AI$2:$AI446)))=0,NA(),
INDEX(TAB_Offres[Ressource 1],ROWS(Params!AI$2:$AI446)))),
IFERROR(_xlfn.SINGLE(IF(_xlfn.SINGLE(INDEX(#REF!,ROWS(Params!AI$2:$AI446)-COUNTA(TAB_Offres[Ressource 1])))=0,NA(),
INDEX(#REF!,ROWS(Params!AI$2:$AI446)-COUNTA(TAB_Offres[Ressource 1])))),
IFERROR(_xlfn.SINGLE(IF(_xlfn.SINGLE(INDEX(#REF!,ROWS(Params!AI$2:$AI446)-COUNTA(#REF!)-COUNTA(TAB_Offres[Ressource 1])))=0,NA(),
INDEX(#REF!,ROWS(Params!AI$2:$AI446)-COUNTA(#REF!)-COUNTA(TAB_Offres[Ressource 1])))),""))
)</f>
        <v/>
      </c>
      <c r="AJ446" s="192" t="str">
        <f>IF(TAB_ressource[[#This Row],[Import Ressource]]="","",MAX(AJ$1:AJ445)+1)</f>
        <v/>
      </c>
      <c r="AK446" s="193" t="str">
        <f>IFERROR(INDEX(TAB_ressource[Import Ressource],MATCH(ROW()-ROW($AK$1),TAB_ressource[ID Import ressources],0)),"")</f>
        <v/>
      </c>
      <c r="BD446" t="s">
        <v>1948</v>
      </c>
      <c r="BE446" t="s">
        <v>1949</v>
      </c>
      <c r="BF446" t="s">
        <v>1950</v>
      </c>
      <c r="BG446" t="s">
        <v>1948</v>
      </c>
    </row>
    <row r="447" spans="13:59" x14ac:dyDescent="0.25">
      <c r="M447" t="str">
        <f>_xlfn.IFNA(IF(VLOOKUP(TAB_Offres[[#This Row],[Reference]],TAB_Offres[[Reference]:[Request State]],COLUMNS(TAB_Offres[[Reference]:[Request State]]),FALSE)=D$6,TAB_Offres[[#This Row],[Reference]],""),"")</f>
        <v/>
      </c>
      <c r="N447" t="str">
        <f>_xlfn.IFNA(IF(VLOOKUP(TAB_Offres[[#This Row],[Reference]],TAB_Offres[[Reference]:[Has Expenses?]],COLUMNS(TAB_Offres[[Reference]:[Has Expenses?]]),FALSE)=J$2,TAB_Offres[[#This Row],[Reference]],""),"")</f>
        <v/>
      </c>
      <c r="O447" t="str">
        <f>IF(Tableau19[[#This Row],[EXPENSES_REF]]="","",MAX(O$1:O446)+1)</f>
        <v/>
      </c>
      <c r="P447" t="str">
        <f t="shared" si="19"/>
        <v/>
      </c>
      <c r="AI447" s="191" t="str">
        <f>IFERROR(_xlfn.SINGLE(
IF(_xlfn.SINGLE(INDEX(TAB_Offres[Ressource 1],ROWS(Params!AI$2:$AI447)))=0,NA(),
INDEX(TAB_Offres[Ressource 1],ROWS(Params!AI$2:$AI447)))),
IFERROR(_xlfn.SINGLE(IF(_xlfn.SINGLE(INDEX(#REF!,ROWS(Params!AI$2:$AI447)-COUNTA(TAB_Offres[Ressource 1])))=0,NA(),
INDEX(#REF!,ROWS(Params!AI$2:$AI447)-COUNTA(TAB_Offres[Ressource 1])))),
IFERROR(_xlfn.SINGLE(IF(_xlfn.SINGLE(INDEX(#REF!,ROWS(Params!AI$2:$AI447)-COUNTA(#REF!)-COUNTA(TAB_Offres[Ressource 1])))=0,NA(),
INDEX(#REF!,ROWS(Params!AI$2:$AI447)-COUNTA(#REF!)-COUNTA(TAB_Offres[Ressource 1])))),""))
)</f>
        <v/>
      </c>
      <c r="AJ447" s="192" t="str">
        <f>IF(TAB_ressource[[#This Row],[Import Ressource]]="","",MAX(AJ$1:AJ446)+1)</f>
        <v/>
      </c>
      <c r="AK447" s="193" t="str">
        <f>IFERROR(INDEX(TAB_ressource[Import Ressource],MATCH(ROW()-ROW($AK$1),TAB_ressource[ID Import ressources],0)),"")</f>
        <v/>
      </c>
      <c r="BD447" t="s">
        <v>1951</v>
      </c>
      <c r="BE447" t="s">
        <v>1952</v>
      </c>
      <c r="BF447" t="s">
        <v>1953</v>
      </c>
      <c r="BG447" t="s">
        <v>1951</v>
      </c>
    </row>
    <row r="448" spans="13:59" x14ac:dyDescent="0.25">
      <c r="M448" t="str">
        <f>_xlfn.IFNA(IF(VLOOKUP(TAB_Offres[[#This Row],[Reference]],TAB_Offres[[Reference]:[Request State]],COLUMNS(TAB_Offres[[Reference]:[Request State]]),FALSE)=D$6,TAB_Offres[[#This Row],[Reference]],""),"")</f>
        <v/>
      </c>
      <c r="N448" t="str">
        <f>_xlfn.IFNA(IF(VLOOKUP(TAB_Offres[[#This Row],[Reference]],TAB_Offres[[Reference]:[Has Expenses?]],COLUMNS(TAB_Offres[[Reference]:[Has Expenses?]]),FALSE)=J$2,TAB_Offres[[#This Row],[Reference]],""),"")</f>
        <v/>
      </c>
      <c r="O448" t="str">
        <f>IF(Tableau19[[#This Row],[EXPENSES_REF]]="","",MAX(O$1:O447)+1)</f>
        <v/>
      </c>
      <c r="P448" t="str">
        <f t="shared" si="19"/>
        <v/>
      </c>
      <c r="AI448" s="191" t="str">
        <f>IFERROR(_xlfn.SINGLE(
IF(_xlfn.SINGLE(INDEX(TAB_Offres[Ressource 1],ROWS(Params!AI$2:$AI448)))=0,NA(),
INDEX(TAB_Offres[Ressource 1],ROWS(Params!AI$2:$AI448)))),
IFERROR(_xlfn.SINGLE(IF(_xlfn.SINGLE(INDEX(#REF!,ROWS(Params!AI$2:$AI448)-COUNTA(TAB_Offres[Ressource 1])))=0,NA(),
INDEX(#REF!,ROWS(Params!AI$2:$AI448)-COUNTA(TAB_Offres[Ressource 1])))),
IFERROR(_xlfn.SINGLE(IF(_xlfn.SINGLE(INDEX(#REF!,ROWS(Params!AI$2:$AI448)-COUNTA(#REF!)-COUNTA(TAB_Offres[Ressource 1])))=0,NA(),
INDEX(#REF!,ROWS(Params!AI$2:$AI448)-COUNTA(#REF!)-COUNTA(TAB_Offres[Ressource 1])))),""))
)</f>
        <v/>
      </c>
      <c r="AJ448" s="192" t="str">
        <f>IF(TAB_ressource[[#This Row],[Import Ressource]]="","",MAX(AJ$1:AJ447)+1)</f>
        <v/>
      </c>
      <c r="AK448" s="193" t="str">
        <f>IFERROR(INDEX(TAB_ressource[Import Ressource],MATCH(ROW()-ROW($AK$1),TAB_ressource[ID Import ressources],0)),"")</f>
        <v/>
      </c>
      <c r="BD448" t="s">
        <v>1954</v>
      </c>
      <c r="BE448" t="s">
        <v>1955</v>
      </c>
      <c r="BF448" t="s">
        <v>1956</v>
      </c>
      <c r="BG448" t="s">
        <v>1954</v>
      </c>
    </row>
    <row r="449" spans="13:59" x14ac:dyDescent="0.25">
      <c r="M449" t="str">
        <f>_xlfn.IFNA(IF(VLOOKUP(TAB_Offres[[#This Row],[Reference]],TAB_Offres[[Reference]:[Request State]],COLUMNS(TAB_Offres[[Reference]:[Request State]]),FALSE)=D$6,TAB_Offres[[#This Row],[Reference]],""),"")</f>
        <v/>
      </c>
      <c r="N449" t="str">
        <f>_xlfn.IFNA(IF(VLOOKUP(TAB_Offres[[#This Row],[Reference]],TAB_Offres[[Reference]:[Has Expenses?]],COLUMNS(TAB_Offres[[Reference]:[Has Expenses?]]),FALSE)=J$2,TAB_Offres[[#This Row],[Reference]],""),"")</f>
        <v/>
      </c>
      <c r="O449" t="str">
        <f>IF(Tableau19[[#This Row],[EXPENSES_REF]]="","",MAX(O$1:O448)+1)</f>
        <v/>
      </c>
      <c r="P449" t="str">
        <f t="shared" si="19"/>
        <v/>
      </c>
      <c r="AI449" s="191" t="str">
        <f>IFERROR(_xlfn.SINGLE(
IF(_xlfn.SINGLE(INDEX(TAB_Offres[Ressource 1],ROWS(Params!AI$2:$AI449)))=0,NA(),
INDEX(TAB_Offres[Ressource 1],ROWS(Params!AI$2:$AI449)))),
IFERROR(_xlfn.SINGLE(IF(_xlfn.SINGLE(INDEX(#REF!,ROWS(Params!AI$2:$AI449)-COUNTA(TAB_Offres[Ressource 1])))=0,NA(),
INDEX(#REF!,ROWS(Params!AI$2:$AI449)-COUNTA(TAB_Offres[Ressource 1])))),
IFERROR(_xlfn.SINGLE(IF(_xlfn.SINGLE(INDEX(#REF!,ROWS(Params!AI$2:$AI449)-COUNTA(#REF!)-COUNTA(TAB_Offres[Ressource 1])))=0,NA(),
INDEX(#REF!,ROWS(Params!AI$2:$AI449)-COUNTA(#REF!)-COUNTA(TAB_Offres[Ressource 1])))),""))
)</f>
        <v/>
      </c>
      <c r="AJ449" s="192" t="str">
        <f>IF(TAB_ressource[[#This Row],[Import Ressource]]="","",MAX(AJ$1:AJ448)+1)</f>
        <v/>
      </c>
      <c r="AK449" s="193" t="str">
        <f>IFERROR(INDEX(TAB_ressource[Import Ressource],MATCH(ROW()-ROW($AK$1),TAB_ressource[ID Import ressources],0)),"")</f>
        <v/>
      </c>
      <c r="BD449" t="s">
        <v>1957</v>
      </c>
      <c r="BE449" t="s">
        <v>1958</v>
      </c>
      <c r="BF449" t="s">
        <v>1959</v>
      </c>
      <c r="BG449" t="s">
        <v>1957</v>
      </c>
    </row>
    <row r="450" spans="13:59" x14ac:dyDescent="0.25">
      <c r="M450" t="str">
        <f>_xlfn.IFNA(IF(VLOOKUP(TAB_Offres[[#This Row],[Reference]],TAB_Offres[[Reference]:[Request State]],COLUMNS(TAB_Offres[[Reference]:[Request State]]),FALSE)=D$6,TAB_Offres[[#This Row],[Reference]],""),"")</f>
        <v/>
      </c>
      <c r="N450" t="str">
        <f>_xlfn.IFNA(IF(VLOOKUP(TAB_Offres[[#This Row],[Reference]],TAB_Offres[[Reference]:[Has Expenses?]],COLUMNS(TAB_Offres[[Reference]:[Has Expenses?]]),FALSE)=J$2,TAB_Offres[[#This Row],[Reference]],""),"")</f>
        <v/>
      </c>
      <c r="O450" t="str">
        <f>IF(Tableau19[[#This Row],[EXPENSES_REF]]="","",MAX(O$1:O449)+1)</f>
        <v/>
      </c>
      <c r="P450" t="str">
        <f t="shared" ref="P450:P513" si="20">IFERROR(INDEX($N$2:$N$1001,MATCH(ROW()-ROW($P$1),$O$2:$O$1001,0)),"")</f>
        <v/>
      </c>
      <c r="AI450" s="191" t="str">
        <f>IFERROR(_xlfn.SINGLE(
IF(_xlfn.SINGLE(INDEX(TAB_Offres[Ressource 1],ROWS(Params!AI$2:$AI450)))=0,NA(),
INDEX(TAB_Offres[Ressource 1],ROWS(Params!AI$2:$AI450)))),
IFERROR(_xlfn.SINGLE(IF(_xlfn.SINGLE(INDEX(#REF!,ROWS(Params!AI$2:$AI450)-COUNTA(TAB_Offres[Ressource 1])))=0,NA(),
INDEX(#REF!,ROWS(Params!AI$2:$AI450)-COUNTA(TAB_Offres[Ressource 1])))),
IFERROR(_xlfn.SINGLE(IF(_xlfn.SINGLE(INDEX(#REF!,ROWS(Params!AI$2:$AI450)-COUNTA(#REF!)-COUNTA(TAB_Offres[Ressource 1])))=0,NA(),
INDEX(#REF!,ROWS(Params!AI$2:$AI450)-COUNTA(#REF!)-COUNTA(TAB_Offres[Ressource 1])))),""))
)</f>
        <v/>
      </c>
      <c r="AJ450" s="192" t="str">
        <f>IF(TAB_ressource[[#This Row],[Import Ressource]]="","",MAX(AJ$1:AJ449)+1)</f>
        <v/>
      </c>
      <c r="AK450" s="193" t="str">
        <f>IFERROR(INDEX(TAB_ressource[Import Ressource],MATCH(ROW()-ROW($AK$1),TAB_ressource[ID Import ressources],0)),"")</f>
        <v/>
      </c>
      <c r="BD450" t="s">
        <v>1960</v>
      </c>
      <c r="BE450" t="s">
        <v>1961</v>
      </c>
      <c r="BF450" t="s">
        <v>1962</v>
      </c>
      <c r="BG450" t="s">
        <v>1960</v>
      </c>
    </row>
    <row r="451" spans="13:59" x14ac:dyDescent="0.25">
      <c r="M451" t="str">
        <f>_xlfn.IFNA(IF(VLOOKUP(TAB_Offres[[#This Row],[Reference]],TAB_Offres[[Reference]:[Request State]],COLUMNS(TAB_Offres[[Reference]:[Request State]]),FALSE)=D$6,TAB_Offres[[#This Row],[Reference]],""),"")</f>
        <v/>
      </c>
      <c r="N451" t="str">
        <f>_xlfn.IFNA(IF(VLOOKUP(TAB_Offres[[#This Row],[Reference]],TAB_Offres[[Reference]:[Has Expenses?]],COLUMNS(TAB_Offres[[Reference]:[Has Expenses?]]),FALSE)=J$2,TAB_Offres[[#This Row],[Reference]],""),"")</f>
        <v/>
      </c>
      <c r="O451" t="str">
        <f>IF(Tableau19[[#This Row],[EXPENSES_REF]]="","",MAX(O$1:O450)+1)</f>
        <v/>
      </c>
      <c r="P451" t="str">
        <f t="shared" si="20"/>
        <v/>
      </c>
      <c r="AI451" s="191" t="str">
        <f>IFERROR(_xlfn.SINGLE(
IF(_xlfn.SINGLE(INDEX(TAB_Offres[Ressource 1],ROWS(Params!AI$2:$AI451)))=0,NA(),
INDEX(TAB_Offres[Ressource 1],ROWS(Params!AI$2:$AI451)))),
IFERROR(_xlfn.SINGLE(IF(_xlfn.SINGLE(INDEX(#REF!,ROWS(Params!AI$2:$AI451)-COUNTA(TAB_Offres[Ressource 1])))=0,NA(),
INDEX(#REF!,ROWS(Params!AI$2:$AI451)-COUNTA(TAB_Offres[Ressource 1])))),
IFERROR(_xlfn.SINGLE(IF(_xlfn.SINGLE(INDEX(#REF!,ROWS(Params!AI$2:$AI451)-COUNTA(#REF!)-COUNTA(TAB_Offres[Ressource 1])))=0,NA(),
INDEX(#REF!,ROWS(Params!AI$2:$AI451)-COUNTA(#REF!)-COUNTA(TAB_Offres[Ressource 1])))),""))
)</f>
        <v/>
      </c>
      <c r="AJ451" s="192" t="str">
        <f>IF(TAB_ressource[[#This Row],[Import Ressource]]="","",MAX(AJ$1:AJ450)+1)</f>
        <v/>
      </c>
      <c r="AK451" s="193" t="str">
        <f>IFERROR(INDEX(TAB_ressource[Import Ressource],MATCH(ROW()-ROW($AK$1),TAB_ressource[ID Import ressources],0)),"")</f>
        <v/>
      </c>
      <c r="BD451" t="s">
        <v>1963</v>
      </c>
      <c r="BE451" t="s">
        <v>1964</v>
      </c>
      <c r="BF451" t="s">
        <v>1965</v>
      </c>
      <c r="BG451" t="s">
        <v>1963</v>
      </c>
    </row>
    <row r="452" spans="13:59" x14ac:dyDescent="0.25">
      <c r="M452" t="str">
        <f>_xlfn.IFNA(IF(VLOOKUP(TAB_Offres[[#This Row],[Reference]],TAB_Offres[[Reference]:[Request State]],COLUMNS(TAB_Offres[[Reference]:[Request State]]),FALSE)=D$6,TAB_Offres[[#This Row],[Reference]],""),"")</f>
        <v/>
      </c>
      <c r="N452" t="str">
        <f>_xlfn.IFNA(IF(VLOOKUP(TAB_Offres[[#This Row],[Reference]],TAB_Offres[[Reference]:[Has Expenses?]],COLUMNS(TAB_Offres[[Reference]:[Has Expenses?]]),FALSE)=J$2,TAB_Offres[[#This Row],[Reference]],""),"")</f>
        <v/>
      </c>
      <c r="O452" t="str">
        <f>IF(Tableau19[[#This Row],[EXPENSES_REF]]="","",MAX(O$1:O451)+1)</f>
        <v/>
      </c>
      <c r="P452" t="str">
        <f t="shared" si="20"/>
        <v/>
      </c>
      <c r="AI452" s="191" t="str">
        <f>IFERROR(_xlfn.SINGLE(
IF(_xlfn.SINGLE(INDEX(TAB_Offres[Ressource 1],ROWS(Params!AI$2:$AI452)))=0,NA(),
INDEX(TAB_Offres[Ressource 1],ROWS(Params!AI$2:$AI452)))),
IFERROR(_xlfn.SINGLE(IF(_xlfn.SINGLE(INDEX(#REF!,ROWS(Params!AI$2:$AI452)-COUNTA(TAB_Offres[Ressource 1])))=0,NA(),
INDEX(#REF!,ROWS(Params!AI$2:$AI452)-COUNTA(TAB_Offres[Ressource 1])))),
IFERROR(_xlfn.SINGLE(IF(_xlfn.SINGLE(INDEX(#REF!,ROWS(Params!AI$2:$AI452)-COUNTA(#REF!)-COUNTA(TAB_Offres[Ressource 1])))=0,NA(),
INDEX(#REF!,ROWS(Params!AI$2:$AI452)-COUNTA(#REF!)-COUNTA(TAB_Offres[Ressource 1])))),""))
)</f>
        <v/>
      </c>
      <c r="AJ452" s="192" t="str">
        <f>IF(TAB_ressource[[#This Row],[Import Ressource]]="","",MAX(AJ$1:AJ451)+1)</f>
        <v/>
      </c>
      <c r="AK452" s="193" t="str">
        <f>IFERROR(INDEX(TAB_ressource[Import Ressource],MATCH(ROW()-ROW($AK$1),TAB_ressource[ID Import ressources],0)),"")</f>
        <v/>
      </c>
      <c r="BD452" t="s">
        <v>1966</v>
      </c>
      <c r="BE452" t="s">
        <v>1967</v>
      </c>
      <c r="BF452" t="s">
        <v>1968</v>
      </c>
      <c r="BG452" t="s">
        <v>1966</v>
      </c>
    </row>
    <row r="453" spans="13:59" x14ac:dyDescent="0.25">
      <c r="M453" t="str">
        <f>_xlfn.IFNA(IF(VLOOKUP(TAB_Offres[[#This Row],[Reference]],TAB_Offres[[Reference]:[Request State]],COLUMNS(TAB_Offres[[Reference]:[Request State]]),FALSE)=D$6,TAB_Offres[[#This Row],[Reference]],""),"")</f>
        <v/>
      </c>
      <c r="N453" t="str">
        <f>_xlfn.IFNA(IF(VLOOKUP(TAB_Offres[[#This Row],[Reference]],TAB_Offres[[Reference]:[Has Expenses?]],COLUMNS(TAB_Offres[[Reference]:[Has Expenses?]]),FALSE)=J$2,TAB_Offres[[#This Row],[Reference]],""),"")</f>
        <v/>
      </c>
      <c r="O453" t="str">
        <f>IF(Tableau19[[#This Row],[EXPENSES_REF]]="","",MAX(O$1:O452)+1)</f>
        <v/>
      </c>
      <c r="P453" t="str">
        <f t="shared" si="20"/>
        <v/>
      </c>
      <c r="AI453" s="191" t="str">
        <f>IFERROR(_xlfn.SINGLE(
IF(_xlfn.SINGLE(INDEX(TAB_Offres[Ressource 1],ROWS(Params!AI$2:$AI453)))=0,NA(),
INDEX(TAB_Offres[Ressource 1],ROWS(Params!AI$2:$AI453)))),
IFERROR(_xlfn.SINGLE(IF(_xlfn.SINGLE(INDEX(#REF!,ROWS(Params!AI$2:$AI453)-COUNTA(TAB_Offres[Ressource 1])))=0,NA(),
INDEX(#REF!,ROWS(Params!AI$2:$AI453)-COUNTA(TAB_Offres[Ressource 1])))),
IFERROR(_xlfn.SINGLE(IF(_xlfn.SINGLE(INDEX(#REF!,ROWS(Params!AI$2:$AI453)-COUNTA(#REF!)-COUNTA(TAB_Offres[Ressource 1])))=0,NA(),
INDEX(#REF!,ROWS(Params!AI$2:$AI453)-COUNTA(#REF!)-COUNTA(TAB_Offres[Ressource 1])))),""))
)</f>
        <v/>
      </c>
      <c r="AJ453" s="192" t="str">
        <f>IF(TAB_ressource[[#This Row],[Import Ressource]]="","",MAX(AJ$1:AJ452)+1)</f>
        <v/>
      </c>
      <c r="AK453" s="193" t="str">
        <f>IFERROR(INDEX(TAB_ressource[Import Ressource],MATCH(ROW()-ROW($AK$1),TAB_ressource[ID Import ressources],0)),"")</f>
        <v/>
      </c>
      <c r="BD453" t="s">
        <v>1969</v>
      </c>
      <c r="BE453" t="s">
        <v>1970</v>
      </c>
      <c r="BF453" t="s">
        <v>1971</v>
      </c>
      <c r="BG453" t="s">
        <v>1969</v>
      </c>
    </row>
    <row r="454" spans="13:59" x14ac:dyDescent="0.25">
      <c r="M454" t="str">
        <f>_xlfn.IFNA(IF(VLOOKUP(TAB_Offres[[#This Row],[Reference]],TAB_Offres[[Reference]:[Request State]],COLUMNS(TAB_Offres[[Reference]:[Request State]]),FALSE)=D$6,TAB_Offres[[#This Row],[Reference]],""),"")</f>
        <v/>
      </c>
      <c r="N454" t="str">
        <f>_xlfn.IFNA(IF(VLOOKUP(TAB_Offres[[#This Row],[Reference]],TAB_Offres[[Reference]:[Has Expenses?]],COLUMNS(TAB_Offres[[Reference]:[Has Expenses?]]),FALSE)=J$2,TAB_Offres[[#This Row],[Reference]],""),"")</f>
        <v/>
      </c>
      <c r="O454" t="str">
        <f>IF(Tableau19[[#This Row],[EXPENSES_REF]]="","",MAX(O$1:O453)+1)</f>
        <v/>
      </c>
      <c r="P454" t="str">
        <f t="shared" si="20"/>
        <v/>
      </c>
      <c r="AI454" s="191" t="str">
        <f>IFERROR(_xlfn.SINGLE(
IF(_xlfn.SINGLE(INDEX(TAB_Offres[Ressource 1],ROWS(Params!AI$2:$AI454)))=0,NA(),
INDEX(TAB_Offres[Ressource 1],ROWS(Params!AI$2:$AI454)))),
IFERROR(_xlfn.SINGLE(IF(_xlfn.SINGLE(INDEX(#REF!,ROWS(Params!AI$2:$AI454)-COUNTA(TAB_Offres[Ressource 1])))=0,NA(),
INDEX(#REF!,ROWS(Params!AI$2:$AI454)-COUNTA(TAB_Offres[Ressource 1])))),
IFERROR(_xlfn.SINGLE(IF(_xlfn.SINGLE(INDEX(#REF!,ROWS(Params!AI$2:$AI454)-COUNTA(#REF!)-COUNTA(TAB_Offres[Ressource 1])))=0,NA(),
INDEX(#REF!,ROWS(Params!AI$2:$AI454)-COUNTA(#REF!)-COUNTA(TAB_Offres[Ressource 1])))),""))
)</f>
        <v/>
      </c>
      <c r="AJ454" s="192" t="str">
        <f>IF(TAB_ressource[[#This Row],[Import Ressource]]="","",MAX(AJ$1:AJ453)+1)</f>
        <v/>
      </c>
      <c r="AK454" s="193" t="str">
        <f>IFERROR(INDEX(TAB_ressource[Import Ressource],MATCH(ROW()-ROW($AK$1),TAB_ressource[ID Import ressources],0)),"")</f>
        <v/>
      </c>
      <c r="BD454" t="s">
        <v>1972</v>
      </c>
      <c r="BE454" t="s">
        <v>1973</v>
      </c>
      <c r="BF454" t="s">
        <v>1974</v>
      </c>
      <c r="BG454" t="s">
        <v>1972</v>
      </c>
    </row>
    <row r="455" spans="13:59" x14ac:dyDescent="0.25">
      <c r="M455" t="str">
        <f>_xlfn.IFNA(IF(VLOOKUP(TAB_Offres[[#This Row],[Reference]],TAB_Offres[[Reference]:[Request State]],COLUMNS(TAB_Offres[[Reference]:[Request State]]),FALSE)=D$6,TAB_Offres[[#This Row],[Reference]],""),"")</f>
        <v/>
      </c>
      <c r="N455" t="str">
        <f>_xlfn.IFNA(IF(VLOOKUP(TAB_Offres[[#This Row],[Reference]],TAB_Offres[[Reference]:[Has Expenses?]],COLUMNS(TAB_Offres[[Reference]:[Has Expenses?]]),FALSE)=J$2,TAB_Offres[[#This Row],[Reference]],""),"")</f>
        <v/>
      </c>
      <c r="O455" t="str">
        <f>IF(Tableau19[[#This Row],[EXPENSES_REF]]="","",MAX(O$1:O454)+1)</f>
        <v/>
      </c>
      <c r="P455" t="str">
        <f t="shared" si="20"/>
        <v/>
      </c>
      <c r="AI455" s="191" t="str">
        <f>IFERROR(_xlfn.SINGLE(
IF(_xlfn.SINGLE(INDEX(TAB_Offres[Ressource 1],ROWS(Params!AI$2:$AI455)))=0,NA(),
INDEX(TAB_Offres[Ressource 1],ROWS(Params!AI$2:$AI455)))),
IFERROR(_xlfn.SINGLE(IF(_xlfn.SINGLE(INDEX(#REF!,ROWS(Params!AI$2:$AI455)-COUNTA(TAB_Offres[Ressource 1])))=0,NA(),
INDEX(#REF!,ROWS(Params!AI$2:$AI455)-COUNTA(TAB_Offres[Ressource 1])))),
IFERROR(_xlfn.SINGLE(IF(_xlfn.SINGLE(INDEX(#REF!,ROWS(Params!AI$2:$AI455)-COUNTA(#REF!)-COUNTA(TAB_Offres[Ressource 1])))=0,NA(),
INDEX(#REF!,ROWS(Params!AI$2:$AI455)-COUNTA(#REF!)-COUNTA(TAB_Offres[Ressource 1])))),""))
)</f>
        <v/>
      </c>
      <c r="AJ455" s="192" t="str">
        <f>IF(TAB_ressource[[#This Row],[Import Ressource]]="","",MAX(AJ$1:AJ454)+1)</f>
        <v/>
      </c>
      <c r="AK455" s="193" t="str">
        <f>IFERROR(INDEX(TAB_ressource[Import Ressource],MATCH(ROW()-ROW($AK$1),TAB_ressource[ID Import ressources],0)),"")</f>
        <v/>
      </c>
      <c r="BD455" t="s">
        <v>1975</v>
      </c>
      <c r="BE455" t="s">
        <v>1976</v>
      </c>
      <c r="BF455" t="s">
        <v>1977</v>
      </c>
      <c r="BG455" t="s">
        <v>1975</v>
      </c>
    </row>
    <row r="456" spans="13:59" x14ac:dyDescent="0.25">
      <c r="M456" t="str">
        <f>_xlfn.IFNA(IF(VLOOKUP(TAB_Offres[[#This Row],[Reference]],TAB_Offres[[Reference]:[Request State]],COLUMNS(TAB_Offres[[Reference]:[Request State]]),FALSE)=D$6,TAB_Offres[[#This Row],[Reference]],""),"")</f>
        <v/>
      </c>
      <c r="N456" t="str">
        <f>_xlfn.IFNA(IF(VLOOKUP(TAB_Offres[[#This Row],[Reference]],TAB_Offres[[Reference]:[Has Expenses?]],COLUMNS(TAB_Offres[[Reference]:[Has Expenses?]]),FALSE)=J$2,TAB_Offres[[#This Row],[Reference]],""),"")</f>
        <v/>
      </c>
      <c r="O456" t="str">
        <f>IF(Tableau19[[#This Row],[EXPENSES_REF]]="","",MAX(O$1:O455)+1)</f>
        <v/>
      </c>
      <c r="P456" t="str">
        <f t="shared" si="20"/>
        <v/>
      </c>
      <c r="AI456" s="191" t="str">
        <f>IFERROR(_xlfn.SINGLE(
IF(_xlfn.SINGLE(INDEX(TAB_Offres[Ressource 1],ROWS(Params!AI$2:$AI456)))=0,NA(),
INDEX(TAB_Offres[Ressource 1],ROWS(Params!AI$2:$AI456)))),
IFERROR(_xlfn.SINGLE(IF(_xlfn.SINGLE(INDEX(#REF!,ROWS(Params!AI$2:$AI456)-COUNTA(TAB_Offres[Ressource 1])))=0,NA(),
INDEX(#REF!,ROWS(Params!AI$2:$AI456)-COUNTA(TAB_Offres[Ressource 1])))),
IFERROR(_xlfn.SINGLE(IF(_xlfn.SINGLE(INDEX(#REF!,ROWS(Params!AI$2:$AI456)-COUNTA(#REF!)-COUNTA(TAB_Offres[Ressource 1])))=0,NA(),
INDEX(#REF!,ROWS(Params!AI$2:$AI456)-COUNTA(#REF!)-COUNTA(TAB_Offres[Ressource 1])))),""))
)</f>
        <v/>
      </c>
      <c r="AJ456" s="192" t="str">
        <f>IF(TAB_ressource[[#This Row],[Import Ressource]]="","",MAX(AJ$1:AJ455)+1)</f>
        <v/>
      </c>
      <c r="AK456" s="193" t="str">
        <f>IFERROR(INDEX(TAB_ressource[Import Ressource],MATCH(ROW()-ROW($AK$1),TAB_ressource[ID Import ressources],0)),"")</f>
        <v/>
      </c>
      <c r="BD456" t="s">
        <v>1978</v>
      </c>
      <c r="BE456" t="s">
        <v>1979</v>
      </c>
      <c r="BF456" t="s">
        <v>1980</v>
      </c>
      <c r="BG456" t="s">
        <v>1978</v>
      </c>
    </row>
    <row r="457" spans="13:59" x14ac:dyDescent="0.25">
      <c r="M457" t="str">
        <f>_xlfn.IFNA(IF(VLOOKUP(TAB_Offres[[#This Row],[Reference]],TAB_Offres[[Reference]:[Request State]],COLUMNS(TAB_Offres[[Reference]:[Request State]]),FALSE)=D$6,TAB_Offres[[#This Row],[Reference]],""),"")</f>
        <v/>
      </c>
      <c r="N457" t="str">
        <f>_xlfn.IFNA(IF(VLOOKUP(TAB_Offres[[#This Row],[Reference]],TAB_Offres[[Reference]:[Has Expenses?]],COLUMNS(TAB_Offres[[Reference]:[Has Expenses?]]),FALSE)=J$2,TAB_Offres[[#This Row],[Reference]],""),"")</f>
        <v/>
      </c>
      <c r="O457" t="str">
        <f>IF(Tableau19[[#This Row],[EXPENSES_REF]]="","",MAX(O$1:O456)+1)</f>
        <v/>
      </c>
      <c r="P457" t="str">
        <f t="shared" si="20"/>
        <v/>
      </c>
      <c r="AI457" s="191" t="str">
        <f>IFERROR(_xlfn.SINGLE(
IF(_xlfn.SINGLE(INDEX(TAB_Offres[Ressource 1],ROWS(Params!AI$2:$AI457)))=0,NA(),
INDEX(TAB_Offres[Ressource 1],ROWS(Params!AI$2:$AI457)))),
IFERROR(_xlfn.SINGLE(IF(_xlfn.SINGLE(INDEX(#REF!,ROWS(Params!AI$2:$AI457)-COUNTA(TAB_Offres[Ressource 1])))=0,NA(),
INDEX(#REF!,ROWS(Params!AI$2:$AI457)-COUNTA(TAB_Offres[Ressource 1])))),
IFERROR(_xlfn.SINGLE(IF(_xlfn.SINGLE(INDEX(#REF!,ROWS(Params!AI$2:$AI457)-COUNTA(#REF!)-COUNTA(TAB_Offres[Ressource 1])))=0,NA(),
INDEX(#REF!,ROWS(Params!AI$2:$AI457)-COUNTA(#REF!)-COUNTA(TAB_Offres[Ressource 1])))),""))
)</f>
        <v/>
      </c>
      <c r="AJ457" s="192" t="str">
        <f>IF(TAB_ressource[[#This Row],[Import Ressource]]="","",MAX(AJ$1:AJ456)+1)</f>
        <v/>
      </c>
      <c r="AK457" s="193" t="str">
        <f>IFERROR(INDEX(TAB_ressource[Import Ressource],MATCH(ROW()-ROW($AK$1),TAB_ressource[ID Import ressources],0)),"")</f>
        <v/>
      </c>
      <c r="BD457" t="s">
        <v>1981</v>
      </c>
      <c r="BE457" t="s">
        <v>1982</v>
      </c>
      <c r="BF457" t="s">
        <v>1983</v>
      </c>
      <c r="BG457" t="s">
        <v>1981</v>
      </c>
    </row>
    <row r="458" spans="13:59" x14ac:dyDescent="0.25">
      <c r="M458" t="str">
        <f>_xlfn.IFNA(IF(VLOOKUP(TAB_Offres[[#This Row],[Reference]],TAB_Offres[[Reference]:[Request State]],COLUMNS(TAB_Offres[[Reference]:[Request State]]),FALSE)=D$6,TAB_Offres[[#This Row],[Reference]],""),"")</f>
        <v/>
      </c>
      <c r="N458" t="str">
        <f>_xlfn.IFNA(IF(VLOOKUP(TAB_Offres[[#This Row],[Reference]],TAB_Offres[[Reference]:[Has Expenses?]],COLUMNS(TAB_Offres[[Reference]:[Has Expenses?]]),FALSE)=J$2,TAB_Offres[[#This Row],[Reference]],""),"")</f>
        <v/>
      </c>
      <c r="O458" t="str">
        <f>IF(Tableau19[[#This Row],[EXPENSES_REF]]="","",MAX(O$1:O457)+1)</f>
        <v/>
      </c>
      <c r="P458" t="str">
        <f t="shared" si="20"/>
        <v/>
      </c>
      <c r="AI458" s="191" t="str">
        <f>IFERROR(_xlfn.SINGLE(
IF(_xlfn.SINGLE(INDEX(TAB_Offres[Ressource 1],ROWS(Params!AI$2:$AI458)))=0,NA(),
INDEX(TAB_Offres[Ressource 1],ROWS(Params!AI$2:$AI458)))),
IFERROR(_xlfn.SINGLE(IF(_xlfn.SINGLE(INDEX(#REF!,ROWS(Params!AI$2:$AI458)-COUNTA(TAB_Offres[Ressource 1])))=0,NA(),
INDEX(#REF!,ROWS(Params!AI$2:$AI458)-COUNTA(TAB_Offres[Ressource 1])))),
IFERROR(_xlfn.SINGLE(IF(_xlfn.SINGLE(INDEX(#REF!,ROWS(Params!AI$2:$AI458)-COUNTA(#REF!)-COUNTA(TAB_Offres[Ressource 1])))=0,NA(),
INDEX(#REF!,ROWS(Params!AI$2:$AI458)-COUNTA(#REF!)-COUNTA(TAB_Offres[Ressource 1])))),""))
)</f>
        <v/>
      </c>
      <c r="AJ458" s="192" t="str">
        <f>IF(TAB_ressource[[#This Row],[Import Ressource]]="","",MAX(AJ$1:AJ457)+1)</f>
        <v/>
      </c>
      <c r="AK458" s="193" t="str">
        <f>IFERROR(INDEX(TAB_ressource[Import Ressource],MATCH(ROW()-ROW($AK$1),TAB_ressource[ID Import ressources],0)),"")</f>
        <v/>
      </c>
      <c r="BD458" t="s">
        <v>1984</v>
      </c>
      <c r="BE458" t="s">
        <v>1985</v>
      </c>
      <c r="BF458" t="s">
        <v>1986</v>
      </c>
      <c r="BG458" t="s">
        <v>1984</v>
      </c>
    </row>
    <row r="459" spans="13:59" x14ac:dyDescent="0.25">
      <c r="M459" t="str">
        <f>_xlfn.IFNA(IF(VLOOKUP(TAB_Offres[[#This Row],[Reference]],TAB_Offres[[Reference]:[Request State]],COLUMNS(TAB_Offres[[Reference]:[Request State]]),FALSE)=D$6,TAB_Offres[[#This Row],[Reference]],""),"")</f>
        <v/>
      </c>
      <c r="N459" t="str">
        <f>_xlfn.IFNA(IF(VLOOKUP(TAB_Offres[[#This Row],[Reference]],TAB_Offres[[Reference]:[Has Expenses?]],COLUMNS(TAB_Offres[[Reference]:[Has Expenses?]]),FALSE)=J$2,TAB_Offres[[#This Row],[Reference]],""),"")</f>
        <v/>
      </c>
      <c r="O459" t="str">
        <f>IF(Tableau19[[#This Row],[EXPENSES_REF]]="","",MAX(O$1:O458)+1)</f>
        <v/>
      </c>
      <c r="P459" t="str">
        <f t="shared" si="20"/>
        <v/>
      </c>
      <c r="AI459" s="191" t="str">
        <f>IFERROR(_xlfn.SINGLE(
IF(_xlfn.SINGLE(INDEX(TAB_Offres[Ressource 1],ROWS(Params!AI$2:$AI459)))=0,NA(),
INDEX(TAB_Offres[Ressource 1],ROWS(Params!AI$2:$AI459)))),
IFERROR(_xlfn.SINGLE(IF(_xlfn.SINGLE(INDEX(#REF!,ROWS(Params!AI$2:$AI459)-COUNTA(TAB_Offres[Ressource 1])))=0,NA(),
INDEX(#REF!,ROWS(Params!AI$2:$AI459)-COUNTA(TAB_Offres[Ressource 1])))),
IFERROR(_xlfn.SINGLE(IF(_xlfn.SINGLE(INDEX(#REF!,ROWS(Params!AI$2:$AI459)-COUNTA(#REF!)-COUNTA(TAB_Offres[Ressource 1])))=0,NA(),
INDEX(#REF!,ROWS(Params!AI$2:$AI459)-COUNTA(#REF!)-COUNTA(TAB_Offres[Ressource 1])))),""))
)</f>
        <v/>
      </c>
      <c r="AJ459" s="192" t="str">
        <f>IF(TAB_ressource[[#This Row],[Import Ressource]]="","",MAX(AJ$1:AJ458)+1)</f>
        <v/>
      </c>
      <c r="AK459" s="193" t="str">
        <f>IFERROR(INDEX(TAB_ressource[Import Ressource],MATCH(ROW()-ROW($AK$1),TAB_ressource[ID Import ressources],0)),"")</f>
        <v/>
      </c>
      <c r="BD459" t="s">
        <v>1987</v>
      </c>
      <c r="BE459" t="s">
        <v>1988</v>
      </c>
      <c r="BF459" t="s">
        <v>1989</v>
      </c>
      <c r="BG459" t="s">
        <v>1987</v>
      </c>
    </row>
    <row r="460" spans="13:59" x14ac:dyDescent="0.25">
      <c r="M460" t="str">
        <f>_xlfn.IFNA(IF(VLOOKUP(TAB_Offres[[#This Row],[Reference]],TAB_Offres[[Reference]:[Request State]],COLUMNS(TAB_Offres[[Reference]:[Request State]]),FALSE)=D$6,TAB_Offres[[#This Row],[Reference]],""),"")</f>
        <v/>
      </c>
      <c r="N460" t="str">
        <f>_xlfn.IFNA(IF(VLOOKUP(TAB_Offres[[#This Row],[Reference]],TAB_Offres[[Reference]:[Has Expenses?]],COLUMNS(TAB_Offres[[Reference]:[Has Expenses?]]),FALSE)=J$2,TAB_Offres[[#This Row],[Reference]],""),"")</f>
        <v/>
      </c>
      <c r="O460" t="str">
        <f>IF(Tableau19[[#This Row],[EXPENSES_REF]]="","",MAX(O$1:O459)+1)</f>
        <v/>
      </c>
      <c r="P460" t="str">
        <f t="shared" si="20"/>
        <v/>
      </c>
      <c r="AI460" s="191" t="str">
        <f>IFERROR(_xlfn.SINGLE(
IF(_xlfn.SINGLE(INDEX(TAB_Offres[Ressource 1],ROWS(Params!AI$2:$AI460)))=0,NA(),
INDEX(TAB_Offres[Ressource 1],ROWS(Params!AI$2:$AI460)))),
IFERROR(_xlfn.SINGLE(IF(_xlfn.SINGLE(INDEX(#REF!,ROWS(Params!AI$2:$AI460)-COUNTA(TAB_Offres[Ressource 1])))=0,NA(),
INDEX(#REF!,ROWS(Params!AI$2:$AI460)-COUNTA(TAB_Offres[Ressource 1])))),
IFERROR(_xlfn.SINGLE(IF(_xlfn.SINGLE(INDEX(#REF!,ROWS(Params!AI$2:$AI460)-COUNTA(#REF!)-COUNTA(TAB_Offres[Ressource 1])))=0,NA(),
INDEX(#REF!,ROWS(Params!AI$2:$AI460)-COUNTA(#REF!)-COUNTA(TAB_Offres[Ressource 1])))),""))
)</f>
        <v/>
      </c>
      <c r="AJ460" s="192" t="str">
        <f>IF(TAB_ressource[[#This Row],[Import Ressource]]="","",MAX(AJ$1:AJ459)+1)</f>
        <v/>
      </c>
      <c r="AK460" s="193" t="str">
        <f>IFERROR(INDEX(TAB_ressource[Import Ressource],MATCH(ROW()-ROW($AK$1),TAB_ressource[ID Import ressources],0)),"")</f>
        <v/>
      </c>
      <c r="BD460" t="s">
        <v>1990</v>
      </c>
      <c r="BE460" t="s">
        <v>1991</v>
      </c>
      <c r="BF460" t="s">
        <v>1992</v>
      </c>
      <c r="BG460" t="s">
        <v>1990</v>
      </c>
    </row>
    <row r="461" spans="13:59" x14ac:dyDescent="0.25">
      <c r="M461" t="str">
        <f>_xlfn.IFNA(IF(VLOOKUP(TAB_Offres[[#This Row],[Reference]],TAB_Offres[[Reference]:[Request State]],COLUMNS(TAB_Offres[[Reference]:[Request State]]),FALSE)=D$6,TAB_Offres[[#This Row],[Reference]],""),"")</f>
        <v/>
      </c>
      <c r="N461" t="str">
        <f>_xlfn.IFNA(IF(VLOOKUP(TAB_Offres[[#This Row],[Reference]],TAB_Offres[[Reference]:[Has Expenses?]],COLUMNS(TAB_Offres[[Reference]:[Has Expenses?]]),FALSE)=J$2,TAB_Offres[[#This Row],[Reference]],""),"")</f>
        <v/>
      </c>
      <c r="O461" t="str">
        <f>IF(Tableau19[[#This Row],[EXPENSES_REF]]="","",MAX(O$1:O460)+1)</f>
        <v/>
      </c>
      <c r="P461" t="str">
        <f t="shared" si="20"/>
        <v/>
      </c>
      <c r="AI461" s="191" t="str">
        <f>IFERROR(_xlfn.SINGLE(
IF(_xlfn.SINGLE(INDEX(TAB_Offres[Ressource 1],ROWS(Params!AI$2:$AI461)))=0,NA(),
INDEX(TAB_Offres[Ressource 1],ROWS(Params!AI$2:$AI461)))),
IFERROR(_xlfn.SINGLE(IF(_xlfn.SINGLE(INDEX(#REF!,ROWS(Params!AI$2:$AI461)-COUNTA(TAB_Offres[Ressource 1])))=0,NA(),
INDEX(#REF!,ROWS(Params!AI$2:$AI461)-COUNTA(TAB_Offres[Ressource 1])))),
IFERROR(_xlfn.SINGLE(IF(_xlfn.SINGLE(INDEX(#REF!,ROWS(Params!AI$2:$AI461)-COUNTA(#REF!)-COUNTA(TAB_Offres[Ressource 1])))=0,NA(),
INDEX(#REF!,ROWS(Params!AI$2:$AI461)-COUNTA(#REF!)-COUNTA(TAB_Offres[Ressource 1])))),""))
)</f>
        <v/>
      </c>
      <c r="AJ461" s="192" t="str">
        <f>IF(TAB_ressource[[#This Row],[Import Ressource]]="","",MAX(AJ$1:AJ460)+1)</f>
        <v/>
      </c>
      <c r="AK461" s="193" t="str">
        <f>IFERROR(INDEX(TAB_ressource[Import Ressource],MATCH(ROW()-ROW($AK$1),TAB_ressource[ID Import ressources],0)),"")</f>
        <v/>
      </c>
      <c r="BD461" t="s">
        <v>1993</v>
      </c>
      <c r="BE461" t="s">
        <v>1994</v>
      </c>
      <c r="BF461" t="s">
        <v>1995</v>
      </c>
      <c r="BG461" t="s">
        <v>1993</v>
      </c>
    </row>
    <row r="462" spans="13:59" x14ac:dyDescent="0.25">
      <c r="M462" t="str">
        <f>_xlfn.IFNA(IF(VLOOKUP(TAB_Offres[[#This Row],[Reference]],TAB_Offres[[Reference]:[Request State]],COLUMNS(TAB_Offres[[Reference]:[Request State]]),FALSE)=D$6,TAB_Offres[[#This Row],[Reference]],""),"")</f>
        <v/>
      </c>
      <c r="N462" t="str">
        <f>_xlfn.IFNA(IF(VLOOKUP(TAB_Offres[[#This Row],[Reference]],TAB_Offres[[Reference]:[Has Expenses?]],COLUMNS(TAB_Offres[[Reference]:[Has Expenses?]]),FALSE)=J$2,TAB_Offres[[#This Row],[Reference]],""),"")</f>
        <v/>
      </c>
      <c r="O462" t="str">
        <f>IF(Tableau19[[#This Row],[EXPENSES_REF]]="","",MAX(O$1:O461)+1)</f>
        <v/>
      </c>
      <c r="P462" t="str">
        <f t="shared" si="20"/>
        <v/>
      </c>
      <c r="AI462" s="191" t="str">
        <f>IFERROR(_xlfn.SINGLE(
IF(_xlfn.SINGLE(INDEX(TAB_Offres[Ressource 1],ROWS(Params!AI$2:$AI462)))=0,NA(),
INDEX(TAB_Offres[Ressource 1],ROWS(Params!AI$2:$AI462)))),
IFERROR(_xlfn.SINGLE(IF(_xlfn.SINGLE(INDEX(#REF!,ROWS(Params!AI$2:$AI462)-COUNTA(TAB_Offres[Ressource 1])))=0,NA(),
INDEX(#REF!,ROWS(Params!AI$2:$AI462)-COUNTA(TAB_Offres[Ressource 1])))),
IFERROR(_xlfn.SINGLE(IF(_xlfn.SINGLE(INDEX(#REF!,ROWS(Params!AI$2:$AI462)-COUNTA(#REF!)-COUNTA(TAB_Offres[Ressource 1])))=0,NA(),
INDEX(#REF!,ROWS(Params!AI$2:$AI462)-COUNTA(#REF!)-COUNTA(TAB_Offres[Ressource 1])))),""))
)</f>
        <v/>
      </c>
      <c r="AJ462" s="192" t="str">
        <f>IF(TAB_ressource[[#This Row],[Import Ressource]]="","",MAX(AJ$1:AJ461)+1)</f>
        <v/>
      </c>
      <c r="AK462" s="193" t="str">
        <f>IFERROR(INDEX(TAB_ressource[Import Ressource],MATCH(ROW()-ROW($AK$1),TAB_ressource[ID Import ressources],0)),"")</f>
        <v/>
      </c>
      <c r="BD462" t="s">
        <v>1996</v>
      </c>
      <c r="BE462" t="s">
        <v>1997</v>
      </c>
      <c r="BF462" t="s">
        <v>1998</v>
      </c>
      <c r="BG462" t="s">
        <v>1996</v>
      </c>
    </row>
    <row r="463" spans="13:59" x14ac:dyDescent="0.25">
      <c r="M463" t="str">
        <f>_xlfn.IFNA(IF(VLOOKUP(TAB_Offres[[#This Row],[Reference]],TAB_Offres[[Reference]:[Request State]],COLUMNS(TAB_Offres[[Reference]:[Request State]]),FALSE)=D$6,TAB_Offres[[#This Row],[Reference]],""),"")</f>
        <v/>
      </c>
      <c r="N463" t="str">
        <f>_xlfn.IFNA(IF(VLOOKUP(TAB_Offres[[#This Row],[Reference]],TAB_Offres[[Reference]:[Has Expenses?]],COLUMNS(TAB_Offres[[Reference]:[Has Expenses?]]),FALSE)=J$2,TAB_Offres[[#This Row],[Reference]],""),"")</f>
        <v/>
      </c>
      <c r="O463" t="str">
        <f>IF(Tableau19[[#This Row],[EXPENSES_REF]]="","",MAX(O$1:O462)+1)</f>
        <v/>
      </c>
      <c r="P463" t="str">
        <f t="shared" si="20"/>
        <v/>
      </c>
      <c r="AI463" s="191" t="str">
        <f>IFERROR(_xlfn.SINGLE(
IF(_xlfn.SINGLE(INDEX(TAB_Offres[Ressource 1],ROWS(Params!AI$2:$AI463)))=0,NA(),
INDEX(TAB_Offres[Ressource 1],ROWS(Params!AI$2:$AI463)))),
IFERROR(_xlfn.SINGLE(IF(_xlfn.SINGLE(INDEX(#REF!,ROWS(Params!AI$2:$AI463)-COUNTA(TAB_Offres[Ressource 1])))=0,NA(),
INDEX(#REF!,ROWS(Params!AI$2:$AI463)-COUNTA(TAB_Offres[Ressource 1])))),
IFERROR(_xlfn.SINGLE(IF(_xlfn.SINGLE(INDEX(#REF!,ROWS(Params!AI$2:$AI463)-COUNTA(#REF!)-COUNTA(TAB_Offres[Ressource 1])))=0,NA(),
INDEX(#REF!,ROWS(Params!AI$2:$AI463)-COUNTA(#REF!)-COUNTA(TAB_Offres[Ressource 1])))),""))
)</f>
        <v/>
      </c>
      <c r="AJ463" s="192" t="str">
        <f>IF(TAB_ressource[[#This Row],[Import Ressource]]="","",MAX(AJ$1:AJ462)+1)</f>
        <v/>
      </c>
      <c r="AK463" s="193" t="str">
        <f>IFERROR(INDEX(TAB_ressource[Import Ressource],MATCH(ROW()-ROW($AK$1),TAB_ressource[ID Import ressources],0)),"")</f>
        <v/>
      </c>
      <c r="BD463" t="s">
        <v>1999</v>
      </c>
      <c r="BE463" t="s">
        <v>2000</v>
      </c>
      <c r="BF463" t="s">
        <v>2001</v>
      </c>
      <c r="BG463" t="s">
        <v>1999</v>
      </c>
    </row>
    <row r="464" spans="13:59" x14ac:dyDescent="0.25">
      <c r="M464" t="str">
        <f>_xlfn.IFNA(IF(VLOOKUP(TAB_Offres[[#This Row],[Reference]],TAB_Offres[[Reference]:[Request State]],COLUMNS(TAB_Offres[[Reference]:[Request State]]),FALSE)=D$6,TAB_Offres[[#This Row],[Reference]],""),"")</f>
        <v/>
      </c>
      <c r="N464" t="str">
        <f>_xlfn.IFNA(IF(VLOOKUP(TAB_Offres[[#This Row],[Reference]],TAB_Offres[[Reference]:[Has Expenses?]],COLUMNS(TAB_Offres[[Reference]:[Has Expenses?]]),FALSE)=J$2,TAB_Offres[[#This Row],[Reference]],""),"")</f>
        <v/>
      </c>
      <c r="O464" t="str">
        <f>IF(Tableau19[[#This Row],[EXPENSES_REF]]="","",MAX(O$1:O463)+1)</f>
        <v/>
      </c>
      <c r="P464" t="str">
        <f t="shared" si="20"/>
        <v/>
      </c>
      <c r="AI464" s="191" t="str">
        <f>IFERROR(_xlfn.SINGLE(
IF(_xlfn.SINGLE(INDEX(TAB_Offres[Ressource 1],ROWS(Params!AI$2:$AI464)))=0,NA(),
INDEX(TAB_Offres[Ressource 1],ROWS(Params!AI$2:$AI464)))),
IFERROR(_xlfn.SINGLE(IF(_xlfn.SINGLE(INDEX(#REF!,ROWS(Params!AI$2:$AI464)-COUNTA(TAB_Offres[Ressource 1])))=0,NA(),
INDEX(#REF!,ROWS(Params!AI$2:$AI464)-COUNTA(TAB_Offres[Ressource 1])))),
IFERROR(_xlfn.SINGLE(IF(_xlfn.SINGLE(INDEX(#REF!,ROWS(Params!AI$2:$AI464)-COUNTA(#REF!)-COUNTA(TAB_Offres[Ressource 1])))=0,NA(),
INDEX(#REF!,ROWS(Params!AI$2:$AI464)-COUNTA(#REF!)-COUNTA(TAB_Offres[Ressource 1])))),""))
)</f>
        <v/>
      </c>
      <c r="AJ464" s="192" t="str">
        <f>IF(TAB_ressource[[#This Row],[Import Ressource]]="","",MAX(AJ$1:AJ463)+1)</f>
        <v/>
      </c>
      <c r="AK464" s="193" t="str">
        <f>IFERROR(INDEX(TAB_ressource[Import Ressource],MATCH(ROW()-ROW($AK$1),TAB_ressource[ID Import ressources],0)),"")</f>
        <v/>
      </c>
      <c r="BD464" t="s">
        <v>2002</v>
      </c>
      <c r="BE464" t="s">
        <v>2003</v>
      </c>
      <c r="BF464" t="s">
        <v>2004</v>
      </c>
      <c r="BG464" t="s">
        <v>2002</v>
      </c>
    </row>
    <row r="465" spans="13:59" x14ac:dyDescent="0.25">
      <c r="M465" t="str">
        <f>_xlfn.IFNA(IF(VLOOKUP(TAB_Offres[[#This Row],[Reference]],TAB_Offres[[Reference]:[Request State]],COLUMNS(TAB_Offres[[Reference]:[Request State]]),FALSE)=D$6,TAB_Offres[[#This Row],[Reference]],""),"")</f>
        <v/>
      </c>
      <c r="N465" t="str">
        <f>_xlfn.IFNA(IF(VLOOKUP(TAB_Offres[[#This Row],[Reference]],TAB_Offres[[Reference]:[Has Expenses?]],COLUMNS(TAB_Offres[[Reference]:[Has Expenses?]]),FALSE)=J$2,TAB_Offres[[#This Row],[Reference]],""),"")</f>
        <v/>
      </c>
      <c r="O465" t="str">
        <f>IF(Tableau19[[#This Row],[EXPENSES_REF]]="","",MAX(O$1:O464)+1)</f>
        <v/>
      </c>
      <c r="P465" t="str">
        <f t="shared" si="20"/>
        <v/>
      </c>
      <c r="AI465" s="191" t="str">
        <f>IFERROR(_xlfn.SINGLE(
IF(_xlfn.SINGLE(INDEX(TAB_Offres[Ressource 1],ROWS(Params!AI$2:$AI465)))=0,NA(),
INDEX(TAB_Offres[Ressource 1],ROWS(Params!AI$2:$AI465)))),
IFERROR(_xlfn.SINGLE(IF(_xlfn.SINGLE(INDEX(#REF!,ROWS(Params!AI$2:$AI465)-COUNTA(TAB_Offres[Ressource 1])))=0,NA(),
INDEX(#REF!,ROWS(Params!AI$2:$AI465)-COUNTA(TAB_Offres[Ressource 1])))),
IFERROR(_xlfn.SINGLE(IF(_xlfn.SINGLE(INDEX(#REF!,ROWS(Params!AI$2:$AI465)-COUNTA(#REF!)-COUNTA(TAB_Offres[Ressource 1])))=0,NA(),
INDEX(#REF!,ROWS(Params!AI$2:$AI465)-COUNTA(#REF!)-COUNTA(TAB_Offres[Ressource 1])))),""))
)</f>
        <v/>
      </c>
      <c r="AJ465" s="192" t="str">
        <f>IF(TAB_ressource[[#This Row],[Import Ressource]]="","",MAX(AJ$1:AJ464)+1)</f>
        <v/>
      </c>
      <c r="AK465" s="193" t="str">
        <f>IFERROR(INDEX(TAB_ressource[Import Ressource],MATCH(ROW()-ROW($AK$1),TAB_ressource[ID Import ressources],0)),"")</f>
        <v/>
      </c>
      <c r="BD465" t="s">
        <v>2005</v>
      </c>
      <c r="BE465" t="s">
        <v>2006</v>
      </c>
      <c r="BF465" t="s">
        <v>2007</v>
      </c>
      <c r="BG465" t="s">
        <v>2005</v>
      </c>
    </row>
    <row r="466" spans="13:59" x14ac:dyDescent="0.25">
      <c r="M466" t="str">
        <f>_xlfn.IFNA(IF(VLOOKUP(TAB_Offres[[#This Row],[Reference]],TAB_Offres[[Reference]:[Request State]],COLUMNS(TAB_Offres[[Reference]:[Request State]]),FALSE)=D$6,TAB_Offres[[#This Row],[Reference]],""),"")</f>
        <v/>
      </c>
      <c r="N466" t="str">
        <f>_xlfn.IFNA(IF(VLOOKUP(TAB_Offres[[#This Row],[Reference]],TAB_Offres[[Reference]:[Has Expenses?]],COLUMNS(TAB_Offres[[Reference]:[Has Expenses?]]),FALSE)=J$2,TAB_Offres[[#This Row],[Reference]],""),"")</f>
        <v/>
      </c>
      <c r="O466" t="str">
        <f>IF(Tableau19[[#This Row],[EXPENSES_REF]]="","",MAX(O$1:O465)+1)</f>
        <v/>
      </c>
      <c r="P466" t="str">
        <f t="shared" si="20"/>
        <v/>
      </c>
      <c r="AI466" s="191" t="str">
        <f>IFERROR(_xlfn.SINGLE(
IF(_xlfn.SINGLE(INDEX(TAB_Offres[Ressource 1],ROWS(Params!AI$2:$AI466)))=0,NA(),
INDEX(TAB_Offres[Ressource 1],ROWS(Params!AI$2:$AI466)))),
IFERROR(_xlfn.SINGLE(IF(_xlfn.SINGLE(INDEX(#REF!,ROWS(Params!AI$2:$AI466)-COUNTA(TAB_Offres[Ressource 1])))=0,NA(),
INDEX(#REF!,ROWS(Params!AI$2:$AI466)-COUNTA(TAB_Offres[Ressource 1])))),
IFERROR(_xlfn.SINGLE(IF(_xlfn.SINGLE(INDEX(#REF!,ROWS(Params!AI$2:$AI466)-COUNTA(#REF!)-COUNTA(TAB_Offres[Ressource 1])))=0,NA(),
INDEX(#REF!,ROWS(Params!AI$2:$AI466)-COUNTA(#REF!)-COUNTA(TAB_Offres[Ressource 1])))),""))
)</f>
        <v/>
      </c>
      <c r="AJ466" s="192" t="str">
        <f>IF(TAB_ressource[[#This Row],[Import Ressource]]="","",MAX(AJ$1:AJ465)+1)</f>
        <v/>
      </c>
      <c r="AK466" s="193" t="str">
        <f>IFERROR(INDEX(TAB_ressource[Import Ressource],MATCH(ROW()-ROW($AK$1),TAB_ressource[ID Import ressources],0)),"")</f>
        <v/>
      </c>
      <c r="BD466" t="s">
        <v>2008</v>
      </c>
      <c r="BE466" t="s">
        <v>2009</v>
      </c>
      <c r="BF466" t="s">
        <v>2010</v>
      </c>
      <c r="BG466" t="s">
        <v>2008</v>
      </c>
    </row>
    <row r="467" spans="13:59" x14ac:dyDescent="0.25">
      <c r="M467" t="str">
        <f>_xlfn.IFNA(IF(VLOOKUP(TAB_Offres[[#This Row],[Reference]],TAB_Offres[[Reference]:[Request State]],COLUMNS(TAB_Offres[[Reference]:[Request State]]),FALSE)=D$6,TAB_Offres[[#This Row],[Reference]],""),"")</f>
        <v/>
      </c>
      <c r="N467" t="str">
        <f>_xlfn.IFNA(IF(VLOOKUP(TAB_Offres[[#This Row],[Reference]],TAB_Offres[[Reference]:[Has Expenses?]],COLUMNS(TAB_Offres[[Reference]:[Has Expenses?]]),FALSE)=J$2,TAB_Offres[[#This Row],[Reference]],""),"")</f>
        <v/>
      </c>
      <c r="O467" t="str">
        <f>IF(Tableau19[[#This Row],[EXPENSES_REF]]="","",MAX(O$1:O466)+1)</f>
        <v/>
      </c>
      <c r="P467" t="str">
        <f t="shared" si="20"/>
        <v/>
      </c>
      <c r="AI467" s="191" t="str">
        <f>IFERROR(_xlfn.SINGLE(
IF(_xlfn.SINGLE(INDEX(TAB_Offres[Ressource 1],ROWS(Params!AI$2:$AI467)))=0,NA(),
INDEX(TAB_Offres[Ressource 1],ROWS(Params!AI$2:$AI467)))),
IFERROR(_xlfn.SINGLE(IF(_xlfn.SINGLE(INDEX(#REF!,ROWS(Params!AI$2:$AI467)-COUNTA(TAB_Offres[Ressource 1])))=0,NA(),
INDEX(#REF!,ROWS(Params!AI$2:$AI467)-COUNTA(TAB_Offres[Ressource 1])))),
IFERROR(_xlfn.SINGLE(IF(_xlfn.SINGLE(INDEX(#REF!,ROWS(Params!AI$2:$AI467)-COUNTA(#REF!)-COUNTA(TAB_Offres[Ressource 1])))=0,NA(),
INDEX(#REF!,ROWS(Params!AI$2:$AI467)-COUNTA(#REF!)-COUNTA(TAB_Offres[Ressource 1])))),""))
)</f>
        <v/>
      </c>
      <c r="AJ467" s="192" t="str">
        <f>IF(TAB_ressource[[#This Row],[Import Ressource]]="","",MAX(AJ$1:AJ466)+1)</f>
        <v/>
      </c>
      <c r="AK467" s="193" t="str">
        <f>IFERROR(INDEX(TAB_ressource[Import Ressource],MATCH(ROW()-ROW($AK$1),TAB_ressource[ID Import ressources],0)),"")</f>
        <v/>
      </c>
      <c r="BD467" t="s">
        <v>2011</v>
      </c>
      <c r="BE467" t="s">
        <v>2012</v>
      </c>
      <c r="BF467" t="s">
        <v>2013</v>
      </c>
      <c r="BG467" t="s">
        <v>2011</v>
      </c>
    </row>
    <row r="468" spans="13:59" x14ac:dyDescent="0.25">
      <c r="M468" t="str">
        <f>_xlfn.IFNA(IF(VLOOKUP(TAB_Offres[[#This Row],[Reference]],TAB_Offres[[Reference]:[Request State]],COLUMNS(TAB_Offres[[Reference]:[Request State]]),FALSE)=D$6,TAB_Offres[[#This Row],[Reference]],""),"")</f>
        <v/>
      </c>
      <c r="N468" t="str">
        <f>_xlfn.IFNA(IF(VLOOKUP(TAB_Offres[[#This Row],[Reference]],TAB_Offres[[Reference]:[Has Expenses?]],COLUMNS(TAB_Offres[[Reference]:[Has Expenses?]]),FALSE)=J$2,TAB_Offres[[#This Row],[Reference]],""),"")</f>
        <v/>
      </c>
      <c r="O468" t="str">
        <f>IF(Tableau19[[#This Row],[EXPENSES_REF]]="","",MAX(O$1:O467)+1)</f>
        <v/>
      </c>
      <c r="P468" t="str">
        <f t="shared" si="20"/>
        <v/>
      </c>
      <c r="AI468" s="191" t="str">
        <f>IFERROR(_xlfn.SINGLE(
IF(_xlfn.SINGLE(INDEX(TAB_Offres[Ressource 1],ROWS(Params!AI$2:$AI468)))=0,NA(),
INDEX(TAB_Offres[Ressource 1],ROWS(Params!AI$2:$AI468)))),
IFERROR(_xlfn.SINGLE(IF(_xlfn.SINGLE(INDEX(#REF!,ROWS(Params!AI$2:$AI468)-COUNTA(TAB_Offres[Ressource 1])))=0,NA(),
INDEX(#REF!,ROWS(Params!AI$2:$AI468)-COUNTA(TAB_Offres[Ressource 1])))),
IFERROR(_xlfn.SINGLE(IF(_xlfn.SINGLE(INDEX(#REF!,ROWS(Params!AI$2:$AI468)-COUNTA(#REF!)-COUNTA(TAB_Offres[Ressource 1])))=0,NA(),
INDEX(#REF!,ROWS(Params!AI$2:$AI468)-COUNTA(#REF!)-COUNTA(TAB_Offres[Ressource 1])))),""))
)</f>
        <v/>
      </c>
      <c r="AJ468" s="192" t="str">
        <f>IF(TAB_ressource[[#This Row],[Import Ressource]]="","",MAX(AJ$1:AJ467)+1)</f>
        <v/>
      </c>
      <c r="AK468" s="193" t="str">
        <f>IFERROR(INDEX(TAB_ressource[Import Ressource],MATCH(ROW()-ROW($AK$1),TAB_ressource[ID Import ressources],0)),"")</f>
        <v/>
      </c>
      <c r="BD468" t="s">
        <v>2014</v>
      </c>
      <c r="BE468" t="s">
        <v>2015</v>
      </c>
      <c r="BF468" t="s">
        <v>2016</v>
      </c>
      <c r="BG468" t="s">
        <v>2014</v>
      </c>
    </row>
    <row r="469" spans="13:59" x14ac:dyDescent="0.25">
      <c r="M469" t="str">
        <f>_xlfn.IFNA(IF(VLOOKUP(TAB_Offres[[#This Row],[Reference]],TAB_Offres[[Reference]:[Request State]],COLUMNS(TAB_Offres[[Reference]:[Request State]]),FALSE)=D$6,TAB_Offres[[#This Row],[Reference]],""),"")</f>
        <v/>
      </c>
      <c r="N469" t="str">
        <f>_xlfn.IFNA(IF(VLOOKUP(TAB_Offres[[#This Row],[Reference]],TAB_Offres[[Reference]:[Has Expenses?]],COLUMNS(TAB_Offres[[Reference]:[Has Expenses?]]),FALSE)=J$2,TAB_Offres[[#This Row],[Reference]],""),"")</f>
        <v/>
      </c>
      <c r="O469" t="str">
        <f>IF(Tableau19[[#This Row],[EXPENSES_REF]]="","",MAX(O$1:O468)+1)</f>
        <v/>
      </c>
      <c r="P469" t="str">
        <f t="shared" si="20"/>
        <v/>
      </c>
      <c r="AI469" s="191" t="str">
        <f>IFERROR(_xlfn.SINGLE(
IF(_xlfn.SINGLE(INDEX(TAB_Offres[Ressource 1],ROWS(Params!AI$2:$AI469)))=0,NA(),
INDEX(TAB_Offres[Ressource 1],ROWS(Params!AI$2:$AI469)))),
IFERROR(_xlfn.SINGLE(IF(_xlfn.SINGLE(INDEX(#REF!,ROWS(Params!AI$2:$AI469)-COUNTA(TAB_Offres[Ressource 1])))=0,NA(),
INDEX(#REF!,ROWS(Params!AI$2:$AI469)-COUNTA(TAB_Offres[Ressource 1])))),
IFERROR(_xlfn.SINGLE(IF(_xlfn.SINGLE(INDEX(#REF!,ROWS(Params!AI$2:$AI469)-COUNTA(#REF!)-COUNTA(TAB_Offres[Ressource 1])))=0,NA(),
INDEX(#REF!,ROWS(Params!AI$2:$AI469)-COUNTA(#REF!)-COUNTA(TAB_Offres[Ressource 1])))),""))
)</f>
        <v/>
      </c>
      <c r="AJ469" s="192" t="str">
        <f>IF(TAB_ressource[[#This Row],[Import Ressource]]="","",MAX(AJ$1:AJ468)+1)</f>
        <v/>
      </c>
      <c r="AK469" s="193" t="str">
        <f>IFERROR(INDEX(TAB_ressource[Import Ressource],MATCH(ROW()-ROW($AK$1),TAB_ressource[ID Import ressources],0)),"")</f>
        <v/>
      </c>
      <c r="BD469" t="s">
        <v>2017</v>
      </c>
      <c r="BE469" t="s">
        <v>2018</v>
      </c>
      <c r="BF469" t="s">
        <v>2019</v>
      </c>
      <c r="BG469" t="s">
        <v>2017</v>
      </c>
    </row>
    <row r="470" spans="13:59" x14ac:dyDescent="0.25">
      <c r="M470" t="str">
        <f>_xlfn.IFNA(IF(VLOOKUP(TAB_Offres[[#This Row],[Reference]],TAB_Offres[[Reference]:[Request State]],COLUMNS(TAB_Offres[[Reference]:[Request State]]),FALSE)=D$6,TAB_Offres[[#This Row],[Reference]],""),"")</f>
        <v/>
      </c>
      <c r="N470" t="str">
        <f>_xlfn.IFNA(IF(VLOOKUP(TAB_Offres[[#This Row],[Reference]],TAB_Offres[[Reference]:[Has Expenses?]],COLUMNS(TAB_Offres[[Reference]:[Has Expenses?]]),FALSE)=J$2,TAB_Offres[[#This Row],[Reference]],""),"")</f>
        <v/>
      </c>
      <c r="O470" t="str">
        <f>IF(Tableau19[[#This Row],[EXPENSES_REF]]="","",MAX(O$1:O469)+1)</f>
        <v/>
      </c>
      <c r="P470" t="str">
        <f t="shared" si="20"/>
        <v/>
      </c>
      <c r="AI470" s="191" t="str">
        <f>IFERROR(_xlfn.SINGLE(
IF(_xlfn.SINGLE(INDEX(TAB_Offres[Ressource 1],ROWS(Params!AI$2:$AI470)))=0,NA(),
INDEX(TAB_Offres[Ressource 1],ROWS(Params!AI$2:$AI470)))),
IFERROR(_xlfn.SINGLE(IF(_xlfn.SINGLE(INDEX(#REF!,ROWS(Params!AI$2:$AI470)-COUNTA(TAB_Offres[Ressource 1])))=0,NA(),
INDEX(#REF!,ROWS(Params!AI$2:$AI470)-COUNTA(TAB_Offres[Ressource 1])))),
IFERROR(_xlfn.SINGLE(IF(_xlfn.SINGLE(INDEX(#REF!,ROWS(Params!AI$2:$AI470)-COUNTA(#REF!)-COUNTA(TAB_Offres[Ressource 1])))=0,NA(),
INDEX(#REF!,ROWS(Params!AI$2:$AI470)-COUNTA(#REF!)-COUNTA(TAB_Offres[Ressource 1])))),""))
)</f>
        <v/>
      </c>
      <c r="AJ470" s="192" t="str">
        <f>IF(TAB_ressource[[#This Row],[Import Ressource]]="","",MAX(AJ$1:AJ469)+1)</f>
        <v/>
      </c>
      <c r="AK470" s="193" t="str">
        <f>IFERROR(INDEX(TAB_ressource[Import Ressource],MATCH(ROW()-ROW($AK$1),TAB_ressource[ID Import ressources],0)),"")</f>
        <v/>
      </c>
      <c r="BD470" t="s">
        <v>2020</v>
      </c>
      <c r="BE470" t="s">
        <v>2021</v>
      </c>
      <c r="BF470" t="s">
        <v>2022</v>
      </c>
      <c r="BG470" t="s">
        <v>2020</v>
      </c>
    </row>
    <row r="471" spans="13:59" x14ac:dyDescent="0.25">
      <c r="M471" t="str">
        <f>_xlfn.IFNA(IF(VLOOKUP(TAB_Offres[[#This Row],[Reference]],TAB_Offres[[Reference]:[Request State]],COLUMNS(TAB_Offres[[Reference]:[Request State]]),FALSE)=D$6,TAB_Offres[[#This Row],[Reference]],""),"")</f>
        <v/>
      </c>
      <c r="N471" t="str">
        <f>_xlfn.IFNA(IF(VLOOKUP(TAB_Offres[[#This Row],[Reference]],TAB_Offres[[Reference]:[Has Expenses?]],COLUMNS(TAB_Offres[[Reference]:[Has Expenses?]]),FALSE)=J$2,TAB_Offres[[#This Row],[Reference]],""),"")</f>
        <v/>
      </c>
      <c r="O471" t="str">
        <f>IF(Tableau19[[#This Row],[EXPENSES_REF]]="","",MAX(O$1:O470)+1)</f>
        <v/>
      </c>
      <c r="P471" t="str">
        <f t="shared" si="20"/>
        <v/>
      </c>
      <c r="AI471" s="191" t="str">
        <f>IFERROR(_xlfn.SINGLE(
IF(_xlfn.SINGLE(INDEX(TAB_Offres[Ressource 1],ROWS(Params!AI$2:$AI471)))=0,NA(),
INDEX(TAB_Offres[Ressource 1],ROWS(Params!AI$2:$AI471)))),
IFERROR(_xlfn.SINGLE(IF(_xlfn.SINGLE(INDEX(#REF!,ROWS(Params!AI$2:$AI471)-COUNTA(TAB_Offres[Ressource 1])))=0,NA(),
INDEX(#REF!,ROWS(Params!AI$2:$AI471)-COUNTA(TAB_Offres[Ressource 1])))),
IFERROR(_xlfn.SINGLE(IF(_xlfn.SINGLE(INDEX(#REF!,ROWS(Params!AI$2:$AI471)-COUNTA(#REF!)-COUNTA(TAB_Offres[Ressource 1])))=0,NA(),
INDEX(#REF!,ROWS(Params!AI$2:$AI471)-COUNTA(#REF!)-COUNTA(TAB_Offres[Ressource 1])))),""))
)</f>
        <v/>
      </c>
      <c r="AJ471" s="192" t="str">
        <f>IF(TAB_ressource[[#This Row],[Import Ressource]]="","",MAX(AJ$1:AJ470)+1)</f>
        <v/>
      </c>
      <c r="AK471" s="193" t="str">
        <f>IFERROR(INDEX(TAB_ressource[Import Ressource],MATCH(ROW()-ROW($AK$1),TAB_ressource[ID Import ressources],0)),"")</f>
        <v/>
      </c>
      <c r="BD471" t="s">
        <v>2023</v>
      </c>
      <c r="BE471" t="s">
        <v>2024</v>
      </c>
      <c r="BF471" t="s">
        <v>2025</v>
      </c>
      <c r="BG471" t="s">
        <v>2023</v>
      </c>
    </row>
    <row r="472" spans="13:59" x14ac:dyDescent="0.25">
      <c r="M472" t="str">
        <f>_xlfn.IFNA(IF(VLOOKUP(TAB_Offres[[#This Row],[Reference]],TAB_Offres[[Reference]:[Request State]],COLUMNS(TAB_Offres[[Reference]:[Request State]]),FALSE)=D$6,TAB_Offres[[#This Row],[Reference]],""),"")</f>
        <v/>
      </c>
      <c r="N472" t="str">
        <f>_xlfn.IFNA(IF(VLOOKUP(TAB_Offres[[#This Row],[Reference]],TAB_Offres[[Reference]:[Has Expenses?]],COLUMNS(TAB_Offres[[Reference]:[Has Expenses?]]),FALSE)=J$2,TAB_Offres[[#This Row],[Reference]],""),"")</f>
        <v/>
      </c>
      <c r="O472" t="str">
        <f>IF(Tableau19[[#This Row],[EXPENSES_REF]]="","",MAX(O$1:O471)+1)</f>
        <v/>
      </c>
      <c r="P472" t="str">
        <f t="shared" si="20"/>
        <v/>
      </c>
      <c r="AI472" s="191" t="str">
        <f>IFERROR(_xlfn.SINGLE(
IF(_xlfn.SINGLE(INDEX(TAB_Offres[Ressource 1],ROWS(Params!AI$2:$AI472)))=0,NA(),
INDEX(TAB_Offres[Ressource 1],ROWS(Params!AI$2:$AI472)))),
IFERROR(_xlfn.SINGLE(IF(_xlfn.SINGLE(INDEX(#REF!,ROWS(Params!AI$2:$AI472)-COUNTA(TAB_Offres[Ressource 1])))=0,NA(),
INDEX(#REF!,ROWS(Params!AI$2:$AI472)-COUNTA(TAB_Offres[Ressource 1])))),
IFERROR(_xlfn.SINGLE(IF(_xlfn.SINGLE(INDEX(#REF!,ROWS(Params!AI$2:$AI472)-COUNTA(#REF!)-COUNTA(TAB_Offres[Ressource 1])))=0,NA(),
INDEX(#REF!,ROWS(Params!AI$2:$AI472)-COUNTA(#REF!)-COUNTA(TAB_Offres[Ressource 1])))),""))
)</f>
        <v/>
      </c>
      <c r="AJ472" s="192" t="str">
        <f>IF(TAB_ressource[[#This Row],[Import Ressource]]="","",MAX(AJ$1:AJ471)+1)</f>
        <v/>
      </c>
      <c r="AK472" s="193" t="str">
        <f>IFERROR(INDEX(TAB_ressource[Import Ressource],MATCH(ROW()-ROW($AK$1),TAB_ressource[ID Import ressources],0)),"")</f>
        <v/>
      </c>
      <c r="BD472" t="s">
        <v>2026</v>
      </c>
      <c r="BE472" t="s">
        <v>2027</v>
      </c>
      <c r="BF472" t="s">
        <v>2028</v>
      </c>
      <c r="BG472" t="s">
        <v>2026</v>
      </c>
    </row>
    <row r="473" spans="13:59" x14ac:dyDescent="0.25">
      <c r="M473" t="str">
        <f>_xlfn.IFNA(IF(VLOOKUP(TAB_Offres[[#This Row],[Reference]],TAB_Offres[[Reference]:[Request State]],COLUMNS(TAB_Offres[[Reference]:[Request State]]),FALSE)=D$6,TAB_Offres[[#This Row],[Reference]],""),"")</f>
        <v/>
      </c>
      <c r="N473" t="str">
        <f>_xlfn.IFNA(IF(VLOOKUP(TAB_Offres[[#This Row],[Reference]],TAB_Offres[[Reference]:[Has Expenses?]],COLUMNS(TAB_Offres[[Reference]:[Has Expenses?]]),FALSE)=J$2,TAB_Offres[[#This Row],[Reference]],""),"")</f>
        <v/>
      </c>
      <c r="O473" t="str">
        <f>IF(Tableau19[[#This Row],[EXPENSES_REF]]="","",MAX(O$1:O472)+1)</f>
        <v/>
      </c>
      <c r="P473" t="str">
        <f t="shared" si="20"/>
        <v/>
      </c>
      <c r="AI473" s="191" t="str">
        <f>IFERROR(_xlfn.SINGLE(
IF(_xlfn.SINGLE(INDEX(TAB_Offres[Ressource 1],ROWS(Params!AI$2:$AI473)))=0,NA(),
INDEX(TAB_Offres[Ressource 1],ROWS(Params!AI$2:$AI473)))),
IFERROR(_xlfn.SINGLE(IF(_xlfn.SINGLE(INDEX(#REF!,ROWS(Params!AI$2:$AI473)-COUNTA(TAB_Offres[Ressource 1])))=0,NA(),
INDEX(#REF!,ROWS(Params!AI$2:$AI473)-COUNTA(TAB_Offres[Ressource 1])))),
IFERROR(_xlfn.SINGLE(IF(_xlfn.SINGLE(INDEX(#REF!,ROWS(Params!AI$2:$AI473)-COUNTA(#REF!)-COUNTA(TAB_Offres[Ressource 1])))=0,NA(),
INDEX(#REF!,ROWS(Params!AI$2:$AI473)-COUNTA(#REF!)-COUNTA(TAB_Offres[Ressource 1])))),""))
)</f>
        <v/>
      </c>
      <c r="AJ473" s="192" t="str">
        <f>IF(TAB_ressource[[#This Row],[Import Ressource]]="","",MAX(AJ$1:AJ472)+1)</f>
        <v/>
      </c>
      <c r="AK473" s="193" t="str">
        <f>IFERROR(INDEX(TAB_ressource[Import Ressource],MATCH(ROW()-ROW($AK$1),TAB_ressource[ID Import ressources],0)),"")</f>
        <v/>
      </c>
      <c r="BD473" t="s">
        <v>2029</v>
      </c>
      <c r="BE473" t="s">
        <v>2030</v>
      </c>
      <c r="BF473" t="s">
        <v>2031</v>
      </c>
      <c r="BG473" t="s">
        <v>2029</v>
      </c>
    </row>
    <row r="474" spans="13:59" x14ac:dyDescent="0.25">
      <c r="M474" t="str">
        <f>_xlfn.IFNA(IF(VLOOKUP(TAB_Offres[[#This Row],[Reference]],TAB_Offres[[Reference]:[Request State]],COLUMNS(TAB_Offres[[Reference]:[Request State]]),FALSE)=D$6,TAB_Offres[[#This Row],[Reference]],""),"")</f>
        <v/>
      </c>
      <c r="N474" t="str">
        <f>_xlfn.IFNA(IF(VLOOKUP(TAB_Offres[[#This Row],[Reference]],TAB_Offres[[Reference]:[Has Expenses?]],COLUMNS(TAB_Offres[[Reference]:[Has Expenses?]]),FALSE)=J$2,TAB_Offres[[#This Row],[Reference]],""),"")</f>
        <v/>
      </c>
      <c r="O474" t="str">
        <f>IF(Tableau19[[#This Row],[EXPENSES_REF]]="","",MAX(O$1:O473)+1)</f>
        <v/>
      </c>
      <c r="P474" t="str">
        <f t="shared" si="20"/>
        <v/>
      </c>
      <c r="AI474" s="191" t="str">
        <f>IFERROR(_xlfn.SINGLE(
IF(_xlfn.SINGLE(INDEX(TAB_Offres[Ressource 1],ROWS(Params!AI$2:$AI474)))=0,NA(),
INDEX(TAB_Offres[Ressource 1],ROWS(Params!AI$2:$AI474)))),
IFERROR(_xlfn.SINGLE(IF(_xlfn.SINGLE(INDEX(#REF!,ROWS(Params!AI$2:$AI474)-COUNTA(TAB_Offres[Ressource 1])))=0,NA(),
INDEX(#REF!,ROWS(Params!AI$2:$AI474)-COUNTA(TAB_Offres[Ressource 1])))),
IFERROR(_xlfn.SINGLE(IF(_xlfn.SINGLE(INDEX(#REF!,ROWS(Params!AI$2:$AI474)-COUNTA(#REF!)-COUNTA(TAB_Offres[Ressource 1])))=0,NA(),
INDEX(#REF!,ROWS(Params!AI$2:$AI474)-COUNTA(#REF!)-COUNTA(TAB_Offres[Ressource 1])))),""))
)</f>
        <v/>
      </c>
      <c r="AJ474" s="192" t="str">
        <f>IF(TAB_ressource[[#This Row],[Import Ressource]]="","",MAX(AJ$1:AJ473)+1)</f>
        <v/>
      </c>
      <c r="AK474" s="193" t="str">
        <f>IFERROR(INDEX(TAB_ressource[Import Ressource],MATCH(ROW()-ROW($AK$1),TAB_ressource[ID Import ressources],0)),"")</f>
        <v/>
      </c>
      <c r="BD474" t="s">
        <v>2032</v>
      </c>
      <c r="BE474" t="s">
        <v>2033</v>
      </c>
      <c r="BF474" t="s">
        <v>2034</v>
      </c>
      <c r="BG474" t="s">
        <v>2032</v>
      </c>
    </row>
    <row r="475" spans="13:59" x14ac:dyDescent="0.25">
      <c r="M475" t="str">
        <f>_xlfn.IFNA(IF(VLOOKUP(TAB_Offres[[#This Row],[Reference]],TAB_Offres[[Reference]:[Request State]],COLUMNS(TAB_Offres[[Reference]:[Request State]]),FALSE)=D$6,TAB_Offres[[#This Row],[Reference]],""),"")</f>
        <v/>
      </c>
      <c r="N475" t="str">
        <f>_xlfn.IFNA(IF(VLOOKUP(TAB_Offres[[#This Row],[Reference]],TAB_Offres[[Reference]:[Has Expenses?]],COLUMNS(TAB_Offres[[Reference]:[Has Expenses?]]),FALSE)=J$2,TAB_Offres[[#This Row],[Reference]],""),"")</f>
        <v/>
      </c>
      <c r="O475" t="str">
        <f>IF(Tableau19[[#This Row],[EXPENSES_REF]]="","",MAX(O$1:O474)+1)</f>
        <v/>
      </c>
      <c r="P475" t="str">
        <f t="shared" si="20"/>
        <v/>
      </c>
      <c r="AI475" s="191" t="str">
        <f>IFERROR(_xlfn.SINGLE(
IF(_xlfn.SINGLE(INDEX(TAB_Offres[Ressource 1],ROWS(Params!AI$2:$AI475)))=0,NA(),
INDEX(TAB_Offres[Ressource 1],ROWS(Params!AI$2:$AI475)))),
IFERROR(_xlfn.SINGLE(IF(_xlfn.SINGLE(INDEX(#REF!,ROWS(Params!AI$2:$AI475)-COUNTA(TAB_Offres[Ressource 1])))=0,NA(),
INDEX(#REF!,ROWS(Params!AI$2:$AI475)-COUNTA(TAB_Offres[Ressource 1])))),
IFERROR(_xlfn.SINGLE(IF(_xlfn.SINGLE(INDEX(#REF!,ROWS(Params!AI$2:$AI475)-COUNTA(#REF!)-COUNTA(TAB_Offres[Ressource 1])))=0,NA(),
INDEX(#REF!,ROWS(Params!AI$2:$AI475)-COUNTA(#REF!)-COUNTA(TAB_Offres[Ressource 1])))),""))
)</f>
        <v/>
      </c>
      <c r="AJ475" s="192" t="str">
        <f>IF(TAB_ressource[[#This Row],[Import Ressource]]="","",MAX(AJ$1:AJ474)+1)</f>
        <v/>
      </c>
      <c r="AK475" s="193" t="str">
        <f>IFERROR(INDEX(TAB_ressource[Import Ressource],MATCH(ROW()-ROW($AK$1),TAB_ressource[ID Import ressources],0)),"")</f>
        <v/>
      </c>
      <c r="BD475" t="s">
        <v>2035</v>
      </c>
      <c r="BE475" t="s">
        <v>2036</v>
      </c>
      <c r="BF475" t="s">
        <v>2037</v>
      </c>
      <c r="BG475" t="s">
        <v>2035</v>
      </c>
    </row>
    <row r="476" spans="13:59" x14ac:dyDescent="0.25">
      <c r="M476" t="str">
        <f>_xlfn.IFNA(IF(VLOOKUP(TAB_Offres[[#This Row],[Reference]],TAB_Offres[[Reference]:[Request State]],COLUMNS(TAB_Offres[[Reference]:[Request State]]),FALSE)=D$6,TAB_Offres[[#This Row],[Reference]],""),"")</f>
        <v/>
      </c>
      <c r="N476" t="str">
        <f>_xlfn.IFNA(IF(VLOOKUP(TAB_Offres[[#This Row],[Reference]],TAB_Offres[[Reference]:[Has Expenses?]],COLUMNS(TAB_Offres[[Reference]:[Has Expenses?]]),FALSE)=J$2,TAB_Offres[[#This Row],[Reference]],""),"")</f>
        <v/>
      </c>
      <c r="O476" t="str">
        <f>IF(Tableau19[[#This Row],[EXPENSES_REF]]="","",MAX(O$1:O475)+1)</f>
        <v/>
      </c>
      <c r="P476" t="str">
        <f t="shared" si="20"/>
        <v/>
      </c>
      <c r="AI476" s="191" t="str">
        <f>IFERROR(_xlfn.SINGLE(
IF(_xlfn.SINGLE(INDEX(TAB_Offres[Ressource 1],ROWS(Params!AI$2:$AI476)))=0,NA(),
INDEX(TAB_Offres[Ressource 1],ROWS(Params!AI$2:$AI476)))),
IFERROR(_xlfn.SINGLE(IF(_xlfn.SINGLE(INDEX(#REF!,ROWS(Params!AI$2:$AI476)-COUNTA(TAB_Offres[Ressource 1])))=0,NA(),
INDEX(#REF!,ROWS(Params!AI$2:$AI476)-COUNTA(TAB_Offres[Ressource 1])))),
IFERROR(_xlfn.SINGLE(IF(_xlfn.SINGLE(INDEX(#REF!,ROWS(Params!AI$2:$AI476)-COUNTA(#REF!)-COUNTA(TAB_Offres[Ressource 1])))=0,NA(),
INDEX(#REF!,ROWS(Params!AI$2:$AI476)-COUNTA(#REF!)-COUNTA(TAB_Offres[Ressource 1])))),""))
)</f>
        <v/>
      </c>
      <c r="AJ476" s="192" t="str">
        <f>IF(TAB_ressource[[#This Row],[Import Ressource]]="","",MAX(AJ$1:AJ475)+1)</f>
        <v/>
      </c>
      <c r="AK476" s="193" t="str">
        <f>IFERROR(INDEX(TAB_ressource[Import Ressource],MATCH(ROW()-ROW($AK$1),TAB_ressource[ID Import ressources],0)),"")</f>
        <v/>
      </c>
      <c r="BD476" t="s">
        <v>2038</v>
      </c>
      <c r="BE476" t="s">
        <v>2039</v>
      </c>
      <c r="BF476" t="s">
        <v>2040</v>
      </c>
      <c r="BG476" t="s">
        <v>2038</v>
      </c>
    </row>
    <row r="477" spans="13:59" x14ac:dyDescent="0.25">
      <c r="M477" t="str">
        <f>_xlfn.IFNA(IF(VLOOKUP(TAB_Offres[[#This Row],[Reference]],TAB_Offres[[Reference]:[Request State]],COLUMNS(TAB_Offres[[Reference]:[Request State]]),FALSE)=D$6,TAB_Offres[[#This Row],[Reference]],""),"")</f>
        <v/>
      </c>
      <c r="N477" t="str">
        <f>_xlfn.IFNA(IF(VLOOKUP(TAB_Offres[[#This Row],[Reference]],TAB_Offres[[Reference]:[Has Expenses?]],COLUMNS(TAB_Offres[[Reference]:[Has Expenses?]]),FALSE)=J$2,TAB_Offres[[#This Row],[Reference]],""),"")</f>
        <v/>
      </c>
      <c r="O477" t="str">
        <f>IF(Tableau19[[#This Row],[EXPENSES_REF]]="","",MAX(O$1:O476)+1)</f>
        <v/>
      </c>
      <c r="P477" t="str">
        <f t="shared" si="20"/>
        <v/>
      </c>
      <c r="AI477" s="191" t="str">
        <f>IFERROR(_xlfn.SINGLE(
IF(_xlfn.SINGLE(INDEX(TAB_Offres[Ressource 1],ROWS(Params!AI$2:$AI477)))=0,NA(),
INDEX(TAB_Offres[Ressource 1],ROWS(Params!AI$2:$AI477)))),
IFERROR(_xlfn.SINGLE(IF(_xlfn.SINGLE(INDEX(#REF!,ROWS(Params!AI$2:$AI477)-COUNTA(TAB_Offres[Ressource 1])))=0,NA(),
INDEX(#REF!,ROWS(Params!AI$2:$AI477)-COUNTA(TAB_Offres[Ressource 1])))),
IFERROR(_xlfn.SINGLE(IF(_xlfn.SINGLE(INDEX(#REF!,ROWS(Params!AI$2:$AI477)-COUNTA(#REF!)-COUNTA(TAB_Offres[Ressource 1])))=0,NA(),
INDEX(#REF!,ROWS(Params!AI$2:$AI477)-COUNTA(#REF!)-COUNTA(TAB_Offres[Ressource 1])))),""))
)</f>
        <v/>
      </c>
      <c r="AJ477" s="192" t="str">
        <f>IF(TAB_ressource[[#This Row],[Import Ressource]]="","",MAX(AJ$1:AJ476)+1)</f>
        <v/>
      </c>
      <c r="AK477" s="193" t="str">
        <f>IFERROR(INDEX(TAB_ressource[Import Ressource],MATCH(ROW()-ROW($AK$1),TAB_ressource[ID Import ressources],0)),"")</f>
        <v/>
      </c>
      <c r="BD477" t="s">
        <v>2041</v>
      </c>
      <c r="BE477" t="s">
        <v>2042</v>
      </c>
      <c r="BF477" t="s">
        <v>2043</v>
      </c>
      <c r="BG477" t="s">
        <v>2041</v>
      </c>
    </row>
    <row r="478" spans="13:59" x14ac:dyDescent="0.25">
      <c r="M478" t="str">
        <f>_xlfn.IFNA(IF(VLOOKUP(TAB_Offres[[#This Row],[Reference]],TAB_Offres[[Reference]:[Request State]],COLUMNS(TAB_Offres[[Reference]:[Request State]]),FALSE)=D$6,TAB_Offres[[#This Row],[Reference]],""),"")</f>
        <v/>
      </c>
      <c r="N478" t="str">
        <f>_xlfn.IFNA(IF(VLOOKUP(TAB_Offres[[#This Row],[Reference]],TAB_Offres[[Reference]:[Has Expenses?]],COLUMNS(TAB_Offres[[Reference]:[Has Expenses?]]),FALSE)=J$2,TAB_Offres[[#This Row],[Reference]],""),"")</f>
        <v/>
      </c>
      <c r="O478" t="str">
        <f>IF(Tableau19[[#This Row],[EXPENSES_REF]]="","",MAX(O$1:O477)+1)</f>
        <v/>
      </c>
      <c r="P478" t="str">
        <f t="shared" si="20"/>
        <v/>
      </c>
      <c r="AI478" s="191" t="str">
        <f>IFERROR(_xlfn.SINGLE(
IF(_xlfn.SINGLE(INDEX(TAB_Offres[Ressource 1],ROWS(Params!AI$2:$AI478)))=0,NA(),
INDEX(TAB_Offres[Ressource 1],ROWS(Params!AI$2:$AI478)))),
IFERROR(_xlfn.SINGLE(IF(_xlfn.SINGLE(INDEX(#REF!,ROWS(Params!AI$2:$AI478)-COUNTA(TAB_Offres[Ressource 1])))=0,NA(),
INDEX(#REF!,ROWS(Params!AI$2:$AI478)-COUNTA(TAB_Offres[Ressource 1])))),
IFERROR(_xlfn.SINGLE(IF(_xlfn.SINGLE(INDEX(#REF!,ROWS(Params!AI$2:$AI478)-COUNTA(#REF!)-COUNTA(TAB_Offres[Ressource 1])))=0,NA(),
INDEX(#REF!,ROWS(Params!AI$2:$AI478)-COUNTA(#REF!)-COUNTA(TAB_Offres[Ressource 1])))),""))
)</f>
        <v/>
      </c>
      <c r="AJ478" s="192" t="str">
        <f>IF(TAB_ressource[[#This Row],[Import Ressource]]="","",MAX(AJ$1:AJ477)+1)</f>
        <v/>
      </c>
      <c r="AK478" s="193" t="str">
        <f>IFERROR(INDEX(TAB_ressource[Import Ressource],MATCH(ROW()-ROW($AK$1),TAB_ressource[ID Import ressources],0)),"")</f>
        <v/>
      </c>
      <c r="BD478" t="s">
        <v>2044</v>
      </c>
      <c r="BE478" t="s">
        <v>2045</v>
      </c>
      <c r="BF478" t="s">
        <v>2046</v>
      </c>
      <c r="BG478" t="s">
        <v>2044</v>
      </c>
    </row>
    <row r="479" spans="13:59" x14ac:dyDescent="0.25">
      <c r="M479" t="str">
        <f>_xlfn.IFNA(IF(VLOOKUP(TAB_Offres[[#This Row],[Reference]],TAB_Offres[[Reference]:[Request State]],COLUMNS(TAB_Offres[[Reference]:[Request State]]),FALSE)=D$6,TAB_Offres[[#This Row],[Reference]],""),"")</f>
        <v/>
      </c>
      <c r="N479" t="str">
        <f>_xlfn.IFNA(IF(VLOOKUP(TAB_Offres[[#This Row],[Reference]],TAB_Offres[[Reference]:[Has Expenses?]],COLUMNS(TAB_Offres[[Reference]:[Has Expenses?]]),FALSE)=J$2,TAB_Offres[[#This Row],[Reference]],""),"")</f>
        <v/>
      </c>
      <c r="O479" t="str">
        <f>IF(Tableau19[[#This Row],[EXPENSES_REF]]="","",MAX(O$1:O478)+1)</f>
        <v/>
      </c>
      <c r="P479" t="str">
        <f t="shared" si="20"/>
        <v/>
      </c>
      <c r="AI479" s="191" t="str">
        <f>IFERROR(_xlfn.SINGLE(
IF(_xlfn.SINGLE(INDEX(TAB_Offres[Ressource 1],ROWS(Params!AI$2:$AI479)))=0,NA(),
INDEX(TAB_Offres[Ressource 1],ROWS(Params!AI$2:$AI479)))),
IFERROR(_xlfn.SINGLE(IF(_xlfn.SINGLE(INDEX(#REF!,ROWS(Params!AI$2:$AI479)-COUNTA(TAB_Offres[Ressource 1])))=0,NA(),
INDEX(#REF!,ROWS(Params!AI$2:$AI479)-COUNTA(TAB_Offres[Ressource 1])))),
IFERROR(_xlfn.SINGLE(IF(_xlfn.SINGLE(INDEX(#REF!,ROWS(Params!AI$2:$AI479)-COUNTA(#REF!)-COUNTA(TAB_Offres[Ressource 1])))=0,NA(),
INDEX(#REF!,ROWS(Params!AI$2:$AI479)-COUNTA(#REF!)-COUNTA(TAB_Offres[Ressource 1])))),""))
)</f>
        <v/>
      </c>
      <c r="AJ479" s="192" t="str">
        <f>IF(TAB_ressource[[#This Row],[Import Ressource]]="","",MAX(AJ$1:AJ478)+1)</f>
        <v/>
      </c>
      <c r="AK479" s="193" t="str">
        <f>IFERROR(INDEX(TAB_ressource[Import Ressource],MATCH(ROW()-ROW($AK$1),TAB_ressource[ID Import ressources],0)),"")</f>
        <v/>
      </c>
      <c r="BD479" t="s">
        <v>2047</v>
      </c>
      <c r="BE479" t="s">
        <v>2048</v>
      </c>
      <c r="BF479" t="s">
        <v>2049</v>
      </c>
      <c r="BG479" t="s">
        <v>2047</v>
      </c>
    </row>
    <row r="480" spans="13:59" x14ac:dyDescent="0.25">
      <c r="M480" t="str">
        <f>_xlfn.IFNA(IF(VLOOKUP(TAB_Offres[[#This Row],[Reference]],TAB_Offres[[Reference]:[Request State]],COLUMNS(TAB_Offres[[Reference]:[Request State]]),FALSE)=D$6,TAB_Offres[[#This Row],[Reference]],""),"")</f>
        <v/>
      </c>
      <c r="N480" t="str">
        <f>_xlfn.IFNA(IF(VLOOKUP(TAB_Offres[[#This Row],[Reference]],TAB_Offres[[Reference]:[Has Expenses?]],COLUMNS(TAB_Offres[[Reference]:[Has Expenses?]]),FALSE)=J$2,TAB_Offres[[#This Row],[Reference]],""),"")</f>
        <v/>
      </c>
      <c r="O480" t="str">
        <f>IF(Tableau19[[#This Row],[EXPENSES_REF]]="","",MAX(O$1:O479)+1)</f>
        <v/>
      </c>
      <c r="P480" t="str">
        <f t="shared" si="20"/>
        <v/>
      </c>
      <c r="AI480" s="191" t="str">
        <f>IFERROR(_xlfn.SINGLE(
IF(_xlfn.SINGLE(INDEX(TAB_Offres[Ressource 1],ROWS(Params!AI$2:$AI480)))=0,NA(),
INDEX(TAB_Offres[Ressource 1],ROWS(Params!AI$2:$AI480)))),
IFERROR(_xlfn.SINGLE(IF(_xlfn.SINGLE(INDEX(#REF!,ROWS(Params!AI$2:$AI480)-COUNTA(TAB_Offres[Ressource 1])))=0,NA(),
INDEX(#REF!,ROWS(Params!AI$2:$AI480)-COUNTA(TAB_Offres[Ressource 1])))),
IFERROR(_xlfn.SINGLE(IF(_xlfn.SINGLE(INDEX(#REF!,ROWS(Params!AI$2:$AI480)-COUNTA(#REF!)-COUNTA(TAB_Offres[Ressource 1])))=0,NA(),
INDEX(#REF!,ROWS(Params!AI$2:$AI480)-COUNTA(#REF!)-COUNTA(TAB_Offres[Ressource 1])))),""))
)</f>
        <v/>
      </c>
      <c r="AJ480" s="192" t="str">
        <f>IF(TAB_ressource[[#This Row],[Import Ressource]]="","",MAX(AJ$1:AJ479)+1)</f>
        <v/>
      </c>
      <c r="AK480" s="193" t="str">
        <f>IFERROR(INDEX(TAB_ressource[Import Ressource],MATCH(ROW()-ROW($AK$1),TAB_ressource[ID Import ressources],0)),"")</f>
        <v/>
      </c>
      <c r="BD480" t="s">
        <v>2050</v>
      </c>
      <c r="BE480" t="s">
        <v>2051</v>
      </c>
      <c r="BF480" t="s">
        <v>2052</v>
      </c>
      <c r="BG480" t="s">
        <v>2050</v>
      </c>
    </row>
    <row r="481" spans="13:59" x14ac:dyDescent="0.25">
      <c r="M481" t="str">
        <f>_xlfn.IFNA(IF(VLOOKUP(TAB_Offres[[#This Row],[Reference]],TAB_Offres[[Reference]:[Request State]],COLUMNS(TAB_Offres[[Reference]:[Request State]]),FALSE)=D$6,TAB_Offres[[#This Row],[Reference]],""),"")</f>
        <v/>
      </c>
      <c r="N481" t="str">
        <f>_xlfn.IFNA(IF(VLOOKUP(TAB_Offres[[#This Row],[Reference]],TAB_Offres[[Reference]:[Has Expenses?]],COLUMNS(TAB_Offres[[Reference]:[Has Expenses?]]),FALSE)=J$2,TAB_Offres[[#This Row],[Reference]],""),"")</f>
        <v/>
      </c>
      <c r="O481" t="str">
        <f>IF(Tableau19[[#This Row],[EXPENSES_REF]]="","",MAX(O$1:O480)+1)</f>
        <v/>
      </c>
      <c r="P481" t="str">
        <f t="shared" si="20"/>
        <v/>
      </c>
      <c r="AI481" s="191" t="str">
        <f>IFERROR(_xlfn.SINGLE(
IF(_xlfn.SINGLE(INDEX(TAB_Offres[Ressource 1],ROWS(Params!AI$2:$AI481)))=0,NA(),
INDEX(TAB_Offres[Ressource 1],ROWS(Params!AI$2:$AI481)))),
IFERROR(_xlfn.SINGLE(IF(_xlfn.SINGLE(INDEX(#REF!,ROWS(Params!AI$2:$AI481)-COUNTA(TAB_Offres[Ressource 1])))=0,NA(),
INDEX(#REF!,ROWS(Params!AI$2:$AI481)-COUNTA(TAB_Offres[Ressource 1])))),
IFERROR(_xlfn.SINGLE(IF(_xlfn.SINGLE(INDEX(#REF!,ROWS(Params!AI$2:$AI481)-COUNTA(#REF!)-COUNTA(TAB_Offres[Ressource 1])))=0,NA(),
INDEX(#REF!,ROWS(Params!AI$2:$AI481)-COUNTA(#REF!)-COUNTA(TAB_Offres[Ressource 1])))),""))
)</f>
        <v/>
      </c>
      <c r="AJ481" s="192" t="str">
        <f>IF(TAB_ressource[[#This Row],[Import Ressource]]="","",MAX(AJ$1:AJ480)+1)</f>
        <v/>
      </c>
      <c r="AK481" s="193" t="str">
        <f>IFERROR(INDEX(TAB_ressource[Import Ressource],MATCH(ROW()-ROW($AK$1),TAB_ressource[ID Import ressources],0)),"")</f>
        <v/>
      </c>
      <c r="BD481" t="s">
        <v>2053</v>
      </c>
      <c r="BE481" t="s">
        <v>2054</v>
      </c>
      <c r="BF481" t="s">
        <v>2055</v>
      </c>
      <c r="BG481" t="s">
        <v>2053</v>
      </c>
    </row>
    <row r="482" spans="13:59" x14ac:dyDescent="0.25">
      <c r="M482" t="str">
        <f>_xlfn.IFNA(IF(VLOOKUP(TAB_Offres[[#This Row],[Reference]],TAB_Offres[[Reference]:[Request State]],COLUMNS(TAB_Offres[[Reference]:[Request State]]),FALSE)=D$6,TAB_Offres[[#This Row],[Reference]],""),"")</f>
        <v/>
      </c>
      <c r="N482" t="str">
        <f>_xlfn.IFNA(IF(VLOOKUP(TAB_Offres[[#This Row],[Reference]],TAB_Offres[[Reference]:[Has Expenses?]],COLUMNS(TAB_Offres[[Reference]:[Has Expenses?]]),FALSE)=J$2,TAB_Offres[[#This Row],[Reference]],""),"")</f>
        <v/>
      </c>
      <c r="O482" t="str">
        <f>IF(Tableau19[[#This Row],[EXPENSES_REF]]="","",MAX(O$1:O481)+1)</f>
        <v/>
      </c>
      <c r="P482" t="str">
        <f t="shared" si="20"/>
        <v/>
      </c>
      <c r="AI482" s="191" t="str">
        <f>IFERROR(_xlfn.SINGLE(
IF(_xlfn.SINGLE(INDEX(TAB_Offres[Ressource 1],ROWS(Params!AI$2:$AI482)))=0,NA(),
INDEX(TAB_Offres[Ressource 1],ROWS(Params!AI$2:$AI482)))),
IFERROR(_xlfn.SINGLE(IF(_xlfn.SINGLE(INDEX(#REF!,ROWS(Params!AI$2:$AI482)-COUNTA(TAB_Offres[Ressource 1])))=0,NA(),
INDEX(#REF!,ROWS(Params!AI$2:$AI482)-COUNTA(TAB_Offres[Ressource 1])))),
IFERROR(_xlfn.SINGLE(IF(_xlfn.SINGLE(INDEX(#REF!,ROWS(Params!AI$2:$AI482)-COUNTA(#REF!)-COUNTA(TAB_Offres[Ressource 1])))=0,NA(),
INDEX(#REF!,ROWS(Params!AI$2:$AI482)-COUNTA(#REF!)-COUNTA(TAB_Offres[Ressource 1])))),""))
)</f>
        <v/>
      </c>
      <c r="AJ482" s="192" t="str">
        <f>IF(TAB_ressource[[#This Row],[Import Ressource]]="","",MAX(AJ$1:AJ481)+1)</f>
        <v/>
      </c>
      <c r="AK482" s="193" t="str">
        <f>IFERROR(INDEX(TAB_ressource[Import Ressource],MATCH(ROW()-ROW($AK$1),TAB_ressource[ID Import ressources],0)),"")</f>
        <v/>
      </c>
      <c r="BD482" t="s">
        <v>2056</v>
      </c>
      <c r="BE482" t="s">
        <v>2057</v>
      </c>
      <c r="BF482" t="s">
        <v>2058</v>
      </c>
      <c r="BG482" t="s">
        <v>2056</v>
      </c>
    </row>
    <row r="483" spans="13:59" x14ac:dyDescent="0.25">
      <c r="M483" t="str">
        <f>_xlfn.IFNA(IF(VLOOKUP(TAB_Offres[[#This Row],[Reference]],TAB_Offres[[Reference]:[Request State]],COLUMNS(TAB_Offres[[Reference]:[Request State]]),FALSE)=D$6,TAB_Offres[[#This Row],[Reference]],""),"")</f>
        <v/>
      </c>
      <c r="N483" t="str">
        <f>_xlfn.IFNA(IF(VLOOKUP(TAB_Offres[[#This Row],[Reference]],TAB_Offres[[Reference]:[Has Expenses?]],COLUMNS(TAB_Offres[[Reference]:[Has Expenses?]]),FALSE)=J$2,TAB_Offres[[#This Row],[Reference]],""),"")</f>
        <v/>
      </c>
      <c r="O483" t="str">
        <f>IF(Tableau19[[#This Row],[EXPENSES_REF]]="","",MAX(O$1:O482)+1)</f>
        <v/>
      </c>
      <c r="P483" t="str">
        <f t="shared" si="20"/>
        <v/>
      </c>
      <c r="AI483" s="191" t="str">
        <f>IFERROR(_xlfn.SINGLE(
IF(_xlfn.SINGLE(INDEX(TAB_Offres[Ressource 1],ROWS(Params!AI$2:$AI483)))=0,NA(),
INDEX(TAB_Offres[Ressource 1],ROWS(Params!AI$2:$AI483)))),
IFERROR(_xlfn.SINGLE(IF(_xlfn.SINGLE(INDEX(#REF!,ROWS(Params!AI$2:$AI483)-COUNTA(TAB_Offres[Ressource 1])))=0,NA(),
INDEX(#REF!,ROWS(Params!AI$2:$AI483)-COUNTA(TAB_Offres[Ressource 1])))),
IFERROR(_xlfn.SINGLE(IF(_xlfn.SINGLE(INDEX(#REF!,ROWS(Params!AI$2:$AI483)-COUNTA(#REF!)-COUNTA(TAB_Offres[Ressource 1])))=0,NA(),
INDEX(#REF!,ROWS(Params!AI$2:$AI483)-COUNTA(#REF!)-COUNTA(TAB_Offres[Ressource 1])))),""))
)</f>
        <v/>
      </c>
      <c r="AJ483" s="192" t="str">
        <f>IF(TAB_ressource[[#This Row],[Import Ressource]]="","",MAX(AJ$1:AJ482)+1)</f>
        <v/>
      </c>
      <c r="AK483" s="193" t="str">
        <f>IFERROR(INDEX(TAB_ressource[Import Ressource],MATCH(ROW()-ROW($AK$1),TAB_ressource[ID Import ressources],0)),"")</f>
        <v/>
      </c>
      <c r="BD483" t="s">
        <v>2059</v>
      </c>
      <c r="BE483" t="s">
        <v>2060</v>
      </c>
      <c r="BF483" t="s">
        <v>2061</v>
      </c>
      <c r="BG483" t="s">
        <v>2059</v>
      </c>
    </row>
    <row r="484" spans="13:59" x14ac:dyDescent="0.25">
      <c r="M484" t="str">
        <f>_xlfn.IFNA(IF(VLOOKUP(TAB_Offres[[#This Row],[Reference]],TAB_Offres[[Reference]:[Request State]],COLUMNS(TAB_Offres[[Reference]:[Request State]]),FALSE)=D$6,TAB_Offres[[#This Row],[Reference]],""),"")</f>
        <v/>
      </c>
      <c r="N484" t="str">
        <f>_xlfn.IFNA(IF(VLOOKUP(TAB_Offres[[#This Row],[Reference]],TAB_Offres[[Reference]:[Has Expenses?]],COLUMNS(TAB_Offres[[Reference]:[Has Expenses?]]),FALSE)=J$2,TAB_Offres[[#This Row],[Reference]],""),"")</f>
        <v/>
      </c>
      <c r="O484" t="str">
        <f>IF(Tableau19[[#This Row],[EXPENSES_REF]]="","",MAX(O$1:O483)+1)</f>
        <v/>
      </c>
      <c r="P484" t="str">
        <f t="shared" si="20"/>
        <v/>
      </c>
      <c r="AI484" s="191" t="str">
        <f>IFERROR(_xlfn.SINGLE(
IF(_xlfn.SINGLE(INDEX(TAB_Offres[Ressource 1],ROWS(Params!AI$2:$AI484)))=0,NA(),
INDEX(TAB_Offres[Ressource 1],ROWS(Params!AI$2:$AI484)))),
IFERROR(_xlfn.SINGLE(IF(_xlfn.SINGLE(INDEX(#REF!,ROWS(Params!AI$2:$AI484)-COUNTA(TAB_Offres[Ressource 1])))=0,NA(),
INDEX(#REF!,ROWS(Params!AI$2:$AI484)-COUNTA(TAB_Offres[Ressource 1])))),
IFERROR(_xlfn.SINGLE(IF(_xlfn.SINGLE(INDEX(#REF!,ROWS(Params!AI$2:$AI484)-COUNTA(#REF!)-COUNTA(TAB_Offres[Ressource 1])))=0,NA(),
INDEX(#REF!,ROWS(Params!AI$2:$AI484)-COUNTA(#REF!)-COUNTA(TAB_Offres[Ressource 1])))),""))
)</f>
        <v/>
      </c>
      <c r="AJ484" s="192" t="str">
        <f>IF(TAB_ressource[[#This Row],[Import Ressource]]="","",MAX(AJ$1:AJ483)+1)</f>
        <v/>
      </c>
      <c r="AK484" s="193" t="str">
        <f>IFERROR(INDEX(TAB_ressource[Import Ressource],MATCH(ROW()-ROW($AK$1),TAB_ressource[ID Import ressources],0)),"")</f>
        <v/>
      </c>
      <c r="BD484" t="s">
        <v>2062</v>
      </c>
      <c r="BE484" t="s">
        <v>2063</v>
      </c>
      <c r="BF484" t="s">
        <v>2064</v>
      </c>
      <c r="BG484" t="s">
        <v>2062</v>
      </c>
    </row>
    <row r="485" spans="13:59" x14ac:dyDescent="0.25">
      <c r="M485" t="str">
        <f>_xlfn.IFNA(IF(VLOOKUP(TAB_Offres[[#This Row],[Reference]],TAB_Offres[[Reference]:[Request State]],COLUMNS(TAB_Offres[[Reference]:[Request State]]),FALSE)=D$6,TAB_Offres[[#This Row],[Reference]],""),"")</f>
        <v/>
      </c>
      <c r="N485" t="str">
        <f>_xlfn.IFNA(IF(VLOOKUP(TAB_Offres[[#This Row],[Reference]],TAB_Offres[[Reference]:[Has Expenses?]],COLUMNS(TAB_Offres[[Reference]:[Has Expenses?]]),FALSE)=J$2,TAB_Offres[[#This Row],[Reference]],""),"")</f>
        <v/>
      </c>
      <c r="O485" t="str">
        <f>IF(Tableau19[[#This Row],[EXPENSES_REF]]="","",MAX(O$1:O484)+1)</f>
        <v/>
      </c>
      <c r="P485" t="str">
        <f t="shared" si="20"/>
        <v/>
      </c>
      <c r="AI485" s="191" t="str">
        <f>IFERROR(_xlfn.SINGLE(
IF(_xlfn.SINGLE(INDEX(TAB_Offres[Ressource 1],ROWS(Params!AI$2:$AI485)))=0,NA(),
INDEX(TAB_Offres[Ressource 1],ROWS(Params!AI$2:$AI485)))),
IFERROR(_xlfn.SINGLE(IF(_xlfn.SINGLE(INDEX(#REF!,ROWS(Params!AI$2:$AI485)-COUNTA(TAB_Offres[Ressource 1])))=0,NA(),
INDEX(#REF!,ROWS(Params!AI$2:$AI485)-COUNTA(TAB_Offres[Ressource 1])))),
IFERROR(_xlfn.SINGLE(IF(_xlfn.SINGLE(INDEX(#REF!,ROWS(Params!AI$2:$AI485)-COUNTA(#REF!)-COUNTA(TAB_Offres[Ressource 1])))=0,NA(),
INDEX(#REF!,ROWS(Params!AI$2:$AI485)-COUNTA(#REF!)-COUNTA(TAB_Offres[Ressource 1])))),""))
)</f>
        <v/>
      </c>
      <c r="AJ485" s="192" t="str">
        <f>IF(TAB_ressource[[#This Row],[Import Ressource]]="","",MAX(AJ$1:AJ484)+1)</f>
        <v/>
      </c>
      <c r="AK485" s="193" t="str">
        <f>IFERROR(INDEX(TAB_ressource[Import Ressource],MATCH(ROW()-ROW($AK$1),TAB_ressource[ID Import ressources],0)),"")</f>
        <v/>
      </c>
      <c r="BD485" t="s">
        <v>2065</v>
      </c>
      <c r="BE485" t="s">
        <v>2066</v>
      </c>
      <c r="BF485" t="s">
        <v>2067</v>
      </c>
      <c r="BG485" t="s">
        <v>2065</v>
      </c>
    </row>
    <row r="486" spans="13:59" x14ac:dyDescent="0.25">
      <c r="M486" t="str">
        <f>_xlfn.IFNA(IF(VLOOKUP(TAB_Offres[[#This Row],[Reference]],TAB_Offres[[Reference]:[Request State]],COLUMNS(TAB_Offres[[Reference]:[Request State]]),FALSE)=D$6,TAB_Offres[[#This Row],[Reference]],""),"")</f>
        <v/>
      </c>
      <c r="N486" t="str">
        <f>_xlfn.IFNA(IF(VLOOKUP(TAB_Offres[[#This Row],[Reference]],TAB_Offres[[Reference]:[Has Expenses?]],COLUMNS(TAB_Offres[[Reference]:[Has Expenses?]]),FALSE)=J$2,TAB_Offres[[#This Row],[Reference]],""),"")</f>
        <v/>
      </c>
      <c r="O486" t="str">
        <f>IF(Tableau19[[#This Row],[EXPENSES_REF]]="","",MAX(O$1:O485)+1)</f>
        <v/>
      </c>
      <c r="P486" t="str">
        <f t="shared" si="20"/>
        <v/>
      </c>
      <c r="AI486" s="191" t="str">
        <f>IFERROR(_xlfn.SINGLE(
IF(_xlfn.SINGLE(INDEX(TAB_Offres[Ressource 1],ROWS(Params!AI$2:$AI486)))=0,NA(),
INDEX(TAB_Offres[Ressource 1],ROWS(Params!AI$2:$AI486)))),
IFERROR(_xlfn.SINGLE(IF(_xlfn.SINGLE(INDEX(#REF!,ROWS(Params!AI$2:$AI486)-COUNTA(TAB_Offres[Ressource 1])))=0,NA(),
INDEX(#REF!,ROWS(Params!AI$2:$AI486)-COUNTA(TAB_Offres[Ressource 1])))),
IFERROR(_xlfn.SINGLE(IF(_xlfn.SINGLE(INDEX(#REF!,ROWS(Params!AI$2:$AI486)-COUNTA(#REF!)-COUNTA(TAB_Offres[Ressource 1])))=0,NA(),
INDEX(#REF!,ROWS(Params!AI$2:$AI486)-COUNTA(#REF!)-COUNTA(TAB_Offres[Ressource 1])))),""))
)</f>
        <v/>
      </c>
      <c r="AJ486" s="192" t="str">
        <f>IF(TAB_ressource[[#This Row],[Import Ressource]]="","",MAX(AJ$1:AJ485)+1)</f>
        <v/>
      </c>
      <c r="AK486" s="193" t="str">
        <f>IFERROR(INDEX(TAB_ressource[Import Ressource],MATCH(ROW()-ROW($AK$1),TAB_ressource[ID Import ressources],0)),"")</f>
        <v/>
      </c>
      <c r="BD486" t="s">
        <v>2068</v>
      </c>
      <c r="BE486" t="s">
        <v>2069</v>
      </c>
      <c r="BF486" t="s">
        <v>2070</v>
      </c>
      <c r="BG486" t="s">
        <v>2068</v>
      </c>
    </row>
    <row r="487" spans="13:59" x14ac:dyDescent="0.25">
      <c r="M487" t="str">
        <f>_xlfn.IFNA(IF(VLOOKUP(TAB_Offres[[#This Row],[Reference]],TAB_Offres[[Reference]:[Request State]],COLUMNS(TAB_Offres[[Reference]:[Request State]]),FALSE)=D$6,TAB_Offres[[#This Row],[Reference]],""),"")</f>
        <v/>
      </c>
      <c r="N487" t="str">
        <f>_xlfn.IFNA(IF(VLOOKUP(TAB_Offres[[#This Row],[Reference]],TAB_Offres[[Reference]:[Has Expenses?]],COLUMNS(TAB_Offres[[Reference]:[Has Expenses?]]),FALSE)=J$2,TAB_Offres[[#This Row],[Reference]],""),"")</f>
        <v/>
      </c>
      <c r="O487" t="str">
        <f>IF(Tableau19[[#This Row],[EXPENSES_REF]]="","",MAX(O$1:O486)+1)</f>
        <v/>
      </c>
      <c r="P487" t="str">
        <f t="shared" si="20"/>
        <v/>
      </c>
      <c r="AI487" s="191" t="str">
        <f>IFERROR(_xlfn.SINGLE(
IF(_xlfn.SINGLE(INDEX(TAB_Offres[Ressource 1],ROWS(Params!AI$2:$AI487)))=0,NA(),
INDEX(TAB_Offres[Ressource 1],ROWS(Params!AI$2:$AI487)))),
IFERROR(_xlfn.SINGLE(IF(_xlfn.SINGLE(INDEX(#REF!,ROWS(Params!AI$2:$AI487)-COUNTA(TAB_Offres[Ressource 1])))=0,NA(),
INDEX(#REF!,ROWS(Params!AI$2:$AI487)-COUNTA(TAB_Offres[Ressource 1])))),
IFERROR(_xlfn.SINGLE(IF(_xlfn.SINGLE(INDEX(#REF!,ROWS(Params!AI$2:$AI487)-COUNTA(#REF!)-COUNTA(TAB_Offres[Ressource 1])))=0,NA(),
INDEX(#REF!,ROWS(Params!AI$2:$AI487)-COUNTA(#REF!)-COUNTA(TAB_Offres[Ressource 1])))),""))
)</f>
        <v/>
      </c>
      <c r="AJ487" s="192" t="str">
        <f>IF(TAB_ressource[[#This Row],[Import Ressource]]="","",MAX(AJ$1:AJ486)+1)</f>
        <v/>
      </c>
      <c r="AK487" s="193" t="str">
        <f>IFERROR(INDEX(TAB_ressource[Import Ressource],MATCH(ROW()-ROW($AK$1),TAB_ressource[ID Import ressources],0)),"")</f>
        <v/>
      </c>
      <c r="BD487" t="s">
        <v>2071</v>
      </c>
      <c r="BE487" t="s">
        <v>2072</v>
      </c>
      <c r="BF487" t="s">
        <v>2073</v>
      </c>
      <c r="BG487" t="s">
        <v>2071</v>
      </c>
    </row>
    <row r="488" spans="13:59" x14ac:dyDescent="0.25">
      <c r="M488" t="str">
        <f>_xlfn.IFNA(IF(VLOOKUP(TAB_Offres[[#This Row],[Reference]],TAB_Offres[[Reference]:[Request State]],COLUMNS(TAB_Offres[[Reference]:[Request State]]),FALSE)=D$6,TAB_Offres[[#This Row],[Reference]],""),"")</f>
        <v/>
      </c>
      <c r="N488" t="str">
        <f>_xlfn.IFNA(IF(VLOOKUP(TAB_Offres[[#This Row],[Reference]],TAB_Offres[[Reference]:[Has Expenses?]],COLUMNS(TAB_Offres[[Reference]:[Has Expenses?]]),FALSE)=J$2,TAB_Offres[[#This Row],[Reference]],""),"")</f>
        <v/>
      </c>
      <c r="O488" t="str">
        <f>IF(Tableau19[[#This Row],[EXPENSES_REF]]="","",MAX(O$1:O487)+1)</f>
        <v/>
      </c>
      <c r="P488" t="str">
        <f t="shared" si="20"/>
        <v/>
      </c>
      <c r="AI488" s="191" t="str">
        <f>IFERROR(_xlfn.SINGLE(
IF(_xlfn.SINGLE(INDEX(TAB_Offres[Ressource 1],ROWS(Params!AI$2:$AI488)))=0,NA(),
INDEX(TAB_Offres[Ressource 1],ROWS(Params!AI$2:$AI488)))),
IFERROR(_xlfn.SINGLE(IF(_xlfn.SINGLE(INDEX(#REF!,ROWS(Params!AI$2:$AI488)-COUNTA(TAB_Offres[Ressource 1])))=0,NA(),
INDEX(#REF!,ROWS(Params!AI$2:$AI488)-COUNTA(TAB_Offres[Ressource 1])))),
IFERROR(_xlfn.SINGLE(IF(_xlfn.SINGLE(INDEX(#REF!,ROWS(Params!AI$2:$AI488)-COUNTA(#REF!)-COUNTA(TAB_Offres[Ressource 1])))=0,NA(),
INDEX(#REF!,ROWS(Params!AI$2:$AI488)-COUNTA(#REF!)-COUNTA(TAB_Offres[Ressource 1])))),""))
)</f>
        <v/>
      </c>
      <c r="AJ488" s="192" t="str">
        <f>IF(TAB_ressource[[#This Row],[Import Ressource]]="","",MAX(AJ$1:AJ487)+1)</f>
        <v/>
      </c>
      <c r="AK488" s="193" t="str">
        <f>IFERROR(INDEX(TAB_ressource[Import Ressource],MATCH(ROW()-ROW($AK$1),TAB_ressource[ID Import ressources],0)),"")</f>
        <v/>
      </c>
      <c r="BD488" t="s">
        <v>2074</v>
      </c>
      <c r="BE488" t="s">
        <v>2075</v>
      </c>
      <c r="BF488" t="s">
        <v>2076</v>
      </c>
      <c r="BG488" t="s">
        <v>2074</v>
      </c>
    </row>
    <row r="489" spans="13:59" x14ac:dyDescent="0.25">
      <c r="M489" t="str">
        <f>_xlfn.IFNA(IF(VLOOKUP(TAB_Offres[[#This Row],[Reference]],TAB_Offres[[Reference]:[Request State]],COLUMNS(TAB_Offres[[Reference]:[Request State]]),FALSE)=D$6,TAB_Offres[[#This Row],[Reference]],""),"")</f>
        <v/>
      </c>
      <c r="N489" t="str">
        <f>_xlfn.IFNA(IF(VLOOKUP(TAB_Offres[[#This Row],[Reference]],TAB_Offres[[Reference]:[Has Expenses?]],COLUMNS(TAB_Offres[[Reference]:[Has Expenses?]]),FALSE)=J$2,TAB_Offres[[#This Row],[Reference]],""),"")</f>
        <v/>
      </c>
      <c r="O489" t="str">
        <f>IF(Tableau19[[#This Row],[EXPENSES_REF]]="","",MAX(O$1:O488)+1)</f>
        <v/>
      </c>
      <c r="P489" t="str">
        <f t="shared" si="20"/>
        <v/>
      </c>
      <c r="AI489" s="191" t="str">
        <f>IFERROR(_xlfn.SINGLE(
IF(_xlfn.SINGLE(INDEX(TAB_Offres[Ressource 1],ROWS(Params!AI$2:$AI489)))=0,NA(),
INDEX(TAB_Offres[Ressource 1],ROWS(Params!AI$2:$AI489)))),
IFERROR(_xlfn.SINGLE(IF(_xlfn.SINGLE(INDEX(#REF!,ROWS(Params!AI$2:$AI489)-COUNTA(TAB_Offres[Ressource 1])))=0,NA(),
INDEX(#REF!,ROWS(Params!AI$2:$AI489)-COUNTA(TAB_Offres[Ressource 1])))),
IFERROR(_xlfn.SINGLE(IF(_xlfn.SINGLE(INDEX(#REF!,ROWS(Params!AI$2:$AI489)-COUNTA(#REF!)-COUNTA(TAB_Offres[Ressource 1])))=0,NA(),
INDEX(#REF!,ROWS(Params!AI$2:$AI489)-COUNTA(#REF!)-COUNTA(TAB_Offres[Ressource 1])))),""))
)</f>
        <v/>
      </c>
      <c r="AJ489" s="192" t="str">
        <f>IF(TAB_ressource[[#This Row],[Import Ressource]]="","",MAX(AJ$1:AJ488)+1)</f>
        <v/>
      </c>
      <c r="AK489" s="193" t="str">
        <f>IFERROR(INDEX(TAB_ressource[Import Ressource],MATCH(ROW()-ROW($AK$1),TAB_ressource[ID Import ressources],0)),"")</f>
        <v/>
      </c>
      <c r="BD489" t="s">
        <v>2077</v>
      </c>
      <c r="BE489" t="s">
        <v>2078</v>
      </c>
      <c r="BF489" t="s">
        <v>2079</v>
      </c>
      <c r="BG489" t="s">
        <v>2077</v>
      </c>
    </row>
    <row r="490" spans="13:59" x14ac:dyDescent="0.25">
      <c r="M490" t="str">
        <f>_xlfn.IFNA(IF(VLOOKUP(TAB_Offres[[#This Row],[Reference]],TAB_Offres[[Reference]:[Request State]],COLUMNS(TAB_Offres[[Reference]:[Request State]]),FALSE)=D$6,TAB_Offres[[#This Row],[Reference]],""),"")</f>
        <v/>
      </c>
      <c r="N490" t="str">
        <f>_xlfn.IFNA(IF(VLOOKUP(TAB_Offres[[#This Row],[Reference]],TAB_Offres[[Reference]:[Has Expenses?]],COLUMNS(TAB_Offres[[Reference]:[Has Expenses?]]),FALSE)=J$2,TAB_Offres[[#This Row],[Reference]],""),"")</f>
        <v/>
      </c>
      <c r="O490" t="str">
        <f>IF(Tableau19[[#This Row],[EXPENSES_REF]]="","",MAX(O$1:O489)+1)</f>
        <v/>
      </c>
      <c r="P490" t="str">
        <f t="shared" si="20"/>
        <v/>
      </c>
      <c r="AI490" s="191" t="str">
        <f>IFERROR(_xlfn.SINGLE(
IF(_xlfn.SINGLE(INDEX(TAB_Offres[Ressource 1],ROWS(Params!AI$2:$AI490)))=0,NA(),
INDEX(TAB_Offres[Ressource 1],ROWS(Params!AI$2:$AI490)))),
IFERROR(_xlfn.SINGLE(IF(_xlfn.SINGLE(INDEX(#REF!,ROWS(Params!AI$2:$AI490)-COUNTA(TAB_Offres[Ressource 1])))=0,NA(),
INDEX(#REF!,ROWS(Params!AI$2:$AI490)-COUNTA(TAB_Offres[Ressource 1])))),
IFERROR(_xlfn.SINGLE(IF(_xlfn.SINGLE(INDEX(#REF!,ROWS(Params!AI$2:$AI490)-COUNTA(#REF!)-COUNTA(TAB_Offres[Ressource 1])))=0,NA(),
INDEX(#REF!,ROWS(Params!AI$2:$AI490)-COUNTA(#REF!)-COUNTA(TAB_Offres[Ressource 1])))),""))
)</f>
        <v/>
      </c>
      <c r="AJ490" s="192" t="str">
        <f>IF(TAB_ressource[[#This Row],[Import Ressource]]="","",MAX(AJ$1:AJ489)+1)</f>
        <v/>
      </c>
      <c r="AK490" s="193" t="str">
        <f>IFERROR(INDEX(TAB_ressource[Import Ressource],MATCH(ROW()-ROW($AK$1),TAB_ressource[ID Import ressources],0)),"")</f>
        <v/>
      </c>
      <c r="BD490" t="s">
        <v>2080</v>
      </c>
      <c r="BE490" t="s">
        <v>2081</v>
      </c>
      <c r="BF490" t="s">
        <v>2082</v>
      </c>
      <c r="BG490" t="s">
        <v>2080</v>
      </c>
    </row>
    <row r="491" spans="13:59" x14ac:dyDescent="0.25">
      <c r="M491" t="str">
        <f>_xlfn.IFNA(IF(VLOOKUP(TAB_Offres[[#This Row],[Reference]],TAB_Offres[[Reference]:[Request State]],COLUMNS(TAB_Offres[[Reference]:[Request State]]),FALSE)=D$6,TAB_Offres[[#This Row],[Reference]],""),"")</f>
        <v/>
      </c>
      <c r="N491" t="str">
        <f>_xlfn.IFNA(IF(VLOOKUP(TAB_Offres[[#This Row],[Reference]],TAB_Offres[[Reference]:[Has Expenses?]],COLUMNS(TAB_Offres[[Reference]:[Has Expenses?]]),FALSE)=J$2,TAB_Offres[[#This Row],[Reference]],""),"")</f>
        <v/>
      </c>
      <c r="O491" t="str">
        <f>IF(Tableau19[[#This Row],[EXPENSES_REF]]="","",MAX(O$1:O490)+1)</f>
        <v/>
      </c>
      <c r="P491" t="str">
        <f t="shared" si="20"/>
        <v/>
      </c>
      <c r="AI491" s="191" t="str">
        <f>IFERROR(_xlfn.SINGLE(
IF(_xlfn.SINGLE(INDEX(TAB_Offres[Ressource 1],ROWS(Params!AI$2:$AI491)))=0,NA(),
INDEX(TAB_Offres[Ressource 1],ROWS(Params!AI$2:$AI491)))),
IFERROR(_xlfn.SINGLE(IF(_xlfn.SINGLE(INDEX(#REF!,ROWS(Params!AI$2:$AI491)-COUNTA(TAB_Offres[Ressource 1])))=0,NA(),
INDEX(#REF!,ROWS(Params!AI$2:$AI491)-COUNTA(TAB_Offres[Ressource 1])))),
IFERROR(_xlfn.SINGLE(IF(_xlfn.SINGLE(INDEX(#REF!,ROWS(Params!AI$2:$AI491)-COUNTA(#REF!)-COUNTA(TAB_Offres[Ressource 1])))=0,NA(),
INDEX(#REF!,ROWS(Params!AI$2:$AI491)-COUNTA(#REF!)-COUNTA(TAB_Offres[Ressource 1])))),""))
)</f>
        <v/>
      </c>
      <c r="AJ491" s="192" t="str">
        <f>IF(TAB_ressource[[#This Row],[Import Ressource]]="","",MAX(AJ$1:AJ490)+1)</f>
        <v/>
      </c>
      <c r="AK491" s="193" t="str">
        <f>IFERROR(INDEX(TAB_ressource[Import Ressource],MATCH(ROW()-ROW($AK$1),TAB_ressource[ID Import ressources],0)),"")</f>
        <v/>
      </c>
      <c r="BD491" t="s">
        <v>2083</v>
      </c>
      <c r="BE491" t="s">
        <v>2084</v>
      </c>
      <c r="BF491" t="s">
        <v>2085</v>
      </c>
      <c r="BG491" t="s">
        <v>2083</v>
      </c>
    </row>
    <row r="492" spans="13:59" x14ac:dyDescent="0.25">
      <c r="M492" t="str">
        <f>_xlfn.IFNA(IF(VLOOKUP(TAB_Offres[[#This Row],[Reference]],TAB_Offres[[Reference]:[Request State]],COLUMNS(TAB_Offres[[Reference]:[Request State]]),FALSE)=D$6,TAB_Offres[[#This Row],[Reference]],""),"")</f>
        <v/>
      </c>
      <c r="N492" t="str">
        <f>_xlfn.IFNA(IF(VLOOKUP(TAB_Offres[[#This Row],[Reference]],TAB_Offres[[Reference]:[Has Expenses?]],COLUMNS(TAB_Offres[[Reference]:[Has Expenses?]]),FALSE)=J$2,TAB_Offres[[#This Row],[Reference]],""),"")</f>
        <v/>
      </c>
      <c r="O492" t="str">
        <f>IF(Tableau19[[#This Row],[EXPENSES_REF]]="","",MAX(O$1:O491)+1)</f>
        <v/>
      </c>
      <c r="P492" t="str">
        <f t="shared" si="20"/>
        <v/>
      </c>
      <c r="AI492" s="191" t="str">
        <f>IFERROR(_xlfn.SINGLE(
IF(_xlfn.SINGLE(INDEX(TAB_Offres[Ressource 1],ROWS(Params!AI$2:$AI492)))=0,NA(),
INDEX(TAB_Offres[Ressource 1],ROWS(Params!AI$2:$AI492)))),
IFERROR(_xlfn.SINGLE(IF(_xlfn.SINGLE(INDEX(#REF!,ROWS(Params!AI$2:$AI492)-COUNTA(TAB_Offres[Ressource 1])))=0,NA(),
INDEX(#REF!,ROWS(Params!AI$2:$AI492)-COUNTA(TAB_Offres[Ressource 1])))),
IFERROR(_xlfn.SINGLE(IF(_xlfn.SINGLE(INDEX(#REF!,ROWS(Params!AI$2:$AI492)-COUNTA(#REF!)-COUNTA(TAB_Offres[Ressource 1])))=0,NA(),
INDEX(#REF!,ROWS(Params!AI$2:$AI492)-COUNTA(#REF!)-COUNTA(TAB_Offres[Ressource 1])))),""))
)</f>
        <v/>
      </c>
      <c r="AJ492" s="192" t="str">
        <f>IF(TAB_ressource[[#This Row],[Import Ressource]]="","",MAX(AJ$1:AJ491)+1)</f>
        <v/>
      </c>
      <c r="AK492" s="193" t="str">
        <f>IFERROR(INDEX(TAB_ressource[Import Ressource],MATCH(ROW()-ROW($AK$1),TAB_ressource[ID Import ressources],0)),"")</f>
        <v/>
      </c>
      <c r="BD492" t="s">
        <v>2086</v>
      </c>
      <c r="BE492" t="s">
        <v>2087</v>
      </c>
      <c r="BF492" t="s">
        <v>2088</v>
      </c>
      <c r="BG492" t="s">
        <v>2086</v>
      </c>
    </row>
    <row r="493" spans="13:59" x14ac:dyDescent="0.25">
      <c r="M493" t="str">
        <f>_xlfn.IFNA(IF(VLOOKUP(TAB_Offres[[#This Row],[Reference]],TAB_Offres[[Reference]:[Request State]],COLUMNS(TAB_Offres[[Reference]:[Request State]]),FALSE)=D$6,TAB_Offres[[#This Row],[Reference]],""),"")</f>
        <v/>
      </c>
      <c r="N493" t="str">
        <f>_xlfn.IFNA(IF(VLOOKUP(TAB_Offres[[#This Row],[Reference]],TAB_Offres[[Reference]:[Has Expenses?]],COLUMNS(TAB_Offres[[Reference]:[Has Expenses?]]),FALSE)=J$2,TAB_Offres[[#This Row],[Reference]],""),"")</f>
        <v/>
      </c>
      <c r="O493" t="str">
        <f>IF(Tableau19[[#This Row],[EXPENSES_REF]]="","",MAX(O$1:O492)+1)</f>
        <v/>
      </c>
      <c r="P493" t="str">
        <f t="shared" si="20"/>
        <v/>
      </c>
      <c r="AI493" s="191" t="str">
        <f>IFERROR(_xlfn.SINGLE(
IF(_xlfn.SINGLE(INDEX(TAB_Offres[Ressource 1],ROWS(Params!AI$2:$AI493)))=0,NA(),
INDEX(TAB_Offres[Ressource 1],ROWS(Params!AI$2:$AI493)))),
IFERROR(_xlfn.SINGLE(IF(_xlfn.SINGLE(INDEX(#REF!,ROWS(Params!AI$2:$AI493)-COUNTA(TAB_Offres[Ressource 1])))=0,NA(),
INDEX(#REF!,ROWS(Params!AI$2:$AI493)-COUNTA(TAB_Offres[Ressource 1])))),
IFERROR(_xlfn.SINGLE(IF(_xlfn.SINGLE(INDEX(#REF!,ROWS(Params!AI$2:$AI493)-COUNTA(#REF!)-COUNTA(TAB_Offres[Ressource 1])))=0,NA(),
INDEX(#REF!,ROWS(Params!AI$2:$AI493)-COUNTA(#REF!)-COUNTA(TAB_Offres[Ressource 1])))),""))
)</f>
        <v/>
      </c>
      <c r="AJ493" s="192" t="str">
        <f>IF(TAB_ressource[[#This Row],[Import Ressource]]="","",MAX(AJ$1:AJ492)+1)</f>
        <v/>
      </c>
      <c r="AK493" s="193" t="str">
        <f>IFERROR(INDEX(TAB_ressource[Import Ressource],MATCH(ROW()-ROW($AK$1),TAB_ressource[ID Import ressources],0)),"")</f>
        <v/>
      </c>
      <c r="BD493" t="s">
        <v>2089</v>
      </c>
      <c r="BE493" t="s">
        <v>2090</v>
      </c>
      <c r="BF493" t="s">
        <v>2091</v>
      </c>
      <c r="BG493" t="s">
        <v>2089</v>
      </c>
    </row>
    <row r="494" spans="13:59" x14ac:dyDescent="0.25">
      <c r="M494" t="str">
        <f>_xlfn.IFNA(IF(VLOOKUP(TAB_Offres[[#This Row],[Reference]],TAB_Offres[[Reference]:[Request State]],COLUMNS(TAB_Offres[[Reference]:[Request State]]),FALSE)=D$6,TAB_Offres[[#This Row],[Reference]],""),"")</f>
        <v/>
      </c>
      <c r="N494" t="str">
        <f>_xlfn.IFNA(IF(VLOOKUP(TAB_Offres[[#This Row],[Reference]],TAB_Offres[[Reference]:[Has Expenses?]],COLUMNS(TAB_Offres[[Reference]:[Has Expenses?]]),FALSE)=J$2,TAB_Offres[[#This Row],[Reference]],""),"")</f>
        <v/>
      </c>
      <c r="O494" t="str">
        <f>IF(Tableau19[[#This Row],[EXPENSES_REF]]="","",MAX(O$1:O493)+1)</f>
        <v/>
      </c>
      <c r="P494" t="str">
        <f t="shared" si="20"/>
        <v/>
      </c>
      <c r="AI494" s="191" t="str">
        <f>IFERROR(_xlfn.SINGLE(
IF(_xlfn.SINGLE(INDEX(TAB_Offres[Ressource 1],ROWS(Params!AI$2:$AI494)))=0,NA(),
INDEX(TAB_Offres[Ressource 1],ROWS(Params!AI$2:$AI494)))),
IFERROR(_xlfn.SINGLE(IF(_xlfn.SINGLE(INDEX(#REF!,ROWS(Params!AI$2:$AI494)-COUNTA(TAB_Offres[Ressource 1])))=0,NA(),
INDEX(#REF!,ROWS(Params!AI$2:$AI494)-COUNTA(TAB_Offres[Ressource 1])))),
IFERROR(_xlfn.SINGLE(IF(_xlfn.SINGLE(INDEX(#REF!,ROWS(Params!AI$2:$AI494)-COUNTA(#REF!)-COUNTA(TAB_Offres[Ressource 1])))=0,NA(),
INDEX(#REF!,ROWS(Params!AI$2:$AI494)-COUNTA(#REF!)-COUNTA(TAB_Offres[Ressource 1])))),""))
)</f>
        <v/>
      </c>
      <c r="AJ494" s="192" t="str">
        <f>IF(TAB_ressource[[#This Row],[Import Ressource]]="","",MAX(AJ$1:AJ493)+1)</f>
        <v/>
      </c>
      <c r="AK494" s="193" t="str">
        <f>IFERROR(INDEX(TAB_ressource[Import Ressource],MATCH(ROW()-ROW($AK$1),TAB_ressource[ID Import ressources],0)),"")</f>
        <v/>
      </c>
      <c r="BD494" t="s">
        <v>2092</v>
      </c>
      <c r="BE494" t="s">
        <v>2093</v>
      </c>
      <c r="BF494" t="s">
        <v>2094</v>
      </c>
      <c r="BG494" t="s">
        <v>2092</v>
      </c>
    </row>
    <row r="495" spans="13:59" x14ac:dyDescent="0.25">
      <c r="M495" t="str">
        <f>_xlfn.IFNA(IF(VLOOKUP(TAB_Offres[[#This Row],[Reference]],TAB_Offres[[Reference]:[Request State]],COLUMNS(TAB_Offres[[Reference]:[Request State]]),FALSE)=D$6,TAB_Offres[[#This Row],[Reference]],""),"")</f>
        <v/>
      </c>
      <c r="N495" t="str">
        <f>_xlfn.IFNA(IF(VLOOKUP(TAB_Offres[[#This Row],[Reference]],TAB_Offres[[Reference]:[Has Expenses?]],COLUMNS(TAB_Offres[[Reference]:[Has Expenses?]]),FALSE)=J$2,TAB_Offres[[#This Row],[Reference]],""),"")</f>
        <v/>
      </c>
      <c r="O495" t="str">
        <f>IF(Tableau19[[#This Row],[EXPENSES_REF]]="","",MAX(O$1:O494)+1)</f>
        <v/>
      </c>
      <c r="P495" t="str">
        <f t="shared" si="20"/>
        <v/>
      </c>
      <c r="AI495" s="191" t="str">
        <f>IFERROR(_xlfn.SINGLE(
IF(_xlfn.SINGLE(INDEX(TAB_Offres[Ressource 1],ROWS(Params!AI$2:$AI495)))=0,NA(),
INDEX(TAB_Offres[Ressource 1],ROWS(Params!AI$2:$AI495)))),
IFERROR(_xlfn.SINGLE(IF(_xlfn.SINGLE(INDEX(#REF!,ROWS(Params!AI$2:$AI495)-COUNTA(TAB_Offres[Ressource 1])))=0,NA(),
INDEX(#REF!,ROWS(Params!AI$2:$AI495)-COUNTA(TAB_Offres[Ressource 1])))),
IFERROR(_xlfn.SINGLE(IF(_xlfn.SINGLE(INDEX(#REF!,ROWS(Params!AI$2:$AI495)-COUNTA(#REF!)-COUNTA(TAB_Offres[Ressource 1])))=0,NA(),
INDEX(#REF!,ROWS(Params!AI$2:$AI495)-COUNTA(#REF!)-COUNTA(TAB_Offres[Ressource 1])))),""))
)</f>
        <v/>
      </c>
      <c r="AJ495" s="192" t="str">
        <f>IF(TAB_ressource[[#This Row],[Import Ressource]]="","",MAX(AJ$1:AJ494)+1)</f>
        <v/>
      </c>
      <c r="AK495" s="193" t="str">
        <f>IFERROR(INDEX(TAB_ressource[Import Ressource],MATCH(ROW()-ROW($AK$1),TAB_ressource[ID Import ressources],0)),"")</f>
        <v/>
      </c>
      <c r="BD495" t="s">
        <v>2095</v>
      </c>
      <c r="BE495" t="s">
        <v>2096</v>
      </c>
      <c r="BF495" t="s">
        <v>2097</v>
      </c>
      <c r="BG495" t="s">
        <v>2095</v>
      </c>
    </row>
    <row r="496" spans="13:59" x14ac:dyDescent="0.25">
      <c r="M496" t="str">
        <f>_xlfn.IFNA(IF(VLOOKUP(TAB_Offres[[#This Row],[Reference]],TAB_Offres[[Reference]:[Request State]],COLUMNS(TAB_Offres[[Reference]:[Request State]]),FALSE)=D$6,TAB_Offres[[#This Row],[Reference]],""),"")</f>
        <v/>
      </c>
      <c r="N496" t="str">
        <f>_xlfn.IFNA(IF(VLOOKUP(TAB_Offres[[#This Row],[Reference]],TAB_Offres[[Reference]:[Has Expenses?]],COLUMNS(TAB_Offres[[Reference]:[Has Expenses?]]),FALSE)=J$2,TAB_Offres[[#This Row],[Reference]],""),"")</f>
        <v/>
      </c>
      <c r="O496" t="str">
        <f>IF(Tableau19[[#This Row],[EXPENSES_REF]]="","",MAX(O$1:O495)+1)</f>
        <v/>
      </c>
      <c r="P496" t="str">
        <f t="shared" si="20"/>
        <v/>
      </c>
      <c r="AI496" s="191" t="str">
        <f>IFERROR(_xlfn.SINGLE(
IF(_xlfn.SINGLE(INDEX(TAB_Offres[Ressource 1],ROWS(Params!AI$2:$AI496)))=0,NA(),
INDEX(TAB_Offres[Ressource 1],ROWS(Params!AI$2:$AI496)))),
IFERROR(_xlfn.SINGLE(IF(_xlfn.SINGLE(INDEX(#REF!,ROWS(Params!AI$2:$AI496)-COUNTA(TAB_Offres[Ressource 1])))=0,NA(),
INDEX(#REF!,ROWS(Params!AI$2:$AI496)-COUNTA(TAB_Offres[Ressource 1])))),
IFERROR(_xlfn.SINGLE(IF(_xlfn.SINGLE(INDEX(#REF!,ROWS(Params!AI$2:$AI496)-COUNTA(#REF!)-COUNTA(TAB_Offres[Ressource 1])))=0,NA(),
INDEX(#REF!,ROWS(Params!AI$2:$AI496)-COUNTA(#REF!)-COUNTA(TAB_Offres[Ressource 1])))),""))
)</f>
        <v/>
      </c>
      <c r="AJ496" s="192" t="str">
        <f>IF(TAB_ressource[[#This Row],[Import Ressource]]="","",MAX(AJ$1:AJ495)+1)</f>
        <v/>
      </c>
      <c r="AK496" s="193" t="str">
        <f>IFERROR(INDEX(TAB_ressource[Import Ressource],MATCH(ROW()-ROW($AK$1),TAB_ressource[ID Import ressources],0)),"")</f>
        <v/>
      </c>
      <c r="BD496" t="s">
        <v>2098</v>
      </c>
      <c r="BE496" t="s">
        <v>2099</v>
      </c>
      <c r="BF496" t="s">
        <v>2100</v>
      </c>
      <c r="BG496" t="s">
        <v>2098</v>
      </c>
    </row>
    <row r="497" spans="13:59" x14ac:dyDescent="0.25">
      <c r="M497" t="str">
        <f>_xlfn.IFNA(IF(VLOOKUP(TAB_Offres[[#This Row],[Reference]],TAB_Offres[[Reference]:[Request State]],COLUMNS(TAB_Offres[[Reference]:[Request State]]),FALSE)=D$6,TAB_Offres[[#This Row],[Reference]],""),"")</f>
        <v/>
      </c>
      <c r="N497" t="str">
        <f>_xlfn.IFNA(IF(VLOOKUP(TAB_Offres[[#This Row],[Reference]],TAB_Offres[[Reference]:[Has Expenses?]],COLUMNS(TAB_Offres[[Reference]:[Has Expenses?]]),FALSE)=J$2,TAB_Offres[[#This Row],[Reference]],""),"")</f>
        <v/>
      </c>
      <c r="O497" t="str">
        <f>IF(Tableau19[[#This Row],[EXPENSES_REF]]="","",MAX(O$1:O496)+1)</f>
        <v/>
      </c>
      <c r="P497" t="str">
        <f t="shared" si="20"/>
        <v/>
      </c>
      <c r="AI497" s="191" t="str">
        <f>IFERROR(_xlfn.SINGLE(
IF(_xlfn.SINGLE(INDEX(TAB_Offres[Ressource 1],ROWS(Params!AI$2:$AI497)))=0,NA(),
INDEX(TAB_Offres[Ressource 1],ROWS(Params!AI$2:$AI497)))),
IFERROR(_xlfn.SINGLE(IF(_xlfn.SINGLE(INDEX(#REF!,ROWS(Params!AI$2:$AI497)-COUNTA(TAB_Offres[Ressource 1])))=0,NA(),
INDEX(#REF!,ROWS(Params!AI$2:$AI497)-COUNTA(TAB_Offres[Ressource 1])))),
IFERROR(_xlfn.SINGLE(IF(_xlfn.SINGLE(INDEX(#REF!,ROWS(Params!AI$2:$AI497)-COUNTA(#REF!)-COUNTA(TAB_Offres[Ressource 1])))=0,NA(),
INDEX(#REF!,ROWS(Params!AI$2:$AI497)-COUNTA(#REF!)-COUNTA(TAB_Offres[Ressource 1])))),""))
)</f>
        <v/>
      </c>
      <c r="AJ497" s="192" t="str">
        <f>IF(TAB_ressource[[#This Row],[Import Ressource]]="","",MAX(AJ$1:AJ496)+1)</f>
        <v/>
      </c>
      <c r="AK497" s="193" t="str">
        <f>IFERROR(INDEX(TAB_ressource[Import Ressource],MATCH(ROW()-ROW($AK$1),TAB_ressource[ID Import ressources],0)),"")</f>
        <v/>
      </c>
      <c r="BD497" t="s">
        <v>2101</v>
      </c>
      <c r="BE497" t="s">
        <v>2102</v>
      </c>
      <c r="BF497" t="s">
        <v>2103</v>
      </c>
      <c r="BG497" t="s">
        <v>2101</v>
      </c>
    </row>
    <row r="498" spans="13:59" x14ac:dyDescent="0.25">
      <c r="M498" t="str">
        <f>_xlfn.IFNA(IF(VLOOKUP(TAB_Offres[[#This Row],[Reference]],TAB_Offres[[Reference]:[Request State]],COLUMNS(TAB_Offres[[Reference]:[Request State]]),FALSE)=D$6,TAB_Offres[[#This Row],[Reference]],""),"")</f>
        <v/>
      </c>
      <c r="N498" t="str">
        <f>_xlfn.IFNA(IF(VLOOKUP(TAB_Offres[[#This Row],[Reference]],TAB_Offres[[Reference]:[Has Expenses?]],COLUMNS(TAB_Offres[[Reference]:[Has Expenses?]]),FALSE)=J$2,TAB_Offres[[#This Row],[Reference]],""),"")</f>
        <v/>
      </c>
      <c r="O498" t="str">
        <f>IF(Tableau19[[#This Row],[EXPENSES_REF]]="","",MAX(O$1:O497)+1)</f>
        <v/>
      </c>
      <c r="P498" t="str">
        <f t="shared" si="20"/>
        <v/>
      </c>
      <c r="AI498" s="191" t="str">
        <f>IFERROR(_xlfn.SINGLE(
IF(_xlfn.SINGLE(INDEX(TAB_Offres[Ressource 1],ROWS(Params!AI$2:$AI498)))=0,NA(),
INDEX(TAB_Offres[Ressource 1],ROWS(Params!AI$2:$AI498)))),
IFERROR(_xlfn.SINGLE(IF(_xlfn.SINGLE(INDEX(#REF!,ROWS(Params!AI$2:$AI498)-COUNTA(TAB_Offres[Ressource 1])))=0,NA(),
INDEX(#REF!,ROWS(Params!AI$2:$AI498)-COUNTA(TAB_Offres[Ressource 1])))),
IFERROR(_xlfn.SINGLE(IF(_xlfn.SINGLE(INDEX(#REF!,ROWS(Params!AI$2:$AI498)-COUNTA(#REF!)-COUNTA(TAB_Offres[Ressource 1])))=0,NA(),
INDEX(#REF!,ROWS(Params!AI$2:$AI498)-COUNTA(#REF!)-COUNTA(TAB_Offres[Ressource 1])))),""))
)</f>
        <v/>
      </c>
      <c r="AJ498" s="192" t="str">
        <f>IF(TAB_ressource[[#This Row],[Import Ressource]]="","",MAX(AJ$1:AJ497)+1)</f>
        <v/>
      </c>
      <c r="AK498" s="193" t="str">
        <f>IFERROR(INDEX(TAB_ressource[Import Ressource],MATCH(ROW()-ROW($AK$1),TAB_ressource[ID Import ressources],0)),"")</f>
        <v/>
      </c>
      <c r="BD498" t="s">
        <v>2104</v>
      </c>
      <c r="BE498" t="s">
        <v>2105</v>
      </c>
      <c r="BF498" t="s">
        <v>2106</v>
      </c>
      <c r="BG498" t="s">
        <v>2104</v>
      </c>
    </row>
    <row r="499" spans="13:59" x14ac:dyDescent="0.25">
      <c r="M499" t="str">
        <f>_xlfn.IFNA(IF(VLOOKUP(TAB_Offres[[#This Row],[Reference]],TAB_Offres[[Reference]:[Request State]],COLUMNS(TAB_Offres[[Reference]:[Request State]]),FALSE)=D$6,TAB_Offres[[#This Row],[Reference]],""),"")</f>
        <v/>
      </c>
      <c r="N499" t="str">
        <f>_xlfn.IFNA(IF(VLOOKUP(TAB_Offres[[#This Row],[Reference]],TAB_Offres[[Reference]:[Has Expenses?]],COLUMNS(TAB_Offres[[Reference]:[Has Expenses?]]),FALSE)=J$2,TAB_Offres[[#This Row],[Reference]],""),"")</f>
        <v/>
      </c>
      <c r="O499" t="str">
        <f>IF(Tableau19[[#This Row],[EXPENSES_REF]]="","",MAX(O$1:O498)+1)</f>
        <v/>
      </c>
      <c r="P499" t="str">
        <f t="shared" si="20"/>
        <v/>
      </c>
      <c r="AI499" s="191" t="str">
        <f>IFERROR(_xlfn.SINGLE(
IF(_xlfn.SINGLE(INDEX(TAB_Offres[Ressource 1],ROWS(Params!AI$2:$AI499)))=0,NA(),
INDEX(TAB_Offres[Ressource 1],ROWS(Params!AI$2:$AI499)))),
IFERROR(_xlfn.SINGLE(IF(_xlfn.SINGLE(INDEX(#REF!,ROWS(Params!AI$2:$AI499)-COUNTA(TAB_Offres[Ressource 1])))=0,NA(),
INDEX(#REF!,ROWS(Params!AI$2:$AI499)-COUNTA(TAB_Offres[Ressource 1])))),
IFERROR(_xlfn.SINGLE(IF(_xlfn.SINGLE(INDEX(#REF!,ROWS(Params!AI$2:$AI499)-COUNTA(#REF!)-COUNTA(TAB_Offres[Ressource 1])))=0,NA(),
INDEX(#REF!,ROWS(Params!AI$2:$AI499)-COUNTA(#REF!)-COUNTA(TAB_Offres[Ressource 1])))),""))
)</f>
        <v/>
      </c>
      <c r="AJ499" s="192" t="str">
        <f>IF(TAB_ressource[[#This Row],[Import Ressource]]="","",MAX(AJ$1:AJ498)+1)</f>
        <v/>
      </c>
      <c r="AK499" s="193" t="str">
        <f>IFERROR(INDEX(TAB_ressource[Import Ressource],MATCH(ROW()-ROW($AK$1),TAB_ressource[ID Import ressources],0)),"")</f>
        <v/>
      </c>
      <c r="BD499" t="s">
        <v>2107</v>
      </c>
      <c r="BE499" t="s">
        <v>2108</v>
      </c>
      <c r="BF499" t="s">
        <v>2109</v>
      </c>
      <c r="BG499" t="s">
        <v>2107</v>
      </c>
    </row>
    <row r="500" spans="13:59" x14ac:dyDescent="0.25">
      <c r="M500" t="str">
        <f>_xlfn.IFNA(IF(VLOOKUP(TAB_Offres[[#This Row],[Reference]],TAB_Offres[[Reference]:[Request State]],COLUMNS(TAB_Offres[[Reference]:[Request State]]),FALSE)=D$6,TAB_Offres[[#This Row],[Reference]],""),"")</f>
        <v/>
      </c>
      <c r="N500" t="str">
        <f>_xlfn.IFNA(IF(VLOOKUP(TAB_Offres[[#This Row],[Reference]],TAB_Offres[[Reference]:[Has Expenses?]],COLUMNS(TAB_Offres[[Reference]:[Has Expenses?]]),FALSE)=J$2,TAB_Offres[[#This Row],[Reference]],""),"")</f>
        <v/>
      </c>
      <c r="O500" t="str">
        <f>IF(Tableau19[[#This Row],[EXPENSES_REF]]="","",MAX(O$1:O499)+1)</f>
        <v/>
      </c>
      <c r="P500" t="str">
        <f t="shared" si="20"/>
        <v/>
      </c>
      <c r="AI500" s="191" t="str">
        <f>IFERROR(_xlfn.SINGLE(
IF(_xlfn.SINGLE(INDEX(TAB_Offres[Ressource 1],ROWS(Params!AI$2:$AI500)))=0,NA(),
INDEX(TAB_Offres[Ressource 1],ROWS(Params!AI$2:$AI500)))),
IFERROR(_xlfn.SINGLE(IF(_xlfn.SINGLE(INDEX(#REF!,ROWS(Params!AI$2:$AI500)-COUNTA(TAB_Offres[Ressource 1])))=0,NA(),
INDEX(#REF!,ROWS(Params!AI$2:$AI500)-COUNTA(TAB_Offres[Ressource 1])))),
IFERROR(_xlfn.SINGLE(IF(_xlfn.SINGLE(INDEX(#REF!,ROWS(Params!AI$2:$AI500)-COUNTA(#REF!)-COUNTA(TAB_Offres[Ressource 1])))=0,NA(),
INDEX(#REF!,ROWS(Params!AI$2:$AI500)-COUNTA(#REF!)-COUNTA(TAB_Offres[Ressource 1])))),""))
)</f>
        <v/>
      </c>
      <c r="AJ500" s="192" t="str">
        <f>IF(TAB_ressource[[#This Row],[Import Ressource]]="","",MAX(AJ$1:AJ499)+1)</f>
        <v/>
      </c>
      <c r="AK500" s="193" t="str">
        <f>IFERROR(INDEX(TAB_ressource[Import Ressource],MATCH(ROW()-ROW($AK$1),TAB_ressource[ID Import ressources],0)),"")</f>
        <v/>
      </c>
      <c r="BD500" t="s">
        <v>2110</v>
      </c>
      <c r="BE500" t="s">
        <v>2111</v>
      </c>
      <c r="BF500" t="s">
        <v>2112</v>
      </c>
      <c r="BG500" t="s">
        <v>2110</v>
      </c>
    </row>
    <row r="501" spans="13:59" x14ac:dyDescent="0.25">
      <c r="M501" t="str">
        <f>_xlfn.IFNA(IF(VLOOKUP(TAB_Offres[[#This Row],[Reference]],TAB_Offres[[Reference]:[Request State]],COLUMNS(TAB_Offres[[Reference]:[Request State]]),FALSE)=D$6,TAB_Offres[[#This Row],[Reference]],""),"")</f>
        <v/>
      </c>
      <c r="N501" t="str">
        <f>_xlfn.IFNA(IF(VLOOKUP(TAB_Offres[[#This Row],[Reference]],TAB_Offres[[Reference]:[Has Expenses?]],COLUMNS(TAB_Offres[[Reference]:[Has Expenses?]]),FALSE)=J$2,TAB_Offres[[#This Row],[Reference]],""),"")</f>
        <v/>
      </c>
      <c r="O501" t="str">
        <f>IF(Tableau19[[#This Row],[EXPENSES_REF]]="","",MAX(O$1:O500)+1)</f>
        <v/>
      </c>
      <c r="P501" t="str">
        <f t="shared" si="20"/>
        <v/>
      </c>
      <c r="AI501" s="191" t="str">
        <f>IFERROR(_xlfn.SINGLE(
IF(_xlfn.SINGLE(INDEX(TAB_Offres[Ressource 1],ROWS(Params!AI$2:$AI501)))=0,NA(),
INDEX(TAB_Offres[Ressource 1],ROWS(Params!AI$2:$AI501)))),
IFERROR(_xlfn.SINGLE(IF(_xlfn.SINGLE(INDEX(#REF!,ROWS(Params!AI$2:$AI501)-COUNTA(TAB_Offres[Ressource 1])))=0,NA(),
INDEX(#REF!,ROWS(Params!AI$2:$AI501)-COUNTA(TAB_Offres[Ressource 1])))),
IFERROR(_xlfn.SINGLE(IF(_xlfn.SINGLE(INDEX(#REF!,ROWS(Params!AI$2:$AI501)-COUNTA(#REF!)-COUNTA(TAB_Offres[Ressource 1])))=0,NA(),
INDEX(#REF!,ROWS(Params!AI$2:$AI501)-COUNTA(#REF!)-COUNTA(TAB_Offres[Ressource 1])))),""))
)</f>
        <v/>
      </c>
      <c r="AJ501" s="192" t="str">
        <f>IF(TAB_ressource[[#This Row],[Import Ressource]]="","",MAX(AJ$1:AJ500)+1)</f>
        <v/>
      </c>
      <c r="AK501" s="193" t="str">
        <f>IFERROR(INDEX(TAB_ressource[Import Ressource],MATCH(ROW()-ROW($AK$1),TAB_ressource[ID Import ressources],0)),"")</f>
        <v/>
      </c>
      <c r="BD501" t="s">
        <v>2113</v>
      </c>
      <c r="BE501" t="s">
        <v>2114</v>
      </c>
      <c r="BF501" t="s">
        <v>2115</v>
      </c>
      <c r="BG501" t="s">
        <v>2113</v>
      </c>
    </row>
    <row r="502" spans="13:59" x14ac:dyDescent="0.25">
      <c r="M502" t="str">
        <f>_xlfn.IFNA(IF(VLOOKUP(TAB_Offres[[#This Row],[Reference]],TAB_Offres[[Reference]:[Request State]],COLUMNS(TAB_Offres[[Reference]:[Request State]]),FALSE)=D$6,TAB_Offres[[#This Row],[Reference]],""),"")</f>
        <v/>
      </c>
      <c r="N502" t="str">
        <f>_xlfn.IFNA(IF(VLOOKUP(TAB_Offres[[#This Row],[Reference]],TAB_Offres[[Reference]:[Has Expenses?]],COLUMNS(TAB_Offres[[Reference]:[Has Expenses?]]),FALSE)=J$2,TAB_Offres[[#This Row],[Reference]],""),"")</f>
        <v/>
      </c>
      <c r="O502" t="str">
        <f>IF(Tableau19[[#This Row],[EXPENSES_REF]]="","",MAX(O$1:O501)+1)</f>
        <v/>
      </c>
      <c r="P502" t="str">
        <f t="shared" si="20"/>
        <v/>
      </c>
      <c r="AI502" s="191" t="str">
        <f>IFERROR(_xlfn.SINGLE(
IF(_xlfn.SINGLE(INDEX(TAB_Offres[Ressource 1],ROWS(Params!AI$2:$AI502)))=0,NA(),
INDEX(TAB_Offres[Ressource 1],ROWS(Params!AI$2:$AI502)))),
IFERROR(_xlfn.SINGLE(IF(_xlfn.SINGLE(INDEX(#REF!,ROWS(Params!AI$2:$AI502)-COUNTA(TAB_Offres[Ressource 1])))=0,NA(),
INDEX(#REF!,ROWS(Params!AI$2:$AI502)-COUNTA(TAB_Offres[Ressource 1])))),
IFERROR(_xlfn.SINGLE(IF(_xlfn.SINGLE(INDEX(#REF!,ROWS(Params!AI$2:$AI502)-COUNTA(#REF!)-COUNTA(TAB_Offres[Ressource 1])))=0,NA(),
INDEX(#REF!,ROWS(Params!AI$2:$AI502)-COUNTA(#REF!)-COUNTA(TAB_Offres[Ressource 1])))),""))
)</f>
        <v/>
      </c>
      <c r="AJ502" s="192" t="str">
        <f>IF(TAB_ressource[[#This Row],[Import Ressource]]="","",MAX(AJ$1:AJ501)+1)</f>
        <v/>
      </c>
      <c r="AK502" s="193" t="str">
        <f>IFERROR(INDEX(TAB_ressource[Import Ressource],MATCH(ROW()-ROW($AK$1),TAB_ressource[ID Import ressources],0)),"")</f>
        <v/>
      </c>
      <c r="BD502" t="s">
        <v>2116</v>
      </c>
      <c r="BE502" t="s">
        <v>2117</v>
      </c>
      <c r="BF502" t="s">
        <v>2118</v>
      </c>
      <c r="BG502" t="s">
        <v>2116</v>
      </c>
    </row>
    <row r="503" spans="13:59" x14ac:dyDescent="0.25">
      <c r="M503" t="str">
        <f>_xlfn.IFNA(IF(VLOOKUP(TAB_Offres[[#This Row],[Reference]],TAB_Offres[[Reference]:[Request State]],COLUMNS(TAB_Offres[[Reference]:[Request State]]),FALSE)=D$6,TAB_Offres[[#This Row],[Reference]],""),"")</f>
        <v/>
      </c>
      <c r="N503" t="str">
        <f>_xlfn.IFNA(IF(VLOOKUP(TAB_Offres[[#This Row],[Reference]],TAB_Offres[[Reference]:[Has Expenses?]],COLUMNS(TAB_Offres[[Reference]:[Has Expenses?]]),FALSE)=J$2,TAB_Offres[[#This Row],[Reference]],""),"")</f>
        <v/>
      </c>
      <c r="O503" t="str">
        <f>IF(Tableau19[[#This Row],[EXPENSES_REF]]="","",MAX(O$1:O502)+1)</f>
        <v/>
      </c>
      <c r="P503" t="str">
        <f t="shared" si="20"/>
        <v/>
      </c>
      <c r="AI503" s="191" t="str">
        <f>IFERROR(_xlfn.SINGLE(
IF(_xlfn.SINGLE(INDEX(TAB_Offres[Ressource 1],ROWS(Params!AI$2:$AI503)))=0,NA(),
INDEX(TAB_Offres[Ressource 1],ROWS(Params!AI$2:$AI503)))),
IFERROR(_xlfn.SINGLE(IF(_xlfn.SINGLE(INDEX(#REF!,ROWS(Params!AI$2:$AI503)-COUNTA(TAB_Offres[Ressource 1])))=0,NA(),
INDEX(#REF!,ROWS(Params!AI$2:$AI503)-COUNTA(TAB_Offres[Ressource 1])))),
IFERROR(_xlfn.SINGLE(IF(_xlfn.SINGLE(INDEX(#REF!,ROWS(Params!AI$2:$AI503)-COUNTA(#REF!)-COUNTA(TAB_Offres[Ressource 1])))=0,NA(),
INDEX(#REF!,ROWS(Params!AI$2:$AI503)-COUNTA(#REF!)-COUNTA(TAB_Offres[Ressource 1])))),""))
)</f>
        <v/>
      </c>
      <c r="AJ503" s="192" t="str">
        <f>IF(TAB_ressource[[#This Row],[Import Ressource]]="","",MAX(AJ$1:AJ502)+1)</f>
        <v/>
      </c>
      <c r="AK503" s="193" t="str">
        <f>IFERROR(INDEX(TAB_ressource[Import Ressource],MATCH(ROW()-ROW($AK$1),TAB_ressource[ID Import ressources],0)),"")</f>
        <v/>
      </c>
      <c r="BD503" t="s">
        <v>2119</v>
      </c>
      <c r="BE503" t="s">
        <v>2120</v>
      </c>
      <c r="BF503" t="s">
        <v>2121</v>
      </c>
      <c r="BG503" t="s">
        <v>2119</v>
      </c>
    </row>
    <row r="504" spans="13:59" x14ac:dyDescent="0.25">
      <c r="M504" t="str">
        <f>_xlfn.IFNA(IF(VLOOKUP(TAB_Offres[[#This Row],[Reference]],TAB_Offres[[Reference]:[Request State]],COLUMNS(TAB_Offres[[Reference]:[Request State]]),FALSE)=D$6,TAB_Offres[[#This Row],[Reference]],""),"")</f>
        <v/>
      </c>
      <c r="N504" t="str">
        <f>_xlfn.IFNA(IF(VLOOKUP(TAB_Offres[[#This Row],[Reference]],TAB_Offres[[Reference]:[Has Expenses?]],COLUMNS(TAB_Offres[[Reference]:[Has Expenses?]]),FALSE)=J$2,TAB_Offres[[#This Row],[Reference]],""),"")</f>
        <v/>
      </c>
      <c r="O504" t="str">
        <f>IF(Tableau19[[#This Row],[EXPENSES_REF]]="","",MAX(O$1:O503)+1)</f>
        <v/>
      </c>
      <c r="P504" t="str">
        <f t="shared" si="20"/>
        <v/>
      </c>
      <c r="AI504" s="191" t="str">
        <f>IFERROR(_xlfn.SINGLE(
IF(_xlfn.SINGLE(INDEX(TAB_Offres[Ressource 1],ROWS(Params!AI$2:$AI504)))=0,NA(),
INDEX(TAB_Offres[Ressource 1],ROWS(Params!AI$2:$AI504)))),
IFERROR(_xlfn.SINGLE(IF(_xlfn.SINGLE(INDEX(#REF!,ROWS(Params!AI$2:$AI504)-COUNTA(TAB_Offres[Ressource 1])))=0,NA(),
INDEX(#REF!,ROWS(Params!AI$2:$AI504)-COUNTA(TAB_Offres[Ressource 1])))),
IFERROR(_xlfn.SINGLE(IF(_xlfn.SINGLE(INDEX(#REF!,ROWS(Params!AI$2:$AI504)-COUNTA(#REF!)-COUNTA(TAB_Offres[Ressource 1])))=0,NA(),
INDEX(#REF!,ROWS(Params!AI$2:$AI504)-COUNTA(#REF!)-COUNTA(TAB_Offres[Ressource 1])))),""))
)</f>
        <v/>
      </c>
      <c r="AJ504" s="192" t="str">
        <f>IF(TAB_ressource[[#This Row],[Import Ressource]]="","",MAX(AJ$1:AJ503)+1)</f>
        <v/>
      </c>
      <c r="AK504" s="193" t="str">
        <f>IFERROR(INDEX(TAB_ressource[Import Ressource],MATCH(ROW()-ROW($AK$1),TAB_ressource[ID Import ressources],0)),"")</f>
        <v/>
      </c>
      <c r="BD504" t="s">
        <v>2122</v>
      </c>
      <c r="BE504" t="s">
        <v>2123</v>
      </c>
      <c r="BF504" t="s">
        <v>2124</v>
      </c>
      <c r="BG504" t="s">
        <v>2122</v>
      </c>
    </row>
    <row r="505" spans="13:59" x14ac:dyDescent="0.25">
      <c r="M505" t="str">
        <f>_xlfn.IFNA(IF(VLOOKUP(TAB_Offres[[#This Row],[Reference]],TAB_Offres[[Reference]:[Request State]],COLUMNS(TAB_Offres[[Reference]:[Request State]]),FALSE)=D$6,TAB_Offres[[#This Row],[Reference]],""),"")</f>
        <v/>
      </c>
      <c r="N505" t="str">
        <f>_xlfn.IFNA(IF(VLOOKUP(TAB_Offres[[#This Row],[Reference]],TAB_Offres[[Reference]:[Has Expenses?]],COLUMNS(TAB_Offres[[Reference]:[Has Expenses?]]),FALSE)=J$2,TAB_Offres[[#This Row],[Reference]],""),"")</f>
        <v/>
      </c>
      <c r="O505" t="str">
        <f>IF(Tableau19[[#This Row],[EXPENSES_REF]]="","",MAX(O$1:O504)+1)</f>
        <v/>
      </c>
      <c r="P505" t="str">
        <f t="shared" si="20"/>
        <v/>
      </c>
      <c r="AI505" s="191" t="str">
        <f>IFERROR(_xlfn.SINGLE(
IF(_xlfn.SINGLE(INDEX(TAB_Offres[Ressource 1],ROWS(Params!AI$2:$AI505)))=0,NA(),
INDEX(TAB_Offres[Ressource 1],ROWS(Params!AI$2:$AI505)))),
IFERROR(_xlfn.SINGLE(IF(_xlfn.SINGLE(INDEX(#REF!,ROWS(Params!AI$2:$AI505)-COUNTA(TAB_Offres[Ressource 1])))=0,NA(),
INDEX(#REF!,ROWS(Params!AI$2:$AI505)-COUNTA(TAB_Offres[Ressource 1])))),
IFERROR(_xlfn.SINGLE(IF(_xlfn.SINGLE(INDEX(#REF!,ROWS(Params!AI$2:$AI505)-COUNTA(#REF!)-COUNTA(TAB_Offres[Ressource 1])))=0,NA(),
INDEX(#REF!,ROWS(Params!AI$2:$AI505)-COUNTA(#REF!)-COUNTA(TAB_Offres[Ressource 1])))),""))
)</f>
        <v/>
      </c>
      <c r="AJ505" s="192" t="str">
        <f>IF(TAB_ressource[[#This Row],[Import Ressource]]="","",MAX(AJ$1:AJ504)+1)</f>
        <v/>
      </c>
      <c r="AK505" s="193" t="str">
        <f>IFERROR(INDEX(TAB_ressource[Import Ressource],MATCH(ROW()-ROW($AK$1),TAB_ressource[ID Import ressources],0)),"")</f>
        <v/>
      </c>
      <c r="BD505" t="s">
        <v>2125</v>
      </c>
      <c r="BE505" t="s">
        <v>2126</v>
      </c>
      <c r="BF505" t="s">
        <v>2127</v>
      </c>
      <c r="BG505" t="s">
        <v>2125</v>
      </c>
    </row>
    <row r="506" spans="13:59" x14ac:dyDescent="0.25">
      <c r="M506" t="str">
        <f>_xlfn.IFNA(IF(VLOOKUP(TAB_Offres[[#This Row],[Reference]],TAB_Offres[[Reference]:[Request State]],COLUMNS(TAB_Offres[[Reference]:[Request State]]),FALSE)=D$6,TAB_Offres[[#This Row],[Reference]],""),"")</f>
        <v/>
      </c>
      <c r="N506" t="str">
        <f>_xlfn.IFNA(IF(VLOOKUP(TAB_Offres[[#This Row],[Reference]],TAB_Offres[[Reference]:[Has Expenses?]],COLUMNS(TAB_Offres[[Reference]:[Has Expenses?]]),FALSE)=J$2,TAB_Offres[[#This Row],[Reference]],""),"")</f>
        <v/>
      </c>
      <c r="O506" t="str">
        <f>IF(Tableau19[[#This Row],[EXPENSES_REF]]="","",MAX(O$1:O505)+1)</f>
        <v/>
      </c>
      <c r="P506" t="str">
        <f t="shared" si="20"/>
        <v/>
      </c>
      <c r="AI506" s="191" t="str">
        <f>IFERROR(_xlfn.SINGLE(
IF(_xlfn.SINGLE(INDEX(TAB_Offres[Ressource 1],ROWS(Params!AI$2:$AI506)))=0,NA(),
INDEX(TAB_Offres[Ressource 1],ROWS(Params!AI$2:$AI506)))),
IFERROR(_xlfn.SINGLE(IF(_xlfn.SINGLE(INDEX(#REF!,ROWS(Params!AI$2:$AI506)-COUNTA(TAB_Offres[Ressource 1])))=0,NA(),
INDEX(#REF!,ROWS(Params!AI$2:$AI506)-COUNTA(TAB_Offres[Ressource 1])))),
IFERROR(_xlfn.SINGLE(IF(_xlfn.SINGLE(INDEX(#REF!,ROWS(Params!AI$2:$AI506)-COUNTA(#REF!)-COUNTA(TAB_Offres[Ressource 1])))=0,NA(),
INDEX(#REF!,ROWS(Params!AI$2:$AI506)-COUNTA(#REF!)-COUNTA(TAB_Offres[Ressource 1])))),""))
)</f>
        <v/>
      </c>
      <c r="AJ506" s="192" t="str">
        <f>IF(TAB_ressource[[#This Row],[Import Ressource]]="","",MAX(AJ$1:AJ505)+1)</f>
        <v/>
      </c>
      <c r="AK506" s="193" t="str">
        <f>IFERROR(INDEX(TAB_ressource[Import Ressource],MATCH(ROW()-ROW($AK$1),TAB_ressource[ID Import ressources],0)),"")</f>
        <v/>
      </c>
      <c r="BD506" t="s">
        <v>2128</v>
      </c>
      <c r="BE506" t="s">
        <v>2129</v>
      </c>
      <c r="BF506" t="s">
        <v>2130</v>
      </c>
      <c r="BG506" t="s">
        <v>2128</v>
      </c>
    </row>
    <row r="507" spans="13:59" x14ac:dyDescent="0.25">
      <c r="M507" t="str">
        <f>_xlfn.IFNA(IF(VLOOKUP(TAB_Offres[[#This Row],[Reference]],TAB_Offres[[Reference]:[Request State]],COLUMNS(TAB_Offres[[Reference]:[Request State]]),FALSE)=D$6,TAB_Offres[[#This Row],[Reference]],""),"")</f>
        <v/>
      </c>
      <c r="N507" t="str">
        <f>_xlfn.IFNA(IF(VLOOKUP(TAB_Offres[[#This Row],[Reference]],TAB_Offres[[Reference]:[Has Expenses?]],COLUMNS(TAB_Offres[[Reference]:[Has Expenses?]]),FALSE)=J$2,TAB_Offres[[#This Row],[Reference]],""),"")</f>
        <v/>
      </c>
      <c r="O507" t="str">
        <f>IF(Tableau19[[#This Row],[EXPENSES_REF]]="","",MAX(O$1:O506)+1)</f>
        <v/>
      </c>
      <c r="P507" t="str">
        <f t="shared" si="20"/>
        <v/>
      </c>
      <c r="AI507" s="191" t="str">
        <f>IFERROR(_xlfn.SINGLE(
IF(_xlfn.SINGLE(INDEX(TAB_Offres[Ressource 1],ROWS(Params!AI$2:$AI507)))=0,NA(),
INDEX(TAB_Offres[Ressource 1],ROWS(Params!AI$2:$AI507)))),
IFERROR(_xlfn.SINGLE(IF(_xlfn.SINGLE(INDEX(#REF!,ROWS(Params!AI$2:$AI507)-COUNTA(TAB_Offres[Ressource 1])))=0,NA(),
INDEX(#REF!,ROWS(Params!AI$2:$AI507)-COUNTA(TAB_Offres[Ressource 1])))),
IFERROR(_xlfn.SINGLE(IF(_xlfn.SINGLE(INDEX(#REF!,ROWS(Params!AI$2:$AI507)-COUNTA(#REF!)-COUNTA(TAB_Offres[Ressource 1])))=0,NA(),
INDEX(#REF!,ROWS(Params!AI$2:$AI507)-COUNTA(#REF!)-COUNTA(TAB_Offres[Ressource 1])))),""))
)</f>
        <v/>
      </c>
      <c r="AJ507" s="192" t="str">
        <f>IF(TAB_ressource[[#This Row],[Import Ressource]]="","",MAX(AJ$1:AJ506)+1)</f>
        <v/>
      </c>
      <c r="AK507" s="193" t="str">
        <f>IFERROR(INDEX(TAB_ressource[Import Ressource],MATCH(ROW()-ROW($AK$1),TAB_ressource[ID Import ressources],0)),"")</f>
        <v/>
      </c>
      <c r="BD507" t="s">
        <v>2131</v>
      </c>
      <c r="BE507" t="s">
        <v>2132</v>
      </c>
      <c r="BF507" t="s">
        <v>2133</v>
      </c>
      <c r="BG507" t="s">
        <v>2131</v>
      </c>
    </row>
    <row r="508" spans="13:59" x14ac:dyDescent="0.25">
      <c r="M508" t="str">
        <f>_xlfn.IFNA(IF(VLOOKUP(TAB_Offres[[#This Row],[Reference]],TAB_Offres[[Reference]:[Request State]],COLUMNS(TAB_Offres[[Reference]:[Request State]]),FALSE)=D$6,TAB_Offres[[#This Row],[Reference]],""),"")</f>
        <v/>
      </c>
      <c r="N508" t="str">
        <f>_xlfn.IFNA(IF(VLOOKUP(TAB_Offres[[#This Row],[Reference]],TAB_Offres[[Reference]:[Has Expenses?]],COLUMNS(TAB_Offres[[Reference]:[Has Expenses?]]),FALSE)=J$2,TAB_Offres[[#This Row],[Reference]],""),"")</f>
        <v/>
      </c>
      <c r="O508" t="str">
        <f>IF(Tableau19[[#This Row],[EXPENSES_REF]]="","",MAX(O$1:O507)+1)</f>
        <v/>
      </c>
      <c r="P508" t="str">
        <f t="shared" si="20"/>
        <v/>
      </c>
      <c r="AI508" s="191" t="str">
        <f>IFERROR(_xlfn.SINGLE(
IF(_xlfn.SINGLE(INDEX(TAB_Offres[Ressource 1],ROWS(Params!AI$2:$AI508)))=0,NA(),
INDEX(TAB_Offres[Ressource 1],ROWS(Params!AI$2:$AI508)))),
IFERROR(_xlfn.SINGLE(IF(_xlfn.SINGLE(INDEX(#REF!,ROWS(Params!AI$2:$AI508)-COUNTA(TAB_Offres[Ressource 1])))=0,NA(),
INDEX(#REF!,ROWS(Params!AI$2:$AI508)-COUNTA(TAB_Offres[Ressource 1])))),
IFERROR(_xlfn.SINGLE(IF(_xlfn.SINGLE(INDEX(#REF!,ROWS(Params!AI$2:$AI508)-COUNTA(#REF!)-COUNTA(TAB_Offres[Ressource 1])))=0,NA(),
INDEX(#REF!,ROWS(Params!AI$2:$AI508)-COUNTA(#REF!)-COUNTA(TAB_Offres[Ressource 1])))),""))
)</f>
        <v/>
      </c>
      <c r="AJ508" s="192" t="str">
        <f>IF(TAB_ressource[[#This Row],[Import Ressource]]="","",MAX(AJ$1:AJ507)+1)</f>
        <v/>
      </c>
      <c r="AK508" s="193" t="str">
        <f>IFERROR(INDEX(TAB_ressource[Import Ressource],MATCH(ROW()-ROW($AK$1),TAB_ressource[ID Import ressources],0)),"")</f>
        <v/>
      </c>
      <c r="BD508" t="s">
        <v>2134</v>
      </c>
      <c r="BE508" t="s">
        <v>2135</v>
      </c>
      <c r="BF508" t="s">
        <v>2136</v>
      </c>
      <c r="BG508" t="s">
        <v>2134</v>
      </c>
    </row>
    <row r="509" spans="13:59" x14ac:dyDescent="0.25">
      <c r="M509" t="str">
        <f>_xlfn.IFNA(IF(VLOOKUP(TAB_Offres[[#This Row],[Reference]],TAB_Offres[[Reference]:[Request State]],COLUMNS(TAB_Offres[[Reference]:[Request State]]),FALSE)=D$6,TAB_Offres[[#This Row],[Reference]],""),"")</f>
        <v/>
      </c>
      <c r="N509" t="str">
        <f>_xlfn.IFNA(IF(VLOOKUP(TAB_Offres[[#This Row],[Reference]],TAB_Offres[[Reference]:[Has Expenses?]],COLUMNS(TAB_Offres[[Reference]:[Has Expenses?]]),FALSE)=J$2,TAB_Offres[[#This Row],[Reference]],""),"")</f>
        <v/>
      </c>
      <c r="O509" t="str">
        <f>IF(Tableau19[[#This Row],[EXPENSES_REF]]="","",MAX(O$1:O508)+1)</f>
        <v/>
      </c>
      <c r="P509" t="str">
        <f t="shared" si="20"/>
        <v/>
      </c>
      <c r="AI509" s="191" t="str">
        <f>IFERROR(_xlfn.SINGLE(
IF(_xlfn.SINGLE(INDEX(TAB_Offres[Ressource 1],ROWS(Params!AI$2:$AI509)))=0,NA(),
INDEX(TAB_Offres[Ressource 1],ROWS(Params!AI$2:$AI509)))),
IFERROR(_xlfn.SINGLE(IF(_xlfn.SINGLE(INDEX(#REF!,ROWS(Params!AI$2:$AI509)-COUNTA(TAB_Offres[Ressource 1])))=0,NA(),
INDEX(#REF!,ROWS(Params!AI$2:$AI509)-COUNTA(TAB_Offres[Ressource 1])))),
IFERROR(_xlfn.SINGLE(IF(_xlfn.SINGLE(INDEX(#REF!,ROWS(Params!AI$2:$AI509)-COUNTA(#REF!)-COUNTA(TAB_Offres[Ressource 1])))=0,NA(),
INDEX(#REF!,ROWS(Params!AI$2:$AI509)-COUNTA(#REF!)-COUNTA(TAB_Offres[Ressource 1])))),""))
)</f>
        <v/>
      </c>
      <c r="AJ509" s="192" t="str">
        <f>IF(TAB_ressource[[#This Row],[Import Ressource]]="","",MAX(AJ$1:AJ508)+1)</f>
        <v/>
      </c>
      <c r="AK509" s="193" t="str">
        <f>IFERROR(INDEX(TAB_ressource[Import Ressource],MATCH(ROW()-ROW($AK$1),TAB_ressource[ID Import ressources],0)),"")</f>
        <v/>
      </c>
      <c r="BD509" t="s">
        <v>2137</v>
      </c>
      <c r="BE509" t="s">
        <v>2138</v>
      </c>
      <c r="BF509" t="s">
        <v>2139</v>
      </c>
      <c r="BG509" t="s">
        <v>2137</v>
      </c>
    </row>
    <row r="510" spans="13:59" x14ac:dyDescent="0.25">
      <c r="M510" t="str">
        <f>_xlfn.IFNA(IF(VLOOKUP(TAB_Offres[[#This Row],[Reference]],TAB_Offres[[Reference]:[Request State]],COLUMNS(TAB_Offres[[Reference]:[Request State]]),FALSE)=D$6,TAB_Offres[[#This Row],[Reference]],""),"")</f>
        <v/>
      </c>
      <c r="N510" t="str">
        <f>_xlfn.IFNA(IF(VLOOKUP(TAB_Offres[[#This Row],[Reference]],TAB_Offres[[Reference]:[Has Expenses?]],COLUMNS(TAB_Offres[[Reference]:[Has Expenses?]]),FALSE)=J$2,TAB_Offres[[#This Row],[Reference]],""),"")</f>
        <v/>
      </c>
      <c r="O510" t="str">
        <f>IF(Tableau19[[#This Row],[EXPENSES_REF]]="","",MAX(O$1:O509)+1)</f>
        <v/>
      </c>
      <c r="P510" t="str">
        <f t="shared" si="20"/>
        <v/>
      </c>
      <c r="AI510" s="191" t="str">
        <f>IFERROR(_xlfn.SINGLE(
IF(_xlfn.SINGLE(INDEX(TAB_Offres[Ressource 1],ROWS(Params!AI$2:$AI510)))=0,NA(),
INDEX(TAB_Offres[Ressource 1],ROWS(Params!AI$2:$AI510)))),
IFERROR(_xlfn.SINGLE(IF(_xlfn.SINGLE(INDEX(#REF!,ROWS(Params!AI$2:$AI510)-COUNTA(TAB_Offres[Ressource 1])))=0,NA(),
INDEX(#REF!,ROWS(Params!AI$2:$AI510)-COUNTA(TAB_Offres[Ressource 1])))),
IFERROR(_xlfn.SINGLE(IF(_xlfn.SINGLE(INDEX(#REF!,ROWS(Params!AI$2:$AI510)-COUNTA(#REF!)-COUNTA(TAB_Offres[Ressource 1])))=0,NA(),
INDEX(#REF!,ROWS(Params!AI$2:$AI510)-COUNTA(#REF!)-COUNTA(TAB_Offres[Ressource 1])))),""))
)</f>
        <v/>
      </c>
      <c r="AJ510" s="192" t="str">
        <f>IF(TAB_ressource[[#This Row],[Import Ressource]]="","",MAX(AJ$1:AJ509)+1)</f>
        <v/>
      </c>
      <c r="AK510" s="193" t="str">
        <f>IFERROR(INDEX(TAB_ressource[Import Ressource],MATCH(ROW()-ROW($AK$1),TAB_ressource[ID Import ressources],0)),"")</f>
        <v/>
      </c>
      <c r="BD510" t="s">
        <v>2140</v>
      </c>
      <c r="BE510" t="s">
        <v>2141</v>
      </c>
      <c r="BF510" t="s">
        <v>2142</v>
      </c>
      <c r="BG510" t="s">
        <v>2140</v>
      </c>
    </row>
    <row r="511" spans="13:59" x14ac:dyDescent="0.25">
      <c r="M511" t="str">
        <f>_xlfn.IFNA(IF(VLOOKUP(TAB_Offres[[#This Row],[Reference]],TAB_Offres[[Reference]:[Request State]],COLUMNS(TAB_Offres[[Reference]:[Request State]]),FALSE)=D$6,TAB_Offres[[#This Row],[Reference]],""),"")</f>
        <v/>
      </c>
      <c r="N511" t="str">
        <f>_xlfn.IFNA(IF(VLOOKUP(TAB_Offres[[#This Row],[Reference]],TAB_Offres[[Reference]:[Has Expenses?]],COLUMNS(TAB_Offres[[Reference]:[Has Expenses?]]),FALSE)=J$2,TAB_Offres[[#This Row],[Reference]],""),"")</f>
        <v/>
      </c>
      <c r="O511" t="str">
        <f>IF(Tableau19[[#This Row],[EXPENSES_REF]]="","",MAX(O$1:O510)+1)</f>
        <v/>
      </c>
      <c r="P511" t="str">
        <f t="shared" si="20"/>
        <v/>
      </c>
      <c r="AI511" s="191" t="str">
        <f>IFERROR(_xlfn.SINGLE(
IF(_xlfn.SINGLE(INDEX(TAB_Offres[Ressource 1],ROWS(Params!AI$2:$AI511)))=0,NA(),
INDEX(TAB_Offres[Ressource 1],ROWS(Params!AI$2:$AI511)))),
IFERROR(_xlfn.SINGLE(IF(_xlfn.SINGLE(INDEX(#REF!,ROWS(Params!AI$2:$AI511)-COUNTA(TAB_Offres[Ressource 1])))=0,NA(),
INDEX(#REF!,ROWS(Params!AI$2:$AI511)-COUNTA(TAB_Offres[Ressource 1])))),
IFERROR(_xlfn.SINGLE(IF(_xlfn.SINGLE(INDEX(#REF!,ROWS(Params!AI$2:$AI511)-COUNTA(#REF!)-COUNTA(TAB_Offres[Ressource 1])))=0,NA(),
INDEX(#REF!,ROWS(Params!AI$2:$AI511)-COUNTA(#REF!)-COUNTA(TAB_Offres[Ressource 1])))),""))
)</f>
        <v/>
      </c>
      <c r="AJ511" s="192" t="str">
        <f>IF(TAB_ressource[[#This Row],[Import Ressource]]="","",MAX(AJ$1:AJ510)+1)</f>
        <v/>
      </c>
      <c r="AK511" s="193" t="str">
        <f>IFERROR(INDEX(TAB_ressource[Import Ressource],MATCH(ROW()-ROW($AK$1),TAB_ressource[ID Import ressources],0)),"")</f>
        <v/>
      </c>
      <c r="BD511" t="s">
        <v>2143</v>
      </c>
      <c r="BE511" t="s">
        <v>2144</v>
      </c>
      <c r="BF511" t="s">
        <v>2145</v>
      </c>
      <c r="BG511" t="s">
        <v>2143</v>
      </c>
    </row>
    <row r="512" spans="13:59" x14ac:dyDescent="0.25">
      <c r="M512" t="str">
        <f>_xlfn.IFNA(IF(VLOOKUP(TAB_Offres[[#This Row],[Reference]],TAB_Offres[[Reference]:[Request State]],COLUMNS(TAB_Offres[[Reference]:[Request State]]),FALSE)=D$6,TAB_Offres[[#This Row],[Reference]],""),"")</f>
        <v/>
      </c>
      <c r="N512" t="str">
        <f>_xlfn.IFNA(IF(VLOOKUP(TAB_Offres[[#This Row],[Reference]],TAB_Offres[[Reference]:[Has Expenses?]],COLUMNS(TAB_Offres[[Reference]:[Has Expenses?]]),FALSE)=J$2,TAB_Offres[[#This Row],[Reference]],""),"")</f>
        <v/>
      </c>
      <c r="O512" t="str">
        <f>IF(Tableau19[[#This Row],[EXPENSES_REF]]="","",MAX(O$1:O511)+1)</f>
        <v/>
      </c>
      <c r="P512" t="str">
        <f t="shared" si="20"/>
        <v/>
      </c>
      <c r="AI512" s="191" t="str">
        <f>IFERROR(_xlfn.SINGLE(
IF(_xlfn.SINGLE(INDEX(TAB_Offres[Ressource 1],ROWS(Params!AI$2:$AI512)))=0,NA(),
INDEX(TAB_Offres[Ressource 1],ROWS(Params!AI$2:$AI512)))),
IFERROR(_xlfn.SINGLE(IF(_xlfn.SINGLE(INDEX(#REF!,ROWS(Params!AI$2:$AI512)-COUNTA(TAB_Offres[Ressource 1])))=0,NA(),
INDEX(#REF!,ROWS(Params!AI$2:$AI512)-COUNTA(TAB_Offres[Ressource 1])))),
IFERROR(_xlfn.SINGLE(IF(_xlfn.SINGLE(INDEX(#REF!,ROWS(Params!AI$2:$AI512)-COUNTA(#REF!)-COUNTA(TAB_Offres[Ressource 1])))=0,NA(),
INDEX(#REF!,ROWS(Params!AI$2:$AI512)-COUNTA(#REF!)-COUNTA(TAB_Offres[Ressource 1])))),""))
)</f>
        <v/>
      </c>
      <c r="AJ512" s="192" t="str">
        <f>IF(TAB_ressource[[#This Row],[Import Ressource]]="","",MAX(AJ$1:AJ511)+1)</f>
        <v/>
      </c>
      <c r="AK512" s="193" t="str">
        <f>IFERROR(INDEX(TAB_ressource[Import Ressource],MATCH(ROW()-ROW($AK$1),TAB_ressource[ID Import ressources],0)),"")</f>
        <v/>
      </c>
      <c r="BD512" t="s">
        <v>2146</v>
      </c>
      <c r="BE512" t="s">
        <v>2147</v>
      </c>
      <c r="BF512" t="s">
        <v>2148</v>
      </c>
      <c r="BG512" t="s">
        <v>2146</v>
      </c>
    </row>
    <row r="513" spans="13:59" x14ac:dyDescent="0.25">
      <c r="M513" t="str">
        <f>_xlfn.IFNA(IF(VLOOKUP(TAB_Offres[[#This Row],[Reference]],TAB_Offres[[Reference]:[Request State]],COLUMNS(TAB_Offres[[Reference]:[Request State]]),FALSE)=D$6,TAB_Offres[[#This Row],[Reference]],""),"")</f>
        <v/>
      </c>
      <c r="N513" t="str">
        <f>_xlfn.IFNA(IF(VLOOKUP(TAB_Offres[[#This Row],[Reference]],TAB_Offres[[Reference]:[Has Expenses?]],COLUMNS(TAB_Offres[[Reference]:[Has Expenses?]]),FALSE)=J$2,TAB_Offres[[#This Row],[Reference]],""),"")</f>
        <v/>
      </c>
      <c r="O513" t="str">
        <f>IF(Tableau19[[#This Row],[EXPENSES_REF]]="","",MAX(O$1:O512)+1)</f>
        <v/>
      </c>
      <c r="P513" t="str">
        <f t="shared" si="20"/>
        <v/>
      </c>
      <c r="AI513" s="191" t="str">
        <f>IFERROR(_xlfn.SINGLE(
IF(_xlfn.SINGLE(INDEX(TAB_Offres[Ressource 1],ROWS(Params!AI$2:$AI513)))=0,NA(),
INDEX(TAB_Offres[Ressource 1],ROWS(Params!AI$2:$AI513)))),
IFERROR(_xlfn.SINGLE(IF(_xlfn.SINGLE(INDEX(#REF!,ROWS(Params!AI$2:$AI513)-COUNTA(TAB_Offres[Ressource 1])))=0,NA(),
INDEX(#REF!,ROWS(Params!AI$2:$AI513)-COUNTA(TAB_Offres[Ressource 1])))),
IFERROR(_xlfn.SINGLE(IF(_xlfn.SINGLE(INDEX(#REF!,ROWS(Params!AI$2:$AI513)-COUNTA(#REF!)-COUNTA(TAB_Offres[Ressource 1])))=0,NA(),
INDEX(#REF!,ROWS(Params!AI$2:$AI513)-COUNTA(#REF!)-COUNTA(TAB_Offres[Ressource 1])))),""))
)</f>
        <v/>
      </c>
      <c r="AJ513" s="192" t="str">
        <f>IF(TAB_ressource[[#This Row],[Import Ressource]]="","",MAX(AJ$1:AJ512)+1)</f>
        <v/>
      </c>
      <c r="AK513" s="193" t="str">
        <f>IFERROR(INDEX(TAB_ressource[Import Ressource],MATCH(ROW()-ROW($AK$1),TAB_ressource[ID Import ressources],0)),"")</f>
        <v/>
      </c>
      <c r="BD513" t="s">
        <v>2149</v>
      </c>
      <c r="BE513" t="s">
        <v>2150</v>
      </c>
      <c r="BF513" t="s">
        <v>2151</v>
      </c>
      <c r="BG513" t="s">
        <v>2149</v>
      </c>
    </row>
    <row r="514" spans="13:59" x14ac:dyDescent="0.25">
      <c r="M514" t="str">
        <f>_xlfn.IFNA(IF(VLOOKUP(TAB_Offres[[#This Row],[Reference]],TAB_Offres[[Reference]:[Request State]],COLUMNS(TAB_Offres[[Reference]:[Request State]]),FALSE)=D$6,TAB_Offres[[#This Row],[Reference]],""),"")</f>
        <v/>
      </c>
      <c r="N514" t="str">
        <f>_xlfn.IFNA(IF(VLOOKUP(TAB_Offres[[#This Row],[Reference]],TAB_Offres[[Reference]:[Has Expenses?]],COLUMNS(TAB_Offres[[Reference]:[Has Expenses?]]),FALSE)=J$2,TAB_Offres[[#This Row],[Reference]],""),"")</f>
        <v/>
      </c>
      <c r="O514" t="str">
        <f>IF(Tableau19[[#This Row],[EXPENSES_REF]]="","",MAX(O$1:O513)+1)</f>
        <v/>
      </c>
      <c r="P514" t="str">
        <f t="shared" ref="P514:P577" si="21">IFERROR(INDEX($N$2:$N$1001,MATCH(ROW()-ROW($P$1),$O$2:$O$1001,0)),"")</f>
        <v/>
      </c>
      <c r="AI514" s="191" t="str">
        <f>IFERROR(_xlfn.SINGLE(
IF(_xlfn.SINGLE(INDEX(TAB_Offres[Ressource 1],ROWS(Params!AI$2:$AI514)))=0,NA(),
INDEX(TAB_Offres[Ressource 1],ROWS(Params!AI$2:$AI514)))),
IFERROR(_xlfn.SINGLE(IF(_xlfn.SINGLE(INDEX(#REF!,ROWS(Params!AI$2:$AI514)-COUNTA(TAB_Offres[Ressource 1])))=0,NA(),
INDEX(#REF!,ROWS(Params!AI$2:$AI514)-COUNTA(TAB_Offres[Ressource 1])))),
IFERROR(_xlfn.SINGLE(IF(_xlfn.SINGLE(INDEX(#REF!,ROWS(Params!AI$2:$AI514)-COUNTA(#REF!)-COUNTA(TAB_Offres[Ressource 1])))=0,NA(),
INDEX(#REF!,ROWS(Params!AI$2:$AI514)-COUNTA(#REF!)-COUNTA(TAB_Offres[Ressource 1])))),""))
)</f>
        <v/>
      </c>
      <c r="AJ514" s="192" t="str">
        <f>IF(TAB_ressource[[#This Row],[Import Ressource]]="","",MAX(AJ$1:AJ513)+1)</f>
        <v/>
      </c>
      <c r="AK514" s="193" t="str">
        <f>IFERROR(INDEX(TAB_ressource[Import Ressource],MATCH(ROW()-ROW($AK$1),TAB_ressource[ID Import ressources],0)),"")</f>
        <v/>
      </c>
      <c r="BD514" t="s">
        <v>2152</v>
      </c>
      <c r="BE514" t="s">
        <v>2153</v>
      </c>
      <c r="BF514" t="s">
        <v>2154</v>
      </c>
      <c r="BG514" t="s">
        <v>2152</v>
      </c>
    </row>
    <row r="515" spans="13:59" x14ac:dyDescent="0.25">
      <c r="M515" t="str">
        <f>_xlfn.IFNA(IF(VLOOKUP(TAB_Offres[[#This Row],[Reference]],TAB_Offres[[Reference]:[Request State]],COLUMNS(TAB_Offres[[Reference]:[Request State]]),FALSE)=D$6,TAB_Offres[[#This Row],[Reference]],""),"")</f>
        <v/>
      </c>
      <c r="N515" t="str">
        <f>_xlfn.IFNA(IF(VLOOKUP(TAB_Offres[[#This Row],[Reference]],TAB_Offres[[Reference]:[Has Expenses?]],COLUMNS(TAB_Offres[[Reference]:[Has Expenses?]]),FALSE)=J$2,TAB_Offres[[#This Row],[Reference]],""),"")</f>
        <v/>
      </c>
      <c r="O515" t="str">
        <f>IF(Tableau19[[#This Row],[EXPENSES_REF]]="","",MAX(O$1:O514)+1)</f>
        <v/>
      </c>
      <c r="P515" t="str">
        <f t="shared" si="21"/>
        <v/>
      </c>
      <c r="AI515" s="191" t="str">
        <f>IFERROR(_xlfn.SINGLE(
IF(_xlfn.SINGLE(INDEX(TAB_Offres[Ressource 1],ROWS(Params!AI$2:$AI515)))=0,NA(),
INDEX(TAB_Offres[Ressource 1],ROWS(Params!AI$2:$AI515)))),
IFERROR(_xlfn.SINGLE(IF(_xlfn.SINGLE(INDEX(#REF!,ROWS(Params!AI$2:$AI515)-COUNTA(TAB_Offres[Ressource 1])))=0,NA(),
INDEX(#REF!,ROWS(Params!AI$2:$AI515)-COUNTA(TAB_Offres[Ressource 1])))),
IFERROR(_xlfn.SINGLE(IF(_xlfn.SINGLE(INDEX(#REF!,ROWS(Params!AI$2:$AI515)-COUNTA(#REF!)-COUNTA(TAB_Offres[Ressource 1])))=0,NA(),
INDEX(#REF!,ROWS(Params!AI$2:$AI515)-COUNTA(#REF!)-COUNTA(TAB_Offres[Ressource 1])))),""))
)</f>
        <v/>
      </c>
      <c r="AJ515" s="192" t="str">
        <f>IF(TAB_ressource[[#This Row],[Import Ressource]]="","",MAX(AJ$1:AJ514)+1)</f>
        <v/>
      </c>
      <c r="AK515" s="193" t="str">
        <f>IFERROR(INDEX(TAB_ressource[Import Ressource],MATCH(ROW()-ROW($AK$1),TAB_ressource[ID Import ressources],0)),"")</f>
        <v/>
      </c>
      <c r="BD515" t="s">
        <v>2155</v>
      </c>
      <c r="BE515" t="s">
        <v>2156</v>
      </c>
      <c r="BF515" t="s">
        <v>2157</v>
      </c>
      <c r="BG515" t="s">
        <v>2155</v>
      </c>
    </row>
    <row r="516" spans="13:59" x14ac:dyDescent="0.25">
      <c r="M516" t="str">
        <f>_xlfn.IFNA(IF(VLOOKUP(TAB_Offres[[#This Row],[Reference]],TAB_Offres[[Reference]:[Request State]],COLUMNS(TAB_Offres[[Reference]:[Request State]]),FALSE)=D$6,TAB_Offres[[#This Row],[Reference]],""),"")</f>
        <v/>
      </c>
      <c r="N516" t="str">
        <f>_xlfn.IFNA(IF(VLOOKUP(TAB_Offres[[#This Row],[Reference]],TAB_Offres[[Reference]:[Has Expenses?]],COLUMNS(TAB_Offres[[Reference]:[Has Expenses?]]),FALSE)=J$2,TAB_Offres[[#This Row],[Reference]],""),"")</f>
        <v/>
      </c>
      <c r="O516" t="str">
        <f>IF(Tableau19[[#This Row],[EXPENSES_REF]]="","",MAX(O$1:O515)+1)</f>
        <v/>
      </c>
      <c r="P516" t="str">
        <f t="shared" si="21"/>
        <v/>
      </c>
      <c r="AI516" s="191" t="str">
        <f>IFERROR(_xlfn.SINGLE(
IF(_xlfn.SINGLE(INDEX(TAB_Offres[Ressource 1],ROWS(Params!AI$2:$AI516)))=0,NA(),
INDEX(TAB_Offres[Ressource 1],ROWS(Params!AI$2:$AI516)))),
IFERROR(_xlfn.SINGLE(IF(_xlfn.SINGLE(INDEX(#REF!,ROWS(Params!AI$2:$AI516)-COUNTA(TAB_Offres[Ressource 1])))=0,NA(),
INDEX(#REF!,ROWS(Params!AI$2:$AI516)-COUNTA(TAB_Offres[Ressource 1])))),
IFERROR(_xlfn.SINGLE(IF(_xlfn.SINGLE(INDEX(#REF!,ROWS(Params!AI$2:$AI516)-COUNTA(#REF!)-COUNTA(TAB_Offres[Ressource 1])))=0,NA(),
INDEX(#REF!,ROWS(Params!AI$2:$AI516)-COUNTA(#REF!)-COUNTA(TAB_Offres[Ressource 1])))),""))
)</f>
        <v/>
      </c>
      <c r="AJ516" s="192" t="str">
        <f>IF(TAB_ressource[[#This Row],[Import Ressource]]="","",MAX(AJ$1:AJ515)+1)</f>
        <v/>
      </c>
      <c r="AK516" s="193" t="str">
        <f>IFERROR(INDEX(TAB_ressource[Import Ressource],MATCH(ROW()-ROW($AK$1),TAB_ressource[ID Import ressources],0)),"")</f>
        <v/>
      </c>
      <c r="BD516" t="s">
        <v>2158</v>
      </c>
      <c r="BE516" t="s">
        <v>2159</v>
      </c>
      <c r="BF516" t="s">
        <v>2160</v>
      </c>
      <c r="BG516" t="s">
        <v>2158</v>
      </c>
    </row>
    <row r="517" spans="13:59" x14ac:dyDescent="0.25">
      <c r="M517" t="str">
        <f>_xlfn.IFNA(IF(VLOOKUP(TAB_Offres[[#This Row],[Reference]],TAB_Offres[[Reference]:[Request State]],COLUMNS(TAB_Offres[[Reference]:[Request State]]),FALSE)=D$6,TAB_Offres[[#This Row],[Reference]],""),"")</f>
        <v/>
      </c>
      <c r="N517" t="str">
        <f>_xlfn.IFNA(IF(VLOOKUP(TAB_Offres[[#This Row],[Reference]],TAB_Offres[[Reference]:[Has Expenses?]],COLUMNS(TAB_Offres[[Reference]:[Has Expenses?]]),FALSE)=J$2,TAB_Offres[[#This Row],[Reference]],""),"")</f>
        <v/>
      </c>
      <c r="O517" t="str">
        <f>IF(Tableau19[[#This Row],[EXPENSES_REF]]="","",MAX(O$1:O516)+1)</f>
        <v/>
      </c>
      <c r="P517" t="str">
        <f t="shared" si="21"/>
        <v/>
      </c>
      <c r="AI517" s="191" t="str">
        <f>IFERROR(_xlfn.SINGLE(
IF(_xlfn.SINGLE(INDEX(TAB_Offres[Ressource 1],ROWS(Params!AI$2:$AI517)))=0,NA(),
INDEX(TAB_Offres[Ressource 1],ROWS(Params!AI$2:$AI517)))),
IFERROR(_xlfn.SINGLE(IF(_xlfn.SINGLE(INDEX(#REF!,ROWS(Params!AI$2:$AI517)-COUNTA(TAB_Offres[Ressource 1])))=0,NA(),
INDEX(#REF!,ROWS(Params!AI$2:$AI517)-COUNTA(TAB_Offres[Ressource 1])))),
IFERROR(_xlfn.SINGLE(IF(_xlfn.SINGLE(INDEX(#REF!,ROWS(Params!AI$2:$AI517)-COUNTA(#REF!)-COUNTA(TAB_Offres[Ressource 1])))=0,NA(),
INDEX(#REF!,ROWS(Params!AI$2:$AI517)-COUNTA(#REF!)-COUNTA(TAB_Offres[Ressource 1])))),""))
)</f>
        <v/>
      </c>
      <c r="AJ517" s="192" t="str">
        <f>IF(TAB_ressource[[#This Row],[Import Ressource]]="","",MAX(AJ$1:AJ516)+1)</f>
        <v/>
      </c>
      <c r="AK517" s="193" t="str">
        <f>IFERROR(INDEX(TAB_ressource[Import Ressource],MATCH(ROW()-ROW($AK$1),TAB_ressource[ID Import ressources],0)),"")</f>
        <v/>
      </c>
      <c r="BD517" t="s">
        <v>2161</v>
      </c>
      <c r="BE517" t="s">
        <v>2162</v>
      </c>
      <c r="BF517" t="s">
        <v>2163</v>
      </c>
      <c r="BG517" t="s">
        <v>2161</v>
      </c>
    </row>
    <row r="518" spans="13:59" x14ac:dyDescent="0.25">
      <c r="M518" t="str">
        <f>_xlfn.IFNA(IF(VLOOKUP(TAB_Offres[[#This Row],[Reference]],TAB_Offres[[Reference]:[Request State]],COLUMNS(TAB_Offres[[Reference]:[Request State]]),FALSE)=D$6,TAB_Offres[[#This Row],[Reference]],""),"")</f>
        <v/>
      </c>
      <c r="N518" t="str">
        <f>_xlfn.IFNA(IF(VLOOKUP(TAB_Offres[[#This Row],[Reference]],TAB_Offres[[Reference]:[Has Expenses?]],COLUMNS(TAB_Offres[[Reference]:[Has Expenses?]]),FALSE)=J$2,TAB_Offres[[#This Row],[Reference]],""),"")</f>
        <v/>
      </c>
      <c r="O518" t="str">
        <f>IF(Tableau19[[#This Row],[EXPENSES_REF]]="","",MAX(O$1:O517)+1)</f>
        <v/>
      </c>
      <c r="P518" t="str">
        <f t="shared" si="21"/>
        <v/>
      </c>
      <c r="AI518" s="191" t="str">
        <f>IFERROR(_xlfn.SINGLE(
IF(_xlfn.SINGLE(INDEX(TAB_Offres[Ressource 1],ROWS(Params!AI$2:$AI518)))=0,NA(),
INDEX(TAB_Offres[Ressource 1],ROWS(Params!AI$2:$AI518)))),
IFERROR(_xlfn.SINGLE(IF(_xlfn.SINGLE(INDEX(#REF!,ROWS(Params!AI$2:$AI518)-COUNTA(TAB_Offres[Ressource 1])))=0,NA(),
INDEX(#REF!,ROWS(Params!AI$2:$AI518)-COUNTA(TAB_Offres[Ressource 1])))),
IFERROR(_xlfn.SINGLE(IF(_xlfn.SINGLE(INDEX(#REF!,ROWS(Params!AI$2:$AI518)-COUNTA(#REF!)-COUNTA(TAB_Offres[Ressource 1])))=0,NA(),
INDEX(#REF!,ROWS(Params!AI$2:$AI518)-COUNTA(#REF!)-COUNTA(TAB_Offres[Ressource 1])))),""))
)</f>
        <v/>
      </c>
      <c r="AJ518" s="192" t="str">
        <f>IF(TAB_ressource[[#This Row],[Import Ressource]]="","",MAX(AJ$1:AJ517)+1)</f>
        <v/>
      </c>
      <c r="AK518" s="193" t="str">
        <f>IFERROR(INDEX(TAB_ressource[Import Ressource],MATCH(ROW()-ROW($AK$1),TAB_ressource[ID Import ressources],0)),"")</f>
        <v/>
      </c>
      <c r="BD518" t="s">
        <v>2164</v>
      </c>
      <c r="BE518" t="s">
        <v>2165</v>
      </c>
      <c r="BF518" t="s">
        <v>2166</v>
      </c>
      <c r="BG518" t="s">
        <v>2164</v>
      </c>
    </row>
    <row r="519" spans="13:59" x14ac:dyDescent="0.25">
      <c r="M519" t="str">
        <f>_xlfn.IFNA(IF(VLOOKUP(TAB_Offres[[#This Row],[Reference]],TAB_Offres[[Reference]:[Request State]],COLUMNS(TAB_Offres[[Reference]:[Request State]]),FALSE)=D$6,TAB_Offres[[#This Row],[Reference]],""),"")</f>
        <v/>
      </c>
      <c r="N519" t="str">
        <f>_xlfn.IFNA(IF(VLOOKUP(TAB_Offres[[#This Row],[Reference]],TAB_Offres[[Reference]:[Has Expenses?]],COLUMNS(TAB_Offres[[Reference]:[Has Expenses?]]),FALSE)=J$2,TAB_Offres[[#This Row],[Reference]],""),"")</f>
        <v/>
      </c>
      <c r="O519" t="str">
        <f>IF(Tableau19[[#This Row],[EXPENSES_REF]]="","",MAX(O$1:O518)+1)</f>
        <v/>
      </c>
      <c r="P519" t="str">
        <f t="shared" si="21"/>
        <v/>
      </c>
      <c r="AI519" s="191" t="str">
        <f>IFERROR(_xlfn.SINGLE(
IF(_xlfn.SINGLE(INDEX(TAB_Offres[Ressource 1],ROWS(Params!AI$2:$AI519)))=0,NA(),
INDEX(TAB_Offres[Ressource 1],ROWS(Params!AI$2:$AI519)))),
IFERROR(_xlfn.SINGLE(IF(_xlfn.SINGLE(INDEX(#REF!,ROWS(Params!AI$2:$AI519)-COUNTA(TAB_Offres[Ressource 1])))=0,NA(),
INDEX(#REF!,ROWS(Params!AI$2:$AI519)-COUNTA(TAB_Offres[Ressource 1])))),
IFERROR(_xlfn.SINGLE(IF(_xlfn.SINGLE(INDEX(#REF!,ROWS(Params!AI$2:$AI519)-COUNTA(#REF!)-COUNTA(TAB_Offres[Ressource 1])))=0,NA(),
INDEX(#REF!,ROWS(Params!AI$2:$AI519)-COUNTA(#REF!)-COUNTA(TAB_Offres[Ressource 1])))),""))
)</f>
        <v/>
      </c>
      <c r="AJ519" s="192" t="str">
        <f>IF(TAB_ressource[[#This Row],[Import Ressource]]="","",MAX(AJ$1:AJ518)+1)</f>
        <v/>
      </c>
      <c r="AK519" s="193" t="str">
        <f>IFERROR(INDEX(TAB_ressource[Import Ressource],MATCH(ROW()-ROW($AK$1),TAB_ressource[ID Import ressources],0)),"")</f>
        <v/>
      </c>
      <c r="BD519" t="s">
        <v>2167</v>
      </c>
      <c r="BE519" t="s">
        <v>2168</v>
      </c>
      <c r="BF519" t="s">
        <v>2169</v>
      </c>
      <c r="BG519" t="s">
        <v>2167</v>
      </c>
    </row>
    <row r="520" spans="13:59" x14ac:dyDescent="0.25">
      <c r="M520" t="str">
        <f>_xlfn.IFNA(IF(VLOOKUP(TAB_Offres[[#This Row],[Reference]],TAB_Offres[[Reference]:[Request State]],COLUMNS(TAB_Offres[[Reference]:[Request State]]),FALSE)=D$6,TAB_Offres[[#This Row],[Reference]],""),"")</f>
        <v/>
      </c>
      <c r="N520" t="str">
        <f>_xlfn.IFNA(IF(VLOOKUP(TAB_Offres[[#This Row],[Reference]],TAB_Offres[[Reference]:[Has Expenses?]],COLUMNS(TAB_Offres[[Reference]:[Has Expenses?]]),FALSE)=J$2,TAB_Offres[[#This Row],[Reference]],""),"")</f>
        <v/>
      </c>
      <c r="O520" t="str">
        <f>IF(Tableau19[[#This Row],[EXPENSES_REF]]="","",MAX(O$1:O519)+1)</f>
        <v/>
      </c>
      <c r="P520" t="str">
        <f t="shared" si="21"/>
        <v/>
      </c>
      <c r="AI520" s="191" t="str">
        <f>IFERROR(_xlfn.SINGLE(
IF(_xlfn.SINGLE(INDEX(TAB_Offres[Ressource 1],ROWS(Params!AI$2:$AI520)))=0,NA(),
INDEX(TAB_Offres[Ressource 1],ROWS(Params!AI$2:$AI520)))),
IFERROR(_xlfn.SINGLE(IF(_xlfn.SINGLE(INDEX(#REF!,ROWS(Params!AI$2:$AI520)-COUNTA(TAB_Offres[Ressource 1])))=0,NA(),
INDEX(#REF!,ROWS(Params!AI$2:$AI520)-COUNTA(TAB_Offres[Ressource 1])))),
IFERROR(_xlfn.SINGLE(IF(_xlfn.SINGLE(INDEX(#REF!,ROWS(Params!AI$2:$AI520)-COUNTA(#REF!)-COUNTA(TAB_Offres[Ressource 1])))=0,NA(),
INDEX(#REF!,ROWS(Params!AI$2:$AI520)-COUNTA(#REF!)-COUNTA(TAB_Offres[Ressource 1])))),""))
)</f>
        <v/>
      </c>
      <c r="AJ520" s="192" t="str">
        <f>IF(TAB_ressource[[#This Row],[Import Ressource]]="","",MAX(AJ$1:AJ519)+1)</f>
        <v/>
      </c>
      <c r="AK520" s="193" t="str">
        <f>IFERROR(INDEX(TAB_ressource[Import Ressource],MATCH(ROW()-ROW($AK$1),TAB_ressource[ID Import ressources],0)),"")</f>
        <v/>
      </c>
      <c r="BD520" t="s">
        <v>2170</v>
      </c>
      <c r="BE520" t="s">
        <v>2171</v>
      </c>
      <c r="BF520" t="s">
        <v>2172</v>
      </c>
      <c r="BG520" t="s">
        <v>2170</v>
      </c>
    </row>
    <row r="521" spans="13:59" x14ac:dyDescent="0.25">
      <c r="M521" t="str">
        <f>_xlfn.IFNA(IF(VLOOKUP(TAB_Offres[[#This Row],[Reference]],TAB_Offres[[Reference]:[Request State]],COLUMNS(TAB_Offres[[Reference]:[Request State]]),FALSE)=D$6,TAB_Offres[[#This Row],[Reference]],""),"")</f>
        <v/>
      </c>
      <c r="N521" t="str">
        <f>_xlfn.IFNA(IF(VLOOKUP(TAB_Offres[[#This Row],[Reference]],TAB_Offres[[Reference]:[Has Expenses?]],COLUMNS(TAB_Offres[[Reference]:[Has Expenses?]]),FALSE)=J$2,TAB_Offres[[#This Row],[Reference]],""),"")</f>
        <v/>
      </c>
      <c r="O521" t="str">
        <f>IF(Tableau19[[#This Row],[EXPENSES_REF]]="","",MAX(O$1:O520)+1)</f>
        <v/>
      </c>
      <c r="P521" t="str">
        <f t="shared" si="21"/>
        <v/>
      </c>
      <c r="AI521" s="191" t="str">
        <f>IFERROR(_xlfn.SINGLE(
IF(_xlfn.SINGLE(INDEX(TAB_Offres[Ressource 1],ROWS(Params!AI$2:$AI521)))=0,NA(),
INDEX(TAB_Offres[Ressource 1],ROWS(Params!AI$2:$AI521)))),
IFERROR(_xlfn.SINGLE(IF(_xlfn.SINGLE(INDEX(#REF!,ROWS(Params!AI$2:$AI521)-COUNTA(TAB_Offres[Ressource 1])))=0,NA(),
INDEX(#REF!,ROWS(Params!AI$2:$AI521)-COUNTA(TAB_Offres[Ressource 1])))),
IFERROR(_xlfn.SINGLE(IF(_xlfn.SINGLE(INDEX(#REF!,ROWS(Params!AI$2:$AI521)-COUNTA(#REF!)-COUNTA(TAB_Offres[Ressource 1])))=0,NA(),
INDEX(#REF!,ROWS(Params!AI$2:$AI521)-COUNTA(#REF!)-COUNTA(TAB_Offres[Ressource 1])))),""))
)</f>
        <v/>
      </c>
      <c r="AJ521" s="192" t="str">
        <f>IF(TAB_ressource[[#This Row],[Import Ressource]]="","",MAX(AJ$1:AJ520)+1)</f>
        <v/>
      </c>
      <c r="AK521" s="193" t="str">
        <f>IFERROR(INDEX(TAB_ressource[Import Ressource],MATCH(ROW()-ROW($AK$1),TAB_ressource[ID Import ressources],0)),"")</f>
        <v/>
      </c>
      <c r="BD521" t="s">
        <v>2173</v>
      </c>
      <c r="BE521" t="s">
        <v>2174</v>
      </c>
      <c r="BF521" t="s">
        <v>2175</v>
      </c>
      <c r="BG521" t="s">
        <v>2173</v>
      </c>
    </row>
    <row r="522" spans="13:59" x14ac:dyDescent="0.25">
      <c r="M522" t="str">
        <f>_xlfn.IFNA(IF(VLOOKUP(TAB_Offres[[#This Row],[Reference]],TAB_Offres[[Reference]:[Request State]],COLUMNS(TAB_Offres[[Reference]:[Request State]]),FALSE)=D$6,TAB_Offres[[#This Row],[Reference]],""),"")</f>
        <v/>
      </c>
      <c r="N522" t="str">
        <f>_xlfn.IFNA(IF(VLOOKUP(TAB_Offres[[#This Row],[Reference]],TAB_Offres[[Reference]:[Has Expenses?]],COLUMNS(TAB_Offres[[Reference]:[Has Expenses?]]),FALSE)=J$2,TAB_Offres[[#This Row],[Reference]],""),"")</f>
        <v/>
      </c>
      <c r="O522" t="str">
        <f>IF(Tableau19[[#This Row],[EXPENSES_REF]]="","",MAX(O$1:O521)+1)</f>
        <v/>
      </c>
      <c r="P522" t="str">
        <f t="shared" si="21"/>
        <v/>
      </c>
      <c r="AI522" s="191" t="str">
        <f>IFERROR(_xlfn.SINGLE(
IF(_xlfn.SINGLE(INDEX(TAB_Offres[Ressource 1],ROWS(Params!AI$2:$AI522)))=0,NA(),
INDEX(TAB_Offres[Ressource 1],ROWS(Params!AI$2:$AI522)))),
IFERROR(_xlfn.SINGLE(IF(_xlfn.SINGLE(INDEX(#REF!,ROWS(Params!AI$2:$AI522)-COUNTA(TAB_Offres[Ressource 1])))=0,NA(),
INDEX(#REF!,ROWS(Params!AI$2:$AI522)-COUNTA(TAB_Offres[Ressource 1])))),
IFERROR(_xlfn.SINGLE(IF(_xlfn.SINGLE(INDEX(#REF!,ROWS(Params!AI$2:$AI522)-COUNTA(#REF!)-COUNTA(TAB_Offres[Ressource 1])))=0,NA(),
INDEX(#REF!,ROWS(Params!AI$2:$AI522)-COUNTA(#REF!)-COUNTA(TAB_Offres[Ressource 1])))),""))
)</f>
        <v/>
      </c>
      <c r="AJ522" s="192" t="str">
        <f>IF(TAB_ressource[[#This Row],[Import Ressource]]="","",MAX(AJ$1:AJ521)+1)</f>
        <v/>
      </c>
      <c r="AK522" s="193" t="str">
        <f>IFERROR(INDEX(TAB_ressource[Import Ressource],MATCH(ROW()-ROW($AK$1),TAB_ressource[ID Import ressources],0)),"")</f>
        <v/>
      </c>
      <c r="BD522" t="s">
        <v>2176</v>
      </c>
      <c r="BE522" t="s">
        <v>2177</v>
      </c>
      <c r="BF522" t="s">
        <v>2178</v>
      </c>
      <c r="BG522" t="s">
        <v>2176</v>
      </c>
    </row>
    <row r="523" spans="13:59" x14ac:dyDescent="0.25">
      <c r="M523" t="str">
        <f>_xlfn.IFNA(IF(VLOOKUP(TAB_Offres[[#This Row],[Reference]],TAB_Offres[[Reference]:[Request State]],COLUMNS(TAB_Offres[[Reference]:[Request State]]),FALSE)=D$6,TAB_Offres[[#This Row],[Reference]],""),"")</f>
        <v/>
      </c>
      <c r="N523" t="str">
        <f>_xlfn.IFNA(IF(VLOOKUP(TAB_Offres[[#This Row],[Reference]],TAB_Offres[[Reference]:[Has Expenses?]],COLUMNS(TAB_Offres[[Reference]:[Has Expenses?]]),FALSE)=J$2,TAB_Offres[[#This Row],[Reference]],""),"")</f>
        <v/>
      </c>
      <c r="O523" t="str">
        <f>IF(Tableau19[[#This Row],[EXPENSES_REF]]="","",MAX(O$1:O522)+1)</f>
        <v/>
      </c>
      <c r="P523" t="str">
        <f t="shared" si="21"/>
        <v/>
      </c>
      <c r="AI523" s="191" t="str">
        <f>IFERROR(_xlfn.SINGLE(
IF(_xlfn.SINGLE(INDEX(TAB_Offres[Ressource 1],ROWS(Params!AI$2:$AI523)))=0,NA(),
INDEX(TAB_Offres[Ressource 1],ROWS(Params!AI$2:$AI523)))),
IFERROR(_xlfn.SINGLE(IF(_xlfn.SINGLE(INDEX(#REF!,ROWS(Params!AI$2:$AI523)-COUNTA(TAB_Offres[Ressource 1])))=0,NA(),
INDEX(#REF!,ROWS(Params!AI$2:$AI523)-COUNTA(TAB_Offres[Ressource 1])))),
IFERROR(_xlfn.SINGLE(IF(_xlfn.SINGLE(INDEX(#REF!,ROWS(Params!AI$2:$AI523)-COUNTA(#REF!)-COUNTA(TAB_Offres[Ressource 1])))=0,NA(),
INDEX(#REF!,ROWS(Params!AI$2:$AI523)-COUNTA(#REF!)-COUNTA(TAB_Offres[Ressource 1])))),""))
)</f>
        <v/>
      </c>
      <c r="AJ523" s="192" t="str">
        <f>IF(TAB_ressource[[#This Row],[Import Ressource]]="","",MAX(AJ$1:AJ522)+1)</f>
        <v/>
      </c>
      <c r="AK523" s="193" t="str">
        <f>IFERROR(INDEX(TAB_ressource[Import Ressource],MATCH(ROW()-ROW($AK$1),TAB_ressource[ID Import ressources],0)),"")</f>
        <v/>
      </c>
      <c r="BD523" t="s">
        <v>2179</v>
      </c>
      <c r="BE523" t="s">
        <v>2180</v>
      </c>
      <c r="BF523" t="s">
        <v>2181</v>
      </c>
      <c r="BG523" t="s">
        <v>2179</v>
      </c>
    </row>
    <row r="524" spans="13:59" x14ac:dyDescent="0.25">
      <c r="M524" t="str">
        <f>_xlfn.IFNA(IF(VLOOKUP(TAB_Offres[[#This Row],[Reference]],TAB_Offres[[Reference]:[Request State]],COLUMNS(TAB_Offres[[Reference]:[Request State]]),FALSE)=D$6,TAB_Offres[[#This Row],[Reference]],""),"")</f>
        <v/>
      </c>
      <c r="N524" t="str">
        <f>_xlfn.IFNA(IF(VLOOKUP(TAB_Offres[[#This Row],[Reference]],TAB_Offres[[Reference]:[Has Expenses?]],COLUMNS(TAB_Offres[[Reference]:[Has Expenses?]]),FALSE)=J$2,TAB_Offres[[#This Row],[Reference]],""),"")</f>
        <v/>
      </c>
      <c r="O524" t="str">
        <f>IF(Tableau19[[#This Row],[EXPENSES_REF]]="","",MAX(O$1:O523)+1)</f>
        <v/>
      </c>
      <c r="P524" t="str">
        <f t="shared" si="21"/>
        <v/>
      </c>
      <c r="AI524" s="191" t="str">
        <f>IFERROR(_xlfn.SINGLE(
IF(_xlfn.SINGLE(INDEX(TAB_Offres[Ressource 1],ROWS(Params!AI$2:$AI524)))=0,NA(),
INDEX(TAB_Offres[Ressource 1],ROWS(Params!AI$2:$AI524)))),
IFERROR(_xlfn.SINGLE(IF(_xlfn.SINGLE(INDEX(#REF!,ROWS(Params!AI$2:$AI524)-COUNTA(TAB_Offres[Ressource 1])))=0,NA(),
INDEX(#REF!,ROWS(Params!AI$2:$AI524)-COUNTA(TAB_Offres[Ressource 1])))),
IFERROR(_xlfn.SINGLE(IF(_xlfn.SINGLE(INDEX(#REF!,ROWS(Params!AI$2:$AI524)-COUNTA(#REF!)-COUNTA(TAB_Offres[Ressource 1])))=0,NA(),
INDEX(#REF!,ROWS(Params!AI$2:$AI524)-COUNTA(#REF!)-COUNTA(TAB_Offres[Ressource 1])))),""))
)</f>
        <v/>
      </c>
      <c r="AJ524" s="192" t="str">
        <f>IF(TAB_ressource[[#This Row],[Import Ressource]]="","",MAX(AJ$1:AJ523)+1)</f>
        <v/>
      </c>
      <c r="AK524" s="193" t="str">
        <f>IFERROR(INDEX(TAB_ressource[Import Ressource],MATCH(ROW()-ROW($AK$1),TAB_ressource[ID Import ressources],0)),"")</f>
        <v/>
      </c>
      <c r="BD524" t="s">
        <v>2182</v>
      </c>
      <c r="BE524" t="s">
        <v>2183</v>
      </c>
      <c r="BF524" t="s">
        <v>2184</v>
      </c>
      <c r="BG524" t="s">
        <v>2182</v>
      </c>
    </row>
    <row r="525" spans="13:59" x14ac:dyDescent="0.25">
      <c r="M525" t="str">
        <f>_xlfn.IFNA(IF(VLOOKUP(TAB_Offres[[#This Row],[Reference]],TAB_Offres[[Reference]:[Request State]],COLUMNS(TAB_Offres[[Reference]:[Request State]]),FALSE)=D$6,TAB_Offres[[#This Row],[Reference]],""),"")</f>
        <v/>
      </c>
      <c r="N525" t="str">
        <f>_xlfn.IFNA(IF(VLOOKUP(TAB_Offres[[#This Row],[Reference]],TAB_Offres[[Reference]:[Has Expenses?]],COLUMNS(TAB_Offres[[Reference]:[Has Expenses?]]),FALSE)=J$2,TAB_Offres[[#This Row],[Reference]],""),"")</f>
        <v/>
      </c>
      <c r="O525" t="str">
        <f>IF(Tableau19[[#This Row],[EXPENSES_REF]]="","",MAX(O$1:O524)+1)</f>
        <v/>
      </c>
      <c r="P525" t="str">
        <f t="shared" si="21"/>
        <v/>
      </c>
      <c r="AI525" s="191" t="str">
        <f>IFERROR(_xlfn.SINGLE(
IF(_xlfn.SINGLE(INDEX(TAB_Offres[Ressource 1],ROWS(Params!AI$2:$AI525)))=0,NA(),
INDEX(TAB_Offres[Ressource 1],ROWS(Params!AI$2:$AI525)))),
IFERROR(_xlfn.SINGLE(IF(_xlfn.SINGLE(INDEX(#REF!,ROWS(Params!AI$2:$AI525)-COUNTA(TAB_Offres[Ressource 1])))=0,NA(),
INDEX(#REF!,ROWS(Params!AI$2:$AI525)-COUNTA(TAB_Offres[Ressource 1])))),
IFERROR(_xlfn.SINGLE(IF(_xlfn.SINGLE(INDEX(#REF!,ROWS(Params!AI$2:$AI525)-COUNTA(#REF!)-COUNTA(TAB_Offres[Ressource 1])))=0,NA(),
INDEX(#REF!,ROWS(Params!AI$2:$AI525)-COUNTA(#REF!)-COUNTA(TAB_Offres[Ressource 1])))),""))
)</f>
        <v/>
      </c>
      <c r="AJ525" s="192" t="str">
        <f>IF(TAB_ressource[[#This Row],[Import Ressource]]="","",MAX(AJ$1:AJ524)+1)</f>
        <v/>
      </c>
      <c r="AK525" s="193" t="str">
        <f>IFERROR(INDEX(TAB_ressource[Import Ressource],MATCH(ROW()-ROW($AK$1),TAB_ressource[ID Import ressources],0)),"")</f>
        <v/>
      </c>
      <c r="BD525" t="s">
        <v>2185</v>
      </c>
      <c r="BE525" t="s">
        <v>2186</v>
      </c>
      <c r="BF525" t="s">
        <v>2187</v>
      </c>
      <c r="BG525" t="s">
        <v>2185</v>
      </c>
    </row>
    <row r="526" spans="13:59" x14ac:dyDescent="0.25">
      <c r="M526" t="str">
        <f>_xlfn.IFNA(IF(VLOOKUP(TAB_Offres[[#This Row],[Reference]],TAB_Offres[[Reference]:[Request State]],COLUMNS(TAB_Offres[[Reference]:[Request State]]),FALSE)=D$6,TAB_Offres[[#This Row],[Reference]],""),"")</f>
        <v/>
      </c>
      <c r="N526" t="str">
        <f>_xlfn.IFNA(IF(VLOOKUP(TAB_Offres[[#This Row],[Reference]],TAB_Offres[[Reference]:[Has Expenses?]],COLUMNS(TAB_Offres[[Reference]:[Has Expenses?]]),FALSE)=J$2,TAB_Offres[[#This Row],[Reference]],""),"")</f>
        <v/>
      </c>
      <c r="O526" t="str">
        <f>IF(Tableau19[[#This Row],[EXPENSES_REF]]="","",MAX(O$1:O525)+1)</f>
        <v/>
      </c>
      <c r="P526" t="str">
        <f t="shared" si="21"/>
        <v/>
      </c>
      <c r="AI526" s="191" t="str">
        <f>IFERROR(_xlfn.SINGLE(
IF(_xlfn.SINGLE(INDEX(TAB_Offres[Ressource 1],ROWS(Params!AI$2:$AI526)))=0,NA(),
INDEX(TAB_Offres[Ressource 1],ROWS(Params!AI$2:$AI526)))),
IFERROR(_xlfn.SINGLE(IF(_xlfn.SINGLE(INDEX(#REF!,ROWS(Params!AI$2:$AI526)-COUNTA(TAB_Offres[Ressource 1])))=0,NA(),
INDEX(#REF!,ROWS(Params!AI$2:$AI526)-COUNTA(TAB_Offres[Ressource 1])))),
IFERROR(_xlfn.SINGLE(IF(_xlfn.SINGLE(INDEX(#REF!,ROWS(Params!AI$2:$AI526)-COUNTA(#REF!)-COUNTA(TAB_Offres[Ressource 1])))=0,NA(),
INDEX(#REF!,ROWS(Params!AI$2:$AI526)-COUNTA(#REF!)-COUNTA(TAB_Offres[Ressource 1])))),""))
)</f>
        <v/>
      </c>
      <c r="AJ526" s="192" t="str">
        <f>IF(TAB_ressource[[#This Row],[Import Ressource]]="","",MAX(AJ$1:AJ525)+1)</f>
        <v/>
      </c>
      <c r="AK526" s="193" t="str">
        <f>IFERROR(INDEX(TAB_ressource[Import Ressource],MATCH(ROW()-ROW($AK$1),TAB_ressource[ID Import ressources],0)),"")</f>
        <v/>
      </c>
      <c r="BD526" t="s">
        <v>2188</v>
      </c>
      <c r="BE526" t="s">
        <v>2189</v>
      </c>
      <c r="BF526" t="s">
        <v>2190</v>
      </c>
      <c r="BG526" t="s">
        <v>2188</v>
      </c>
    </row>
    <row r="527" spans="13:59" x14ac:dyDescent="0.25">
      <c r="M527" t="str">
        <f>_xlfn.IFNA(IF(VLOOKUP(TAB_Offres[[#This Row],[Reference]],TAB_Offres[[Reference]:[Request State]],COLUMNS(TAB_Offres[[Reference]:[Request State]]),FALSE)=D$6,TAB_Offres[[#This Row],[Reference]],""),"")</f>
        <v/>
      </c>
      <c r="N527" t="str">
        <f>_xlfn.IFNA(IF(VLOOKUP(TAB_Offres[[#This Row],[Reference]],TAB_Offres[[Reference]:[Has Expenses?]],COLUMNS(TAB_Offres[[Reference]:[Has Expenses?]]),FALSE)=J$2,TAB_Offres[[#This Row],[Reference]],""),"")</f>
        <v/>
      </c>
      <c r="O527" t="str">
        <f>IF(Tableau19[[#This Row],[EXPENSES_REF]]="","",MAX(O$1:O526)+1)</f>
        <v/>
      </c>
      <c r="P527" t="str">
        <f t="shared" si="21"/>
        <v/>
      </c>
      <c r="AI527" s="191" t="str">
        <f>IFERROR(_xlfn.SINGLE(
IF(_xlfn.SINGLE(INDEX(TAB_Offres[Ressource 1],ROWS(Params!AI$2:$AI527)))=0,NA(),
INDEX(TAB_Offres[Ressource 1],ROWS(Params!AI$2:$AI527)))),
IFERROR(_xlfn.SINGLE(IF(_xlfn.SINGLE(INDEX(#REF!,ROWS(Params!AI$2:$AI527)-COUNTA(TAB_Offres[Ressource 1])))=0,NA(),
INDEX(#REF!,ROWS(Params!AI$2:$AI527)-COUNTA(TAB_Offres[Ressource 1])))),
IFERROR(_xlfn.SINGLE(IF(_xlfn.SINGLE(INDEX(#REF!,ROWS(Params!AI$2:$AI527)-COUNTA(#REF!)-COUNTA(TAB_Offres[Ressource 1])))=0,NA(),
INDEX(#REF!,ROWS(Params!AI$2:$AI527)-COUNTA(#REF!)-COUNTA(TAB_Offres[Ressource 1])))),""))
)</f>
        <v/>
      </c>
      <c r="AJ527" s="192" t="str">
        <f>IF(TAB_ressource[[#This Row],[Import Ressource]]="","",MAX(AJ$1:AJ526)+1)</f>
        <v/>
      </c>
      <c r="AK527" s="193" t="str">
        <f>IFERROR(INDEX(TAB_ressource[Import Ressource],MATCH(ROW()-ROW($AK$1),TAB_ressource[ID Import ressources],0)),"")</f>
        <v/>
      </c>
      <c r="BD527" t="s">
        <v>2191</v>
      </c>
      <c r="BE527" t="s">
        <v>2192</v>
      </c>
      <c r="BF527" t="s">
        <v>2193</v>
      </c>
      <c r="BG527" t="s">
        <v>2191</v>
      </c>
    </row>
    <row r="528" spans="13:59" x14ac:dyDescent="0.25">
      <c r="M528" t="str">
        <f>_xlfn.IFNA(IF(VLOOKUP(TAB_Offres[[#This Row],[Reference]],TAB_Offres[[Reference]:[Request State]],COLUMNS(TAB_Offres[[Reference]:[Request State]]),FALSE)=D$6,TAB_Offres[[#This Row],[Reference]],""),"")</f>
        <v/>
      </c>
      <c r="N528" t="str">
        <f>_xlfn.IFNA(IF(VLOOKUP(TAB_Offres[[#This Row],[Reference]],TAB_Offres[[Reference]:[Has Expenses?]],COLUMNS(TAB_Offres[[Reference]:[Has Expenses?]]),FALSE)=J$2,TAB_Offres[[#This Row],[Reference]],""),"")</f>
        <v/>
      </c>
      <c r="O528" t="str">
        <f>IF(Tableau19[[#This Row],[EXPENSES_REF]]="","",MAX(O$1:O527)+1)</f>
        <v/>
      </c>
      <c r="P528" t="str">
        <f t="shared" si="21"/>
        <v/>
      </c>
      <c r="AI528" s="191" t="str">
        <f>IFERROR(_xlfn.SINGLE(
IF(_xlfn.SINGLE(INDEX(TAB_Offres[Ressource 1],ROWS(Params!AI$2:$AI528)))=0,NA(),
INDEX(TAB_Offres[Ressource 1],ROWS(Params!AI$2:$AI528)))),
IFERROR(_xlfn.SINGLE(IF(_xlfn.SINGLE(INDEX(#REF!,ROWS(Params!AI$2:$AI528)-COUNTA(TAB_Offres[Ressource 1])))=0,NA(),
INDEX(#REF!,ROWS(Params!AI$2:$AI528)-COUNTA(TAB_Offres[Ressource 1])))),
IFERROR(_xlfn.SINGLE(IF(_xlfn.SINGLE(INDEX(#REF!,ROWS(Params!AI$2:$AI528)-COUNTA(#REF!)-COUNTA(TAB_Offres[Ressource 1])))=0,NA(),
INDEX(#REF!,ROWS(Params!AI$2:$AI528)-COUNTA(#REF!)-COUNTA(TAB_Offres[Ressource 1])))),""))
)</f>
        <v/>
      </c>
      <c r="AJ528" s="192" t="str">
        <f>IF(TAB_ressource[[#This Row],[Import Ressource]]="","",MAX(AJ$1:AJ527)+1)</f>
        <v/>
      </c>
      <c r="AK528" s="193" t="str">
        <f>IFERROR(INDEX(TAB_ressource[Import Ressource],MATCH(ROW()-ROW($AK$1),TAB_ressource[ID Import ressources],0)),"")</f>
        <v/>
      </c>
      <c r="BD528" t="s">
        <v>2194</v>
      </c>
      <c r="BE528" t="s">
        <v>2195</v>
      </c>
      <c r="BF528" t="s">
        <v>2196</v>
      </c>
      <c r="BG528" t="s">
        <v>2194</v>
      </c>
    </row>
    <row r="529" spans="13:59" x14ac:dyDescent="0.25">
      <c r="M529" t="str">
        <f>_xlfn.IFNA(IF(VLOOKUP(TAB_Offres[[#This Row],[Reference]],TAB_Offres[[Reference]:[Request State]],COLUMNS(TAB_Offres[[Reference]:[Request State]]),FALSE)=D$6,TAB_Offres[[#This Row],[Reference]],""),"")</f>
        <v/>
      </c>
      <c r="N529" t="str">
        <f>_xlfn.IFNA(IF(VLOOKUP(TAB_Offres[[#This Row],[Reference]],TAB_Offres[[Reference]:[Has Expenses?]],COLUMNS(TAB_Offres[[Reference]:[Has Expenses?]]),FALSE)=J$2,TAB_Offres[[#This Row],[Reference]],""),"")</f>
        <v/>
      </c>
      <c r="O529" t="str">
        <f>IF(Tableau19[[#This Row],[EXPENSES_REF]]="","",MAX(O$1:O528)+1)</f>
        <v/>
      </c>
      <c r="P529" t="str">
        <f t="shared" si="21"/>
        <v/>
      </c>
      <c r="AI529" s="191" t="str">
        <f>IFERROR(_xlfn.SINGLE(
IF(_xlfn.SINGLE(INDEX(TAB_Offres[Ressource 1],ROWS(Params!AI$2:$AI529)))=0,NA(),
INDEX(TAB_Offres[Ressource 1],ROWS(Params!AI$2:$AI529)))),
IFERROR(_xlfn.SINGLE(IF(_xlfn.SINGLE(INDEX(#REF!,ROWS(Params!AI$2:$AI529)-COUNTA(TAB_Offres[Ressource 1])))=0,NA(),
INDEX(#REF!,ROWS(Params!AI$2:$AI529)-COUNTA(TAB_Offres[Ressource 1])))),
IFERROR(_xlfn.SINGLE(IF(_xlfn.SINGLE(INDEX(#REF!,ROWS(Params!AI$2:$AI529)-COUNTA(#REF!)-COUNTA(TAB_Offres[Ressource 1])))=0,NA(),
INDEX(#REF!,ROWS(Params!AI$2:$AI529)-COUNTA(#REF!)-COUNTA(TAB_Offres[Ressource 1])))),""))
)</f>
        <v/>
      </c>
      <c r="AJ529" s="192" t="str">
        <f>IF(TAB_ressource[[#This Row],[Import Ressource]]="","",MAX(AJ$1:AJ528)+1)</f>
        <v/>
      </c>
      <c r="AK529" s="193" t="str">
        <f>IFERROR(INDEX(TAB_ressource[Import Ressource],MATCH(ROW()-ROW($AK$1),TAB_ressource[ID Import ressources],0)),"")</f>
        <v/>
      </c>
      <c r="BD529" t="s">
        <v>2197</v>
      </c>
      <c r="BE529" t="s">
        <v>2198</v>
      </c>
      <c r="BF529" t="s">
        <v>2199</v>
      </c>
      <c r="BG529" t="s">
        <v>2197</v>
      </c>
    </row>
    <row r="530" spans="13:59" x14ac:dyDescent="0.25">
      <c r="M530" t="str">
        <f>_xlfn.IFNA(IF(VLOOKUP(TAB_Offres[[#This Row],[Reference]],TAB_Offres[[Reference]:[Request State]],COLUMNS(TAB_Offres[[Reference]:[Request State]]),FALSE)=D$6,TAB_Offres[[#This Row],[Reference]],""),"")</f>
        <v/>
      </c>
      <c r="N530" t="str">
        <f>_xlfn.IFNA(IF(VLOOKUP(TAB_Offres[[#This Row],[Reference]],TAB_Offres[[Reference]:[Has Expenses?]],COLUMNS(TAB_Offres[[Reference]:[Has Expenses?]]),FALSE)=J$2,TAB_Offres[[#This Row],[Reference]],""),"")</f>
        <v/>
      </c>
      <c r="O530" t="str">
        <f>IF(Tableau19[[#This Row],[EXPENSES_REF]]="","",MAX(O$1:O529)+1)</f>
        <v/>
      </c>
      <c r="P530" t="str">
        <f t="shared" si="21"/>
        <v/>
      </c>
      <c r="AI530" s="191" t="str">
        <f>IFERROR(_xlfn.SINGLE(
IF(_xlfn.SINGLE(INDEX(TAB_Offres[Ressource 1],ROWS(Params!AI$2:$AI530)))=0,NA(),
INDEX(TAB_Offres[Ressource 1],ROWS(Params!AI$2:$AI530)))),
IFERROR(_xlfn.SINGLE(IF(_xlfn.SINGLE(INDEX(#REF!,ROWS(Params!AI$2:$AI530)-COUNTA(TAB_Offres[Ressource 1])))=0,NA(),
INDEX(#REF!,ROWS(Params!AI$2:$AI530)-COUNTA(TAB_Offres[Ressource 1])))),
IFERROR(_xlfn.SINGLE(IF(_xlfn.SINGLE(INDEX(#REF!,ROWS(Params!AI$2:$AI530)-COUNTA(#REF!)-COUNTA(TAB_Offres[Ressource 1])))=0,NA(),
INDEX(#REF!,ROWS(Params!AI$2:$AI530)-COUNTA(#REF!)-COUNTA(TAB_Offres[Ressource 1])))),""))
)</f>
        <v/>
      </c>
      <c r="AJ530" s="192" t="str">
        <f>IF(TAB_ressource[[#This Row],[Import Ressource]]="","",MAX(AJ$1:AJ529)+1)</f>
        <v/>
      </c>
      <c r="AK530" s="193" t="str">
        <f>IFERROR(INDEX(TAB_ressource[Import Ressource],MATCH(ROW()-ROW($AK$1),TAB_ressource[ID Import ressources],0)),"")</f>
        <v/>
      </c>
      <c r="BD530" t="s">
        <v>2200</v>
      </c>
      <c r="BE530" t="s">
        <v>2201</v>
      </c>
      <c r="BF530" t="s">
        <v>2202</v>
      </c>
      <c r="BG530" t="s">
        <v>2200</v>
      </c>
    </row>
    <row r="531" spans="13:59" x14ac:dyDescent="0.25">
      <c r="M531" t="str">
        <f>_xlfn.IFNA(IF(VLOOKUP(TAB_Offres[[#This Row],[Reference]],TAB_Offres[[Reference]:[Request State]],COLUMNS(TAB_Offres[[Reference]:[Request State]]),FALSE)=D$6,TAB_Offres[[#This Row],[Reference]],""),"")</f>
        <v/>
      </c>
      <c r="N531" t="str">
        <f>_xlfn.IFNA(IF(VLOOKUP(TAB_Offres[[#This Row],[Reference]],TAB_Offres[[Reference]:[Has Expenses?]],COLUMNS(TAB_Offres[[Reference]:[Has Expenses?]]),FALSE)=J$2,TAB_Offres[[#This Row],[Reference]],""),"")</f>
        <v/>
      </c>
      <c r="O531" t="str">
        <f>IF(Tableau19[[#This Row],[EXPENSES_REF]]="","",MAX(O$1:O530)+1)</f>
        <v/>
      </c>
      <c r="P531" t="str">
        <f t="shared" si="21"/>
        <v/>
      </c>
      <c r="AI531" s="191" t="str">
        <f>IFERROR(_xlfn.SINGLE(
IF(_xlfn.SINGLE(INDEX(TAB_Offres[Ressource 1],ROWS(Params!AI$2:$AI531)))=0,NA(),
INDEX(TAB_Offres[Ressource 1],ROWS(Params!AI$2:$AI531)))),
IFERROR(_xlfn.SINGLE(IF(_xlfn.SINGLE(INDEX(#REF!,ROWS(Params!AI$2:$AI531)-COUNTA(TAB_Offres[Ressource 1])))=0,NA(),
INDEX(#REF!,ROWS(Params!AI$2:$AI531)-COUNTA(TAB_Offres[Ressource 1])))),
IFERROR(_xlfn.SINGLE(IF(_xlfn.SINGLE(INDEX(#REF!,ROWS(Params!AI$2:$AI531)-COUNTA(#REF!)-COUNTA(TAB_Offres[Ressource 1])))=0,NA(),
INDEX(#REF!,ROWS(Params!AI$2:$AI531)-COUNTA(#REF!)-COUNTA(TAB_Offres[Ressource 1])))),""))
)</f>
        <v/>
      </c>
      <c r="AJ531" s="192" t="str">
        <f>IF(TAB_ressource[[#This Row],[Import Ressource]]="","",MAX(AJ$1:AJ530)+1)</f>
        <v/>
      </c>
      <c r="AK531" s="193" t="str">
        <f>IFERROR(INDEX(TAB_ressource[Import Ressource],MATCH(ROW()-ROW($AK$1),TAB_ressource[ID Import ressources],0)),"")</f>
        <v/>
      </c>
      <c r="BD531" t="s">
        <v>2203</v>
      </c>
      <c r="BE531" t="s">
        <v>2204</v>
      </c>
      <c r="BF531" t="s">
        <v>2205</v>
      </c>
      <c r="BG531" t="s">
        <v>2203</v>
      </c>
    </row>
    <row r="532" spans="13:59" x14ac:dyDescent="0.25">
      <c r="M532" t="str">
        <f>_xlfn.IFNA(IF(VLOOKUP(TAB_Offres[[#This Row],[Reference]],TAB_Offres[[Reference]:[Request State]],COLUMNS(TAB_Offres[[Reference]:[Request State]]),FALSE)=D$6,TAB_Offres[[#This Row],[Reference]],""),"")</f>
        <v/>
      </c>
      <c r="N532" t="str">
        <f>_xlfn.IFNA(IF(VLOOKUP(TAB_Offres[[#This Row],[Reference]],TAB_Offres[[Reference]:[Has Expenses?]],COLUMNS(TAB_Offres[[Reference]:[Has Expenses?]]),FALSE)=J$2,TAB_Offres[[#This Row],[Reference]],""),"")</f>
        <v/>
      </c>
      <c r="O532" t="str">
        <f>IF(Tableau19[[#This Row],[EXPENSES_REF]]="","",MAX(O$1:O531)+1)</f>
        <v/>
      </c>
      <c r="P532" t="str">
        <f t="shared" si="21"/>
        <v/>
      </c>
      <c r="AI532" s="191" t="str">
        <f>IFERROR(_xlfn.SINGLE(
IF(_xlfn.SINGLE(INDEX(TAB_Offres[Ressource 1],ROWS(Params!AI$2:$AI532)))=0,NA(),
INDEX(TAB_Offres[Ressource 1],ROWS(Params!AI$2:$AI532)))),
IFERROR(_xlfn.SINGLE(IF(_xlfn.SINGLE(INDEX(#REF!,ROWS(Params!AI$2:$AI532)-COUNTA(TAB_Offres[Ressource 1])))=0,NA(),
INDEX(#REF!,ROWS(Params!AI$2:$AI532)-COUNTA(TAB_Offres[Ressource 1])))),
IFERROR(_xlfn.SINGLE(IF(_xlfn.SINGLE(INDEX(#REF!,ROWS(Params!AI$2:$AI532)-COUNTA(#REF!)-COUNTA(TAB_Offres[Ressource 1])))=0,NA(),
INDEX(#REF!,ROWS(Params!AI$2:$AI532)-COUNTA(#REF!)-COUNTA(TAB_Offres[Ressource 1])))),""))
)</f>
        <v/>
      </c>
      <c r="AJ532" s="192" t="str">
        <f>IF(TAB_ressource[[#This Row],[Import Ressource]]="","",MAX(AJ$1:AJ531)+1)</f>
        <v/>
      </c>
      <c r="AK532" s="193" t="str">
        <f>IFERROR(INDEX(TAB_ressource[Import Ressource],MATCH(ROW()-ROW($AK$1),TAB_ressource[ID Import ressources],0)),"")</f>
        <v/>
      </c>
      <c r="BD532" t="s">
        <v>2206</v>
      </c>
      <c r="BE532" t="s">
        <v>2207</v>
      </c>
      <c r="BF532" t="s">
        <v>2208</v>
      </c>
      <c r="BG532" t="s">
        <v>2206</v>
      </c>
    </row>
    <row r="533" spans="13:59" x14ac:dyDescent="0.25">
      <c r="M533" t="str">
        <f>_xlfn.IFNA(IF(VLOOKUP(TAB_Offres[[#This Row],[Reference]],TAB_Offres[[Reference]:[Request State]],COLUMNS(TAB_Offres[[Reference]:[Request State]]),FALSE)=D$6,TAB_Offres[[#This Row],[Reference]],""),"")</f>
        <v/>
      </c>
      <c r="N533" t="str">
        <f>_xlfn.IFNA(IF(VLOOKUP(TAB_Offres[[#This Row],[Reference]],TAB_Offres[[Reference]:[Has Expenses?]],COLUMNS(TAB_Offres[[Reference]:[Has Expenses?]]),FALSE)=J$2,TAB_Offres[[#This Row],[Reference]],""),"")</f>
        <v/>
      </c>
      <c r="O533" t="str">
        <f>IF(Tableau19[[#This Row],[EXPENSES_REF]]="","",MAX(O$1:O532)+1)</f>
        <v/>
      </c>
      <c r="P533" t="str">
        <f t="shared" si="21"/>
        <v/>
      </c>
      <c r="AI533" s="191" t="str">
        <f>IFERROR(_xlfn.SINGLE(
IF(_xlfn.SINGLE(INDEX(TAB_Offres[Ressource 1],ROWS(Params!AI$2:$AI533)))=0,NA(),
INDEX(TAB_Offres[Ressource 1],ROWS(Params!AI$2:$AI533)))),
IFERROR(_xlfn.SINGLE(IF(_xlfn.SINGLE(INDEX(#REF!,ROWS(Params!AI$2:$AI533)-COUNTA(TAB_Offres[Ressource 1])))=0,NA(),
INDEX(#REF!,ROWS(Params!AI$2:$AI533)-COUNTA(TAB_Offres[Ressource 1])))),
IFERROR(_xlfn.SINGLE(IF(_xlfn.SINGLE(INDEX(#REF!,ROWS(Params!AI$2:$AI533)-COUNTA(#REF!)-COUNTA(TAB_Offres[Ressource 1])))=0,NA(),
INDEX(#REF!,ROWS(Params!AI$2:$AI533)-COUNTA(#REF!)-COUNTA(TAB_Offres[Ressource 1])))),""))
)</f>
        <v/>
      </c>
      <c r="AJ533" s="192" t="str">
        <f>IF(TAB_ressource[[#This Row],[Import Ressource]]="","",MAX(AJ$1:AJ532)+1)</f>
        <v/>
      </c>
      <c r="AK533" s="193" t="str">
        <f>IFERROR(INDEX(TAB_ressource[Import Ressource],MATCH(ROW()-ROW($AK$1),TAB_ressource[ID Import ressources],0)),"")</f>
        <v/>
      </c>
      <c r="BD533" t="s">
        <v>2209</v>
      </c>
      <c r="BE533" t="s">
        <v>2210</v>
      </c>
      <c r="BF533" t="s">
        <v>2211</v>
      </c>
      <c r="BG533" t="s">
        <v>2209</v>
      </c>
    </row>
    <row r="534" spans="13:59" x14ac:dyDescent="0.25">
      <c r="M534" t="str">
        <f>_xlfn.IFNA(IF(VLOOKUP(TAB_Offres[[#This Row],[Reference]],TAB_Offres[[Reference]:[Request State]],COLUMNS(TAB_Offres[[Reference]:[Request State]]),FALSE)=D$6,TAB_Offres[[#This Row],[Reference]],""),"")</f>
        <v/>
      </c>
      <c r="N534" t="str">
        <f>_xlfn.IFNA(IF(VLOOKUP(TAB_Offres[[#This Row],[Reference]],TAB_Offres[[Reference]:[Has Expenses?]],COLUMNS(TAB_Offres[[Reference]:[Has Expenses?]]),FALSE)=J$2,TAB_Offres[[#This Row],[Reference]],""),"")</f>
        <v/>
      </c>
      <c r="O534" t="str">
        <f>IF(Tableau19[[#This Row],[EXPENSES_REF]]="","",MAX(O$1:O533)+1)</f>
        <v/>
      </c>
      <c r="P534" t="str">
        <f t="shared" si="21"/>
        <v/>
      </c>
      <c r="AI534" s="191" t="str">
        <f>IFERROR(_xlfn.SINGLE(
IF(_xlfn.SINGLE(INDEX(TAB_Offres[Ressource 1],ROWS(Params!AI$2:$AI534)))=0,NA(),
INDEX(TAB_Offres[Ressource 1],ROWS(Params!AI$2:$AI534)))),
IFERROR(_xlfn.SINGLE(IF(_xlfn.SINGLE(INDEX(#REF!,ROWS(Params!AI$2:$AI534)-COUNTA(TAB_Offres[Ressource 1])))=0,NA(),
INDEX(#REF!,ROWS(Params!AI$2:$AI534)-COUNTA(TAB_Offres[Ressource 1])))),
IFERROR(_xlfn.SINGLE(IF(_xlfn.SINGLE(INDEX(#REF!,ROWS(Params!AI$2:$AI534)-COUNTA(#REF!)-COUNTA(TAB_Offres[Ressource 1])))=0,NA(),
INDEX(#REF!,ROWS(Params!AI$2:$AI534)-COUNTA(#REF!)-COUNTA(TAB_Offres[Ressource 1])))),""))
)</f>
        <v/>
      </c>
      <c r="AJ534" s="192" t="str">
        <f>IF(TAB_ressource[[#This Row],[Import Ressource]]="","",MAX(AJ$1:AJ533)+1)</f>
        <v/>
      </c>
      <c r="AK534" s="193" t="str">
        <f>IFERROR(INDEX(TAB_ressource[Import Ressource],MATCH(ROW()-ROW($AK$1),TAB_ressource[ID Import ressources],0)),"")</f>
        <v/>
      </c>
      <c r="BD534" t="s">
        <v>2212</v>
      </c>
      <c r="BE534" t="s">
        <v>2213</v>
      </c>
      <c r="BF534" t="s">
        <v>2214</v>
      </c>
      <c r="BG534" t="s">
        <v>2212</v>
      </c>
    </row>
    <row r="535" spans="13:59" x14ac:dyDescent="0.25">
      <c r="M535" t="str">
        <f>_xlfn.IFNA(IF(VLOOKUP(TAB_Offres[[#This Row],[Reference]],TAB_Offres[[Reference]:[Request State]],COLUMNS(TAB_Offres[[Reference]:[Request State]]),FALSE)=D$6,TAB_Offres[[#This Row],[Reference]],""),"")</f>
        <v/>
      </c>
      <c r="N535" t="str">
        <f>_xlfn.IFNA(IF(VLOOKUP(TAB_Offres[[#This Row],[Reference]],TAB_Offres[[Reference]:[Has Expenses?]],COLUMNS(TAB_Offres[[Reference]:[Has Expenses?]]),FALSE)=J$2,TAB_Offres[[#This Row],[Reference]],""),"")</f>
        <v/>
      </c>
      <c r="O535" t="str">
        <f>IF(Tableau19[[#This Row],[EXPENSES_REF]]="","",MAX(O$1:O534)+1)</f>
        <v/>
      </c>
      <c r="P535" t="str">
        <f t="shared" si="21"/>
        <v/>
      </c>
      <c r="AI535" s="191" t="str">
        <f>IFERROR(_xlfn.SINGLE(
IF(_xlfn.SINGLE(INDEX(TAB_Offres[Ressource 1],ROWS(Params!AI$2:$AI535)))=0,NA(),
INDEX(TAB_Offres[Ressource 1],ROWS(Params!AI$2:$AI535)))),
IFERROR(_xlfn.SINGLE(IF(_xlfn.SINGLE(INDEX(#REF!,ROWS(Params!AI$2:$AI535)-COUNTA(TAB_Offres[Ressource 1])))=0,NA(),
INDEX(#REF!,ROWS(Params!AI$2:$AI535)-COUNTA(TAB_Offres[Ressource 1])))),
IFERROR(_xlfn.SINGLE(IF(_xlfn.SINGLE(INDEX(#REF!,ROWS(Params!AI$2:$AI535)-COUNTA(#REF!)-COUNTA(TAB_Offres[Ressource 1])))=0,NA(),
INDEX(#REF!,ROWS(Params!AI$2:$AI535)-COUNTA(#REF!)-COUNTA(TAB_Offres[Ressource 1])))),""))
)</f>
        <v/>
      </c>
      <c r="AJ535" s="192" t="str">
        <f>IF(TAB_ressource[[#This Row],[Import Ressource]]="","",MAX(AJ$1:AJ534)+1)</f>
        <v/>
      </c>
      <c r="AK535" s="193" t="str">
        <f>IFERROR(INDEX(TAB_ressource[Import Ressource],MATCH(ROW()-ROW($AK$1),TAB_ressource[ID Import ressources],0)),"")</f>
        <v/>
      </c>
      <c r="BD535" t="s">
        <v>2215</v>
      </c>
      <c r="BE535" t="s">
        <v>2216</v>
      </c>
      <c r="BF535" t="s">
        <v>2217</v>
      </c>
      <c r="BG535" t="s">
        <v>2215</v>
      </c>
    </row>
    <row r="536" spans="13:59" x14ac:dyDescent="0.25">
      <c r="M536" t="str">
        <f>_xlfn.IFNA(IF(VLOOKUP(TAB_Offres[[#This Row],[Reference]],TAB_Offres[[Reference]:[Request State]],COLUMNS(TAB_Offres[[Reference]:[Request State]]),FALSE)=D$6,TAB_Offres[[#This Row],[Reference]],""),"")</f>
        <v/>
      </c>
      <c r="N536" t="str">
        <f>_xlfn.IFNA(IF(VLOOKUP(TAB_Offres[[#This Row],[Reference]],TAB_Offres[[Reference]:[Has Expenses?]],COLUMNS(TAB_Offres[[Reference]:[Has Expenses?]]),FALSE)=J$2,TAB_Offres[[#This Row],[Reference]],""),"")</f>
        <v/>
      </c>
      <c r="O536" t="str">
        <f>IF(Tableau19[[#This Row],[EXPENSES_REF]]="","",MAX(O$1:O535)+1)</f>
        <v/>
      </c>
      <c r="P536" t="str">
        <f t="shared" si="21"/>
        <v/>
      </c>
      <c r="AI536" s="191" t="str">
        <f>IFERROR(_xlfn.SINGLE(
IF(_xlfn.SINGLE(INDEX(TAB_Offres[Ressource 1],ROWS(Params!AI$2:$AI536)))=0,NA(),
INDEX(TAB_Offres[Ressource 1],ROWS(Params!AI$2:$AI536)))),
IFERROR(_xlfn.SINGLE(IF(_xlfn.SINGLE(INDEX(#REF!,ROWS(Params!AI$2:$AI536)-COUNTA(TAB_Offres[Ressource 1])))=0,NA(),
INDEX(#REF!,ROWS(Params!AI$2:$AI536)-COUNTA(TAB_Offres[Ressource 1])))),
IFERROR(_xlfn.SINGLE(IF(_xlfn.SINGLE(INDEX(#REF!,ROWS(Params!AI$2:$AI536)-COUNTA(#REF!)-COUNTA(TAB_Offres[Ressource 1])))=0,NA(),
INDEX(#REF!,ROWS(Params!AI$2:$AI536)-COUNTA(#REF!)-COUNTA(TAB_Offres[Ressource 1])))),""))
)</f>
        <v/>
      </c>
      <c r="AJ536" s="192" t="str">
        <f>IF(TAB_ressource[[#This Row],[Import Ressource]]="","",MAX(AJ$1:AJ535)+1)</f>
        <v/>
      </c>
      <c r="AK536" s="193" t="str">
        <f>IFERROR(INDEX(TAB_ressource[Import Ressource],MATCH(ROW()-ROW($AK$1),TAB_ressource[ID Import ressources],0)),"")</f>
        <v/>
      </c>
      <c r="BD536" t="s">
        <v>2218</v>
      </c>
      <c r="BE536" t="s">
        <v>2219</v>
      </c>
      <c r="BF536" t="s">
        <v>2220</v>
      </c>
      <c r="BG536" t="s">
        <v>2218</v>
      </c>
    </row>
    <row r="537" spans="13:59" x14ac:dyDescent="0.25">
      <c r="M537" t="str">
        <f>_xlfn.IFNA(IF(VLOOKUP(TAB_Offres[[#This Row],[Reference]],TAB_Offres[[Reference]:[Request State]],COLUMNS(TAB_Offres[[Reference]:[Request State]]),FALSE)=D$6,TAB_Offres[[#This Row],[Reference]],""),"")</f>
        <v/>
      </c>
      <c r="N537" t="str">
        <f>_xlfn.IFNA(IF(VLOOKUP(TAB_Offres[[#This Row],[Reference]],TAB_Offres[[Reference]:[Has Expenses?]],COLUMNS(TAB_Offres[[Reference]:[Has Expenses?]]),FALSE)=J$2,TAB_Offres[[#This Row],[Reference]],""),"")</f>
        <v/>
      </c>
      <c r="O537" t="str">
        <f>IF(Tableau19[[#This Row],[EXPENSES_REF]]="","",MAX(O$1:O536)+1)</f>
        <v/>
      </c>
      <c r="P537" t="str">
        <f t="shared" si="21"/>
        <v/>
      </c>
      <c r="AI537" s="191" t="str">
        <f>IFERROR(_xlfn.SINGLE(
IF(_xlfn.SINGLE(INDEX(TAB_Offres[Ressource 1],ROWS(Params!AI$2:$AI537)))=0,NA(),
INDEX(TAB_Offres[Ressource 1],ROWS(Params!AI$2:$AI537)))),
IFERROR(_xlfn.SINGLE(IF(_xlfn.SINGLE(INDEX(#REF!,ROWS(Params!AI$2:$AI537)-COUNTA(TAB_Offres[Ressource 1])))=0,NA(),
INDEX(#REF!,ROWS(Params!AI$2:$AI537)-COUNTA(TAB_Offres[Ressource 1])))),
IFERROR(_xlfn.SINGLE(IF(_xlfn.SINGLE(INDEX(#REF!,ROWS(Params!AI$2:$AI537)-COUNTA(#REF!)-COUNTA(TAB_Offres[Ressource 1])))=0,NA(),
INDEX(#REF!,ROWS(Params!AI$2:$AI537)-COUNTA(#REF!)-COUNTA(TAB_Offres[Ressource 1])))),""))
)</f>
        <v/>
      </c>
      <c r="AJ537" s="192" t="str">
        <f>IF(TAB_ressource[[#This Row],[Import Ressource]]="","",MAX(AJ$1:AJ536)+1)</f>
        <v/>
      </c>
      <c r="AK537" s="193" t="str">
        <f>IFERROR(INDEX(TAB_ressource[Import Ressource],MATCH(ROW()-ROW($AK$1),TAB_ressource[ID Import ressources],0)),"")</f>
        <v/>
      </c>
      <c r="BD537" t="s">
        <v>2221</v>
      </c>
      <c r="BE537" t="s">
        <v>2222</v>
      </c>
      <c r="BF537" t="s">
        <v>2223</v>
      </c>
      <c r="BG537" t="s">
        <v>2221</v>
      </c>
    </row>
    <row r="538" spans="13:59" x14ac:dyDescent="0.25">
      <c r="M538" t="str">
        <f>_xlfn.IFNA(IF(VLOOKUP(TAB_Offres[[#This Row],[Reference]],TAB_Offres[[Reference]:[Request State]],COLUMNS(TAB_Offres[[Reference]:[Request State]]),FALSE)=D$6,TAB_Offres[[#This Row],[Reference]],""),"")</f>
        <v/>
      </c>
      <c r="N538" t="str">
        <f>_xlfn.IFNA(IF(VLOOKUP(TAB_Offres[[#This Row],[Reference]],TAB_Offres[[Reference]:[Has Expenses?]],COLUMNS(TAB_Offres[[Reference]:[Has Expenses?]]),FALSE)=J$2,TAB_Offres[[#This Row],[Reference]],""),"")</f>
        <v/>
      </c>
      <c r="O538" t="str">
        <f>IF(Tableau19[[#This Row],[EXPENSES_REF]]="","",MAX(O$1:O537)+1)</f>
        <v/>
      </c>
      <c r="P538" t="str">
        <f t="shared" si="21"/>
        <v/>
      </c>
      <c r="AI538" s="191" t="str">
        <f>IFERROR(_xlfn.SINGLE(
IF(_xlfn.SINGLE(INDEX(TAB_Offres[Ressource 1],ROWS(Params!AI$2:$AI538)))=0,NA(),
INDEX(TAB_Offres[Ressource 1],ROWS(Params!AI$2:$AI538)))),
IFERROR(_xlfn.SINGLE(IF(_xlfn.SINGLE(INDEX(#REF!,ROWS(Params!AI$2:$AI538)-COUNTA(TAB_Offres[Ressource 1])))=0,NA(),
INDEX(#REF!,ROWS(Params!AI$2:$AI538)-COUNTA(TAB_Offres[Ressource 1])))),
IFERROR(_xlfn.SINGLE(IF(_xlfn.SINGLE(INDEX(#REF!,ROWS(Params!AI$2:$AI538)-COUNTA(#REF!)-COUNTA(TAB_Offres[Ressource 1])))=0,NA(),
INDEX(#REF!,ROWS(Params!AI$2:$AI538)-COUNTA(#REF!)-COUNTA(TAB_Offres[Ressource 1])))),""))
)</f>
        <v/>
      </c>
      <c r="AJ538" s="192" t="str">
        <f>IF(TAB_ressource[[#This Row],[Import Ressource]]="","",MAX(AJ$1:AJ537)+1)</f>
        <v/>
      </c>
      <c r="AK538" s="193" t="str">
        <f>IFERROR(INDEX(TAB_ressource[Import Ressource],MATCH(ROW()-ROW($AK$1),TAB_ressource[ID Import ressources],0)),"")</f>
        <v/>
      </c>
      <c r="BD538" t="s">
        <v>2224</v>
      </c>
      <c r="BE538" t="s">
        <v>2225</v>
      </c>
      <c r="BF538" t="s">
        <v>2226</v>
      </c>
      <c r="BG538" t="s">
        <v>2224</v>
      </c>
    </row>
    <row r="539" spans="13:59" x14ac:dyDescent="0.25">
      <c r="M539" t="str">
        <f>_xlfn.IFNA(IF(VLOOKUP(TAB_Offres[[#This Row],[Reference]],TAB_Offres[[Reference]:[Request State]],COLUMNS(TAB_Offres[[Reference]:[Request State]]),FALSE)=D$6,TAB_Offres[[#This Row],[Reference]],""),"")</f>
        <v/>
      </c>
      <c r="N539" t="str">
        <f>_xlfn.IFNA(IF(VLOOKUP(TAB_Offres[[#This Row],[Reference]],TAB_Offres[[Reference]:[Has Expenses?]],COLUMNS(TAB_Offres[[Reference]:[Has Expenses?]]),FALSE)=J$2,TAB_Offres[[#This Row],[Reference]],""),"")</f>
        <v/>
      </c>
      <c r="O539" t="str">
        <f>IF(Tableau19[[#This Row],[EXPENSES_REF]]="","",MAX(O$1:O538)+1)</f>
        <v/>
      </c>
      <c r="P539" t="str">
        <f t="shared" si="21"/>
        <v/>
      </c>
      <c r="AI539" s="191" t="str">
        <f>IFERROR(_xlfn.SINGLE(
IF(_xlfn.SINGLE(INDEX(TAB_Offres[Ressource 1],ROWS(Params!AI$2:$AI539)))=0,NA(),
INDEX(TAB_Offres[Ressource 1],ROWS(Params!AI$2:$AI539)))),
IFERROR(_xlfn.SINGLE(IF(_xlfn.SINGLE(INDEX(#REF!,ROWS(Params!AI$2:$AI539)-COUNTA(TAB_Offres[Ressource 1])))=0,NA(),
INDEX(#REF!,ROWS(Params!AI$2:$AI539)-COUNTA(TAB_Offres[Ressource 1])))),
IFERROR(_xlfn.SINGLE(IF(_xlfn.SINGLE(INDEX(#REF!,ROWS(Params!AI$2:$AI539)-COUNTA(#REF!)-COUNTA(TAB_Offres[Ressource 1])))=0,NA(),
INDEX(#REF!,ROWS(Params!AI$2:$AI539)-COUNTA(#REF!)-COUNTA(TAB_Offres[Ressource 1])))),""))
)</f>
        <v/>
      </c>
      <c r="AJ539" s="192" t="str">
        <f>IF(TAB_ressource[[#This Row],[Import Ressource]]="","",MAX(AJ$1:AJ538)+1)</f>
        <v/>
      </c>
      <c r="AK539" s="193" t="str">
        <f>IFERROR(INDEX(TAB_ressource[Import Ressource],MATCH(ROW()-ROW($AK$1),TAB_ressource[ID Import ressources],0)),"")</f>
        <v/>
      </c>
      <c r="BD539" t="s">
        <v>2227</v>
      </c>
      <c r="BE539" t="s">
        <v>2228</v>
      </c>
      <c r="BF539" t="s">
        <v>2229</v>
      </c>
      <c r="BG539" t="s">
        <v>2227</v>
      </c>
    </row>
    <row r="540" spans="13:59" x14ac:dyDescent="0.25">
      <c r="M540" t="str">
        <f>_xlfn.IFNA(IF(VLOOKUP(TAB_Offres[[#This Row],[Reference]],TAB_Offres[[Reference]:[Request State]],COLUMNS(TAB_Offres[[Reference]:[Request State]]),FALSE)=D$6,TAB_Offres[[#This Row],[Reference]],""),"")</f>
        <v/>
      </c>
      <c r="N540" t="str">
        <f>_xlfn.IFNA(IF(VLOOKUP(TAB_Offres[[#This Row],[Reference]],TAB_Offres[[Reference]:[Has Expenses?]],COLUMNS(TAB_Offres[[Reference]:[Has Expenses?]]),FALSE)=J$2,TAB_Offres[[#This Row],[Reference]],""),"")</f>
        <v/>
      </c>
      <c r="O540" t="str">
        <f>IF(Tableau19[[#This Row],[EXPENSES_REF]]="","",MAX(O$1:O539)+1)</f>
        <v/>
      </c>
      <c r="P540" t="str">
        <f t="shared" si="21"/>
        <v/>
      </c>
      <c r="AI540" s="191" t="str">
        <f>IFERROR(_xlfn.SINGLE(
IF(_xlfn.SINGLE(INDEX(TAB_Offres[Ressource 1],ROWS(Params!AI$2:$AI540)))=0,NA(),
INDEX(TAB_Offres[Ressource 1],ROWS(Params!AI$2:$AI540)))),
IFERROR(_xlfn.SINGLE(IF(_xlfn.SINGLE(INDEX(#REF!,ROWS(Params!AI$2:$AI540)-COUNTA(TAB_Offres[Ressource 1])))=0,NA(),
INDEX(#REF!,ROWS(Params!AI$2:$AI540)-COUNTA(TAB_Offres[Ressource 1])))),
IFERROR(_xlfn.SINGLE(IF(_xlfn.SINGLE(INDEX(#REF!,ROWS(Params!AI$2:$AI540)-COUNTA(#REF!)-COUNTA(TAB_Offres[Ressource 1])))=0,NA(),
INDEX(#REF!,ROWS(Params!AI$2:$AI540)-COUNTA(#REF!)-COUNTA(TAB_Offres[Ressource 1])))),""))
)</f>
        <v/>
      </c>
      <c r="AJ540" s="192" t="str">
        <f>IF(TAB_ressource[[#This Row],[Import Ressource]]="","",MAX(AJ$1:AJ539)+1)</f>
        <v/>
      </c>
      <c r="AK540" s="193" t="str">
        <f>IFERROR(INDEX(TAB_ressource[Import Ressource],MATCH(ROW()-ROW($AK$1),TAB_ressource[ID Import ressources],0)),"")</f>
        <v/>
      </c>
      <c r="BD540" t="s">
        <v>2230</v>
      </c>
      <c r="BE540" t="s">
        <v>2231</v>
      </c>
      <c r="BF540" t="s">
        <v>2232</v>
      </c>
      <c r="BG540" t="s">
        <v>2230</v>
      </c>
    </row>
    <row r="541" spans="13:59" x14ac:dyDescent="0.25">
      <c r="M541" t="str">
        <f>_xlfn.IFNA(IF(VLOOKUP(TAB_Offres[[#This Row],[Reference]],TAB_Offres[[Reference]:[Request State]],COLUMNS(TAB_Offres[[Reference]:[Request State]]),FALSE)=D$6,TAB_Offres[[#This Row],[Reference]],""),"")</f>
        <v/>
      </c>
      <c r="N541" t="str">
        <f>_xlfn.IFNA(IF(VLOOKUP(TAB_Offres[[#This Row],[Reference]],TAB_Offres[[Reference]:[Has Expenses?]],COLUMNS(TAB_Offres[[Reference]:[Has Expenses?]]),FALSE)=J$2,TAB_Offres[[#This Row],[Reference]],""),"")</f>
        <v/>
      </c>
      <c r="O541" t="str">
        <f>IF(Tableau19[[#This Row],[EXPENSES_REF]]="","",MAX(O$1:O540)+1)</f>
        <v/>
      </c>
      <c r="P541" t="str">
        <f t="shared" si="21"/>
        <v/>
      </c>
      <c r="AI541" s="191" t="str">
        <f>IFERROR(_xlfn.SINGLE(
IF(_xlfn.SINGLE(INDEX(TAB_Offres[Ressource 1],ROWS(Params!AI$2:$AI541)))=0,NA(),
INDEX(TAB_Offres[Ressource 1],ROWS(Params!AI$2:$AI541)))),
IFERROR(_xlfn.SINGLE(IF(_xlfn.SINGLE(INDEX(#REF!,ROWS(Params!AI$2:$AI541)-COUNTA(TAB_Offres[Ressource 1])))=0,NA(),
INDEX(#REF!,ROWS(Params!AI$2:$AI541)-COUNTA(TAB_Offres[Ressource 1])))),
IFERROR(_xlfn.SINGLE(IF(_xlfn.SINGLE(INDEX(#REF!,ROWS(Params!AI$2:$AI541)-COUNTA(#REF!)-COUNTA(TAB_Offres[Ressource 1])))=0,NA(),
INDEX(#REF!,ROWS(Params!AI$2:$AI541)-COUNTA(#REF!)-COUNTA(TAB_Offres[Ressource 1])))),""))
)</f>
        <v/>
      </c>
      <c r="AJ541" s="192" t="str">
        <f>IF(TAB_ressource[[#This Row],[Import Ressource]]="","",MAX(AJ$1:AJ540)+1)</f>
        <v/>
      </c>
      <c r="AK541" s="193" t="str">
        <f>IFERROR(INDEX(TAB_ressource[Import Ressource],MATCH(ROW()-ROW($AK$1),TAB_ressource[ID Import ressources],0)),"")</f>
        <v/>
      </c>
      <c r="BD541" t="s">
        <v>2233</v>
      </c>
      <c r="BE541" t="s">
        <v>2234</v>
      </c>
      <c r="BF541" t="s">
        <v>2235</v>
      </c>
      <c r="BG541" t="s">
        <v>2233</v>
      </c>
    </row>
    <row r="542" spans="13:59" x14ac:dyDescent="0.25">
      <c r="M542" t="str">
        <f>_xlfn.IFNA(IF(VLOOKUP(TAB_Offres[[#This Row],[Reference]],TAB_Offres[[Reference]:[Request State]],COLUMNS(TAB_Offres[[Reference]:[Request State]]),FALSE)=D$6,TAB_Offres[[#This Row],[Reference]],""),"")</f>
        <v/>
      </c>
      <c r="N542" t="str">
        <f>_xlfn.IFNA(IF(VLOOKUP(TAB_Offres[[#This Row],[Reference]],TAB_Offres[[Reference]:[Has Expenses?]],COLUMNS(TAB_Offres[[Reference]:[Has Expenses?]]),FALSE)=J$2,TAB_Offres[[#This Row],[Reference]],""),"")</f>
        <v/>
      </c>
      <c r="O542" t="str">
        <f>IF(Tableau19[[#This Row],[EXPENSES_REF]]="","",MAX(O$1:O541)+1)</f>
        <v/>
      </c>
      <c r="P542" t="str">
        <f t="shared" si="21"/>
        <v/>
      </c>
      <c r="AI542" s="191" t="str">
        <f>IFERROR(_xlfn.SINGLE(
IF(_xlfn.SINGLE(INDEX(TAB_Offres[Ressource 1],ROWS(Params!AI$2:$AI542)))=0,NA(),
INDEX(TAB_Offres[Ressource 1],ROWS(Params!AI$2:$AI542)))),
IFERROR(_xlfn.SINGLE(IF(_xlfn.SINGLE(INDEX(#REF!,ROWS(Params!AI$2:$AI542)-COUNTA(TAB_Offres[Ressource 1])))=0,NA(),
INDEX(#REF!,ROWS(Params!AI$2:$AI542)-COUNTA(TAB_Offres[Ressource 1])))),
IFERROR(_xlfn.SINGLE(IF(_xlfn.SINGLE(INDEX(#REF!,ROWS(Params!AI$2:$AI542)-COUNTA(#REF!)-COUNTA(TAB_Offres[Ressource 1])))=0,NA(),
INDEX(#REF!,ROWS(Params!AI$2:$AI542)-COUNTA(#REF!)-COUNTA(TAB_Offres[Ressource 1])))),""))
)</f>
        <v/>
      </c>
      <c r="AJ542" s="192" t="str">
        <f>IF(TAB_ressource[[#This Row],[Import Ressource]]="","",MAX(AJ$1:AJ541)+1)</f>
        <v/>
      </c>
      <c r="AK542" s="193" t="str">
        <f>IFERROR(INDEX(TAB_ressource[Import Ressource],MATCH(ROW()-ROW($AK$1),TAB_ressource[ID Import ressources],0)),"")</f>
        <v/>
      </c>
      <c r="BD542" t="s">
        <v>2236</v>
      </c>
      <c r="BE542" t="s">
        <v>2237</v>
      </c>
      <c r="BF542" t="s">
        <v>2238</v>
      </c>
      <c r="BG542" t="s">
        <v>2236</v>
      </c>
    </row>
    <row r="543" spans="13:59" x14ac:dyDescent="0.25">
      <c r="M543" t="str">
        <f>_xlfn.IFNA(IF(VLOOKUP(TAB_Offres[[#This Row],[Reference]],TAB_Offres[[Reference]:[Request State]],COLUMNS(TAB_Offres[[Reference]:[Request State]]),FALSE)=D$6,TAB_Offres[[#This Row],[Reference]],""),"")</f>
        <v/>
      </c>
      <c r="N543" t="str">
        <f>_xlfn.IFNA(IF(VLOOKUP(TAB_Offres[[#This Row],[Reference]],TAB_Offres[[Reference]:[Has Expenses?]],COLUMNS(TAB_Offres[[Reference]:[Has Expenses?]]),FALSE)=J$2,TAB_Offres[[#This Row],[Reference]],""),"")</f>
        <v/>
      </c>
      <c r="O543" t="str">
        <f>IF(Tableau19[[#This Row],[EXPENSES_REF]]="","",MAX(O$1:O542)+1)</f>
        <v/>
      </c>
      <c r="P543" t="str">
        <f t="shared" si="21"/>
        <v/>
      </c>
      <c r="AI543" s="191" t="str">
        <f>IFERROR(_xlfn.SINGLE(
IF(_xlfn.SINGLE(INDEX(TAB_Offres[Ressource 1],ROWS(Params!AI$2:$AI543)))=0,NA(),
INDEX(TAB_Offres[Ressource 1],ROWS(Params!AI$2:$AI543)))),
IFERROR(_xlfn.SINGLE(IF(_xlfn.SINGLE(INDEX(#REF!,ROWS(Params!AI$2:$AI543)-COUNTA(TAB_Offres[Ressource 1])))=0,NA(),
INDEX(#REF!,ROWS(Params!AI$2:$AI543)-COUNTA(TAB_Offres[Ressource 1])))),
IFERROR(_xlfn.SINGLE(IF(_xlfn.SINGLE(INDEX(#REF!,ROWS(Params!AI$2:$AI543)-COUNTA(#REF!)-COUNTA(TAB_Offres[Ressource 1])))=0,NA(),
INDEX(#REF!,ROWS(Params!AI$2:$AI543)-COUNTA(#REF!)-COUNTA(TAB_Offres[Ressource 1])))),""))
)</f>
        <v/>
      </c>
      <c r="AJ543" s="192" t="str">
        <f>IF(TAB_ressource[[#This Row],[Import Ressource]]="","",MAX(AJ$1:AJ542)+1)</f>
        <v/>
      </c>
      <c r="AK543" s="193" t="str">
        <f>IFERROR(INDEX(TAB_ressource[Import Ressource],MATCH(ROW()-ROW($AK$1),TAB_ressource[ID Import ressources],0)),"")</f>
        <v/>
      </c>
      <c r="BD543" t="s">
        <v>2239</v>
      </c>
      <c r="BE543" t="s">
        <v>2240</v>
      </c>
      <c r="BF543" t="s">
        <v>2241</v>
      </c>
      <c r="BG543" t="s">
        <v>2239</v>
      </c>
    </row>
    <row r="544" spans="13:59" x14ac:dyDescent="0.25">
      <c r="M544" t="str">
        <f>_xlfn.IFNA(IF(VLOOKUP(TAB_Offres[[#This Row],[Reference]],TAB_Offres[[Reference]:[Request State]],COLUMNS(TAB_Offres[[Reference]:[Request State]]),FALSE)=D$6,TAB_Offres[[#This Row],[Reference]],""),"")</f>
        <v/>
      </c>
      <c r="N544" t="str">
        <f>_xlfn.IFNA(IF(VLOOKUP(TAB_Offres[[#This Row],[Reference]],TAB_Offres[[Reference]:[Has Expenses?]],COLUMNS(TAB_Offres[[Reference]:[Has Expenses?]]),FALSE)=J$2,TAB_Offres[[#This Row],[Reference]],""),"")</f>
        <v/>
      </c>
      <c r="O544" t="str">
        <f>IF(Tableau19[[#This Row],[EXPENSES_REF]]="","",MAX(O$1:O543)+1)</f>
        <v/>
      </c>
      <c r="P544" t="str">
        <f t="shared" si="21"/>
        <v/>
      </c>
      <c r="AI544" s="191" t="str">
        <f>IFERROR(_xlfn.SINGLE(
IF(_xlfn.SINGLE(INDEX(TAB_Offres[Ressource 1],ROWS(Params!AI$2:$AI544)))=0,NA(),
INDEX(TAB_Offres[Ressource 1],ROWS(Params!AI$2:$AI544)))),
IFERROR(_xlfn.SINGLE(IF(_xlfn.SINGLE(INDEX(#REF!,ROWS(Params!AI$2:$AI544)-COUNTA(TAB_Offres[Ressource 1])))=0,NA(),
INDEX(#REF!,ROWS(Params!AI$2:$AI544)-COUNTA(TAB_Offres[Ressource 1])))),
IFERROR(_xlfn.SINGLE(IF(_xlfn.SINGLE(INDEX(#REF!,ROWS(Params!AI$2:$AI544)-COUNTA(#REF!)-COUNTA(TAB_Offres[Ressource 1])))=0,NA(),
INDEX(#REF!,ROWS(Params!AI$2:$AI544)-COUNTA(#REF!)-COUNTA(TAB_Offres[Ressource 1])))),""))
)</f>
        <v/>
      </c>
      <c r="AJ544" s="192" t="str">
        <f>IF(TAB_ressource[[#This Row],[Import Ressource]]="","",MAX(AJ$1:AJ543)+1)</f>
        <v/>
      </c>
      <c r="AK544" s="193" t="str">
        <f>IFERROR(INDEX(TAB_ressource[Import Ressource],MATCH(ROW()-ROW($AK$1),TAB_ressource[ID Import ressources],0)),"")</f>
        <v/>
      </c>
      <c r="BD544" t="s">
        <v>2242</v>
      </c>
      <c r="BE544" t="s">
        <v>2243</v>
      </c>
      <c r="BF544" t="s">
        <v>2244</v>
      </c>
      <c r="BG544" t="s">
        <v>2242</v>
      </c>
    </row>
    <row r="545" spans="13:59" x14ac:dyDescent="0.25">
      <c r="M545" t="str">
        <f>_xlfn.IFNA(IF(VLOOKUP(TAB_Offres[[#This Row],[Reference]],TAB_Offres[[Reference]:[Request State]],COLUMNS(TAB_Offres[[Reference]:[Request State]]),FALSE)=D$6,TAB_Offres[[#This Row],[Reference]],""),"")</f>
        <v/>
      </c>
      <c r="N545" t="str">
        <f>_xlfn.IFNA(IF(VLOOKUP(TAB_Offres[[#This Row],[Reference]],TAB_Offres[[Reference]:[Has Expenses?]],COLUMNS(TAB_Offres[[Reference]:[Has Expenses?]]),FALSE)=J$2,TAB_Offres[[#This Row],[Reference]],""),"")</f>
        <v/>
      </c>
      <c r="O545" t="str">
        <f>IF(Tableau19[[#This Row],[EXPENSES_REF]]="","",MAX(O$1:O544)+1)</f>
        <v/>
      </c>
      <c r="P545" t="str">
        <f t="shared" si="21"/>
        <v/>
      </c>
      <c r="AI545" s="191" t="str">
        <f>IFERROR(_xlfn.SINGLE(
IF(_xlfn.SINGLE(INDEX(TAB_Offres[Ressource 1],ROWS(Params!AI$2:$AI545)))=0,NA(),
INDEX(TAB_Offres[Ressource 1],ROWS(Params!AI$2:$AI545)))),
IFERROR(_xlfn.SINGLE(IF(_xlfn.SINGLE(INDEX(#REF!,ROWS(Params!AI$2:$AI545)-COUNTA(TAB_Offres[Ressource 1])))=0,NA(),
INDEX(#REF!,ROWS(Params!AI$2:$AI545)-COUNTA(TAB_Offres[Ressource 1])))),
IFERROR(_xlfn.SINGLE(IF(_xlfn.SINGLE(INDEX(#REF!,ROWS(Params!AI$2:$AI545)-COUNTA(#REF!)-COUNTA(TAB_Offres[Ressource 1])))=0,NA(),
INDEX(#REF!,ROWS(Params!AI$2:$AI545)-COUNTA(#REF!)-COUNTA(TAB_Offres[Ressource 1])))),""))
)</f>
        <v/>
      </c>
      <c r="AJ545" s="192" t="str">
        <f>IF(TAB_ressource[[#This Row],[Import Ressource]]="","",MAX(AJ$1:AJ544)+1)</f>
        <v/>
      </c>
      <c r="AK545" s="193" t="str">
        <f>IFERROR(INDEX(TAB_ressource[Import Ressource],MATCH(ROW()-ROW($AK$1),TAB_ressource[ID Import ressources],0)),"")</f>
        <v/>
      </c>
      <c r="BD545" t="s">
        <v>2245</v>
      </c>
      <c r="BE545" t="s">
        <v>2246</v>
      </c>
      <c r="BF545" t="s">
        <v>2247</v>
      </c>
      <c r="BG545" t="s">
        <v>2245</v>
      </c>
    </row>
    <row r="546" spans="13:59" x14ac:dyDescent="0.25">
      <c r="M546" t="str">
        <f>_xlfn.IFNA(IF(VLOOKUP(TAB_Offres[[#This Row],[Reference]],TAB_Offres[[Reference]:[Request State]],COLUMNS(TAB_Offres[[Reference]:[Request State]]),FALSE)=D$6,TAB_Offres[[#This Row],[Reference]],""),"")</f>
        <v/>
      </c>
      <c r="N546" t="str">
        <f>_xlfn.IFNA(IF(VLOOKUP(TAB_Offres[[#This Row],[Reference]],TAB_Offres[[Reference]:[Has Expenses?]],COLUMNS(TAB_Offres[[Reference]:[Has Expenses?]]),FALSE)=J$2,TAB_Offres[[#This Row],[Reference]],""),"")</f>
        <v/>
      </c>
      <c r="O546" t="str">
        <f>IF(Tableau19[[#This Row],[EXPENSES_REF]]="","",MAX(O$1:O545)+1)</f>
        <v/>
      </c>
      <c r="P546" t="str">
        <f t="shared" si="21"/>
        <v/>
      </c>
      <c r="AI546" s="191" t="str">
        <f>IFERROR(_xlfn.SINGLE(
IF(_xlfn.SINGLE(INDEX(TAB_Offres[Ressource 1],ROWS(Params!AI$2:$AI546)))=0,NA(),
INDEX(TAB_Offres[Ressource 1],ROWS(Params!AI$2:$AI546)))),
IFERROR(_xlfn.SINGLE(IF(_xlfn.SINGLE(INDEX(#REF!,ROWS(Params!AI$2:$AI546)-COUNTA(TAB_Offres[Ressource 1])))=0,NA(),
INDEX(#REF!,ROWS(Params!AI$2:$AI546)-COUNTA(TAB_Offres[Ressource 1])))),
IFERROR(_xlfn.SINGLE(IF(_xlfn.SINGLE(INDEX(#REF!,ROWS(Params!AI$2:$AI546)-COUNTA(#REF!)-COUNTA(TAB_Offres[Ressource 1])))=0,NA(),
INDEX(#REF!,ROWS(Params!AI$2:$AI546)-COUNTA(#REF!)-COUNTA(TAB_Offres[Ressource 1])))),""))
)</f>
        <v/>
      </c>
      <c r="AJ546" s="192" t="str">
        <f>IF(TAB_ressource[[#This Row],[Import Ressource]]="","",MAX(AJ$1:AJ545)+1)</f>
        <v/>
      </c>
      <c r="AK546" s="193" t="str">
        <f>IFERROR(INDEX(TAB_ressource[Import Ressource],MATCH(ROW()-ROW($AK$1),TAB_ressource[ID Import ressources],0)),"")</f>
        <v/>
      </c>
      <c r="BD546" t="s">
        <v>2248</v>
      </c>
      <c r="BE546" t="s">
        <v>2249</v>
      </c>
      <c r="BF546" t="s">
        <v>2250</v>
      </c>
      <c r="BG546" t="s">
        <v>2248</v>
      </c>
    </row>
    <row r="547" spans="13:59" x14ac:dyDescent="0.25">
      <c r="M547" t="str">
        <f>_xlfn.IFNA(IF(VLOOKUP(TAB_Offres[[#This Row],[Reference]],TAB_Offres[[Reference]:[Request State]],COLUMNS(TAB_Offres[[Reference]:[Request State]]),FALSE)=D$6,TAB_Offres[[#This Row],[Reference]],""),"")</f>
        <v/>
      </c>
      <c r="N547" t="str">
        <f>_xlfn.IFNA(IF(VLOOKUP(TAB_Offres[[#This Row],[Reference]],TAB_Offres[[Reference]:[Has Expenses?]],COLUMNS(TAB_Offres[[Reference]:[Has Expenses?]]),FALSE)=J$2,TAB_Offres[[#This Row],[Reference]],""),"")</f>
        <v/>
      </c>
      <c r="O547" t="str">
        <f>IF(Tableau19[[#This Row],[EXPENSES_REF]]="","",MAX(O$1:O546)+1)</f>
        <v/>
      </c>
      <c r="P547" t="str">
        <f t="shared" si="21"/>
        <v/>
      </c>
      <c r="AI547" s="191" t="str">
        <f>IFERROR(_xlfn.SINGLE(
IF(_xlfn.SINGLE(INDEX(TAB_Offres[Ressource 1],ROWS(Params!AI$2:$AI547)))=0,NA(),
INDEX(TAB_Offres[Ressource 1],ROWS(Params!AI$2:$AI547)))),
IFERROR(_xlfn.SINGLE(IF(_xlfn.SINGLE(INDEX(#REF!,ROWS(Params!AI$2:$AI547)-COUNTA(TAB_Offres[Ressource 1])))=0,NA(),
INDEX(#REF!,ROWS(Params!AI$2:$AI547)-COUNTA(TAB_Offres[Ressource 1])))),
IFERROR(_xlfn.SINGLE(IF(_xlfn.SINGLE(INDEX(#REF!,ROWS(Params!AI$2:$AI547)-COUNTA(#REF!)-COUNTA(TAB_Offres[Ressource 1])))=0,NA(),
INDEX(#REF!,ROWS(Params!AI$2:$AI547)-COUNTA(#REF!)-COUNTA(TAB_Offres[Ressource 1])))),""))
)</f>
        <v/>
      </c>
      <c r="AJ547" s="192" t="str">
        <f>IF(TAB_ressource[[#This Row],[Import Ressource]]="","",MAX(AJ$1:AJ546)+1)</f>
        <v/>
      </c>
      <c r="AK547" s="193" t="str">
        <f>IFERROR(INDEX(TAB_ressource[Import Ressource],MATCH(ROW()-ROW($AK$1),TAB_ressource[ID Import ressources],0)),"")</f>
        <v/>
      </c>
      <c r="BD547" t="s">
        <v>2251</v>
      </c>
      <c r="BE547" t="s">
        <v>2252</v>
      </c>
      <c r="BF547" t="s">
        <v>2253</v>
      </c>
      <c r="BG547" t="s">
        <v>2251</v>
      </c>
    </row>
    <row r="548" spans="13:59" x14ac:dyDescent="0.25">
      <c r="M548" t="str">
        <f>_xlfn.IFNA(IF(VLOOKUP(TAB_Offres[[#This Row],[Reference]],TAB_Offres[[Reference]:[Request State]],COLUMNS(TAB_Offres[[Reference]:[Request State]]),FALSE)=D$6,TAB_Offres[[#This Row],[Reference]],""),"")</f>
        <v/>
      </c>
      <c r="N548" t="str">
        <f>_xlfn.IFNA(IF(VLOOKUP(TAB_Offres[[#This Row],[Reference]],TAB_Offres[[Reference]:[Has Expenses?]],COLUMNS(TAB_Offres[[Reference]:[Has Expenses?]]),FALSE)=J$2,TAB_Offres[[#This Row],[Reference]],""),"")</f>
        <v/>
      </c>
      <c r="O548" t="str">
        <f>IF(Tableau19[[#This Row],[EXPENSES_REF]]="","",MAX(O$1:O547)+1)</f>
        <v/>
      </c>
      <c r="P548" t="str">
        <f t="shared" si="21"/>
        <v/>
      </c>
      <c r="AI548" s="191" t="str">
        <f>IFERROR(_xlfn.SINGLE(
IF(_xlfn.SINGLE(INDEX(TAB_Offres[Ressource 1],ROWS(Params!AI$2:$AI548)))=0,NA(),
INDEX(TAB_Offres[Ressource 1],ROWS(Params!AI$2:$AI548)))),
IFERROR(_xlfn.SINGLE(IF(_xlfn.SINGLE(INDEX(#REF!,ROWS(Params!AI$2:$AI548)-COUNTA(TAB_Offres[Ressource 1])))=0,NA(),
INDEX(#REF!,ROWS(Params!AI$2:$AI548)-COUNTA(TAB_Offres[Ressource 1])))),
IFERROR(_xlfn.SINGLE(IF(_xlfn.SINGLE(INDEX(#REF!,ROWS(Params!AI$2:$AI548)-COUNTA(#REF!)-COUNTA(TAB_Offres[Ressource 1])))=0,NA(),
INDEX(#REF!,ROWS(Params!AI$2:$AI548)-COUNTA(#REF!)-COUNTA(TAB_Offres[Ressource 1])))),""))
)</f>
        <v/>
      </c>
      <c r="AJ548" s="192" t="str">
        <f>IF(TAB_ressource[[#This Row],[Import Ressource]]="","",MAX(AJ$1:AJ547)+1)</f>
        <v/>
      </c>
      <c r="AK548" s="193" t="str">
        <f>IFERROR(INDEX(TAB_ressource[Import Ressource],MATCH(ROW()-ROW($AK$1),TAB_ressource[ID Import ressources],0)),"")</f>
        <v/>
      </c>
      <c r="BD548" t="s">
        <v>2254</v>
      </c>
      <c r="BE548" t="s">
        <v>2255</v>
      </c>
      <c r="BF548" t="s">
        <v>2256</v>
      </c>
      <c r="BG548" t="s">
        <v>2254</v>
      </c>
    </row>
    <row r="549" spans="13:59" x14ac:dyDescent="0.25">
      <c r="M549" t="str">
        <f>_xlfn.IFNA(IF(VLOOKUP(TAB_Offres[[#This Row],[Reference]],TAB_Offres[[Reference]:[Request State]],COLUMNS(TAB_Offres[[Reference]:[Request State]]),FALSE)=D$6,TAB_Offres[[#This Row],[Reference]],""),"")</f>
        <v/>
      </c>
      <c r="N549" t="str">
        <f>_xlfn.IFNA(IF(VLOOKUP(TAB_Offres[[#This Row],[Reference]],TAB_Offres[[Reference]:[Has Expenses?]],COLUMNS(TAB_Offres[[Reference]:[Has Expenses?]]),FALSE)=J$2,TAB_Offres[[#This Row],[Reference]],""),"")</f>
        <v/>
      </c>
      <c r="O549" t="str">
        <f>IF(Tableau19[[#This Row],[EXPENSES_REF]]="","",MAX(O$1:O548)+1)</f>
        <v/>
      </c>
      <c r="P549" t="str">
        <f t="shared" si="21"/>
        <v/>
      </c>
      <c r="AI549" s="191" t="str">
        <f>IFERROR(_xlfn.SINGLE(
IF(_xlfn.SINGLE(INDEX(TAB_Offres[Ressource 1],ROWS(Params!AI$2:$AI549)))=0,NA(),
INDEX(TAB_Offres[Ressource 1],ROWS(Params!AI$2:$AI549)))),
IFERROR(_xlfn.SINGLE(IF(_xlfn.SINGLE(INDEX(#REF!,ROWS(Params!AI$2:$AI549)-COUNTA(TAB_Offres[Ressource 1])))=0,NA(),
INDEX(#REF!,ROWS(Params!AI$2:$AI549)-COUNTA(TAB_Offres[Ressource 1])))),
IFERROR(_xlfn.SINGLE(IF(_xlfn.SINGLE(INDEX(#REF!,ROWS(Params!AI$2:$AI549)-COUNTA(#REF!)-COUNTA(TAB_Offres[Ressource 1])))=0,NA(),
INDEX(#REF!,ROWS(Params!AI$2:$AI549)-COUNTA(#REF!)-COUNTA(TAB_Offres[Ressource 1])))),""))
)</f>
        <v/>
      </c>
      <c r="AJ549" s="192" t="str">
        <f>IF(TAB_ressource[[#This Row],[Import Ressource]]="","",MAX(AJ$1:AJ548)+1)</f>
        <v/>
      </c>
      <c r="AK549" s="193" t="str">
        <f>IFERROR(INDEX(TAB_ressource[Import Ressource],MATCH(ROW()-ROW($AK$1),TAB_ressource[ID Import ressources],0)),"")</f>
        <v/>
      </c>
      <c r="BD549" t="s">
        <v>2257</v>
      </c>
      <c r="BE549" t="s">
        <v>2258</v>
      </c>
      <c r="BF549" t="s">
        <v>2259</v>
      </c>
      <c r="BG549" t="s">
        <v>2257</v>
      </c>
    </row>
    <row r="550" spans="13:59" x14ac:dyDescent="0.25">
      <c r="M550" t="str">
        <f>_xlfn.IFNA(IF(VLOOKUP(TAB_Offres[[#This Row],[Reference]],TAB_Offres[[Reference]:[Request State]],COLUMNS(TAB_Offres[[Reference]:[Request State]]),FALSE)=D$6,TAB_Offres[[#This Row],[Reference]],""),"")</f>
        <v/>
      </c>
      <c r="N550" t="str">
        <f>_xlfn.IFNA(IF(VLOOKUP(TAB_Offres[[#This Row],[Reference]],TAB_Offres[[Reference]:[Has Expenses?]],COLUMNS(TAB_Offres[[Reference]:[Has Expenses?]]),FALSE)=J$2,TAB_Offres[[#This Row],[Reference]],""),"")</f>
        <v/>
      </c>
      <c r="O550" t="str">
        <f>IF(Tableau19[[#This Row],[EXPENSES_REF]]="","",MAX(O$1:O549)+1)</f>
        <v/>
      </c>
      <c r="P550" t="str">
        <f t="shared" si="21"/>
        <v/>
      </c>
      <c r="AI550" s="191" t="str">
        <f>IFERROR(_xlfn.SINGLE(
IF(_xlfn.SINGLE(INDEX(TAB_Offres[Ressource 1],ROWS(Params!AI$2:$AI550)))=0,NA(),
INDEX(TAB_Offres[Ressource 1],ROWS(Params!AI$2:$AI550)))),
IFERROR(_xlfn.SINGLE(IF(_xlfn.SINGLE(INDEX(#REF!,ROWS(Params!AI$2:$AI550)-COUNTA(TAB_Offres[Ressource 1])))=0,NA(),
INDEX(#REF!,ROWS(Params!AI$2:$AI550)-COUNTA(TAB_Offres[Ressource 1])))),
IFERROR(_xlfn.SINGLE(IF(_xlfn.SINGLE(INDEX(#REF!,ROWS(Params!AI$2:$AI550)-COUNTA(#REF!)-COUNTA(TAB_Offres[Ressource 1])))=0,NA(),
INDEX(#REF!,ROWS(Params!AI$2:$AI550)-COUNTA(#REF!)-COUNTA(TAB_Offres[Ressource 1])))),""))
)</f>
        <v/>
      </c>
      <c r="AJ550" s="192" t="str">
        <f>IF(TAB_ressource[[#This Row],[Import Ressource]]="","",MAX(AJ$1:AJ549)+1)</f>
        <v/>
      </c>
      <c r="AK550" s="193" t="str">
        <f>IFERROR(INDEX(TAB_ressource[Import Ressource],MATCH(ROW()-ROW($AK$1),TAB_ressource[ID Import ressources],0)),"")</f>
        <v/>
      </c>
      <c r="BD550" t="s">
        <v>2260</v>
      </c>
      <c r="BE550" t="s">
        <v>2261</v>
      </c>
      <c r="BF550" t="s">
        <v>2262</v>
      </c>
      <c r="BG550" t="s">
        <v>2260</v>
      </c>
    </row>
    <row r="551" spans="13:59" x14ac:dyDescent="0.25">
      <c r="M551" t="str">
        <f>_xlfn.IFNA(IF(VLOOKUP(TAB_Offres[[#This Row],[Reference]],TAB_Offres[[Reference]:[Request State]],COLUMNS(TAB_Offres[[Reference]:[Request State]]),FALSE)=D$6,TAB_Offres[[#This Row],[Reference]],""),"")</f>
        <v/>
      </c>
      <c r="N551" t="str">
        <f>_xlfn.IFNA(IF(VLOOKUP(TAB_Offres[[#This Row],[Reference]],TAB_Offres[[Reference]:[Has Expenses?]],COLUMNS(TAB_Offres[[Reference]:[Has Expenses?]]),FALSE)=J$2,TAB_Offres[[#This Row],[Reference]],""),"")</f>
        <v/>
      </c>
      <c r="O551" t="str">
        <f>IF(Tableau19[[#This Row],[EXPENSES_REF]]="","",MAX(O$1:O550)+1)</f>
        <v/>
      </c>
      <c r="P551" t="str">
        <f t="shared" si="21"/>
        <v/>
      </c>
      <c r="AI551" s="191" t="str">
        <f>IFERROR(_xlfn.SINGLE(
IF(_xlfn.SINGLE(INDEX(TAB_Offres[Ressource 1],ROWS(Params!AI$2:$AI551)))=0,NA(),
INDEX(TAB_Offres[Ressource 1],ROWS(Params!AI$2:$AI551)))),
IFERROR(_xlfn.SINGLE(IF(_xlfn.SINGLE(INDEX(#REF!,ROWS(Params!AI$2:$AI551)-COUNTA(TAB_Offres[Ressource 1])))=0,NA(),
INDEX(#REF!,ROWS(Params!AI$2:$AI551)-COUNTA(TAB_Offres[Ressource 1])))),
IFERROR(_xlfn.SINGLE(IF(_xlfn.SINGLE(INDEX(#REF!,ROWS(Params!AI$2:$AI551)-COUNTA(#REF!)-COUNTA(TAB_Offres[Ressource 1])))=0,NA(),
INDEX(#REF!,ROWS(Params!AI$2:$AI551)-COUNTA(#REF!)-COUNTA(TAB_Offres[Ressource 1])))),""))
)</f>
        <v/>
      </c>
      <c r="AJ551" s="192" t="str">
        <f>IF(TAB_ressource[[#This Row],[Import Ressource]]="","",MAX(AJ$1:AJ550)+1)</f>
        <v/>
      </c>
      <c r="AK551" s="193" t="str">
        <f>IFERROR(INDEX(TAB_ressource[Import Ressource],MATCH(ROW()-ROW($AK$1),TAB_ressource[ID Import ressources],0)),"")</f>
        <v/>
      </c>
      <c r="BD551" t="s">
        <v>2263</v>
      </c>
      <c r="BE551" t="s">
        <v>2264</v>
      </c>
      <c r="BF551" t="s">
        <v>2265</v>
      </c>
      <c r="BG551" t="s">
        <v>2263</v>
      </c>
    </row>
    <row r="552" spans="13:59" x14ac:dyDescent="0.25">
      <c r="M552" t="str">
        <f>_xlfn.IFNA(IF(VLOOKUP(TAB_Offres[[#This Row],[Reference]],TAB_Offres[[Reference]:[Request State]],COLUMNS(TAB_Offres[[Reference]:[Request State]]),FALSE)=D$6,TAB_Offres[[#This Row],[Reference]],""),"")</f>
        <v/>
      </c>
      <c r="N552" t="str">
        <f>_xlfn.IFNA(IF(VLOOKUP(TAB_Offres[[#This Row],[Reference]],TAB_Offres[[Reference]:[Has Expenses?]],COLUMNS(TAB_Offres[[Reference]:[Has Expenses?]]),FALSE)=J$2,TAB_Offres[[#This Row],[Reference]],""),"")</f>
        <v/>
      </c>
      <c r="O552" t="str">
        <f>IF(Tableau19[[#This Row],[EXPENSES_REF]]="","",MAX(O$1:O551)+1)</f>
        <v/>
      </c>
      <c r="P552" t="str">
        <f t="shared" si="21"/>
        <v/>
      </c>
      <c r="AI552" s="191" t="str">
        <f>IFERROR(_xlfn.SINGLE(
IF(_xlfn.SINGLE(INDEX(TAB_Offres[Ressource 1],ROWS(Params!AI$2:$AI552)))=0,NA(),
INDEX(TAB_Offres[Ressource 1],ROWS(Params!AI$2:$AI552)))),
IFERROR(_xlfn.SINGLE(IF(_xlfn.SINGLE(INDEX(#REF!,ROWS(Params!AI$2:$AI552)-COUNTA(TAB_Offres[Ressource 1])))=0,NA(),
INDEX(#REF!,ROWS(Params!AI$2:$AI552)-COUNTA(TAB_Offres[Ressource 1])))),
IFERROR(_xlfn.SINGLE(IF(_xlfn.SINGLE(INDEX(#REF!,ROWS(Params!AI$2:$AI552)-COUNTA(#REF!)-COUNTA(TAB_Offres[Ressource 1])))=0,NA(),
INDEX(#REF!,ROWS(Params!AI$2:$AI552)-COUNTA(#REF!)-COUNTA(TAB_Offres[Ressource 1])))),""))
)</f>
        <v/>
      </c>
      <c r="AJ552" s="192" t="str">
        <f>IF(TAB_ressource[[#This Row],[Import Ressource]]="","",MAX(AJ$1:AJ551)+1)</f>
        <v/>
      </c>
      <c r="AK552" s="193" t="str">
        <f>IFERROR(INDEX(TAB_ressource[Import Ressource],MATCH(ROW()-ROW($AK$1),TAB_ressource[ID Import ressources],0)),"")</f>
        <v/>
      </c>
      <c r="BD552" t="s">
        <v>2266</v>
      </c>
      <c r="BE552" t="s">
        <v>2267</v>
      </c>
      <c r="BF552" t="s">
        <v>2268</v>
      </c>
      <c r="BG552" t="s">
        <v>2266</v>
      </c>
    </row>
    <row r="553" spans="13:59" x14ac:dyDescent="0.25">
      <c r="M553" t="str">
        <f>_xlfn.IFNA(IF(VLOOKUP(TAB_Offres[[#This Row],[Reference]],TAB_Offres[[Reference]:[Request State]],COLUMNS(TAB_Offres[[Reference]:[Request State]]),FALSE)=D$6,TAB_Offres[[#This Row],[Reference]],""),"")</f>
        <v/>
      </c>
      <c r="N553" t="str">
        <f>_xlfn.IFNA(IF(VLOOKUP(TAB_Offres[[#This Row],[Reference]],TAB_Offres[[Reference]:[Has Expenses?]],COLUMNS(TAB_Offres[[Reference]:[Has Expenses?]]),FALSE)=J$2,TAB_Offres[[#This Row],[Reference]],""),"")</f>
        <v/>
      </c>
      <c r="O553" t="str">
        <f>IF(Tableau19[[#This Row],[EXPENSES_REF]]="","",MAX(O$1:O552)+1)</f>
        <v/>
      </c>
      <c r="P553" t="str">
        <f t="shared" si="21"/>
        <v/>
      </c>
      <c r="AI553" s="191" t="str">
        <f>IFERROR(_xlfn.SINGLE(
IF(_xlfn.SINGLE(INDEX(TAB_Offres[Ressource 1],ROWS(Params!AI$2:$AI553)))=0,NA(),
INDEX(TAB_Offres[Ressource 1],ROWS(Params!AI$2:$AI553)))),
IFERROR(_xlfn.SINGLE(IF(_xlfn.SINGLE(INDEX(#REF!,ROWS(Params!AI$2:$AI553)-COUNTA(TAB_Offres[Ressource 1])))=0,NA(),
INDEX(#REF!,ROWS(Params!AI$2:$AI553)-COUNTA(TAB_Offres[Ressource 1])))),
IFERROR(_xlfn.SINGLE(IF(_xlfn.SINGLE(INDEX(#REF!,ROWS(Params!AI$2:$AI553)-COUNTA(#REF!)-COUNTA(TAB_Offres[Ressource 1])))=0,NA(),
INDEX(#REF!,ROWS(Params!AI$2:$AI553)-COUNTA(#REF!)-COUNTA(TAB_Offres[Ressource 1])))),""))
)</f>
        <v/>
      </c>
      <c r="AJ553" s="192" t="str">
        <f>IF(TAB_ressource[[#This Row],[Import Ressource]]="","",MAX(AJ$1:AJ552)+1)</f>
        <v/>
      </c>
      <c r="AK553" s="193" t="str">
        <f>IFERROR(INDEX(TAB_ressource[Import Ressource],MATCH(ROW()-ROW($AK$1),TAB_ressource[ID Import ressources],0)),"")</f>
        <v/>
      </c>
      <c r="BD553" t="s">
        <v>2269</v>
      </c>
      <c r="BE553" t="s">
        <v>2270</v>
      </c>
      <c r="BF553" t="s">
        <v>2271</v>
      </c>
      <c r="BG553" t="s">
        <v>2269</v>
      </c>
    </row>
    <row r="554" spans="13:59" x14ac:dyDescent="0.25">
      <c r="M554" t="str">
        <f>_xlfn.IFNA(IF(VLOOKUP(TAB_Offres[[#This Row],[Reference]],TAB_Offres[[Reference]:[Request State]],COLUMNS(TAB_Offres[[Reference]:[Request State]]),FALSE)=D$6,TAB_Offres[[#This Row],[Reference]],""),"")</f>
        <v/>
      </c>
      <c r="N554" t="str">
        <f>_xlfn.IFNA(IF(VLOOKUP(TAB_Offres[[#This Row],[Reference]],TAB_Offres[[Reference]:[Has Expenses?]],COLUMNS(TAB_Offres[[Reference]:[Has Expenses?]]),FALSE)=J$2,TAB_Offres[[#This Row],[Reference]],""),"")</f>
        <v/>
      </c>
      <c r="O554" t="str">
        <f>IF(Tableau19[[#This Row],[EXPENSES_REF]]="","",MAX(O$1:O553)+1)</f>
        <v/>
      </c>
      <c r="P554" t="str">
        <f t="shared" si="21"/>
        <v/>
      </c>
      <c r="AI554" s="191" t="str">
        <f>IFERROR(_xlfn.SINGLE(
IF(_xlfn.SINGLE(INDEX(TAB_Offres[Ressource 1],ROWS(Params!AI$2:$AI554)))=0,NA(),
INDEX(TAB_Offres[Ressource 1],ROWS(Params!AI$2:$AI554)))),
IFERROR(_xlfn.SINGLE(IF(_xlfn.SINGLE(INDEX(#REF!,ROWS(Params!AI$2:$AI554)-COUNTA(TAB_Offres[Ressource 1])))=0,NA(),
INDEX(#REF!,ROWS(Params!AI$2:$AI554)-COUNTA(TAB_Offres[Ressource 1])))),
IFERROR(_xlfn.SINGLE(IF(_xlfn.SINGLE(INDEX(#REF!,ROWS(Params!AI$2:$AI554)-COUNTA(#REF!)-COUNTA(TAB_Offres[Ressource 1])))=0,NA(),
INDEX(#REF!,ROWS(Params!AI$2:$AI554)-COUNTA(#REF!)-COUNTA(TAB_Offres[Ressource 1])))),""))
)</f>
        <v/>
      </c>
      <c r="AJ554" s="192" t="str">
        <f>IF(TAB_ressource[[#This Row],[Import Ressource]]="","",MAX(AJ$1:AJ553)+1)</f>
        <v/>
      </c>
      <c r="AK554" s="193" t="str">
        <f>IFERROR(INDEX(TAB_ressource[Import Ressource],MATCH(ROW()-ROW($AK$1),TAB_ressource[ID Import ressources],0)),"")</f>
        <v/>
      </c>
      <c r="BD554" t="s">
        <v>2272</v>
      </c>
      <c r="BE554" t="s">
        <v>2273</v>
      </c>
      <c r="BF554" t="s">
        <v>2274</v>
      </c>
      <c r="BG554" t="s">
        <v>2272</v>
      </c>
    </row>
    <row r="555" spans="13:59" x14ac:dyDescent="0.25">
      <c r="M555" t="str">
        <f>_xlfn.IFNA(IF(VLOOKUP(TAB_Offres[[#This Row],[Reference]],TAB_Offres[[Reference]:[Request State]],COLUMNS(TAB_Offres[[Reference]:[Request State]]),FALSE)=D$6,TAB_Offres[[#This Row],[Reference]],""),"")</f>
        <v/>
      </c>
      <c r="N555" t="str">
        <f>_xlfn.IFNA(IF(VLOOKUP(TAB_Offres[[#This Row],[Reference]],TAB_Offres[[Reference]:[Has Expenses?]],COLUMNS(TAB_Offres[[Reference]:[Has Expenses?]]),FALSE)=J$2,TAB_Offres[[#This Row],[Reference]],""),"")</f>
        <v/>
      </c>
      <c r="O555" t="str">
        <f>IF(Tableau19[[#This Row],[EXPENSES_REF]]="","",MAX(O$1:O554)+1)</f>
        <v/>
      </c>
      <c r="P555" t="str">
        <f t="shared" si="21"/>
        <v/>
      </c>
      <c r="AI555" s="191" t="str">
        <f>IFERROR(_xlfn.SINGLE(
IF(_xlfn.SINGLE(INDEX(TAB_Offres[Ressource 1],ROWS(Params!AI$2:$AI555)))=0,NA(),
INDEX(TAB_Offres[Ressource 1],ROWS(Params!AI$2:$AI555)))),
IFERROR(_xlfn.SINGLE(IF(_xlfn.SINGLE(INDEX(#REF!,ROWS(Params!AI$2:$AI555)-COUNTA(TAB_Offres[Ressource 1])))=0,NA(),
INDEX(#REF!,ROWS(Params!AI$2:$AI555)-COUNTA(TAB_Offres[Ressource 1])))),
IFERROR(_xlfn.SINGLE(IF(_xlfn.SINGLE(INDEX(#REF!,ROWS(Params!AI$2:$AI555)-COUNTA(#REF!)-COUNTA(TAB_Offres[Ressource 1])))=0,NA(),
INDEX(#REF!,ROWS(Params!AI$2:$AI555)-COUNTA(#REF!)-COUNTA(TAB_Offres[Ressource 1])))),""))
)</f>
        <v/>
      </c>
      <c r="AJ555" s="192" t="str">
        <f>IF(TAB_ressource[[#This Row],[Import Ressource]]="","",MAX(AJ$1:AJ554)+1)</f>
        <v/>
      </c>
      <c r="AK555" s="193" t="str">
        <f>IFERROR(INDEX(TAB_ressource[Import Ressource],MATCH(ROW()-ROW($AK$1),TAB_ressource[ID Import ressources],0)),"")</f>
        <v/>
      </c>
      <c r="BD555" t="s">
        <v>2275</v>
      </c>
      <c r="BE555" t="s">
        <v>2276</v>
      </c>
      <c r="BF555" t="s">
        <v>2277</v>
      </c>
      <c r="BG555" t="s">
        <v>2275</v>
      </c>
    </row>
    <row r="556" spans="13:59" x14ac:dyDescent="0.25">
      <c r="M556" t="str">
        <f>_xlfn.IFNA(IF(VLOOKUP(TAB_Offres[[#This Row],[Reference]],TAB_Offres[[Reference]:[Request State]],COLUMNS(TAB_Offres[[Reference]:[Request State]]),FALSE)=D$6,TAB_Offres[[#This Row],[Reference]],""),"")</f>
        <v/>
      </c>
      <c r="N556" t="str">
        <f>_xlfn.IFNA(IF(VLOOKUP(TAB_Offres[[#This Row],[Reference]],TAB_Offres[[Reference]:[Has Expenses?]],COLUMNS(TAB_Offres[[Reference]:[Has Expenses?]]),FALSE)=J$2,TAB_Offres[[#This Row],[Reference]],""),"")</f>
        <v/>
      </c>
      <c r="O556" t="str">
        <f>IF(Tableau19[[#This Row],[EXPENSES_REF]]="","",MAX(O$1:O555)+1)</f>
        <v/>
      </c>
      <c r="P556" t="str">
        <f t="shared" si="21"/>
        <v/>
      </c>
      <c r="AI556" s="191" t="str">
        <f>IFERROR(_xlfn.SINGLE(
IF(_xlfn.SINGLE(INDEX(TAB_Offres[Ressource 1],ROWS(Params!AI$2:$AI556)))=0,NA(),
INDEX(TAB_Offres[Ressource 1],ROWS(Params!AI$2:$AI556)))),
IFERROR(_xlfn.SINGLE(IF(_xlfn.SINGLE(INDEX(#REF!,ROWS(Params!AI$2:$AI556)-COUNTA(TAB_Offres[Ressource 1])))=0,NA(),
INDEX(#REF!,ROWS(Params!AI$2:$AI556)-COUNTA(TAB_Offres[Ressource 1])))),
IFERROR(_xlfn.SINGLE(IF(_xlfn.SINGLE(INDEX(#REF!,ROWS(Params!AI$2:$AI556)-COUNTA(#REF!)-COUNTA(TAB_Offres[Ressource 1])))=0,NA(),
INDEX(#REF!,ROWS(Params!AI$2:$AI556)-COUNTA(#REF!)-COUNTA(TAB_Offres[Ressource 1])))),""))
)</f>
        <v/>
      </c>
      <c r="AJ556" s="192" t="str">
        <f>IF(TAB_ressource[[#This Row],[Import Ressource]]="","",MAX(AJ$1:AJ555)+1)</f>
        <v/>
      </c>
      <c r="AK556" s="193" t="str">
        <f>IFERROR(INDEX(TAB_ressource[Import Ressource],MATCH(ROW()-ROW($AK$1),TAB_ressource[ID Import ressources],0)),"")</f>
        <v/>
      </c>
      <c r="BD556" t="s">
        <v>2278</v>
      </c>
      <c r="BE556" t="s">
        <v>2279</v>
      </c>
      <c r="BF556" t="s">
        <v>2280</v>
      </c>
      <c r="BG556" t="s">
        <v>2278</v>
      </c>
    </row>
    <row r="557" spans="13:59" x14ac:dyDescent="0.25">
      <c r="M557" t="str">
        <f>_xlfn.IFNA(IF(VLOOKUP(TAB_Offres[[#This Row],[Reference]],TAB_Offres[[Reference]:[Request State]],COLUMNS(TAB_Offres[[Reference]:[Request State]]),FALSE)=D$6,TAB_Offres[[#This Row],[Reference]],""),"")</f>
        <v/>
      </c>
      <c r="N557" t="str">
        <f>_xlfn.IFNA(IF(VLOOKUP(TAB_Offres[[#This Row],[Reference]],TAB_Offres[[Reference]:[Has Expenses?]],COLUMNS(TAB_Offres[[Reference]:[Has Expenses?]]),FALSE)=J$2,TAB_Offres[[#This Row],[Reference]],""),"")</f>
        <v/>
      </c>
      <c r="O557" t="str">
        <f>IF(Tableau19[[#This Row],[EXPENSES_REF]]="","",MAX(O$1:O556)+1)</f>
        <v/>
      </c>
      <c r="P557" t="str">
        <f t="shared" si="21"/>
        <v/>
      </c>
      <c r="AI557" s="191" t="str">
        <f>IFERROR(_xlfn.SINGLE(
IF(_xlfn.SINGLE(INDEX(TAB_Offres[Ressource 1],ROWS(Params!AI$2:$AI557)))=0,NA(),
INDEX(TAB_Offres[Ressource 1],ROWS(Params!AI$2:$AI557)))),
IFERROR(_xlfn.SINGLE(IF(_xlfn.SINGLE(INDEX(#REF!,ROWS(Params!AI$2:$AI557)-COUNTA(TAB_Offres[Ressource 1])))=0,NA(),
INDEX(#REF!,ROWS(Params!AI$2:$AI557)-COUNTA(TAB_Offres[Ressource 1])))),
IFERROR(_xlfn.SINGLE(IF(_xlfn.SINGLE(INDEX(#REF!,ROWS(Params!AI$2:$AI557)-COUNTA(#REF!)-COUNTA(TAB_Offres[Ressource 1])))=0,NA(),
INDEX(#REF!,ROWS(Params!AI$2:$AI557)-COUNTA(#REF!)-COUNTA(TAB_Offres[Ressource 1])))),""))
)</f>
        <v/>
      </c>
      <c r="AJ557" s="192" t="str">
        <f>IF(TAB_ressource[[#This Row],[Import Ressource]]="","",MAX(AJ$1:AJ556)+1)</f>
        <v/>
      </c>
      <c r="AK557" s="193" t="str">
        <f>IFERROR(INDEX(TAB_ressource[Import Ressource],MATCH(ROW()-ROW($AK$1),TAB_ressource[ID Import ressources],0)),"")</f>
        <v/>
      </c>
      <c r="BD557" t="s">
        <v>2281</v>
      </c>
      <c r="BE557" t="s">
        <v>2282</v>
      </c>
      <c r="BF557" t="s">
        <v>2283</v>
      </c>
      <c r="BG557" t="s">
        <v>2281</v>
      </c>
    </row>
    <row r="558" spans="13:59" x14ac:dyDescent="0.25">
      <c r="M558" t="str">
        <f>_xlfn.IFNA(IF(VLOOKUP(TAB_Offres[[#This Row],[Reference]],TAB_Offres[[Reference]:[Request State]],COLUMNS(TAB_Offres[[Reference]:[Request State]]),FALSE)=D$6,TAB_Offres[[#This Row],[Reference]],""),"")</f>
        <v/>
      </c>
      <c r="N558" t="str">
        <f>_xlfn.IFNA(IF(VLOOKUP(TAB_Offres[[#This Row],[Reference]],TAB_Offres[[Reference]:[Has Expenses?]],COLUMNS(TAB_Offres[[Reference]:[Has Expenses?]]),FALSE)=J$2,TAB_Offres[[#This Row],[Reference]],""),"")</f>
        <v/>
      </c>
      <c r="O558" t="str">
        <f>IF(Tableau19[[#This Row],[EXPENSES_REF]]="","",MAX(O$1:O557)+1)</f>
        <v/>
      </c>
      <c r="P558" t="str">
        <f t="shared" si="21"/>
        <v/>
      </c>
      <c r="AI558" s="191" t="str">
        <f>IFERROR(_xlfn.SINGLE(
IF(_xlfn.SINGLE(INDEX(TAB_Offres[Ressource 1],ROWS(Params!AI$2:$AI558)))=0,NA(),
INDEX(TAB_Offres[Ressource 1],ROWS(Params!AI$2:$AI558)))),
IFERROR(_xlfn.SINGLE(IF(_xlfn.SINGLE(INDEX(#REF!,ROWS(Params!AI$2:$AI558)-COUNTA(TAB_Offres[Ressource 1])))=0,NA(),
INDEX(#REF!,ROWS(Params!AI$2:$AI558)-COUNTA(TAB_Offres[Ressource 1])))),
IFERROR(_xlfn.SINGLE(IF(_xlfn.SINGLE(INDEX(#REF!,ROWS(Params!AI$2:$AI558)-COUNTA(#REF!)-COUNTA(TAB_Offres[Ressource 1])))=0,NA(),
INDEX(#REF!,ROWS(Params!AI$2:$AI558)-COUNTA(#REF!)-COUNTA(TAB_Offres[Ressource 1])))),""))
)</f>
        <v/>
      </c>
      <c r="AJ558" s="192" t="str">
        <f>IF(TAB_ressource[[#This Row],[Import Ressource]]="","",MAX(AJ$1:AJ557)+1)</f>
        <v/>
      </c>
      <c r="AK558" s="193" t="str">
        <f>IFERROR(INDEX(TAB_ressource[Import Ressource],MATCH(ROW()-ROW($AK$1),TAB_ressource[ID Import ressources],0)),"")</f>
        <v/>
      </c>
      <c r="BD558" t="s">
        <v>2284</v>
      </c>
      <c r="BE558" t="s">
        <v>2285</v>
      </c>
      <c r="BF558" t="s">
        <v>2286</v>
      </c>
      <c r="BG558" t="s">
        <v>2284</v>
      </c>
    </row>
    <row r="559" spans="13:59" x14ac:dyDescent="0.25">
      <c r="M559" t="str">
        <f>_xlfn.IFNA(IF(VLOOKUP(TAB_Offres[[#This Row],[Reference]],TAB_Offres[[Reference]:[Request State]],COLUMNS(TAB_Offres[[Reference]:[Request State]]),FALSE)=D$6,TAB_Offres[[#This Row],[Reference]],""),"")</f>
        <v/>
      </c>
      <c r="N559" t="str">
        <f>_xlfn.IFNA(IF(VLOOKUP(TAB_Offres[[#This Row],[Reference]],TAB_Offres[[Reference]:[Has Expenses?]],COLUMNS(TAB_Offres[[Reference]:[Has Expenses?]]),FALSE)=J$2,TAB_Offres[[#This Row],[Reference]],""),"")</f>
        <v/>
      </c>
      <c r="O559" t="str">
        <f>IF(Tableau19[[#This Row],[EXPENSES_REF]]="","",MAX(O$1:O558)+1)</f>
        <v/>
      </c>
      <c r="P559" t="str">
        <f t="shared" si="21"/>
        <v/>
      </c>
      <c r="AI559" s="191" t="str">
        <f>IFERROR(_xlfn.SINGLE(
IF(_xlfn.SINGLE(INDEX(TAB_Offres[Ressource 1],ROWS(Params!AI$2:$AI559)))=0,NA(),
INDEX(TAB_Offres[Ressource 1],ROWS(Params!AI$2:$AI559)))),
IFERROR(_xlfn.SINGLE(IF(_xlfn.SINGLE(INDEX(#REF!,ROWS(Params!AI$2:$AI559)-COUNTA(TAB_Offres[Ressource 1])))=0,NA(),
INDEX(#REF!,ROWS(Params!AI$2:$AI559)-COUNTA(TAB_Offres[Ressource 1])))),
IFERROR(_xlfn.SINGLE(IF(_xlfn.SINGLE(INDEX(#REF!,ROWS(Params!AI$2:$AI559)-COUNTA(#REF!)-COUNTA(TAB_Offres[Ressource 1])))=0,NA(),
INDEX(#REF!,ROWS(Params!AI$2:$AI559)-COUNTA(#REF!)-COUNTA(TAB_Offres[Ressource 1])))),""))
)</f>
        <v/>
      </c>
      <c r="AJ559" s="192" t="str">
        <f>IF(TAB_ressource[[#This Row],[Import Ressource]]="","",MAX(AJ$1:AJ558)+1)</f>
        <v/>
      </c>
      <c r="AK559" s="193" t="str">
        <f>IFERROR(INDEX(TAB_ressource[Import Ressource],MATCH(ROW()-ROW($AK$1),TAB_ressource[ID Import ressources],0)),"")</f>
        <v/>
      </c>
      <c r="BD559" t="s">
        <v>2287</v>
      </c>
      <c r="BE559" t="s">
        <v>2288</v>
      </c>
      <c r="BF559" t="s">
        <v>2289</v>
      </c>
      <c r="BG559" t="s">
        <v>2287</v>
      </c>
    </row>
    <row r="560" spans="13:59" x14ac:dyDescent="0.25">
      <c r="M560" t="str">
        <f>_xlfn.IFNA(IF(VLOOKUP(TAB_Offres[[#This Row],[Reference]],TAB_Offres[[Reference]:[Request State]],COLUMNS(TAB_Offres[[Reference]:[Request State]]),FALSE)=D$6,TAB_Offres[[#This Row],[Reference]],""),"")</f>
        <v/>
      </c>
      <c r="N560" t="str">
        <f>_xlfn.IFNA(IF(VLOOKUP(TAB_Offres[[#This Row],[Reference]],TAB_Offres[[Reference]:[Has Expenses?]],COLUMNS(TAB_Offres[[Reference]:[Has Expenses?]]),FALSE)=J$2,TAB_Offres[[#This Row],[Reference]],""),"")</f>
        <v/>
      </c>
      <c r="O560" t="str">
        <f>IF(Tableau19[[#This Row],[EXPENSES_REF]]="","",MAX(O$1:O559)+1)</f>
        <v/>
      </c>
      <c r="P560" t="str">
        <f t="shared" si="21"/>
        <v/>
      </c>
      <c r="AI560" s="191" t="str">
        <f>IFERROR(_xlfn.SINGLE(
IF(_xlfn.SINGLE(INDEX(TAB_Offres[Ressource 1],ROWS(Params!AI$2:$AI560)))=0,NA(),
INDEX(TAB_Offres[Ressource 1],ROWS(Params!AI$2:$AI560)))),
IFERROR(_xlfn.SINGLE(IF(_xlfn.SINGLE(INDEX(#REF!,ROWS(Params!AI$2:$AI560)-COUNTA(TAB_Offres[Ressource 1])))=0,NA(),
INDEX(#REF!,ROWS(Params!AI$2:$AI560)-COUNTA(TAB_Offres[Ressource 1])))),
IFERROR(_xlfn.SINGLE(IF(_xlfn.SINGLE(INDEX(#REF!,ROWS(Params!AI$2:$AI560)-COUNTA(#REF!)-COUNTA(TAB_Offres[Ressource 1])))=0,NA(),
INDEX(#REF!,ROWS(Params!AI$2:$AI560)-COUNTA(#REF!)-COUNTA(TAB_Offres[Ressource 1])))),""))
)</f>
        <v/>
      </c>
      <c r="AJ560" s="192" t="str">
        <f>IF(TAB_ressource[[#This Row],[Import Ressource]]="","",MAX(AJ$1:AJ559)+1)</f>
        <v/>
      </c>
      <c r="AK560" s="193" t="str">
        <f>IFERROR(INDEX(TAB_ressource[Import Ressource],MATCH(ROW()-ROW($AK$1),TAB_ressource[ID Import ressources],0)),"")</f>
        <v/>
      </c>
      <c r="BD560" t="s">
        <v>2290</v>
      </c>
      <c r="BE560" t="s">
        <v>2291</v>
      </c>
      <c r="BF560" t="s">
        <v>2292</v>
      </c>
      <c r="BG560" t="s">
        <v>2290</v>
      </c>
    </row>
    <row r="561" spans="13:59" x14ac:dyDescent="0.25">
      <c r="M561" t="str">
        <f>_xlfn.IFNA(IF(VLOOKUP(TAB_Offres[[#This Row],[Reference]],TAB_Offres[[Reference]:[Request State]],COLUMNS(TAB_Offres[[Reference]:[Request State]]),FALSE)=D$6,TAB_Offres[[#This Row],[Reference]],""),"")</f>
        <v/>
      </c>
      <c r="N561" t="str">
        <f>_xlfn.IFNA(IF(VLOOKUP(TAB_Offres[[#This Row],[Reference]],TAB_Offres[[Reference]:[Has Expenses?]],COLUMNS(TAB_Offres[[Reference]:[Has Expenses?]]),FALSE)=J$2,TAB_Offres[[#This Row],[Reference]],""),"")</f>
        <v/>
      </c>
      <c r="O561" t="str">
        <f>IF(Tableau19[[#This Row],[EXPENSES_REF]]="","",MAX(O$1:O560)+1)</f>
        <v/>
      </c>
      <c r="P561" t="str">
        <f t="shared" si="21"/>
        <v/>
      </c>
      <c r="AI561" s="191" t="str">
        <f>IFERROR(_xlfn.SINGLE(
IF(_xlfn.SINGLE(INDEX(TAB_Offres[Ressource 1],ROWS(Params!AI$2:$AI561)))=0,NA(),
INDEX(TAB_Offres[Ressource 1],ROWS(Params!AI$2:$AI561)))),
IFERROR(_xlfn.SINGLE(IF(_xlfn.SINGLE(INDEX(#REF!,ROWS(Params!AI$2:$AI561)-COUNTA(TAB_Offres[Ressource 1])))=0,NA(),
INDEX(#REF!,ROWS(Params!AI$2:$AI561)-COUNTA(TAB_Offres[Ressource 1])))),
IFERROR(_xlfn.SINGLE(IF(_xlfn.SINGLE(INDEX(#REF!,ROWS(Params!AI$2:$AI561)-COUNTA(#REF!)-COUNTA(TAB_Offres[Ressource 1])))=0,NA(),
INDEX(#REF!,ROWS(Params!AI$2:$AI561)-COUNTA(#REF!)-COUNTA(TAB_Offres[Ressource 1])))),""))
)</f>
        <v/>
      </c>
      <c r="AJ561" s="192" t="str">
        <f>IF(TAB_ressource[[#This Row],[Import Ressource]]="","",MAX(AJ$1:AJ560)+1)</f>
        <v/>
      </c>
      <c r="AK561" s="193" t="str">
        <f>IFERROR(INDEX(TAB_ressource[Import Ressource],MATCH(ROW()-ROW($AK$1),TAB_ressource[ID Import ressources],0)),"")</f>
        <v/>
      </c>
      <c r="BD561" t="s">
        <v>2293</v>
      </c>
      <c r="BE561" t="s">
        <v>2294</v>
      </c>
      <c r="BF561" t="s">
        <v>2295</v>
      </c>
      <c r="BG561" t="s">
        <v>2293</v>
      </c>
    </row>
    <row r="562" spans="13:59" x14ac:dyDescent="0.25">
      <c r="M562" t="str">
        <f>_xlfn.IFNA(IF(VLOOKUP(TAB_Offres[[#This Row],[Reference]],TAB_Offres[[Reference]:[Request State]],COLUMNS(TAB_Offres[[Reference]:[Request State]]),FALSE)=D$6,TAB_Offres[[#This Row],[Reference]],""),"")</f>
        <v/>
      </c>
      <c r="N562" t="str">
        <f>_xlfn.IFNA(IF(VLOOKUP(TAB_Offres[[#This Row],[Reference]],TAB_Offres[[Reference]:[Has Expenses?]],COLUMNS(TAB_Offres[[Reference]:[Has Expenses?]]),FALSE)=J$2,TAB_Offres[[#This Row],[Reference]],""),"")</f>
        <v/>
      </c>
      <c r="O562" t="str">
        <f>IF(Tableau19[[#This Row],[EXPENSES_REF]]="","",MAX(O$1:O561)+1)</f>
        <v/>
      </c>
      <c r="P562" t="str">
        <f t="shared" si="21"/>
        <v/>
      </c>
      <c r="AI562" s="191" t="str">
        <f>IFERROR(_xlfn.SINGLE(
IF(_xlfn.SINGLE(INDEX(TAB_Offres[Ressource 1],ROWS(Params!AI$2:$AI562)))=0,NA(),
INDEX(TAB_Offres[Ressource 1],ROWS(Params!AI$2:$AI562)))),
IFERROR(_xlfn.SINGLE(IF(_xlfn.SINGLE(INDEX(#REF!,ROWS(Params!AI$2:$AI562)-COUNTA(TAB_Offres[Ressource 1])))=0,NA(),
INDEX(#REF!,ROWS(Params!AI$2:$AI562)-COUNTA(TAB_Offres[Ressource 1])))),
IFERROR(_xlfn.SINGLE(IF(_xlfn.SINGLE(INDEX(#REF!,ROWS(Params!AI$2:$AI562)-COUNTA(#REF!)-COUNTA(TAB_Offres[Ressource 1])))=0,NA(),
INDEX(#REF!,ROWS(Params!AI$2:$AI562)-COUNTA(#REF!)-COUNTA(TAB_Offres[Ressource 1])))),""))
)</f>
        <v/>
      </c>
      <c r="AJ562" s="192" t="str">
        <f>IF(TAB_ressource[[#This Row],[Import Ressource]]="","",MAX(AJ$1:AJ561)+1)</f>
        <v/>
      </c>
      <c r="AK562" s="193" t="str">
        <f>IFERROR(INDEX(TAB_ressource[Import Ressource],MATCH(ROW()-ROW($AK$1),TAB_ressource[ID Import ressources],0)),"")</f>
        <v/>
      </c>
      <c r="BD562" t="s">
        <v>2296</v>
      </c>
      <c r="BE562" t="s">
        <v>2297</v>
      </c>
      <c r="BF562" t="s">
        <v>2298</v>
      </c>
      <c r="BG562" t="s">
        <v>2296</v>
      </c>
    </row>
    <row r="563" spans="13:59" x14ac:dyDescent="0.25">
      <c r="M563" t="str">
        <f>_xlfn.IFNA(IF(VLOOKUP(TAB_Offres[[#This Row],[Reference]],TAB_Offres[[Reference]:[Request State]],COLUMNS(TAB_Offres[[Reference]:[Request State]]),FALSE)=D$6,TAB_Offres[[#This Row],[Reference]],""),"")</f>
        <v/>
      </c>
      <c r="N563" t="str">
        <f>_xlfn.IFNA(IF(VLOOKUP(TAB_Offres[[#This Row],[Reference]],TAB_Offres[[Reference]:[Has Expenses?]],COLUMNS(TAB_Offres[[Reference]:[Has Expenses?]]),FALSE)=J$2,TAB_Offres[[#This Row],[Reference]],""),"")</f>
        <v/>
      </c>
      <c r="O563" t="str">
        <f>IF(Tableau19[[#This Row],[EXPENSES_REF]]="","",MAX(O$1:O562)+1)</f>
        <v/>
      </c>
      <c r="P563" t="str">
        <f t="shared" si="21"/>
        <v/>
      </c>
      <c r="AI563" s="191" t="str">
        <f>IFERROR(_xlfn.SINGLE(
IF(_xlfn.SINGLE(INDEX(TAB_Offres[Ressource 1],ROWS(Params!AI$2:$AI563)))=0,NA(),
INDEX(TAB_Offres[Ressource 1],ROWS(Params!AI$2:$AI563)))),
IFERROR(_xlfn.SINGLE(IF(_xlfn.SINGLE(INDEX(#REF!,ROWS(Params!AI$2:$AI563)-COUNTA(TAB_Offres[Ressource 1])))=0,NA(),
INDEX(#REF!,ROWS(Params!AI$2:$AI563)-COUNTA(TAB_Offres[Ressource 1])))),
IFERROR(_xlfn.SINGLE(IF(_xlfn.SINGLE(INDEX(#REF!,ROWS(Params!AI$2:$AI563)-COUNTA(#REF!)-COUNTA(TAB_Offres[Ressource 1])))=0,NA(),
INDEX(#REF!,ROWS(Params!AI$2:$AI563)-COUNTA(#REF!)-COUNTA(TAB_Offres[Ressource 1])))),""))
)</f>
        <v/>
      </c>
      <c r="AJ563" s="192" t="str">
        <f>IF(TAB_ressource[[#This Row],[Import Ressource]]="","",MAX(AJ$1:AJ562)+1)</f>
        <v/>
      </c>
      <c r="AK563" s="193" t="str">
        <f>IFERROR(INDEX(TAB_ressource[Import Ressource],MATCH(ROW()-ROW($AK$1),TAB_ressource[ID Import ressources],0)),"")</f>
        <v/>
      </c>
      <c r="BD563" t="s">
        <v>2299</v>
      </c>
      <c r="BE563" t="s">
        <v>2300</v>
      </c>
      <c r="BF563" t="s">
        <v>2301</v>
      </c>
      <c r="BG563" t="s">
        <v>2299</v>
      </c>
    </row>
    <row r="564" spans="13:59" x14ac:dyDescent="0.25">
      <c r="M564" t="str">
        <f>_xlfn.IFNA(IF(VLOOKUP(TAB_Offres[[#This Row],[Reference]],TAB_Offres[[Reference]:[Request State]],COLUMNS(TAB_Offres[[Reference]:[Request State]]),FALSE)=D$6,TAB_Offres[[#This Row],[Reference]],""),"")</f>
        <v/>
      </c>
      <c r="N564" t="str">
        <f>_xlfn.IFNA(IF(VLOOKUP(TAB_Offres[[#This Row],[Reference]],TAB_Offres[[Reference]:[Has Expenses?]],COLUMNS(TAB_Offres[[Reference]:[Has Expenses?]]),FALSE)=J$2,TAB_Offres[[#This Row],[Reference]],""),"")</f>
        <v/>
      </c>
      <c r="O564" t="str">
        <f>IF(Tableau19[[#This Row],[EXPENSES_REF]]="","",MAX(O$1:O563)+1)</f>
        <v/>
      </c>
      <c r="P564" t="str">
        <f t="shared" si="21"/>
        <v/>
      </c>
      <c r="AI564" s="191" t="str">
        <f>IFERROR(_xlfn.SINGLE(
IF(_xlfn.SINGLE(INDEX(TAB_Offres[Ressource 1],ROWS(Params!AI$2:$AI564)))=0,NA(),
INDEX(TAB_Offres[Ressource 1],ROWS(Params!AI$2:$AI564)))),
IFERROR(_xlfn.SINGLE(IF(_xlfn.SINGLE(INDEX(#REF!,ROWS(Params!AI$2:$AI564)-COUNTA(TAB_Offres[Ressource 1])))=0,NA(),
INDEX(#REF!,ROWS(Params!AI$2:$AI564)-COUNTA(TAB_Offres[Ressource 1])))),
IFERROR(_xlfn.SINGLE(IF(_xlfn.SINGLE(INDEX(#REF!,ROWS(Params!AI$2:$AI564)-COUNTA(#REF!)-COUNTA(TAB_Offres[Ressource 1])))=0,NA(),
INDEX(#REF!,ROWS(Params!AI$2:$AI564)-COUNTA(#REF!)-COUNTA(TAB_Offres[Ressource 1])))),""))
)</f>
        <v/>
      </c>
      <c r="AJ564" s="192" t="str">
        <f>IF(TAB_ressource[[#This Row],[Import Ressource]]="","",MAX(AJ$1:AJ563)+1)</f>
        <v/>
      </c>
      <c r="AK564" s="193" t="str">
        <f>IFERROR(INDEX(TAB_ressource[Import Ressource],MATCH(ROW()-ROW($AK$1),TAB_ressource[ID Import ressources],0)),"")</f>
        <v/>
      </c>
      <c r="BD564" t="s">
        <v>2302</v>
      </c>
      <c r="BE564" t="s">
        <v>2303</v>
      </c>
      <c r="BF564" t="s">
        <v>2304</v>
      </c>
      <c r="BG564" t="s">
        <v>2302</v>
      </c>
    </row>
    <row r="565" spans="13:59" x14ac:dyDescent="0.25">
      <c r="M565" t="str">
        <f>_xlfn.IFNA(IF(VLOOKUP(TAB_Offres[[#This Row],[Reference]],TAB_Offres[[Reference]:[Request State]],COLUMNS(TAB_Offres[[Reference]:[Request State]]),FALSE)=D$6,TAB_Offres[[#This Row],[Reference]],""),"")</f>
        <v/>
      </c>
      <c r="N565" t="str">
        <f>_xlfn.IFNA(IF(VLOOKUP(TAB_Offres[[#This Row],[Reference]],TAB_Offres[[Reference]:[Has Expenses?]],COLUMNS(TAB_Offres[[Reference]:[Has Expenses?]]),FALSE)=J$2,TAB_Offres[[#This Row],[Reference]],""),"")</f>
        <v/>
      </c>
      <c r="O565" t="str">
        <f>IF(Tableau19[[#This Row],[EXPENSES_REF]]="","",MAX(O$1:O564)+1)</f>
        <v/>
      </c>
      <c r="P565" t="str">
        <f t="shared" si="21"/>
        <v/>
      </c>
      <c r="AI565" s="191" t="str">
        <f>IFERROR(_xlfn.SINGLE(
IF(_xlfn.SINGLE(INDEX(TAB_Offres[Ressource 1],ROWS(Params!AI$2:$AI565)))=0,NA(),
INDEX(TAB_Offres[Ressource 1],ROWS(Params!AI$2:$AI565)))),
IFERROR(_xlfn.SINGLE(IF(_xlfn.SINGLE(INDEX(#REF!,ROWS(Params!AI$2:$AI565)-COUNTA(TAB_Offres[Ressource 1])))=0,NA(),
INDEX(#REF!,ROWS(Params!AI$2:$AI565)-COUNTA(TAB_Offres[Ressource 1])))),
IFERROR(_xlfn.SINGLE(IF(_xlfn.SINGLE(INDEX(#REF!,ROWS(Params!AI$2:$AI565)-COUNTA(#REF!)-COUNTA(TAB_Offres[Ressource 1])))=0,NA(),
INDEX(#REF!,ROWS(Params!AI$2:$AI565)-COUNTA(#REF!)-COUNTA(TAB_Offres[Ressource 1])))),""))
)</f>
        <v/>
      </c>
      <c r="AJ565" s="192" t="str">
        <f>IF(TAB_ressource[[#This Row],[Import Ressource]]="","",MAX(AJ$1:AJ564)+1)</f>
        <v/>
      </c>
      <c r="AK565" s="193" t="str">
        <f>IFERROR(INDEX(TAB_ressource[Import Ressource],MATCH(ROW()-ROW($AK$1),TAB_ressource[ID Import ressources],0)),"")</f>
        <v/>
      </c>
      <c r="BD565" t="s">
        <v>2305</v>
      </c>
      <c r="BE565" t="s">
        <v>2306</v>
      </c>
      <c r="BF565" t="s">
        <v>2307</v>
      </c>
      <c r="BG565" t="s">
        <v>2305</v>
      </c>
    </row>
    <row r="566" spans="13:59" x14ac:dyDescent="0.25">
      <c r="M566" t="str">
        <f>_xlfn.IFNA(IF(VLOOKUP(TAB_Offres[[#This Row],[Reference]],TAB_Offres[[Reference]:[Request State]],COLUMNS(TAB_Offres[[Reference]:[Request State]]),FALSE)=D$6,TAB_Offres[[#This Row],[Reference]],""),"")</f>
        <v/>
      </c>
      <c r="N566" t="str">
        <f>_xlfn.IFNA(IF(VLOOKUP(TAB_Offres[[#This Row],[Reference]],TAB_Offres[[Reference]:[Has Expenses?]],COLUMNS(TAB_Offres[[Reference]:[Has Expenses?]]),FALSE)=J$2,TAB_Offres[[#This Row],[Reference]],""),"")</f>
        <v/>
      </c>
      <c r="O566" t="str">
        <f>IF(Tableau19[[#This Row],[EXPENSES_REF]]="","",MAX(O$1:O565)+1)</f>
        <v/>
      </c>
      <c r="P566" t="str">
        <f t="shared" si="21"/>
        <v/>
      </c>
      <c r="AI566" s="191" t="str">
        <f>IFERROR(_xlfn.SINGLE(
IF(_xlfn.SINGLE(INDEX(TAB_Offres[Ressource 1],ROWS(Params!AI$2:$AI566)))=0,NA(),
INDEX(TAB_Offres[Ressource 1],ROWS(Params!AI$2:$AI566)))),
IFERROR(_xlfn.SINGLE(IF(_xlfn.SINGLE(INDEX(#REF!,ROWS(Params!AI$2:$AI566)-COUNTA(TAB_Offres[Ressource 1])))=0,NA(),
INDEX(#REF!,ROWS(Params!AI$2:$AI566)-COUNTA(TAB_Offres[Ressource 1])))),
IFERROR(_xlfn.SINGLE(IF(_xlfn.SINGLE(INDEX(#REF!,ROWS(Params!AI$2:$AI566)-COUNTA(#REF!)-COUNTA(TAB_Offres[Ressource 1])))=0,NA(),
INDEX(#REF!,ROWS(Params!AI$2:$AI566)-COUNTA(#REF!)-COUNTA(TAB_Offres[Ressource 1])))),""))
)</f>
        <v/>
      </c>
      <c r="AJ566" s="192" t="str">
        <f>IF(TAB_ressource[[#This Row],[Import Ressource]]="","",MAX(AJ$1:AJ565)+1)</f>
        <v/>
      </c>
      <c r="AK566" s="193" t="str">
        <f>IFERROR(INDEX(TAB_ressource[Import Ressource],MATCH(ROW()-ROW($AK$1),TAB_ressource[ID Import ressources],0)),"")</f>
        <v/>
      </c>
      <c r="BD566" t="s">
        <v>2308</v>
      </c>
      <c r="BE566" t="s">
        <v>2309</v>
      </c>
      <c r="BF566" t="s">
        <v>2310</v>
      </c>
      <c r="BG566" t="s">
        <v>2308</v>
      </c>
    </row>
    <row r="567" spans="13:59" x14ac:dyDescent="0.25">
      <c r="M567" t="str">
        <f>_xlfn.IFNA(IF(VLOOKUP(TAB_Offres[[#This Row],[Reference]],TAB_Offres[[Reference]:[Request State]],COLUMNS(TAB_Offres[[Reference]:[Request State]]),FALSE)=D$6,TAB_Offres[[#This Row],[Reference]],""),"")</f>
        <v/>
      </c>
      <c r="N567" t="str">
        <f>_xlfn.IFNA(IF(VLOOKUP(TAB_Offres[[#This Row],[Reference]],TAB_Offres[[Reference]:[Has Expenses?]],COLUMNS(TAB_Offres[[Reference]:[Has Expenses?]]),FALSE)=J$2,TAB_Offres[[#This Row],[Reference]],""),"")</f>
        <v/>
      </c>
      <c r="O567" t="str">
        <f>IF(Tableau19[[#This Row],[EXPENSES_REF]]="","",MAX(O$1:O566)+1)</f>
        <v/>
      </c>
      <c r="P567" t="str">
        <f t="shared" si="21"/>
        <v/>
      </c>
      <c r="AI567" s="191" t="str">
        <f>IFERROR(_xlfn.SINGLE(
IF(_xlfn.SINGLE(INDEX(TAB_Offres[Ressource 1],ROWS(Params!AI$2:$AI567)))=0,NA(),
INDEX(TAB_Offres[Ressource 1],ROWS(Params!AI$2:$AI567)))),
IFERROR(_xlfn.SINGLE(IF(_xlfn.SINGLE(INDEX(#REF!,ROWS(Params!AI$2:$AI567)-COUNTA(TAB_Offres[Ressource 1])))=0,NA(),
INDEX(#REF!,ROWS(Params!AI$2:$AI567)-COUNTA(TAB_Offres[Ressource 1])))),
IFERROR(_xlfn.SINGLE(IF(_xlfn.SINGLE(INDEX(#REF!,ROWS(Params!AI$2:$AI567)-COUNTA(#REF!)-COUNTA(TAB_Offres[Ressource 1])))=0,NA(),
INDEX(#REF!,ROWS(Params!AI$2:$AI567)-COUNTA(#REF!)-COUNTA(TAB_Offres[Ressource 1])))),""))
)</f>
        <v/>
      </c>
      <c r="AJ567" s="192" t="str">
        <f>IF(TAB_ressource[[#This Row],[Import Ressource]]="","",MAX(AJ$1:AJ566)+1)</f>
        <v/>
      </c>
      <c r="AK567" s="193" t="str">
        <f>IFERROR(INDEX(TAB_ressource[Import Ressource],MATCH(ROW()-ROW($AK$1),TAB_ressource[ID Import ressources],0)),"")</f>
        <v/>
      </c>
      <c r="BD567" t="s">
        <v>2311</v>
      </c>
      <c r="BE567" t="s">
        <v>2312</v>
      </c>
      <c r="BF567" t="s">
        <v>2313</v>
      </c>
      <c r="BG567" t="s">
        <v>2311</v>
      </c>
    </row>
    <row r="568" spans="13:59" x14ac:dyDescent="0.25">
      <c r="M568" t="str">
        <f>_xlfn.IFNA(IF(VLOOKUP(TAB_Offres[[#This Row],[Reference]],TAB_Offres[[Reference]:[Request State]],COLUMNS(TAB_Offres[[Reference]:[Request State]]),FALSE)=D$6,TAB_Offres[[#This Row],[Reference]],""),"")</f>
        <v/>
      </c>
      <c r="N568" t="str">
        <f>_xlfn.IFNA(IF(VLOOKUP(TAB_Offres[[#This Row],[Reference]],TAB_Offres[[Reference]:[Has Expenses?]],COLUMNS(TAB_Offres[[Reference]:[Has Expenses?]]),FALSE)=J$2,TAB_Offres[[#This Row],[Reference]],""),"")</f>
        <v/>
      </c>
      <c r="O568" t="str">
        <f>IF(Tableau19[[#This Row],[EXPENSES_REF]]="","",MAX(O$1:O567)+1)</f>
        <v/>
      </c>
      <c r="P568" t="str">
        <f t="shared" si="21"/>
        <v/>
      </c>
      <c r="AI568" s="191" t="str">
        <f>IFERROR(_xlfn.SINGLE(
IF(_xlfn.SINGLE(INDEX(TAB_Offres[Ressource 1],ROWS(Params!AI$2:$AI568)))=0,NA(),
INDEX(TAB_Offres[Ressource 1],ROWS(Params!AI$2:$AI568)))),
IFERROR(_xlfn.SINGLE(IF(_xlfn.SINGLE(INDEX(#REF!,ROWS(Params!AI$2:$AI568)-COUNTA(TAB_Offres[Ressource 1])))=0,NA(),
INDEX(#REF!,ROWS(Params!AI$2:$AI568)-COUNTA(TAB_Offres[Ressource 1])))),
IFERROR(_xlfn.SINGLE(IF(_xlfn.SINGLE(INDEX(#REF!,ROWS(Params!AI$2:$AI568)-COUNTA(#REF!)-COUNTA(TAB_Offres[Ressource 1])))=0,NA(),
INDEX(#REF!,ROWS(Params!AI$2:$AI568)-COUNTA(#REF!)-COUNTA(TAB_Offres[Ressource 1])))),""))
)</f>
        <v/>
      </c>
      <c r="AJ568" s="192" t="str">
        <f>IF(TAB_ressource[[#This Row],[Import Ressource]]="","",MAX(AJ$1:AJ567)+1)</f>
        <v/>
      </c>
      <c r="AK568" s="193" t="str">
        <f>IFERROR(INDEX(TAB_ressource[Import Ressource],MATCH(ROW()-ROW($AK$1),TAB_ressource[ID Import ressources],0)),"")</f>
        <v/>
      </c>
      <c r="BD568" t="s">
        <v>2314</v>
      </c>
      <c r="BE568" t="s">
        <v>2315</v>
      </c>
      <c r="BF568" t="s">
        <v>2316</v>
      </c>
      <c r="BG568" t="s">
        <v>2314</v>
      </c>
    </row>
    <row r="569" spans="13:59" x14ac:dyDescent="0.25">
      <c r="M569" t="str">
        <f>_xlfn.IFNA(IF(VLOOKUP(TAB_Offres[[#This Row],[Reference]],TAB_Offres[[Reference]:[Request State]],COLUMNS(TAB_Offres[[Reference]:[Request State]]),FALSE)=D$6,TAB_Offres[[#This Row],[Reference]],""),"")</f>
        <v/>
      </c>
      <c r="N569" t="str">
        <f>_xlfn.IFNA(IF(VLOOKUP(TAB_Offres[[#This Row],[Reference]],TAB_Offres[[Reference]:[Has Expenses?]],COLUMNS(TAB_Offres[[Reference]:[Has Expenses?]]),FALSE)=J$2,TAB_Offres[[#This Row],[Reference]],""),"")</f>
        <v/>
      </c>
      <c r="O569" t="str">
        <f>IF(Tableau19[[#This Row],[EXPENSES_REF]]="","",MAX(O$1:O568)+1)</f>
        <v/>
      </c>
      <c r="P569" t="str">
        <f t="shared" si="21"/>
        <v/>
      </c>
      <c r="AI569" s="191" t="str">
        <f>IFERROR(_xlfn.SINGLE(
IF(_xlfn.SINGLE(INDEX(TAB_Offres[Ressource 1],ROWS(Params!AI$2:$AI569)))=0,NA(),
INDEX(TAB_Offres[Ressource 1],ROWS(Params!AI$2:$AI569)))),
IFERROR(_xlfn.SINGLE(IF(_xlfn.SINGLE(INDEX(#REF!,ROWS(Params!AI$2:$AI569)-COUNTA(TAB_Offres[Ressource 1])))=0,NA(),
INDEX(#REF!,ROWS(Params!AI$2:$AI569)-COUNTA(TAB_Offres[Ressource 1])))),
IFERROR(_xlfn.SINGLE(IF(_xlfn.SINGLE(INDEX(#REF!,ROWS(Params!AI$2:$AI569)-COUNTA(#REF!)-COUNTA(TAB_Offres[Ressource 1])))=0,NA(),
INDEX(#REF!,ROWS(Params!AI$2:$AI569)-COUNTA(#REF!)-COUNTA(TAB_Offres[Ressource 1])))),""))
)</f>
        <v/>
      </c>
      <c r="AJ569" s="192" t="str">
        <f>IF(TAB_ressource[[#This Row],[Import Ressource]]="","",MAX(AJ$1:AJ568)+1)</f>
        <v/>
      </c>
      <c r="AK569" s="193" t="str">
        <f>IFERROR(INDEX(TAB_ressource[Import Ressource],MATCH(ROW()-ROW($AK$1),TAB_ressource[ID Import ressources],0)),"")</f>
        <v/>
      </c>
      <c r="BD569" t="s">
        <v>2317</v>
      </c>
      <c r="BE569" t="s">
        <v>2318</v>
      </c>
      <c r="BF569" t="s">
        <v>2319</v>
      </c>
      <c r="BG569" t="s">
        <v>2317</v>
      </c>
    </row>
    <row r="570" spans="13:59" x14ac:dyDescent="0.25">
      <c r="M570" t="str">
        <f>_xlfn.IFNA(IF(VLOOKUP(TAB_Offres[[#This Row],[Reference]],TAB_Offres[[Reference]:[Request State]],COLUMNS(TAB_Offres[[Reference]:[Request State]]),FALSE)=D$6,TAB_Offres[[#This Row],[Reference]],""),"")</f>
        <v/>
      </c>
      <c r="N570" t="str">
        <f>_xlfn.IFNA(IF(VLOOKUP(TAB_Offres[[#This Row],[Reference]],TAB_Offres[[Reference]:[Has Expenses?]],COLUMNS(TAB_Offres[[Reference]:[Has Expenses?]]),FALSE)=J$2,TAB_Offres[[#This Row],[Reference]],""),"")</f>
        <v/>
      </c>
      <c r="O570" t="str">
        <f>IF(Tableau19[[#This Row],[EXPENSES_REF]]="","",MAX(O$1:O569)+1)</f>
        <v/>
      </c>
      <c r="P570" t="str">
        <f t="shared" si="21"/>
        <v/>
      </c>
      <c r="AI570" s="191" t="str">
        <f>IFERROR(_xlfn.SINGLE(
IF(_xlfn.SINGLE(INDEX(TAB_Offres[Ressource 1],ROWS(Params!AI$2:$AI570)))=0,NA(),
INDEX(TAB_Offres[Ressource 1],ROWS(Params!AI$2:$AI570)))),
IFERROR(_xlfn.SINGLE(IF(_xlfn.SINGLE(INDEX(#REF!,ROWS(Params!AI$2:$AI570)-COUNTA(TAB_Offres[Ressource 1])))=0,NA(),
INDEX(#REF!,ROWS(Params!AI$2:$AI570)-COUNTA(TAB_Offres[Ressource 1])))),
IFERROR(_xlfn.SINGLE(IF(_xlfn.SINGLE(INDEX(#REF!,ROWS(Params!AI$2:$AI570)-COUNTA(#REF!)-COUNTA(TAB_Offres[Ressource 1])))=0,NA(),
INDEX(#REF!,ROWS(Params!AI$2:$AI570)-COUNTA(#REF!)-COUNTA(TAB_Offres[Ressource 1])))),""))
)</f>
        <v/>
      </c>
      <c r="AJ570" s="192" t="str">
        <f>IF(TAB_ressource[[#This Row],[Import Ressource]]="","",MAX(AJ$1:AJ569)+1)</f>
        <v/>
      </c>
      <c r="AK570" s="193" t="str">
        <f>IFERROR(INDEX(TAB_ressource[Import Ressource],MATCH(ROW()-ROW($AK$1),TAB_ressource[ID Import ressources],0)),"")</f>
        <v/>
      </c>
      <c r="BD570" t="s">
        <v>2320</v>
      </c>
      <c r="BE570" t="s">
        <v>2321</v>
      </c>
      <c r="BF570" t="s">
        <v>2322</v>
      </c>
      <c r="BG570" t="s">
        <v>2320</v>
      </c>
    </row>
    <row r="571" spans="13:59" x14ac:dyDescent="0.25">
      <c r="M571" t="str">
        <f>_xlfn.IFNA(IF(VLOOKUP(TAB_Offres[[#This Row],[Reference]],TAB_Offres[[Reference]:[Request State]],COLUMNS(TAB_Offres[[Reference]:[Request State]]),FALSE)=D$6,TAB_Offres[[#This Row],[Reference]],""),"")</f>
        <v/>
      </c>
      <c r="N571" t="str">
        <f>_xlfn.IFNA(IF(VLOOKUP(TAB_Offres[[#This Row],[Reference]],TAB_Offres[[Reference]:[Has Expenses?]],COLUMNS(TAB_Offres[[Reference]:[Has Expenses?]]),FALSE)=J$2,TAB_Offres[[#This Row],[Reference]],""),"")</f>
        <v/>
      </c>
      <c r="O571" t="str">
        <f>IF(Tableau19[[#This Row],[EXPENSES_REF]]="","",MAX(O$1:O570)+1)</f>
        <v/>
      </c>
      <c r="P571" t="str">
        <f t="shared" si="21"/>
        <v/>
      </c>
      <c r="AI571" s="191" t="str">
        <f>IFERROR(_xlfn.SINGLE(
IF(_xlfn.SINGLE(INDEX(TAB_Offres[Ressource 1],ROWS(Params!AI$2:$AI571)))=0,NA(),
INDEX(TAB_Offres[Ressource 1],ROWS(Params!AI$2:$AI571)))),
IFERROR(_xlfn.SINGLE(IF(_xlfn.SINGLE(INDEX(#REF!,ROWS(Params!AI$2:$AI571)-COUNTA(TAB_Offres[Ressource 1])))=0,NA(),
INDEX(#REF!,ROWS(Params!AI$2:$AI571)-COUNTA(TAB_Offres[Ressource 1])))),
IFERROR(_xlfn.SINGLE(IF(_xlfn.SINGLE(INDEX(#REF!,ROWS(Params!AI$2:$AI571)-COUNTA(#REF!)-COUNTA(TAB_Offres[Ressource 1])))=0,NA(),
INDEX(#REF!,ROWS(Params!AI$2:$AI571)-COUNTA(#REF!)-COUNTA(TAB_Offres[Ressource 1])))),""))
)</f>
        <v/>
      </c>
      <c r="AJ571" s="192" t="str">
        <f>IF(TAB_ressource[[#This Row],[Import Ressource]]="","",MAX(AJ$1:AJ570)+1)</f>
        <v/>
      </c>
      <c r="AK571" s="193" t="str">
        <f>IFERROR(INDEX(TAB_ressource[Import Ressource],MATCH(ROW()-ROW($AK$1),TAB_ressource[ID Import ressources],0)),"")</f>
        <v/>
      </c>
      <c r="BD571" t="s">
        <v>2323</v>
      </c>
      <c r="BE571" t="s">
        <v>2324</v>
      </c>
      <c r="BF571" t="s">
        <v>2325</v>
      </c>
      <c r="BG571" t="s">
        <v>2323</v>
      </c>
    </row>
    <row r="572" spans="13:59" x14ac:dyDescent="0.25">
      <c r="M572" t="str">
        <f>_xlfn.IFNA(IF(VLOOKUP(TAB_Offres[[#This Row],[Reference]],TAB_Offres[[Reference]:[Request State]],COLUMNS(TAB_Offres[[Reference]:[Request State]]),FALSE)=D$6,TAB_Offres[[#This Row],[Reference]],""),"")</f>
        <v/>
      </c>
      <c r="N572" t="str">
        <f>_xlfn.IFNA(IF(VLOOKUP(TAB_Offres[[#This Row],[Reference]],TAB_Offres[[Reference]:[Has Expenses?]],COLUMNS(TAB_Offres[[Reference]:[Has Expenses?]]),FALSE)=J$2,TAB_Offres[[#This Row],[Reference]],""),"")</f>
        <v/>
      </c>
      <c r="O572" t="str">
        <f>IF(Tableau19[[#This Row],[EXPENSES_REF]]="","",MAX(O$1:O571)+1)</f>
        <v/>
      </c>
      <c r="P572" t="str">
        <f t="shared" si="21"/>
        <v/>
      </c>
      <c r="AI572" s="191" t="str">
        <f>IFERROR(_xlfn.SINGLE(
IF(_xlfn.SINGLE(INDEX(TAB_Offres[Ressource 1],ROWS(Params!AI$2:$AI572)))=0,NA(),
INDEX(TAB_Offres[Ressource 1],ROWS(Params!AI$2:$AI572)))),
IFERROR(_xlfn.SINGLE(IF(_xlfn.SINGLE(INDEX(#REF!,ROWS(Params!AI$2:$AI572)-COUNTA(TAB_Offres[Ressource 1])))=0,NA(),
INDEX(#REF!,ROWS(Params!AI$2:$AI572)-COUNTA(TAB_Offres[Ressource 1])))),
IFERROR(_xlfn.SINGLE(IF(_xlfn.SINGLE(INDEX(#REF!,ROWS(Params!AI$2:$AI572)-COUNTA(#REF!)-COUNTA(TAB_Offres[Ressource 1])))=0,NA(),
INDEX(#REF!,ROWS(Params!AI$2:$AI572)-COUNTA(#REF!)-COUNTA(TAB_Offres[Ressource 1])))),""))
)</f>
        <v/>
      </c>
      <c r="AJ572" s="192" t="str">
        <f>IF(TAB_ressource[[#This Row],[Import Ressource]]="","",MAX(AJ$1:AJ571)+1)</f>
        <v/>
      </c>
      <c r="AK572" s="193" t="str">
        <f>IFERROR(INDEX(TAB_ressource[Import Ressource],MATCH(ROW()-ROW($AK$1),TAB_ressource[ID Import ressources],0)),"")</f>
        <v/>
      </c>
      <c r="BD572" t="s">
        <v>2326</v>
      </c>
      <c r="BE572" t="s">
        <v>2327</v>
      </c>
      <c r="BF572" t="s">
        <v>2328</v>
      </c>
      <c r="BG572" t="s">
        <v>2326</v>
      </c>
    </row>
    <row r="573" spans="13:59" x14ac:dyDescent="0.25">
      <c r="M573" t="str">
        <f>_xlfn.IFNA(IF(VLOOKUP(TAB_Offres[[#This Row],[Reference]],TAB_Offres[[Reference]:[Request State]],COLUMNS(TAB_Offres[[Reference]:[Request State]]),FALSE)=D$6,TAB_Offres[[#This Row],[Reference]],""),"")</f>
        <v/>
      </c>
      <c r="N573" t="str">
        <f>_xlfn.IFNA(IF(VLOOKUP(TAB_Offres[[#This Row],[Reference]],TAB_Offres[[Reference]:[Has Expenses?]],COLUMNS(TAB_Offres[[Reference]:[Has Expenses?]]),FALSE)=J$2,TAB_Offres[[#This Row],[Reference]],""),"")</f>
        <v/>
      </c>
      <c r="O573" t="str">
        <f>IF(Tableau19[[#This Row],[EXPENSES_REF]]="","",MAX(O$1:O572)+1)</f>
        <v/>
      </c>
      <c r="P573" t="str">
        <f t="shared" si="21"/>
        <v/>
      </c>
      <c r="AI573" s="191" t="str">
        <f>IFERROR(_xlfn.SINGLE(
IF(_xlfn.SINGLE(INDEX(TAB_Offres[Ressource 1],ROWS(Params!AI$2:$AI573)))=0,NA(),
INDEX(TAB_Offres[Ressource 1],ROWS(Params!AI$2:$AI573)))),
IFERROR(_xlfn.SINGLE(IF(_xlfn.SINGLE(INDEX(#REF!,ROWS(Params!AI$2:$AI573)-COUNTA(TAB_Offres[Ressource 1])))=0,NA(),
INDEX(#REF!,ROWS(Params!AI$2:$AI573)-COUNTA(TAB_Offres[Ressource 1])))),
IFERROR(_xlfn.SINGLE(IF(_xlfn.SINGLE(INDEX(#REF!,ROWS(Params!AI$2:$AI573)-COUNTA(#REF!)-COUNTA(TAB_Offres[Ressource 1])))=0,NA(),
INDEX(#REF!,ROWS(Params!AI$2:$AI573)-COUNTA(#REF!)-COUNTA(TAB_Offres[Ressource 1])))),""))
)</f>
        <v/>
      </c>
      <c r="AJ573" s="192" t="str">
        <f>IF(TAB_ressource[[#This Row],[Import Ressource]]="","",MAX(AJ$1:AJ572)+1)</f>
        <v/>
      </c>
      <c r="AK573" s="193" t="str">
        <f>IFERROR(INDEX(TAB_ressource[Import Ressource],MATCH(ROW()-ROW($AK$1),TAB_ressource[ID Import ressources],0)),"")</f>
        <v/>
      </c>
      <c r="BD573" t="s">
        <v>2329</v>
      </c>
      <c r="BE573" t="s">
        <v>2330</v>
      </c>
      <c r="BF573" t="s">
        <v>2331</v>
      </c>
      <c r="BG573" t="s">
        <v>2329</v>
      </c>
    </row>
    <row r="574" spans="13:59" x14ac:dyDescent="0.25">
      <c r="M574" t="str">
        <f>_xlfn.IFNA(IF(VLOOKUP(TAB_Offres[[#This Row],[Reference]],TAB_Offres[[Reference]:[Request State]],COLUMNS(TAB_Offres[[Reference]:[Request State]]),FALSE)=D$6,TAB_Offres[[#This Row],[Reference]],""),"")</f>
        <v/>
      </c>
      <c r="N574" t="str">
        <f>_xlfn.IFNA(IF(VLOOKUP(TAB_Offres[[#This Row],[Reference]],TAB_Offres[[Reference]:[Has Expenses?]],COLUMNS(TAB_Offres[[Reference]:[Has Expenses?]]),FALSE)=J$2,TAB_Offres[[#This Row],[Reference]],""),"")</f>
        <v/>
      </c>
      <c r="O574" t="str">
        <f>IF(Tableau19[[#This Row],[EXPENSES_REF]]="","",MAX(O$1:O573)+1)</f>
        <v/>
      </c>
      <c r="P574" t="str">
        <f t="shared" si="21"/>
        <v/>
      </c>
      <c r="AI574" s="191" t="str">
        <f>IFERROR(_xlfn.SINGLE(
IF(_xlfn.SINGLE(INDEX(TAB_Offres[Ressource 1],ROWS(Params!AI$2:$AI574)))=0,NA(),
INDEX(TAB_Offres[Ressource 1],ROWS(Params!AI$2:$AI574)))),
IFERROR(_xlfn.SINGLE(IF(_xlfn.SINGLE(INDEX(#REF!,ROWS(Params!AI$2:$AI574)-COUNTA(TAB_Offres[Ressource 1])))=0,NA(),
INDEX(#REF!,ROWS(Params!AI$2:$AI574)-COUNTA(TAB_Offres[Ressource 1])))),
IFERROR(_xlfn.SINGLE(IF(_xlfn.SINGLE(INDEX(#REF!,ROWS(Params!AI$2:$AI574)-COUNTA(#REF!)-COUNTA(TAB_Offres[Ressource 1])))=0,NA(),
INDEX(#REF!,ROWS(Params!AI$2:$AI574)-COUNTA(#REF!)-COUNTA(TAB_Offres[Ressource 1])))),""))
)</f>
        <v/>
      </c>
      <c r="AJ574" s="192" t="str">
        <f>IF(TAB_ressource[[#This Row],[Import Ressource]]="","",MAX(AJ$1:AJ573)+1)</f>
        <v/>
      </c>
      <c r="AK574" s="193" t="str">
        <f>IFERROR(INDEX(TAB_ressource[Import Ressource],MATCH(ROW()-ROW($AK$1),TAB_ressource[ID Import ressources],0)),"")</f>
        <v/>
      </c>
      <c r="BD574" t="s">
        <v>2332</v>
      </c>
      <c r="BE574" t="s">
        <v>2333</v>
      </c>
      <c r="BF574" t="s">
        <v>2334</v>
      </c>
      <c r="BG574" t="s">
        <v>2332</v>
      </c>
    </row>
    <row r="575" spans="13:59" x14ac:dyDescent="0.25">
      <c r="M575" t="str">
        <f>_xlfn.IFNA(IF(VLOOKUP(TAB_Offres[[#This Row],[Reference]],TAB_Offres[[Reference]:[Request State]],COLUMNS(TAB_Offres[[Reference]:[Request State]]),FALSE)=D$6,TAB_Offres[[#This Row],[Reference]],""),"")</f>
        <v/>
      </c>
      <c r="N575" t="str">
        <f>_xlfn.IFNA(IF(VLOOKUP(TAB_Offres[[#This Row],[Reference]],TAB_Offres[[Reference]:[Has Expenses?]],COLUMNS(TAB_Offres[[Reference]:[Has Expenses?]]),FALSE)=J$2,TAB_Offres[[#This Row],[Reference]],""),"")</f>
        <v/>
      </c>
      <c r="O575" t="str">
        <f>IF(Tableau19[[#This Row],[EXPENSES_REF]]="","",MAX(O$1:O574)+1)</f>
        <v/>
      </c>
      <c r="P575" t="str">
        <f t="shared" si="21"/>
        <v/>
      </c>
      <c r="AI575" s="191" t="str">
        <f>IFERROR(_xlfn.SINGLE(
IF(_xlfn.SINGLE(INDEX(TAB_Offres[Ressource 1],ROWS(Params!AI$2:$AI575)))=0,NA(),
INDEX(TAB_Offres[Ressource 1],ROWS(Params!AI$2:$AI575)))),
IFERROR(_xlfn.SINGLE(IF(_xlfn.SINGLE(INDEX(#REF!,ROWS(Params!AI$2:$AI575)-COUNTA(TAB_Offres[Ressource 1])))=0,NA(),
INDEX(#REF!,ROWS(Params!AI$2:$AI575)-COUNTA(TAB_Offres[Ressource 1])))),
IFERROR(_xlfn.SINGLE(IF(_xlfn.SINGLE(INDEX(#REF!,ROWS(Params!AI$2:$AI575)-COUNTA(#REF!)-COUNTA(TAB_Offres[Ressource 1])))=0,NA(),
INDEX(#REF!,ROWS(Params!AI$2:$AI575)-COUNTA(#REF!)-COUNTA(TAB_Offres[Ressource 1])))),""))
)</f>
        <v/>
      </c>
      <c r="AJ575" s="192" t="str">
        <f>IF(TAB_ressource[[#This Row],[Import Ressource]]="","",MAX(AJ$1:AJ574)+1)</f>
        <v/>
      </c>
      <c r="AK575" s="193" t="str">
        <f>IFERROR(INDEX(TAB_ressource[Import Ressource],MATCH(ROW()-ROW($AK$1),TAB_ressource[ID Import ressources],0)),"")</f>
        <v/>
      </c>
      <c r="BD575" t="s">
        <v>2335</v>
      </c>
      <c r="BE575" t="s">
        <v>2336</v>
      </c>
      <c r="BF575" t="s">
        <v>2337</v>
      </c>
      <c r="BG575" t="s">
        <v>2335</v>
      </c>
    </row>
    <row r="576" spans="13:59" x14ac:dyDescent="0.25">
      <c r="M576" t="str">
        <f>_xlfn.IFNA(IF(VLOOKUP(TAB_Offres[[#This Row],[Reference]],TAB_Offres[[Reference]:[Request State]],COLUMNS(TAB_Offres[[Reference]:[Request State]]),FALSE)=D$6,TAB_Offres[[#This Row],[Reference]],""),"")</f>
        <v/>
      </c>
      <c r="N576" t="str">
        <f>_xlfn.IFNA(IF(VLOOKUP(TAB_Offres[[#This Row],[Reference]],TAB_Offres[[Reference]:[Has Expenses?]],COLUMNS(TAB_Offres[[Reference]:[Has Expenses?]]),FALSE)=J$2,TAB_Offres[[#This Row],[Reference]],""),"")</f>
        <v/>
      </c>
      <c r="O576" t="str">
        <f>IF(Tableau19[[#This Row],[EXPENSES_REF]]="","",MAX(O$1:O575)+1)</f>
        <v/>
      </c>
      <c r="P576" t="str">
        <f t="shared" si="21"/>
        <v/>
      </c>
      <c r="AI576" s="191" t="str">
        <f>IFERROR(_xlfn.SINGLE(
IF(_xlfn.SINGLE(INDEX(TAB_Offres[Ressource 1],ROWS(Params!AI$2:$AI576)))=0,NA(),
INDEX(TAB_Offres[Ressource 1],ROWS(Params!AI$2:$AI576)))),
IFERROR(_xlfn.SINGLE(IF(_xlfn.SINGLE(INDEX(#REF!,ROWS(Params!AI$2:$AI576)-COUNTA(TAB_Offres[Ressource 1])))=0,NA(),
INDEX(#REF!,ROWS(Params!AI$2:$AI576)-COUNTA(TAB_Offres[Ressource 1])))),
IFERROR(_xlfn.SINGLE(IF(_xlfn.SINGLE(INDEX(#REF!,ROWS(Params!AI$2:$AI576)-COUNTA(#REF!)-COUNTA(TAB_Offres[Ressource 1])))=0,NA(),
INDEX(#REF!,ROWS(Params!AI$2:$AI576)-COUNTA(#REF!)-COUNTA(TAB_Offres[Ressource 1])))),""))
)</f>
        <v/>
      </c>
      <c r="AJ576" s="192" t="str">
        <f>IF(TAB_ressource[[#This Row],[Import Ressource]]="","",MAX(AJ$1:AJ575)+1)</f>
        <v/>
      </c>
      <c r="AK576" s="193" t="str">
        <f>IFERROR(INDEX(TAB_ressource[Import Ressource],MATCH(ROW()-ROW($AK$1),TAB_ressource[ID Import ressources],0)),"")</f>
        <v/>
      </c>
      <c r="BD576" t="s">
        <v>2338</v>
      </c>
      <c r="BE576" t="s">
        <v>2339</v>
      </c>
      <c r="BF576" t="s">
        <v>2340</v>
      </c>
      <c r="BG576" t="s">
        <v>2338</v>
      </c>
    </row>
    <row r="577" spans="13:59" x14ac:dyDescent="0.25">
      <c r="M577" t="str">
        <f>_xlfn.IFNA(IF(VLOOKUP(TAB_Offres[[#This Row],[Reference]],TAB_Offres[[Reference]:[Request State]],COLUMNS(TAB_Offres[[Reference]:[Request State]]),FALSE)=D$6,TAB_Offres[[#This Row],[Reference]],""),"")</f>
        <v/>
      </c>
      <c r="N577" t="str">
        <f>_xlfn.IFNA(IF(VLOOKUP(TAB_Offres[[#This Row],[Reference]],TAB_Offres[[Reference]:[Has Expenses?]],COLUMNS(TAB_Offres[[Reference]:[Has Expenses?]]),FALSE)=J$2,TAB_Offres[[#This Row],[Reference]],""),"")</f>
        <v/>
      </c>
      <c r="O577" t="str">
        <f>IF(Tableau19[[#This Row],[EXPENSES_REF]]="","",MAX(O$1:O576)+1)</f>
        <v/>
      </c>
      <c r="P577" t="str">
        <f t="shared" si="21"/>
        <v/>
      </c>
      <c r="AI577" s="191" t="str">
        <f>IFERROR(_xlfn.SINGLE(
IF(_xlfn.SINGLE(INDEX(TAB_Offres[Ressource 1],ROWS(Params!AI$2:$AI577)))=0,NA(),
INDEX(TAB_Offres[Ressource 1],ROWS(Params!AI$2:$AI577)))),
IFERROR(_xlfn.SINGLE(IF(_xlfn.SINGLE(INDEX(#REF!,ROWS(Params!AI$2:$AI577)-COUNTA(TAB_Offres[Ressource 1])))=0,NA(),
INDEX(#REF!,ROWS(Params!AI$2:$AI577)-COUNTA(TAB_Offres[Ressource 1])))),
IFERROR(_xlfn.SINGLE(IF(_xlfn.SINGLE(INDEX(#REF!,ROWS(Params!AI$2:$AI577)-COUNTA(#REF!)-COUNTA(TAB_Offres[Ressource 1])))=0,NA(),
INDEX(#REF!,ROWS(Params!AI$2:$AI577)-COUNTA(#REF!)-COUNTA(TAB_Offres[Ressource 1])))),""))
)</f>
        <v/>
      </c>
      <c r="AJ577" s="192" t="str">
        <f>IF(TAB_ressource[[#This Row],[Import Ressource]]="","",MAX(AJ$1:AJ576)+1)</f>
        <v/>
      </c>
      <c r="AK577" s="193" t="str">
        <f>IFERROR(INDEX(TAB_ressource[Import Ressource],MATCH(ROW()-ROW($AK$1),TAB_ressource[ID Import ressources],0)),"")</f>
        <v/>
      </c>
      <c r="BD577" t="s">
        <v>2341</v>
      </c>
      <c r="BE577" t="s">
        <v>2342</v>
      </c>
      <c r="BF577" t="s">
        <v>2343</v>
      </c>
      <c r="BG577" t="s">
        <v>2341</v>
      </c>
    </row>
    <row r="578" spans="13:59" x14ac:dyDescent="0.25">
      <c r="M578" t="str">
        <f>_xlfn.IFNA(IF(VLOOKUP(TAB_Offres[[#This Row],[Reference]],TAB_Offres[[Reference]:[Request State]],COLUMNS(TAB_Offres[[Reference]:[Request State]]),FALSE)=D$6,TAB_Offres[[#This Row],[Reference]],""),"")</f>
        <v/>
      </c>
      <c r="N578" t="str">
        <f>_xlfn.IFNA(IF(VLOOKUP(TAB_Offres[[#This Row],[Reference]],TAB_Offres[[Reference]:[Has Expenses?]],COLUMNS(TAB_Offres[[Reference]:[Has Expenses?]]),FALSE)=J$2,TAB_Offres[[#This Row],[Reference]],""),"")</f>
        <v/>
      </c>
      <c r="O578" t="str">
        <f>IF(Tableau19[[#This Row],[EXPENSES_REF]]="","",MAX(O$1:O577)+1)</f>
        <v/>
      </c>
      <c r="P578" t="str">
        <f t="shared" ref="P578:P641" si="22">IFERROR(INDEX($N$2:$N$1001,MATCH(ROW()-ROW($P$1),$O$2:$O$1001,0)),"")</f>
        <v/>
      </c>
      <c r="AI578" s="191" t="str">
        <f>IFERROR(_xlfn.SINGLE(
IF(_xlfn.SINGLE(INDEX(TAB_Offres[Ressource 1],ROWS(Params!AI$2:$AI578)))=0,NA(),
INDEX(TAB_Offres[Ressource 1],ROWS(Params!AI$2:$AI578)))),
IFERROR(_xlfn.SINGLE(IF(_xlfn.SINGLE(INDEX(#REF!,ROWS(Params!AI$2:$AI578)-COUNTA(TAB_Offres[Ressource 1])))=0,NA(),
INDEX(#REF!,ROWS(Params!AI$2:$AI578)-COUNTA(TAB_Offres[Ressource 1])))),
IFERROR(_xlfn.SINGLE(IF(_xlfn.SINGLE(INDEX(#REF!,ROWS(Params!AI$2:$AI578)-COUNTA(#REF!)-COUNTA(TAB_Offres[Ressource 1])))=0,NA(),
INDEX(#REF!,ROWS(Params!AI$2:$AI578)-COUNTA(#REF!)-COUNTA(TAB_Offres[Ressource 1])))),""))
)</f>
        <v/>
      </c>
      <c r="AJ578" s="192" t="str">
        <f>IF(TAB_ressource[[#This Row],[Import Ressource]]="","",MAX(AJ$1:AJ577)+1)</f>
        <v/>
      </c>
      <c r="AK578" s="193" t="str">
        <f>IFERROR(INDEX(TAB_ressource[Import Ressource],MATCH(ROW()-ROW($AK$1),TAB_ressource[ID Import ressources],0)),"")</f>
        <v/>
      </c>
      <c r="BD578" t="s">
        <v>2344</v>
      </c>
      <c r="BE578" t="s">
        <v>2345</v>
      </c>
      <c r="BF578" t="s">
        <v>2346</v>
      </c>
      <c r="BG578" t="s">
        <v>2344</v>
      </c>
    </row>
    <row r="579" spans="13:59" x14ac:dyDescent="0.25">
      <c r="M579" t="str">
        <f>_xlfn.IFNA(IF(VLOOKUP(TAB_Offres[[#This Row],[Reference]],TAB_Offres[[Reference]:[Request State]],COLUMNS(TAB_Offres[[Reference]:[Request State]]),FALSE)=D$6,TAB_Offres[[#This Row],[Reference]],""),"")</f>
        <v/>
      </c>
      <c r="N579" t="str">
        <f>_xlfn.IFNA(IF(VLOOKUP(TAB_Offres[[#This Row],[Reference]],TAB_Offres[[Reference]:[Has Expenses?]],COLUMNS(TAB_Offres[[Reference]:[Has Expenses?]]),FALSE)=J$2,TAB_Offres[[#This Row],[Reference]],""),"")</f>
        <v/>
      </c>
      <c r="O579" t="str">
        <f>IF(Tableau19[[#This Row],[EXPENSES_REF]]="","",MAX(O$1:O578)+1)</f>
        <v/>
      </c>
      <c r="P579" t="str">
        <f t="shared" si="22"/>
        <v/>
      </c>
      <c r="AI579" s="191" t="str">
        <f>IFERROR(_xlfn.SINGLE(
IF(_xlfn.SINGLE(INDEX(TAB_Offres[Ressource 1],ROWS(Params!AI$2:$AI579)))=0,NA(),
INDEX(TAB_Offres[Ressource 1],ROWS(Params!AI$2:$AI579)))),
IFERROR(_xlfn.SINGLE(IF(_xlfn.SINGLE(INDEX(#REF!,ROWS(Params!AI$2:$AI579)-COUNTA(TAB_Offres[Ressource 1])))=0,NA(),
INDEX(#REF!,ROWS(Params!AI$2:$AI579)-COUNTA(TAB_Offres[Ressource 1])))),
IFERROR(_xlfn.SINGLE(IF(_xlfn.SINGLE(INDEX(#REF!,ROWS(Params!AI$2:$AI579)-COUNTA(#REF!)-COUNTA(TAB_Offres[Ressource 1])))=0,NA(),
INDEX(#REF!,ROWS(Params!AI$2:$AI579)-COUNTA(#REF!)-COUNTA(TAB_Offres[Ressource 1])))),""))
)</f>
        <v/>
      </c>
      <c r="AJ579" s="192" t="str">
        <f>IF(TAB_ressource[[#This Row],[Import Ressource]]="","",MAX(AJ$1:AJ578)+1)</f>
        <v/>
      </c>
      <c r="AK579" s="193" t="str">
        <f>IFERROR(INDEX(TAB_ressource[Import Ressource],MATCH(ROW()-ROW($AK$1),TAB_ressource[ID Import ressources],0)),"")</f>
        <v/>
      </c>
      <c r="BD579" t="s">
        <v>2347</v>
      </c>
      <c r="BE579" t="s">
        <v>2348</v>
      </c>
      <c r="BF579" t="s">
        <v>2349</v>
      </c>
      <c r="BG579" t="s">
        <v>2347</v>
      </c>
    </row>
    <row r="580" spans="13:59" x14ac:dyDescent="0.25">
      <c r="M580" t="str">
        <f>_xlfn.IFNA(IF(VLOOKUP(TAB_Offres[[#This Row],[Reference]],TAB_Offres[[Reference]:[Request State]],COLUMNS(TAB_Offres[[Reference]:[Request State]]),FALSE)=D$6,TAB_Offres[[#This Row],[Reference]],""),"")</f>
        <v/>
      </c>
      <c r="N580" t="str">
        <f>_xlfn.IFNA(IF(VLOOKUP(TAB_Offres[[#This Row],[Reference]],TAB_Offres[[Reference]:[Has Expenses?]],COLUMNS(TAB_Offres[[Reference]:[Has Expenses?]]),FALSE)=J$2,TAB_Offres[[#This Row],[Reference]],""),"")</f>
        <v/>
      </c>
      <c r="O580" t="str">
        <f>IF(Tableau19[[#This Row],[EXPENSES_REF]]="","",MAX(O$1:O579)+1)</f>
        <v/>
      </c>
      <c r="P580" t="str">
        <f t="shared" si="22"/>
        <v/>
      </c>
      <c r="AI580" s="191" t="str">
        <f>IFERROR(_xlfn.SINGLE(
IF(_xlfn.SINGLE(INDEX(TAB_Offres[Ressource 1],ROWS(Params!AI$2:$AI580)))=0,NA(),
INDEX(TAB_Offres[Ressource 1],ROWS(Params!AI$2:$AI580)))),
IFERROR(_xlfn.SINGLE(IF(_xlfn.SINGLE(INDEX(#REF!,ROWS(Params!AI$2:$AI580)-COUNTA(TAB_Offres[Ressource 1])))=0,NA(),
INDEX(#REF!,ROWS(Params!AI$2:$AI580)-COUNTA(TAB_Offres[Ressource 1])))),
IFERROR(_xlfn.SINGLE(IF(_xlfn.SINGLE(INDEX(#REF!,ROWS(Params!AI$2:$AI580)-COUNTA(#REF!)-COUNTA(TAB_Offres[Ressource 1])))=0,NA(),
INDEX(#REF!,ROWS(Params!AI$2:$AI580)-COUNTA(#REF!)-COUNTA(TAB_Offres[Ressource 1])))),""))
)</f>
        <v/>
      </c>
      <c r="AJ580" s="192" t="str">
        <f>IF(TAB_ressource[[#This Row],[Import Ressource]]="","",MAX(AJ$1:AJ579)+1)</f>
        <v/>
      </c>
      <c r="AK580" s="193" t="str">
        <f>IFERROR(INDEX(TAB_ressource[Import Ressource],MATCH(ROW()-ROW($AK$1),TAB_ressource[ID Import ressources],0)),"")</f>
        <v/>
      </c>
      <c r="BD580" t="s">
        <v>2350</v>
      </c>
      <c r="BE580" t="s">
        <v>2351</v>
      </c>
      <c r="BF580" t="s">
        <v>2352</v>
      </c>
      <c r="BG580" t="s">
        <v>2350</v>
      </c>
    </row>
    <row r="581" spans="13:59" x14ac:dyDescent="0.25">
      <c r="M581" t="str">
        <f>_xlfn.IFNA(IF(VLOOKUP(TAB_Offres[[#This Row],[Reference]],TAB_Offres[[Reference]:[Request State]],COLUMNS(TAB_Offres[[Reference]:[Request State]]),FALSE)=D$6,TAB_Offres[[#This Row],[Reference]],""),"")</f>
        <v/>
      </c>
      <c r="N581" t="str">
        <f>_xlfn.IFNA(IF(VLOOKUP(TAB_Offres[[#This Row],[Reference]],TAB_Offres[[Reference]:[Has Expenses?]],COLUMNS(TAB_Offres[[Reference]:[Has Expenses?]]),FALSE)=J$2,TAB_Offres[[#This Row],[Reference]],""),"")</f>
        <v/>
      </c>
      <c r="O581" t="str">
        <f>IF(Tableau19[[#This Row],[EXPENSES_REF]]="","",MAX(O$1:O580)+1)</f>
        <v/>
      </c>
      <c r="P581" t="str">
        <f t="shared" si="22"/>
        <v/>
      </c>
      <c r="AI581" s="191" t="str">
        <f>IFERROR(_xlfn.SINGLE(
IF(_xlfn.SINGLE(INDEX(TAB_Offres[Ressource 1],ROWS(Params!AI$2:$AI581)))=0,NA(),
INDEX(TAB_Offres[Ressource 1],ROWS(Params!AI$2:$AI581)))),
IFERROR(_xlfn.SINGLE(IF(_xlfn.SINGLE(INDEX(#REF!,ROWS(Params!AI$2:$AI581)-COUNTA(TAB_Offres[Ressource 1])))=0,NA(),
INDEX(#REF!,ROWS(Params!AI$2:$AI581)-COUNTA(TAB_Offres[Ressource 1])))),
IFERROR(_xlfn.SINGLE(IF(_xlfn.SINGLE(INDEX(#REF!,ROWS(Params!AI$2:$AI581)-COUNTA(#REF!)-COUNTA(TAB_Offres[Ressource 1])))=0,NA(),
INDEX(#REF!,ROWS(Params!AI$2:$AI581)-COUNTA(#REF!)-COUNTA(TAB_Offres[Ressource 1])))),""))
)</f>
        <v/>
      </c>
      <c r="AJ581" s="192" t="str">
        <f>IF(TAB_ressource[[#This Row],[Import Ressource]]="","",MAX(AJ$1:AJ580)+1)</f>
        <v/>
      </c>
      <c r="AK581" s="193" t="str">
        <f>IFERROR(INDEX(TAB_ressource[Import Ressource],MATCH(ROW()-ROW($AK$1),TAB_ressource[ID Import ressources],0)),"")</f>
        <v/>
      </c>
      <c r="BD581" t="s">
        <v>2353</v>
      </c>
      <c r="BE581" t="s">
        <v>2354</v>
      </c>
      <c r="BF581" t="s">
        <v>2355</v>
      </c>
      <c r="BG581" t="s">
        <v>2353</v>
      </c>
    </row>
    <row r="582" spans="13:59" x14ac:dyDescent="0.25">
      <c r="M582" t="str">
        <f>_xlfn.IFNA(IF(VLOOKUP(TAB_Offres[[#This Row],[Reference]],TAB_Offres[[Reference]:[Request State]],COLUMNS(TAB_Offres[[Reference]:[Request State]]),FALSE)=D$6,TAB_Offres[[#This Row],[Reference]],""),"")</f>
        <v/>
      </c>
      <c r="N582" t="str">
        <f>_xlfn.IFNA(IF(VLOOKUP(TAB_Offres[[#This Row],[Reference]],TAB_Offres[[Reference]:[Has Expenses?]],COLUMNS(TAB_Offres[[Reference]:[Has Expenses?]]),FALSE)=J$2,TAB_Offres[[#This Row],[Reference]],""),"")</f>
        <v/>
      </c>
      <c r="O582" t="str">
        <f>IF(Tableau19[[#This Row],[EXPENSES_REF]]="","",MAX(O$1:O581)+1)</f>
        <v/>
      </c>
      <c r="P582" t="str">
        <f t="shared" si="22"/>
        <v/>
      </c>
      <c r="AI582" s="191" t="str">
        <f>IFERROR(_xlfn.SINGLE(
IF(_xlfn.SINGLE(INDEX(TAB_Offres[Ressource 1],ROWS(Params!AI$2:$AI582)))=0,NA(),
INDEX(TAB_Offres[Ressource 1],ROWS(Params!AI$2:$AI582)))),
IFERROR(_xlfn.SINGLE(IF(_xlfn.SINGLE(INDEX(#REF!,ROWS(Params!AI$2:$AI582)-COUNTA(TAB_Offres[Ressource 1])))=0,NA(),
INDEX(#REF!,ROWS(Params!AI$2:$AI582)-COUNTA(TAB_Offres[Ressource 1])))),
IFERROR(_xlfn.SINGLE(IF(_xlfn.SINGLE(INDEX(#REF!,ROWS(Params!AI$2:$AI582)-COUNTA(#REF!)-COUNTA(TAB_Offres[Ressource 1])))=0,NA(),
INDEX(#REF!,ROWS(Params!AI$2:$AI582)-COUNTA(#REF!)-COUNTA(TAB_Offres[Ressource 1])))),""))
)</f>
        <v/>
      </c>
      <c r="AJ582" s="192" t="str">
        <f>IF(TAB_ressource[[#This Row],[Import Ressource]]="","",MAX(AJ$1:AJ581)+1)</f>
        <v/>
      </c>
      <c r="AK582" s="193" t="str">
        <f>IFERROR(INDEX(TAB_ressource[Import Ressource],MATCH(ROW()-ROW($AK$1),TAB_ressource[ID Import ressources],0)),"")</f>
        <v/>
      </c>
      <c r="BD582" t="s">
        <v>2356</v>
      </c>
      <c r="BE582" t="s">
        <v>2357</v>
      </c>
      <c r="BF582" t="s">
        <v>2358</v>
      </c>
      <c r="BG582" t="s">
        <v>2356</v>
      </c>
    </row>
    <row r="583" spans="13:59" x14ac:dyDescent="0.25">
      <c r="M583" t="str">
        <f>_xlfn.IFNA(IF(VLOOKUP(TAB_Offres[[#This Row],[Reference]],TAB_Offres[[Reference]:[Request State]],COLUMNS(TAB_Offres[[Reference]:[Request State]]),FALSE)=D$6,TAB_Offres[[#This Row],[Reference]],""),"")</f>
        <v/>
      </c>
      <c r="N583" t="str">
        <f>_xlfn.IFNA(IF(VLOOKUP(TAB_Offres[[#This Row],[Reference]],TAB_Offres[[Reference]:[Has Expenses?]],COLUMNS(TAB_Offres[[Reference]:[Has Expenses?]]),FALSE)=J$2,TAB_Offres[[#This Row],[Reference]],""),"")</f>
        <v/>
      </c>
      <c r="O583" t="str">
        <f>IF(Tableau19[[#This Row],[EXPENSES_REF]]="","",MAX(O$1:O582)+1)</f>
        <v/>
      </c>
      <c r="P583" t="str">
        <f t="shared" si="22"/>
        <v/>
      </c>
      <c r="AI583" s="191" t="str">
        <f>IFERROR(_xlfn.SINGLE(
IF(_xlfn.SINGLE(INDEX(TAB_Offres[Ressource 1],ROWS(Params!AI$2:$AI583)))=0,NA(),
INDEX(TAB_Offres[Ressource 1],ROWS(Params!AI$2:$AI583)))),
IFERROR(_xlfn.SINGLE(IF(_xlfn.SINGLE(INDEX(#REF!,ROWS(Params!AI$2:$AI583)-COUNTA(TAB_Offres[Ressource 1])))=0,NA(),
INDEX(#REF!,ROWS(Params!AI$2:$AI583)-COUNTA(TAB_Offres[Ressource 1])))),
IFERROR(_xlfn.SINGLE(IF(_xlfn.SINGLE(INDEX(#REF!,ROWS(Params!AI$2:$AI583)-COUNTA(#REF!)-COUNTA(TAB_Offres[Ressource 1])))=0,NA(),
INDEX(#REF!,ROWS(Params!AI$2:$AI583)-COUNTA(#REF!)-COUNTA(TAB_Offres[Ressource 1])))),""))
)</f>
        <v/>
      </c>
      <c r="AJ583" s="192" t="str">
        <f>IF(TAB_ressource[[#This Row],[Import Ressource]]="","",MAX(AJ$1:AJ582)+1)</f>
        <v/>
      </c>
      <c r="AK583" s="193" t="str">
        <f>IFERROR(INDEX(TAB_ressource[Import Ressource],MATCH(ROW()-ROW($AK$1),TAB_ressource[ID Import ressources],0)),"")</f>
        <v/>
      </c>
      <c r="BD583" t="s">
        <v>2359</v>
      </c>
      <c r="BE583" t="s">
        <v>2360</v>
      </c>
      <c r="BF583" t="s">
        <v>2361</v>
      </c>
      <c r="BG583" t="s">
        <v>2359</v>
      </c>
    </row>
    <row r="584" spans="13:59" x14ac:dyDescent="0.25">
      <c r="M584" t="str">
        <f>_xlfn.IFNA(IF(VLOOKUP(TAB_Offres[[#This Row],[Reference]],TAB_Offres[[Reference]:[Request State]],COLUMNS(TAB_Offres[[Reference]:[Request State]]),FALSE)=D$6,TAB_Offres[[#This Row],[Reference]],""),"")</f>
        <v/>
      </c>
      <c r="N584" t="str">
        <f>_xlfn.IFNA(IF(VLOOKUP(TAB_Offres[[#This Row],[Reference]],TAB_Offres[[Reference]:[Has Expenses?]],COLUMNS(TAB_Offres[[Reference]:[Has Expenses?]]),FALSE)=J$2,TAB_Offres[[#This Row],[Reference]],""),"")</f>
        <v/>
      </c>
      <c r="O584" t="str">
        <f>IF(Tableau19[[#This Row],[EXPENSES_REF]]="","",MAX(O$1:O583)+1)</f>
        <v/>
      </c>
      <c r="P584" t="str">
        <f t="shared" si="22"/>
        <v/>
      </c>
      <c r="AI584" s="191" t="str">
        <f>IFERROR(_xlfn.SINGLE(
IF(_xlfn.SINGLE(INDEX(TAB_Offres[Ressource 1],ROWS(Params!AI$2:$AI584)))=0,NA(),
INDEX(TAB_Offres[Ressource 1],ROWS(Params!AI$2:$AI584)))),
IFERROR(_xlfn.SINGLE(IF(_xlfn.SINGLE(INDEX(#REF!,ROWS(Params!AI$2:$AI584)-COUNTA(TAB_Offres[Ressource 1])))=0,NA(),
INDEX(#REF!,ROWS(Params!AI$2:$AI584)-COUNTA(TAB_Offres[Ressource 1])))),
IFERROR(_xlfn.SINGLE(IF(_xlfn.SINGLE(INDEX(#REF!,ROWS(Params!AI$2:$AI584)-COUNTA(#REF!)-COUNTA(TAB_Offres[Ressource 1])))=0,NA(),
INDEX(#REF!,ROWS(Params!AI$2:$AI584)-COUNTA(#REF!)-COUNTA(TAB_Offres[Ressource 1])))),""))
)</f>
        <v/>
      </c>
      <c r="AJ584" s="192" t="str">
        <f>IF(TAB_ressource[[#This Row],[Import Ressource]]="","",MAX(AJ$1:AJ583)+1)</f>
        <v/>
      </c>
      <c r="AK584" s="193" t="str">
        <f>IFERROR(INDEX(TAB_ressource[Import Ressource],MATCH(ROW()-ROW($AK$1),TAB_ressource[ID Import ressources],0)),"")</f>
        <v/>
      </c>
      <c r="BD584" t="s">
        <v>2362</v>
      </c>
      <c r="BE584" t="s">
        <v>2363</v>
      </c>
      <c r="BF584" t="s">
        <v>2364</v>
      </c>
      <c r="BG584" t="s">
        <v>2362</v>
      </c>
    </row>
    <row r="585" spans="13:59" x14ac:dyDescent="0.25">
      <c r="M585" t="str">
        <f>_xlfn.IFNA(IF(VLOOKUP(TAB_Offres[[#This Row],[Reference]],TAB_Offres[[Reference]:[Request State]],COLUMNS(TAB_Offres[[Reference]:[Request State]]),FALSE)=D$6,TAB_Offres[[#This Row],[Reference]],""),"")</f>
        <v/>
      </c>
      <c r="N585" t="str">
        <f>_xlfn.IFNA(IF(VLOOKUP(TAB_Offres[[#This Row],[Reference]],TAB_Offres[[Reference]:[Has Expenses?]],COLUMNS(TAB_Offres[[Reference]:[Has Expenses?]]),FALSE)=J$2,TAB_Offres[[#This Row],[Reference]],""),"")</f>
        <v/>
      </c>
      <c r="O585" t="str">
        <f>IF(Tableau19[[#This Row],[EXPENSES_REF]]="","",MAX(O$1:O584)+1)</f>
        <v/>
      </c>
      <c r="P585" t="str">
        <f t="shared" si="22"/>
        <v/>
      </c>
      <c r="AI585" s="191" t="str">
        <f>IFERROR(_xlfn.SINGLE(
IF(_xlfn.SINGLE(INDEX(TAB_Offres[Ressource 1],ROWS(Params!AI$2:$AI585)))=0,NA(),
INDEX(TAB_Offres[Ressource 1],ROWS(Params!AI$2:$AI585)))),
IFERROR(_xlfn.SINGLE(IF(_xlfn.SINGLE(INDEX(#REF!,ROWS(Params!AI$2:$AI585)-COUNTA(TAB_Offres[Ressource 1])))=0,NA(),
INDEX(#REF!,ROWS(Params!AI$2:$AI585)-COUNTA(TAB_Offres[Ressource 1])))),
IFERROR(_xlfn.SINGLE(IF(_xlfn.SINGLE(INDEX(#REF!,ROWS(Params!AI$2:$AI585)-COUNTA(#REF!)-COUNTA(TAB_Offres[Ressource 1])))=0,NA(),
INDEX(#REF!,ROWS(Params!AI$2:$AI585)-COUNTA(#REF!)-COUNTA(TAB_Offres[Ressource 1])))),""))
)</f>
        <v/>
      </c>
      <c r="AJ585" s="192" t="str">
        <f>IF(TAB_ressource[[#This Row],[Import Ressource]]="","",MAX(AJ$1:AJ584)+1)</f>
        <v/>
      </c>
      <c r="AK585" s="193" t="str">
        <f>IFERROR(INDEX(TAB_ressource[Import Ressource],MATCH(ROW()-ROW($AK$1),TAB_ressource[ID Import ressources],0)),"")</f>
        <v/>
      </c>
      <c r="BD585" t="s">
        <v>2365</v>
      </c>
      <c r="BE585" t="s">
        <v>2366</v>
      </c>
      <c r="BF585" t="s">
        <v>2367</v>
      </c>
      <c r="BG585" t="s">
        <v>2365</v>
      </c>
    </row>
    <row r="586" spans="13:59" x14ac:dyDescent="0.25">
      <c r="M586" t="str">
        <f>_xlfn.IFNA(IF(VLOOKUP(TAB_Offres[[#This Row],[Reference]],TAB_Offres[[Reference]:[Request State]],COLUMNS(TAB_Offres[[Reference]:[Request State]]),FALSE)=D$6,TAB_Offres[[#This Row],[Reference]],""),"")</f>
        <v/>
      </c>
      <c r="N586" t="str">
        <f>_xlfn.IFNA(IF(VLOOKUP(TAB_Offres[[#This Row],[Reference]],TAB_Offres[[Reference]:[Has Expenses?]],COLUMNS(TAB_Offres[[Reference]:[Has Expenses?]]),FALSE)=J$2,TAB_Offres[[#This Row],[Reference]],""),"")</f>
        <v/>
      </c>
      <c r="O586" t="str">
        <f>IF(Tableau19[[#This Row],[EXPENSES_REF]]="","",MAX(O$1:O585)+1)</f>
        <v/>
      </c>
      <c r="P586" t="str">
        <f t="shared" si="22"/>
        <v/>
      </c>
      <c r="AI586" s="191" t="str">
        <f>IFERROR(_xlfn.SINGLE(
IF(_xlfn.SINGLE(INDEX(TAB_Offres[Ressource 1],ROWS(Params!AI$2:$AI586)))=0,NA(),
INDEX(TAB_Offres[Ressource 1],ROWS(Params!AI$2:$AI586)))),
IFERROR(_xlfn.SINGLE(IF(_xlfn.SINGLE(INDEX(#REF!,ROWS(Params!AI$2:$AI586)-COUNTA(TAB_Offres[Ressource 1])))=0,NA(),
INDEX(#REF!,ROWS(Params!AI$2:$AI586)-COUNTA(TAB_Offres[Ressource 1])))),
IFERROR(_xlfn.SINGLE(IF(_xlfn.SINGLE(INDEX(#REF!,ROWS(Params!AI$2:$AI586)-COUNTA(#REF!)-COUNTA(TAB_Offres[Ressource 1])))=0,NA(),
INDEX(#REF!,ROWS(Params!AI$2:$AI586)-COUNTA(#REF!)-COUNTA(TAB_Offres[Ressource 1])))),""))
)</f>
        <v/>
      </c>
      <c r="AJ586" s="192" t="str">
        <f>IF(TAB_ressource[[#This Row],[Import Ressource]]="","",MAX(AJ$1:AJ585)+1)</f>
        <v/>
      </c>
      <c r="AK586" s="193" t="str">
        <f>IFERROR(INDEX(TAB_ressource[Import Ressource],MATCH(ROW()-ROW($AK$1),TAB_ressource[ID Import ressources],0)),"")</f>
        <v/>
      </c>
      <c r="BD586" t="s">
        <v>2368</v>
      </c>
      <c r="BE586" t="s">
        <v>2369</v>
      </c>
      <c r="BF586" t="s">
        <v>2370</v>
      </c>
      <c r="BG586" t="s">
        <v>2368</v>
      </c>
    </row>
    <row r="587" spans="13:59" x14ac:dyDescent="0.25">
      <c r="M587" t="str">
        <f>_xlfn.IFNA(IF(VLOOKUP(TAB_Offres[[#This Row],[Reference]],TAB_Offres[[Reference]:[Request State]],COLUMNS(TAB_Offres[[Reference]:[Request State]]),FALSE)=D$6,TAB_Offres[[#This Row],[Reference]],""),"")</f>
        <v/>
      </c>
      <c r="N587" t="str">
        <f>_xlfn.IFNA(IF(VLOOKUP(TAB_Offres[[#This Row],[Reference]],TAB_Offres[[Reference]:[Has Expenses?]],COLUMNS(TAB_Offres[[Reference]:[Has Expenses?]]),FALSE)=J$2,TAB_Offres[[#This Row],[Reference]],""),"")</f>
        <v/>
      </c>
      <c r="O587" t="str">
        <f>IF(Tableau19[[#This Row],[EXPENSES_REF]]="","",MAX(O$1:O586)+1)</f>
        <v/>
      </c>
      <c r="P587" t="str">
        <f t="shared" si="22"/>
        <v/>
      </c>
      <c r="AI587" s="191" t="str">
        <f>IFERROR(_xlfn.SINGLE(
IF(_xlfn.SINGLE(INDEX(TAB_Offres[Ressource 1],ROWS(Params!AI$2:$AI587)))=0,NA(),
INDEX(TAB_Offres[Ressource 1],ROWS(Params!AI$2:$AI587)))),
IFERROR(_xlfn.SINGLE(IF(_xlfn.SINGLE(INDEX(#REF!,ROWS(Params!AI$2:$AI587)-COUNTA(TAB_Offres[Ressource 1])))=0,NA(),
INDEX(#REF!,ROWS(Params!AI$2:$AI587)-COUNTA(TAB_Offres[Ressource 1])))),
IFERROR(_xlfn.SINGLE(IF(_xlfn.SINGLE(INDEX(#REF!,ROWS(Params!AI$2:$AI587)-COUNTA(#REF!)-COUNTA(TAB_Offres[Ressource 1])))=0,NA(),
INDEX(#REF!,ROWS(Params!AI$2:$AI587)-COUNTA(#REF!)-COUNTA(TAB_Offres[Ressource 1])))),""))
)</f>
        <v/>
      </c>
      <c r="AJ587" s="192" t="str">
        <f>IF(TAB_ressource[[#This Row],[Import Ressource]]="","",MAX(AJ$1:AJ586)+1)</f>
        <v/>
      </c>
      <c r="AK587" s="193" t="str">
        <f>IFERROR(INDEX(TAB_ressource[Import Ressource],MATCH(ROW()-ROW($AK$1),TAB_ressource[ID Import ressources],0)),"")</f>
        <v/>
      </c>
      <c r="BD587" t="s">
        <v>2371</v>
      </c>
      <c r="BE587" t="s">
        <v>2372</v>
      </c>
      <c r="BF587" t="s">
        <v>2373</v>
      </c>
      <c r="BG587" t="s">
        <v>2371</v>
      </c>
    </row>
    <row r="588" spans="13:59" x14ac:dyDescent="0.25">
      <c r="M588" t="str">
        <f>_xlfn.IFNA(IF(VLOOKUP(TAB_Offres[[#This Row],[Reference]],TAB_Offres[[Reference]:[Request State]],COLUMNS(TAB_Offres[[Reference]:[Request State]]),FALSE)=D$6,TAB_Offres[[#This Row],[Reference]],""),"")</f>
        <v/>
      </c>
      <c r="N588" t="str">
        <f>_xlfn.IFNA(IF(VLOOKUP(TAB_Offres[[#This Row],[Reference]],TAB_Offres[[Reference]:[Has Expenses?]],COLUMNS(TAB_Offres[[Reference]:[Has Expenses?]]),FALSE)=J$2,TAB_Offres[[#This Row],[Reference]],""),"")</f>
        <v/>
      </c>
      <c r="O588" t="str">
        <f>IF(Tableau19[[#This Row],[EXPENSES_REF]]="","",MAX(O$1:O587)+1)</f>
        <v/>
      </c>
      <c r="P588" t="str">
        <f t="shared" si="22"/>
        <v/>
      </c>
      <c r="AI588" s="191" t="str">
        <f>IFERROR(_xlfn.SINGLE(
IF(_xlfn.SINGLE(INDEX(TAB_Offres[Ressource 1],ROWS(Params!AI$2:$AI588)))=0,NA(),
INDEX(TAB_Offres[Ressource 1],ROWS(Params!AI$2:$AI588)))),
IFERROR(_xlfn.SINGLE(IF(_xlfn.SINGLE(INDEX(#REF!,ROWS(Params!AI$2:$AI588)-COUNTA(TAB_Offres[Ressource 1])))=0,NA(),
INDEX(#REF!,ROWS(Params!AI$2:$AI588)-COUNTA(TAB_Offres[Ressource 1])))),
IFERROR(_xlfn.SINGLE(IF(_xlfn.SINGLE(INDEX(#REF!,ROWS(Params!AI$2:$AI588)-COUNTA(#REF!)-COUNTA(TAB_Offres[Ressource 1])))=0,NA(),
INDEX(#REF!,ROWS(Params!AI$2:$AI588)-COUNTA(#REF!)-COUNTA(TAB_Offres[Ressource 1])))),""))
)</f>
        <v/>
      </c>
      <c r="AJ588" s="192" t="str">
        <f>IF(TAB_ressource[[#This Row],[Import Ressource]]="","",MAX(AJ$1:AJ587)+1)</f>
        <v/>
      </c>
      <c r="AK588" s="193" t="str">
        <f>IFERROR(INDEX(TAB_ressource[Import Ressource],MATCH(ROW()-ROW($AK$1),TAB_ressource[ID Import ressources],0)),"")</f>
        <v/>
      </c>
      <c r="BD588" t="s">
        <v>2374</v>
      </c>
      <c r="BE588" t="s">
        <v>2375</v>
      </c>
      <c r="BF588" t="s">
        <v>2376</v>
      </c>
      <c r="BG588" t="s">
        <v>2374</v>
      </c>
    </row>
    <row r="589" spans="13:59" x14ac:dyDescent="0.25">
      <c r="M589" t="str">
        <f>_xlfn.IFNA(IF(VLOOKUP(TAB_Offres[[#This Row],[Reference]],TAB_Offres[[Reference]:[Request State]],COLUMNS(TAB_Offres[[Reference]:[Request State]]),FALSE)=D$6,TAB_Offres[[#This Row],[Reference]],""),"")</f>
        <v/>
      </c>
      <c r="N589" t="str">
        <f>_xlfn.IFNA(IF(VLOOKUP(TAB_Offres[[#This Row],[Reference]],TAB_Offres[[Reference]:[Has Expenses?]],COLUMNS(TAB_Offres[[Reference]:[Has Expenses?]]),FALSE)=J$2,TAB_Offres[[#This Row],[Reference]],""),"")</f>
        <v/>
      </c>
      <c r="O589" t="str">
        <f>IF(Tableau19[[#This Row],[EXPENSES_REF]]="","",MAX(O$1:O588)+1)</f>
        <v/>
      </c>
      <c r="P589" t="str">
        <f t="shared" si="22"/>
        <v/>
      </c>
      <c r="AI589" s="191" t="str">
        <f>IFERROR(_xlfn.SINGLE(
IF(_xlfn.SINGLE(INDEX(TAB_Offres[Ressource 1],ROWS(Params!AI$2:$AI589)))=0,NA(),
INDEX(TAB_Offres[Ressource 1],ROWS(Params!AI$2:$AI589)))),
IFERROR(_xlfn.SINGLE(IF(_xlfn.SINGLE(INDEX(#REF!,ROWS(Params!AI$2:$AI589)-COUNTA(TAB_Offres[Ressource 1])))=0,NA(),
INDEX(#REF!,ROWS(Params!AI$2:$AI589)-COUNTA(TAB_Offres[Ressource 1])))),
IFERROR(_xlfn.SINGLE(IF(_xlfn.SINGLE(INDEX(#REF!,ROWS(Params!AI$2:$AI589)-COUNTA(#REF!)-COUNTA(TAB_Offres[Ressource 1])))=0,NA(),
INDEX(#REF!,ROWS(Params!AI$2:$AI589)-COUNTA(#REF!)-COUNTA(TAB_Offres[Ressource 1])))),""))
)</f>
        <v/>
      </c>
      <c r="AJ589" s="192" t="str">
        <f>IF(TAB_ressource[[#This Row],[Import Ressource]]="","",MAX(AJ$1:AJ588)+1)</f>
        <v/>
      </c>
      <c r="AK589" s="193" t="str">
        <f>IFERROR(INDEX(TAB_ressource[Import Ressource],MATCH(ROW()-ROW($AK$1),TAB_ressource[ID Import ressources],0)),"")</f>
        <v/>
      </c>
      <c r="BD589" t="s">
        <v>2377</v>
      </c>
      <c r="BE589" t="s">
        <v>2378</v>
      </c>
      <c r="BF589" t="s">
        <v>2379</v>
      </c>
      <c r="BG589" t="s">
        <v>2377</v>
      </c>
    </row>
    <row r="590" spans="13:59" x14ac:dyDescent="0.25">
      <c r="M590" t="str">
        <f>_xlfn.IFNA(IF(VLOOKUP(TAB_Offres[[#This Row],[Reference]],TAB_Offres[[Reference]:[Request State]],COLUMNS(TAB_Offres[[Reference]:[Request State]]),FALSE)=D$6,TAB_Offres[[#This Row],[Reference]],""),"")</f>
        <v/>
      </c>
      <c r="N590" t="str">
        <f>_xlfn.IFNA(IF(VLOOKUP(TAB_Offres[[#This Row],[Reference]],TAB_Offres[[Reference]:[Has Expenses?]],COLUMNS(TAB_Offres[[Reference]:[Has Expenses?]]),FALSE)=J$2,TAB_Offres[[#This Row],[Reference]],""),"")</f>
        <v/>
      </c>
      <c r="O590" t="str">
        <f>IF(Tableau19[[#This Row],[EXPENSES_REF]]="","",MAX(O$1:O589)+1)</f>
        <v/>
      </c>
      <c r="P590" t="str">
        <f t="shared" si="22"/>
        <v/>
      </c>
      <c r="AI590" s="191" t="str">
        <f>IFERROR(_xlfn.SINGLE(
IF(_xlfn.SINGLE(INDEX(TAB_Offres[Ressource 1],ROWS(Params!AI$2:$AI590)))=0,NA(),
INDEX(TAB_Offres[Ressource 1],ROWS(Params!AI$2:$AI590)))),
IFERROR(_xlfn.SINGLE(IF(_xlfn.SINGLE(INDEX(#REF!,ROWS(Params!AI$2:$AI590)-COUNTA(TAB_Offres[Ressource 1])))=0,NA(),
INDEX(#REF!,ROWS(Params!AI$2:$AI590)-COUNTA(TAB_Offres[Ressource 1])))),
IFERROR(_xlfn.SINGLE(IF(_xlfn.SINGLE(INDEX(#REF!,ROWS(Params!AI$2:$AI590)-COUNTA(#REF!)-COUNTA(TAB_Offres[Ressource 1])))=0,NA(),
INDEX(#REF!,ROWS(Params!AI$2:$AI590)-COUNTA(#REF!)-COUNTA(TAB_Offres[Ressource 1])))),""))
)</f>
        <v/>
      </c>
      <c r="AJ590" s="192" t="str">
        <f>IF(TAB_ressource[[#This Row],[Import Ressource]]="","",MAX(AJ$1:AJ589)+1)</f>
        <v/>
      </c>
      <c r="AK590" s="193" t="str">
        <f>IFERROR(INDEX(TAB_ressource[Import Ressource],MATCH(ROW()-ROW($AK$1),TAB_ressource[ID Import ressources],0)),"")</f>
        <v/>
      </c>
      <c r="BD590" t="s">
        <v>2380</v>
      </c>
      <c r="BE590" t="s">
        <v>2381</v>
      </c>
      <c r="BF590" t="s">
        <v>2382</v>
      </c>
      <c r="BG590" t="s">
        <v>2380</v>
      </c>
    </row>
    <row r="591" spans="13:59" x14ac:dyDescent="0.25">
      <c r="M591" t="str">
        <f>_xlfn.IFNA(IF(VLOOKUP(TAB_Offres[[#This Row],[Reference]],TAB_Offres[[Reference]:[Request State]],COLUMNS(TAB_Offres[[Reference]:[Request State]]),FALSE)=D$6,TAB_Offres[[#This Row],[Reference]],""),"")</f>
        <v/>
      </c>
      <c r="N591" t="str">
        <f>_xlfn.IFNA(IF(VLOOKUP(TAB_Offres[[#This Row],[Reference]],TAB_Offres[[Reference]:[Has Expenses?]],COLUMNS(TAB_Offres[[Reference]:[Has Expenses?]]),FALSE)=J$2,TAB_Offres[[#This Row],[Reference]],""),"")</f>
        <v/>
      </c>
      <c r="O591" t="str">
        <f>IF(Tableau19[[#This Row],[EXPENSES_REF]]="","",MAX(O$1:O590)+1)</f>
        <v/>
      </c>
      <c r="P591" t="str">
        <f t="shared" si="22"/>
        <v/>
      </c>
      <c r="AI591" s="191" t="str">
        <f>IFERROR(_xlfn.SINGLE(
IF(_xlfn.SINGLE(INDEX(TAB_Offres[Ressource 1],ROWS(Params!AI$2:$AI591)))=0,NA(),
INDEX(TAB_Offres[Ressource 1],ROWS(Params!AI$2:$AI591)))),
IFERROR(_xlfn.SINGLE(IF(_xlfn.SINGLE(INDEX(#REF!,ROWS(Params!AI$2:$AI591)-COUNTA(TAB_Offres[Ressource 1])))=0,NA(),
INDEX(#REF!,ROWS(Params!AI$2:$AI591)-COUNTA(TAB_Offres[Ressource 1])))),
IFERROR(_xlfn.SINGLE(IF(_xlfn.SINGLE(INDEX(#REF!,ROWS(Params!AI$2:$AI591)-COUNTA(#REF!)-COUNTA(TAB_Offres[Ressource 1])))=0,NA(),
INDEX(#REF!,ROWS(Params!AI$2:$AI591)-COUNTA(#REF!)-COUNTA(TAB_Offres[Ressource 1])))),""))
)</f>
        <v/>
      </c>
      <c r="AJ591" s="192" t="str">
        <f>IF(TAB_ressource[[#This Row],[Import Ressource]]="","",MAX(AJ$1:AJ590)+1)</f>
        <v/>
      </c>
      <c r="AK591" s="193" t="str">
        <f>IFERROR(INDEX(TAB_ressource[Import Ressource],MATCH(ROW()-ROW($AK$1),TAB_ressource[ID Import ressources],0)),"")</f>
        <v/>
      </c>
      <c r="BD591" t="s">
        <v>2383</v>
      </c>
      <c r="BE591" t="s">
        <v>2384</v>
      </c>
      <c r="BF591" t="s">
        <v>2385</v>
      </c>
      <c r="BG591" t="s">
        <v>2383</v>
      </c>
    </row>
    <row r="592" spans="13:59" x14ac:dyDescent="0.25">
      <c r="M592" t="str">
        <f>_xlfn.IFNA(IF(VLOOKUP(TAB_Offres[[#This Row],[Reference]],TAB_Offres[[Reference]:[Request State]],COLUMNS(TAB_Offres[[Reference]:[Request State]]),FALSE)=D$6,TAB_Offres[[#This Row],[Reference]],""),"")</f>
        <v/>
      </c>
      <c r="N592" t="str">
        <f>_xlfn.IFNA(IF(VLOOKUP(TAB_Offres[[#This Row],[Reference]],TAB_Offres[[Reference]:[Has Expenses?]],COLUMNS(TAB_Offres[[Reference]:[Has Expenses?]]),FALSE)=J$2,TAB_Offres[[#This Row],[Reference]],""),"")</f>
        <v/>
      </c>
      <c r="O592" t="str">
        <f>IF(Tableau19[[#This Row],[EXPENSES_REF]]="","",MAX(O$1:O591)+1)</f>
        <v/>
      </c>
      <c r="P592" t="str">
        <f t="shared" si="22"/>
        <v/>
      </c>
      <c r="AI592" s="191" t="str">
        <f>IFERROR(_xlfn.SINGLE(
IF(_xlfn.SINGLE(INDEX(TAB_Offres[Ressource 1],ROWS(Params!AI$2:$AI592)))=0,NA(),
INDEX(TAB_Offres[Ressource 1],ROWS(Params!AI$2:$AI592)))),
IFERROR(_xlfn.SINGLE(IF(_xlfn.SINGLE(INDEX(#REF!,ROWS(Params!AI$2:$AI592)-COUNTA(TAB_Offres[Ressource 1])))=0,NA(),
INDEX(#REF!,ROWS(Params!AI$2:$AI592)-COUNTA(TAB_Offres[Ressource 1])))),
IFERROR(_xlfn.SINGLE(IF(_xlfn.SINGLE(INDEX(#REF!,ROWS(Params!AI$2:$AI592)-COUNTA(#REF!)-COUNTA(TAB_Offres[Ressource 1])))=0,NA(),
INDEX(#REF!,ROWS(Params!AI$2:$AI592)-COUNTA(#REF!)-COUNTA(TAB_Offres[Ressource 1])))),""))
)</f>
        <v/>
      </c>
      <c r="AJ592" s="192" t="str">
        <f>IF(TAB_ressource[[#This Row],[Import Ressource]]="","",MAX(AJ$1:AJ591)+1)</f>
        <v/>
      </c>
      <c r="AK592" s="193" t="str">
        <f>IFERROR(INDEX(TAB_ressource[Import Ressource],MATCH(ROW()-ROW($AK$1),TAB_ressource[ID Import ressources],0)),"")</f>
        <v/>
      </c>
      <c r="BD592" t="s">
        <v>2386</v>
      </c>
      <c r="BE592" t="s">
        <v>2387</v>
      </c>
      <c r="BF592" t="s">
        <v>2388</v>
      </c>
      <c r="BG592" t="s">
        <v>2386</v>
      </c>
    </row>
    <row r="593" spans="13:59" x14ac:dyDescent="0.25">
      <c r="M593" t="str">
        <f>_xlfn.IFNA(IF(VLOOKUP(TAB_Offres[[#This Row],[Reference]],TAB_Offres[[Reference]:[Request State]],COLUMNS(TAB_Offres[[Reference]:[Request State]]),FALSE)=D$6,TAB_Offres[[#This Row],[Reference]],""),"")</f>
        <v/>
      </c>
      <c r="N593" t="str">
        <f>_xlfn.IFNA(IF(VLOOKUP(TAB_Offres[[#This Row],[Reference]],TAB_Offres[[Reference]:[Has Expenses?]],COLUMNS(TAB_Offres[[Reference]:[Has Expenses?]]),FALSE)=J$2,TAB_Offres[[#This Row],[Reference]],""),"")</f>
        <v/>
      </c>
      <c r="O593" t="str">
        <f>IF(Tableau19[[#This Row],[EXPENSES_REF]]="","",MAX(O$1:O592)+1)</f>
        <v/>
      </c>
      <c r="P593" t="str">
        <f t="shared" si="22"/>
        <v/>
      </c>
      <c r="AI593" s="191" t="str">
        <f>IFERROR(_xlfn.SINGLE(
IF(_xlfn.SINGLE(INDEX(TAB_Offres[Ressource 1],ROWS(Params!AI$2:$AI593)))=0,NA(),
INDEX(TAB_Offres[Ressource 1],ROWS(Params!AI$2:$AI593)))),
IFERROR(_xlfn.SINGLE(IF(_xlfn.SINGLE(INDEX(#REF!,ROWS(Params!AI$2:$AI593)-COUNTA(TAB_Offres[Ressource 1])))=0,NA(),
INDEX(#REF!,ROWS(Params!AI$2:$AI593)-COUNTA(TAB_Offres[Ressource 1])))),
IFERROR(_xlfn.SINGLE(IF(_xlfn.SINGLE(INDEX(#REF!,ROWS(Params!AI$2:$AI593)-COUNTA(#REF!)-COUNTA(TAB_Offres[Ressource 1])))=0,NA(),
INDEX(#REF!,ROWS(Params!AI$2:$AI593)-COUNTA(#REF!)-COUNTA(TAB_Offres[Ressource 1])))),""))
)</f>
        <v/>
      </c>
      <c r="AJ593" s="192" t="str">
        <f>IF(TAB_ressource[[#This Row],[Import Ressource]]="","",MAX(AJ$1:AJ592)+1)</f>
        <v/>
      </c>
      <c r="AK593" s="193" t="str">
        <f>IFERROR(INDEX(TAB_ressource[Import Ressource],MATCH(ROW()-ROW($AK$1),TAB_ressource[ID Import ressources],0)),"")</f>
        <v/>
      </c>
      <c r="BD593" t="s">
        <v>2389</v>
      </c>
      <c r="BE593" t="s">
        <v>2390</v>
      </c>
      <c r="BF593" t="s">
        <v>2391</v>
      </c>
      <c r="BG593" t="s">
        <v>2389</v>
      </c>
    </row>
    <row r="594" spans="13:59" x14ac:dyDescent="0.25">
      <c r="M594" t="str">
        <f>_xlfn.IFNA(IF(VLOOKUP(TAB_Offres[[#This Row],[Reference]],TAB_Offres[[Reference]:[Request State]],COLUMNS(TAB_Offres[[Reference]:[Request State]]),FALSE)=D$6,TAB_Offres[[#This Row],[Reference]],""),"")</f>
        <v/>
      </c>
      <c r="N594" t="str">
        <f>_xlfn.IFNA(IF(VLOOKUP(TAB_Offres[[#This Row],[Reference]],TAB_Offres[[Reference]:[Has Expenses?]],COLUMNS(TAB_Offres[[Reference]:[Has Expenses?]]),FALSE)=J$2,TAB_Offres[[#This Row],[Reference]],""),"")</f>
        <v/>
      </c>
      <c r="O594" t="str">
        <f>IF(Tableau19[[#This Row],[EXPENSES_REF]]="","",MAX(O$1:O593)+1)</f>
        <v/>
      </c>
      <c r="P594" t="str">
        <f t="shared" si="22"/>
        <v/>
      </c>
      <c r="AI594" s="191" t="str">
        <f>IFERROR(_xlfn.SINGLE(
IF(_xlfn.SINGLE(INDEX(TAB_Offres[Ressource 1],ROWS(Params!AI$2:$AI594)))=0,NA(),
INDEX(TAB_Offres[Ressource 1],ROWS(Params!AI$2:$AI594)))),
IFERROR(_xlfn.SINGLE(IF(_xlfn.SINGLE(INDEX(#REF!,ROWS(Params!AI$2:$AI594)-COUNTA(TAB_Offres[Ressource 1])))=0,NA(),
INDEX(#REF!,ROWS(Params!AI$2:$AI594)-COUNTA(TAB_Offres[Ressource 1])))),
IFERROR(_xlfn.SINGLE(IF(_xlfn.SINGLE(INDEX(#REF!,ROWS(Params!AI$2:$AI594)-COUNTA(#REF!)-COUNTA(TAB_Offres[Ressource 1])))=0,NA(),
INDEX(#REF!,ROWS(Params!AI$2:$AI594)-COUNTA(#REF!)-COUNTA(TAB_Offres[Ressource 1])))),""))
)</f>
        <v/>
      </c>
      <c r="AJ594" s="192" t="str">
        <f>IF(TAB_ressource[[#This Row],[Import Ressource]]="","",MAX(AJ$1:AJ593)+1)</f>
        <v/>
      </c>
      <c r="AK594" s="193" t="str">
        <f>IFERROR(INDEX(TAB_ressource[Import Ressource],MATCH(ROW()-ROW($AK$1),TAB_ressource[ID Import ressources],0)),"")</f>
        <v/>
      </c>
      <c r="BD594" t="s">
        <v>2392</v>
      </c>
      <c r="BE594" t="s">
        <v>2393</v>
      </c>
      <c r="BF594" t="s">
        <v>2394</v>
      </c>
      <c r="BG594" t="s">
        <v>2392</v>
      </c>
    </row>
    <row r="595" spans="13:59" x14ac:dyDescent="0.25">
      <c r="M595" t="str">
        <f>_xlfn.IFNA(IF(VLOOKUP(TAB_Offres[[#This Row],[Reference]],TAB_Offres[[Reference]:[Request State]],COLUMNS(TAB_Offres[[Reference]:[Request State]]),FALSE)=D$6,TAB_Offres[[#This Row],[Reference]],""),"")</f>
        <v/>
      </c>
      <c r="N595" t="str">
        <f>_xlfn.IFNA(IF(VLOOKUP(TAB_Offres[[#This Row],[Reference]],TAB_Offres[[Reference]:[Has Expenses?]],COLUMNS(TAB_Offres[[Reference]:[Has Expenses?]]),FALSE)=J$2,TAB_Offres[[#This Row],[Reference]],""),"")</f>
        <v/>
      </c>
      <c r="O595" t="str">
        <f>IF(Tableau19[[#This Row],[EXPENSES_REF]]="","",MAX(O$1:O594)+1)</f>
        <v/>
      </c>
      <c r="P595" t="str">
        <f t="shared" si="22"/>
        <v/>
      </c>
      <c r="AI595" s="191" t="str">
        <f>IFERROR(_xlfn.SINGLE(
IF(_xlfn.SINGLE(INDEX(TAB_Offres[Ressource 1],ROWS(Params!AI$2:$AI595)))=0,NA(),
INDEX(TAB_Offres[Ressource 1],ROWS(Params!AI$2:$AI595)))),
IFERROR(_xlfn.SINGLE(IF(_xlfn.SINGLE(INDEX(#REF!,ROWS(Params!AI$2:$AI595)-COUNTA(TAB_Offres[Ressource 1])))=0,NA(),
INDEX(#REF!,ROWS(Params!AI$2:$AI595)-COUNTA(TAB_Offres[Ressource 1])))),
IFERROR(_xlfn.SINGLE(IF(_xlfn.SINGLE(INDEX(#REF!,ROWS(Params!AI$2:$AI595)-COUNTA(#REF!)-COUNTA(TAB_Offres[Ressource 1])))=0,NA(),
INDEX(#REF!,ROWS(Params!AI$2:$AI595)-COUNTA(#REF!)-COUNTA(TAB_Offres[Ressource 1])))),""))
)</f>
        <v/>
      </c>
      <c r="AJ595" s="192" t="str">
        <f>IF(TAB_ressource[[#This Row],[Import Ressource]]="","",MAX(AJ$1:AJ594)+1)</f>
        <v/>
      </c>
      <c r="AK595" s="193" t="str">
        <f>IFERROR(INDEX(TAB_ressource[Import Ressource],MATCH(ROW()-ROW($AK$1),TAB_ressource[ID Import ressources],0)),"")</f>
        <v/>
      </c>
      <c r="BD595" t="s">
        <v>2395</v>
      </c>
      <c r="BE595" t="s">
        <v>2396</v>
      </c>
      <c r="BF595" t="s">
        <v>2397</v>
      </c>
      <c r="BG595" t="s">
        <v>2395</v>
      </c>
    </row>
    <row r="596" spans="13:59" x14ac:dyDescent="0.25">
      <c r="M596" t="str">
        <f>_xlfn.IFNA(IF(VLOOKUP(TAB_Offres[[#This Row],[Reference]],TAB_Offres[[Reference]:[Request State]],COLUMNS(TAB_Offres[[Reference]:[Request State]]),FALSE)=D$6,TAB_Offres[[#This Row],[Reference]],""),"")</f>
        <v/>
      </c>
      <c r="N596" t="str">
        <f>_xlfn.IFNA(IF(VLOOKUP(TAB_Offres[[#This Row],[Reference]],TAB_Offres[[Reference]:[Has Expenses?]],COLUMNS(TAB_Offres[[Reference]:[Has Expenses?]]),FALSE)=J$2,TAB_Offres[[#This Row],[Reference]],""),"")</f>
        <v/>
      </c>
      <c r="O596" t="str">
        <f>IF(Tableau19[[#This Row],[EXPENSES_REF]]="","",MAX(O$1:O595)+1)</f>
        <v/>
      </c>
      <c r="P596" t="str">
        <f t="shared" si="22"/>
        <v/>
      </c>
      <c r="AI596" s="191" t="str">
        <f>IFERROR(_xlfn.SINGLE(
IF(_xlfn.SINGLE(INDEX(TAB_Offres[Ressource 1],ROWS(Params!AI$2:$AI596)))=0,NA(),
INDEX(TAB_Offres[Ressource 1],ROWS(Params!AI$2:$AI596)))),
IFERROR(_xlfn.SINGLE(IF(_xlfn.SINGLE(INDEX(#REF!,ROWS(Params!AI$2:$AI596)-COUNTA(TAB_Offres[Ressource 1])))=0,NA(),
INDEX(#REF!,ROWS(Params!AI$2:$AI596)-COUNTA(TAB_Offres[Ressource 1])))),
IFERROR(_xlfn.SINGLE(IF(_xlfn.SINGLE(INDEX(#REF!,ROWS(Params!AI$2:$AI596)-COUNTA(#REF!)-COUNTA(TAB_Offres[Ressource 1])))=0,NA(),
INDEX(#REF!,ROWS(Params!AI$2:$AI596)-COUNTA(#REF!)-COUNTA(TAB_Offres[Ressource 1])))),""))
)</f>
        <v/>
      </c>
      <c r="AJ596" s="192" t="str">
        <f>IF(TAB_ressource[[#This Row],[Import Ressource]]="","",MAX(AJ$1:AJ595)+1)</f>
        <v/>
      </c>
      <c r="AK596" s="193" t="str">
        <f>IFERROR(INDEX(TAB_ressource[Import Ressource],MATCH(ROW()-ROW($AK$1),TAB_ressource[ID Import ressources],0)),"")</f>
        <v/>
      </c>
      <c r="BD596" t="s">
        <v>2398</v>
      </c>
      <c r="BE596" t="s">
        <v>2399</v>
      </c>
      <c r="BF596" t="s">
        <v>2400</v>
      </c>
      <c r="BG596" t="s">
        <v>2398</v>
      </c>
    </row>
    <row r="597" spans="13:59" x14ac:dyDescent="0.25">
      <c r="M597" t="str">
        <f>_xlfn.IFNA(IF(VLOOKUP(TAB_Offres[[#This Row],[Reference]],TAB_Offres[[Reference]:[Request State]],COLUMNS(TAB_Offres[[Reference]:[Request State]]),FALSE)=D$6,TAB_Offres[[#This Row],[Reference]],""),"")</f>
        <v/>
      </c>
      <c r="N597" t="str">
        <f>_xlfn.IFNA(IF(VLOOKUP(TAB_Offres[[#This Row],[Reference]],TAB_Offres[[Reference]:[Has Expenses?]],COLUMNS(TAB_Offres[[Reference]:[Has Expenses?]]),FALSE)=J$2,TAB_Offres[[#This Row],[Reference]],""),"")</f>
        <v/>
      </c>
      <c r="O597" t="str">
        <f>IF(Tableau19[[#This Row],[EXPENSES_REF]]="","",MAX(O$1:O596)+1)</f>
        <v/>
      </c>
      <c r="P597" t="str">
        <f t="shared" si="22"/>
        <v/>
      </c>
      <c r="AI597" s="191" t="str">
        <f>IFERROR(_xlfn.SINGLE(
IF(_xlfn.SINGLE(INDEX(TAB_Offres[Ressource 1],ROWS(Params!AI$2:$AI597)))=0,NA(),
INDEX(TAB_Offres[Ressource 1],ROWS(Params!AI$2:$AI597)))),
IFERROR(_xlfn.SINGLE(IF(_xlfn.SINGLE(INDEX(#REF!,ROWS(Params!AI$2:$AI597)-COUNTA(TAB_Offres[Ressource 1])))=0,NA(),
INDEX(#REF!,ROWS(Params!AI$2:$AI597)-COUNTA(TAB_Offres[Ressource 1])))),
IFERROR(_xlfn.SINGLE(IF(_xlfn.SINGLE(INDEX(#REF!,ROWS(Params!AI$2:$AI597)-COUNTA(#REF!)-COUNTA(TAB_Offres[Ressource 1])))=0,NA(),
INDEX(#REF!,ROWS(Params!AI$2:$AI597)-COUNTA(#REF!)-COUNTA(TAB_Offres[Ressource 1])))),""))
)</f>
        <v/>
      </c>
      <c r="AJ597" s="192" t="str">
        <f>IF(TAB_ressource[[#This Row],[Import Ressource]]="","",MAX(AJ$1:AJ596)+1)</f>
        <v/>
      </c>
      <c r="AK597" s="193" t="str">
        <f>IFERROR(INDEX(TAB_ressource[Import Ressource],MATCH(ROW()-ROW($AK$1),TAB_ressource[ID Import ressources],0)),"")</f>
        <v/>
      </c>
      <c r="BD597" t="s">
        <v>2401</v>
      </c>
      <c r="BE597" t="s">
        <v>2402</v>
      </c>
      <c r="BF597" t="s">
        <v>2403</v>
      </c>
      <c r="BG597" t="s">
        <v>2401</v>
      </c>
    </row>
    <row r="598" spans="13:59" x14ac:dyDescent="0.25">
      <c r="M598" t="str">
        <f>_xlfn.IFNA(IF(VLOOKUP(TAB_Offres[[#This Row],[Reference]],TAB_Offres[[Reference]:[Request State]],COLUMNS(TAB_Offres[[Reference]:[Request State]]),FALSE)=D$6,TAB_Offres[[#This Row],[Reference]],""),"")</f>
        <v/>
      </c>
      <c r="N598" t="str">
        <f>_xlfn.IFNA(IF(VLOOKUP(TAB_Offres[[#This Row],[Reference]],TAB_Offres[[Reference]:[Has Expenses?]],COLUMNS(TAB_Offres[[Reference]:[Has Expenses?]]),FALSE)=J$2,TAB_Offres[[#This Row],[Reference]],""),"")</f>
        <v/>
      </c>
      <c r="O598" t="str">
        <f>IF(Tableau19[[#This Row],[EXPENSES_REF]]="","",MAX(O$1:O597)+1)</f>
        <v/>
      </c>
      <c r="P598" t="str">
        <f t="shared" si="22"/>
        <v/>
      </c>
      <c r="AI598" s="191" t="str">
        <f>IFERROR(_xlfn.SINGLE(
IF(_xlfn.SINGLE(INDEX(TAB_Offres[Ressource 1],ROWS(Params!AI$2:$AI598)))=0,NA(),
INDEX(TAB_Offres[Ressource 1],ROWS(Params!AI$2:$AI598)))),
IFERROR(_xlfn.SINGLE(IF(_xlfn.SINGLE(INDEX(#REF!,ROWS(Params!AI$2:$AI598)-COUNTA(TAB_Offres[Ressource 1])))=0,NA(),
INDEX(#REF!,ROWS(Params!AI$2:$AI598)-COUNTA(TAB_Offres[Ressource 1])))),
IFERROR(_xlfn.SINGLE(IF(_xlfn.SINGLE(INDEX(#REF!,ROWS(Params!AI$2:$AI598)-COUNTA(#REF!)-COUNTA(TAB_Offres[Ressource 1])))=0,NA(),
INDEX(#REF!,ROWS(Params!AI$2:$AI598)-COUNTA(#REF!)-COUNTA(TAB_Offres[Ressource 1])))),""))
)</f>
        <v/>
      </c>
      <c r="AJ598" s="192" t="str">
        <f>IF(TAB_ressource[[#This Row],[Import Ressource]]="","",MAX(AJ$1:AJ597)+1)</f>
        <v/>
      </c>
      <c r="AK598" s="193" t="str">
        <f>IFERROR(INDEX(TAB_ressource[Import Ressource],MATCH(ROW()-ROW($AK$1),TAB_ressource[ID Import ressources],0)),"")</f>
        <v/>
      </c>
      <c r="BD598" t="s">
        <v>2404</v>
      </c>
      <c r="BE598" t="s">
        <v>2405</v>
      </c>
      <c r="BF598" t="s">
        <v>2406</v>
      </c>
      <c r="BG598" t="s">
        <v>2404</v>
      </c>
    </row>
    <row r="599" spans="13:59" x14ac:dyDescent="0.25">
      <c r="M599" t="str">
        <f>_xlfn.IFNA(IF(VLOOKUP(TAB_Offres[[#This Row],[Reference]],TAB_Offres[[Reference]:[Request State]],COLUMNS(TAB_Offres[[Reference]:[Request State]]),FALSE)=D$6,TAB_Offres[[#This Row],[Reference]],""),"")</f>
        <v/>
      </c>
      <c r="N599" t="str">
        <f>_xlfn.IFNA(IF(VLOOKUP(TAB_Offres[[#This Row],[Reference]],TAB_Offres[[Reference]:[Has Expenses?]],COLUMNS(TAB_Offres[[Reference]:[Has Expenses?]]),FALSE)=J$2,TAB_Offres[[#This Row],[Reference]],""),"")</f>
        <v/>
      </c>
      <c r="O599" t="str">
        <f>IF(Tableau19[[#This Row],[EXPENSES_REF]]="","",MAX(O$1:O598)+1)</f>
        <v/>
      </c>
      <c r="P599" t="str">
        <f t="shared" si="22"/>
        <v/>
      </c>
      <c r="AI599" s="191" t="str">
        <f>IFERROR(_xlfn.SINGLE(
IF(_xlfn.SINGLE(INDEX(TAB_Offres[Ressource 1],ROWS(Params!AI$2:$AI599)))=0,NA(),
INDEX(TAB_Offres[Ressource 1],ROWS(Params!AI$2:$AI599)))),
IFERROR(_xlfn.SINGLE(IF(_xlfn.SINGLE(INDEX(#REF!,ROWS(Params!AI$2:$AI599)-COUNTA(TAB_Offres[Ressource 1])))=0,NA(),
INDEX(#REF!,ROWS(Params!AI$2:$AI599)-COUNTA(TAB_Offres[Ressource 1])))),
IFERROR(_xlfn.SINGLE(IF(_xlfn.SINGLE(INDEX(#REF!,ROWS(Params!AI$2:$AI599)-COUNTA(#REF!)-COUNTA(TAB_Offres[Ressource 1])))=0,NA(),
INDEX(#REF!,ROWS(Params!AI$2:$AI599)-COUNTA(#REF!)-COUNTA(TAB_Offres[Ressource 1])))),""))
)</f>
        <v/>
      </c>
      <c r="AJ599" s="192" t="str">
        <f>IF(TAB_ressource[[#This Row],[Import Ressource]]="","",MAX(AJ$1:AJ598)+1)</f>
        <v/>
      </c>
      <c r="AK599" s="193" t="str">
        <f>IFERROR(INDEX(TAB_ressource[Import Ressource],MATCH(ROW()-ROW($AK$1),TAB_ressource[ID Import ressources],0)),"")</f>
        <v/>
      </c>
      <c r="BD599" t="s">
        <v>2407</v>
      </c>
      <c r="BE599" t="s">
        <v>2408</v>
      </c>
      <c r="BF599" t="s">
        <v>2409</v>
      </c>
      <c r="BG599" t="s">
        <v>2407</v>
      </c>
    </row>
    <row r="600" spans="13:59" x14ac:dyDescent="0.25">
      <c r="M600" t="str">
        <f>_xlfn.IFNA(IF(VLOOKUP(TAB_Offres[[#This Row],[Reference]],TAB_Offres[[Reference]:[Request State]],COLUMNS(TAB_Offres[[Reference]:[Request State]]),FALSE)=D$6,TAB_Offres[[#This Row],[Reference]],""),"")</f>
        <v/>
      </c>
      <c r="N600" t="str">
        <f>_xlfn.IFNA(IF(VLOOKUP(TAB_Offres[[#This Row],[Reference]],TAB_Offres[[Reference]:[Has Expenses?]],COLUMNS(TAB_Offres[[Reference]:[Has Expenses?]]),FALSE)=J$2,TAB_Offres[[#This Row],[Reference]],""),"")</f>
        <v/>
      </c>
      <c r="O600" t="str">
        <f>IF(Tableau19[[#This Row],[EXPENSES_REF]]="","",MAX(O$1:O599)+1)</f>
        <v/>
      </c>
      <c r="P600" t="str">
        <f t="shared" si="22"/>
        <v/>
      </c>
      <c r="AI600" s="191" t="str">
        <f>IFERROR(_xlfn.SINGLE(
IF(_xlfn.SINGLE(INDEX(TAB_Offres[Ressource 1],ROWS(Params!AI$2:$AI600)))=0,NA(),
INDEX(TAB_Offres[Ressource 1],ROWS(Params!AI$2:$AI600)))),
IFERROR(_xlfn.SINGLE(IF(_xlfn.SINGLE(INDEX(#REF!,ROWS(Params!AI$2:$AI600)-COUNTA(TAB_Offres[Ressource 1])))=0,NA(),
INDEX(#REF!,ROWS(Params!AI$2:$AI600)-COUNTA(TAB_Offres[Ressource 1])))),
IFERROR(_xlfn.SINGLE(IF(_xlfn.SINGLE(INDEX(#REF!,ROWS(Params!AI$2:$AI600)-COUNTA(#REF!)-COUNTA(TAB_Offres[Ressource 1])))=0,NA(),
INDEX(#REF!,ROWS(Params!AI$2:$AI600)-COUNTA(#REF!)-COUNTA(TAB_Offres[Ressource 1])))),""))
)</f>
        <v/>
      </c>
      <c r="AJ600" s="192" t="str">
        <f>IF(TAB_ressource[[#This Row],[Import Ressource]]="","",MAX(AJ$1:AJ599)+1)</f>
        <v/>
      </c>
      <c r="AK600" s="193" t="str">
        <f>IFERROR(INDEX(TAB_ressource[Import Ressource],MATCH(ROW()-ROW($AK$1),TAB_ressource[ID Import ressources],0)),"")</f>
        <v/>
      </c>
      <c r="BD600" t="s">
        <v>2410</v>
      </c>
      <c r="BE600" t="s">
        <v>2411</v>
      </c>
      <c r="BF600" t="s">
        <v>2412</v>
      </c>
      <c r="BG600" t="s">
        <v>2410</v>
      </c>
    </row>
    <row r="601" spans="13:59" x14ac:dyDescent="0.25">
      <c r="M601" t="str">
        <f>_xlfn.IFNA(IF(VLOOKUP(TAB_Offres[[#This Row],[Reference]],TAB_Offres[[Reference]:[Request State]],COLUMNS(TAB_Offres[[Reference]:[Request State]]),FALSE)=D$6,TAB_Offres[[#This Row],[Reference]],""),"")</f>
        <v/>
      </c>
      <c r="N601" t="str">
        <f>_xlfn.IFNA(IF(VLOOKUP(TAB_Offres[[#This Row],[Reference]],TAB_Offres[[Reference]:[Has Expenses?]],COLUMNS(TAB_Offres[[Reference]:[Has Expenses?]]),FALSE)=J$2,TAB_Offres[[#This Row],[Reference]],""),"")</f>
        <v/>
      </c>
      <c r="O601" t="str">
        <f>IF(Tableau19[[#This Row],[EXPENSES_REF]]="","",MAX(O$1:O600)+1)</f>
        <v/>
      </c>
      <c r="P601" t="str">
        <f t="shared" si="22"/>
        <v/>
      </c>
      <c r="AI601" s="191" t="str">
        <f>IFERROR(_xlfn.SINGLE(
IF(_xlfn.SINGLE(INDEX(TAB_Offres[Ressource 1],ROWS(Params!AI$2:$AI601)))=0,NA(),
INDEX(TAB_Offres[Ressource 1],ROWS(Params!AI$2:$AI601)))),
IFERROR(_xlfn.SINGLE(IF(_xlfn.SINGLE(INDEX(#REF!,ROWS(Params!AI$2:$AI601)-COUNTA(TAB_Offres[Ressource 1])))=0,NA(),
INDEX(#REF!,ROWS(Params!AI$2:$AI601)-COUNTA(TAB_Offres[Ressource 1])))),
IFERROR(_xlfn.SINGLE(IF(_xlfn.SINGLE(INDEX(#REF!,ROWS(Params!AI$2:$AI601)-COUNTA(#REF!)-COUNTA(TAB_Offres[Ressource 1])))=0,NA(),
INDEX(#REF!,ROWS(Params!AI$2:$AI601)-COUNTA(#REF!)-COUNTA(TAB_Offres[Ressource 1])))),""))
)</f>
        <v/>
      </c>
      <c r="AJ601" s="192" t="str">
        <f>IF(TAB_ressource[[#This Row],[Import Ressource]]="","",MAX(AJ$1:AJ600)+1)</f>
        <v/>
      </c>
      <c r="AK601" s="193" t="str">
        <f>IFERROR(INDEX(TAB_ressource[Import Ressource],MATCH(ROW()-ROW($AK$1),TAB_ressource[ID Import ressources],0)),"")</f>
        <v/>
      </c>
      <c r="BD601" t="s">
        <v>2413</v>
      </c>
      <c r="BE601" t="s">
        <v>2414</v>
      </c>
      <c r="BF601" t="s">
        <v>2415</v>
      </c>
      <c r="BG601" t="s">
        <v>2413</v>
      </c>
    </row>
    <row r="602" spans="13:59" x14ac:dyDescent="0.25">
      <c r="M602" t="str">
        <f>_xlfn.IFNA(IF(VLOOKUP(TAB_Offres[[#This Row],[Reference]],TAB_Offres[[Reference]:[Request State]],COLUMNS(TAB_Offres[[Reference]:[Request State]]),FALSE)=D$6,TAB_Offres[[#This Row],[Reference]],""),"")</f>
        <v/>
      </c>
      <c r="N602" t="str">
        <f>_xlfn.IFNA(IF(VLOOKUP(TAB_Offres[[#This Row],[Reference]],TAB_Offres[[Reference]:[Has Expenses?]],COLUMNS(TAB_Offres[[Reference]:[Has Expenses?]]),FALSE)=J$2,TAB_Offres[[#This Row],[Reference]],""),"")</f>
        <v/>
      </c>
      <c r="O602" t="str">
        <f>IF(Tableau19[[#This Row],[EXPENSES_REF]]="","",MAX(O$1:O601)+1)</f>
        <v/>
      </c>
      <c r="P602" t="str">
        <f t="shared" si="22"/>
        <v/>
      </c>
      <c r="AI602" s="191" t="str">
        <f>IFERROR(_xlfn.SINGLE(
IF(_xlfn.SINGLE(INDEX(TAB_Offres[Ressource 1],ROWS(Params!AI$2:$AI602)))=0,NA(),
INDEX(TAB_Offres[Ressource 1],ROWS(Params!AI$2:$AI602)))),
IFERROR(_xlfn.SINGLE(IF(_xlfn.SINGLE(INDEX(#REF!,ROWS(Params!AI$2:$AI602)-COUNTA(TAB_Offres[Ressource 1])))=0,NA(),
INDEX(#REF!,ROWS(Params!AI$2:$AI602)-COUNTA(TAB_Offres[Ressource 1])))),
IFERROR(_xlfn.SINGLE(IF(_xlfn.SINGLE(INDEX(#REF!,ROWS(Params!AI$2:$AI602)-COUNTA(#REF!)-COUNTA(TAB_Offres[Ressource 1])))=0,NA(),
INDEX(#REF!,ROWS(Params!AI$2:$AI602)-COUNTA(#REF!)-COUNTA(TAB_Offres[Ressource 1])))),""))
)</f>
        <v/>
      </c>
      <c r="AJ602" s="192" t="str">
        <f>IF(TAB_ressource[[#This Row],[Import Ressource]]="","",MAX(AJ$1:AJ601)+1)</f>
        <v/>
      </c>
      <c r="AK602" s="193" t="str">
        <f>IFERROR(INDEX(TAB_ressource[Import Ressource],MATCH(ROW()-ROW($AK$1),TAB_ressource[ID Import ressources],0)),"")</f>
        <v/>
      </c>
      <c r="BD602" t="s">
        <v>2416</v>
      </c>
      <c r="BE602" t="s">
        <v>2417</v>
      </c>
      <c r="BF602" t="s">
        <v>2418</v>
      </c>
      <c r="BG602" t="s">
        <v>2416</v>
      </c>
    </row>
    <row r="603" spans="13:59" x14ac:dyDescent="0.25">
      <c r="M603" t="str">
        <f>_xlfn.IFNA(IF(VLOOKUP(TAB_Offres[[#This Row],[Reference]],TAB_Offres[[Reference]:[Request State]],COLUMNS(TAB_Offres[[Reference]:[Request State]]),FALSE)=D$6,TAB_Offres[[#This Row],[Reference]],""),"")</f>
        <v/>
      </c>
      <c r="N603" t="str">
        <f>_xlfn.IFNA(IF(VLOOKUP(TAB_Offres[[#This Row],[Reference]],TAB_Offres[[Reference]:[Has Expenses?]],COLUMNS(TAB_Offres[[Reference]:[Has Expenses?]]),FALSE)=J$2,TAB_Offres[[#This Row],[Reference]],""),"")</f>
        <v/>
      </c>
      <c r="O603" t="str">
        <f>IF(Tableau19[[#This Row],[EXPENSES_REF]]="","",MAX(O$1:O602)+1)</f>
        <v/>
      </c>
      <c r="P603" t="str">
        <f t="shared" si="22"/>
        <v/>
      </c>
      <c r="AI603" s="191" t="str">
        <f>IFERROR(_xlfn.SINGLE(
IF(_xlfn.SINGLE(INDEX(TAB_Offres[Ressource 1],ROWS(Params!AI$2:$AI603)))=0,NA(),
INDEX(TAB_Offres[Ressource 1],ROWS(Params!AI$2:$AI603)))),
IFERROR(_xlfn.SINGLE(IF(_xlfn.SINGLE(INDEX(#REF!,ROWS(Params!AI$2:$AI603)-COUNTA(TAB_Offres[Ressource 1])))=0,NA(),
INDEX(#REF!,ROWS(Params!AI$2:$AI603)-COUNTA(TAB_Offres[Ressource 1])))),
IFERROR(_xlfn.SINGLE(IF(_xlfn.SINGLE(INDEX(#REF!,ROWS(Params!AI$2:$AI603)-COUNTA(#REF!)-COUNTA(TAB_Offres[Ressource 1])))=0,NA(),
INDEX(#REF!,ROWS(Params!AI$2:$AI603)-COUNTA(#REF!)-COUNTA(TAB_Offres[Ressource 1])))),""))
)</f>
        <v/>
      </c>
      <c r="AJ603" s="192" t="str">
        <f>IF(TAB_ressource[[#This Row],[Import Ressource]]="","",MAX(AJ$1:AJ602)+1)</f>
        <v/>
      </c>
      <c r="AK603" s="193" t="str">
        <f>IFERROR(INDEX(TAB_ressource[Import Ressource],MATCH(ROW()-ROW($AK$1),TAB_ressource[ID Import ressources],0)),"")</f>
        <v/>
      </c>
      <c r="BD603" t="s">
        <v>2419</v>
      </c>
      <c r="BE603" t="s">
        <v>2420</v>
      </c>
      <c r="BF603" t="s">
        <v>2421</v>
      </c>
      <c r="BG603" t="s">
        <v>2419</v>
      </c>
    </row>
    <row r="604" spans="13:59" x14ac:dyDescent="0.25">
      <c r="M604" t="str">
        <f>_xlfn.IFNA(IF(VLOOKUP(TAB_Offres[[#This Row],[Reference]],TAB_Offres[[Reference]:[Request State]],COLUMNS(TAB_Offres[[Reference]:[Request State]]),FALSE)=D$6,TAB_Offres[[#This Row],[Reference]],""),"")</f>
        <v/>
      </c>
      <c r="N604" t="str">
        <f>_xlfn.IFNA(IF(VLOOKUP(TAB_Offres[[#This Row],[Reference]],TAB_Offres[[Reference]:[Has Expenses?]],COLUMNS(TAB_Offres[[Reference]:[Has Expenses?]]),FALSE)=J$2,TAB_Offres[[#This Row],[Reference]],""),"")</f>
        <v/>
      </c>
      <c r="O604" t="str">
        <f>IF(Tableau19[[#This Row],[EXPENSES_REF]]="","",MAX(O$1:O603)+1)</f>
        <v/>
      </c>
      <c r="P604" t="str">
        <f t="shared" si="22"/>
        <v/>
      </c>
      <c r="AI604" s="191" t="str">
        <f>IFERROR(_xlfn.SINGLE(
IF(_xlfn.SINGLE(INDEX(TAB_Offres[Ressource 1],ROWS(Params!AI$2:$AI604)))=0,NA(),
INDEX(TAB_Offres[Ressource 1],ROWS(Params!AI$2:$AI604)))),
IFERROR(_xlfn.SINGLE(IF(_xlfn.SINGLE(INDEX(#REF!,ROWS(Params!AI$2:$AI604)-COUNTA(TAB_Offres[Ressource 1])))=0,NA(),
INDEX(#REF!,ROWS(Params!AI$2:$AI604)-COUNTA(TAB_Offres[Ressource 1])))),
IFERROR(_xlfn.SINGLE(IF(_xlfn.SINGLE(INDEX(#REF!,ROWS(Params!AI$2:$AI604)-COUNTA(#REF!)-COUNTA(TAB_Offres[Ressource 1])))=0,NA(),
INDEX(#REF!,ROWS(Params!AI$2:$AI604)-COUNTA(#REF!)-COUNTA(TAB_Offres[Ressource 1])))),""))
)</f>
        <v/>
      </c>
      <c r="AJ604" s="192" t="str">
        <f>IF(TAB_ressource[[#This Row],[Import Ressource]]="","",MAX(AJ$1:AJ603)+1)</f>
        <v/>
      </c>
      <c r="AK604" s="193" t="str">
        <f>IFERROR(INDEX(TAB_ressource[Import Ressource],MATCH(ROW()-ROW($AK$1),TAB_ressource[ID Import ressources],0)),"")</f>
        <v/>
      </c>
      <c r="BD604" t="s">
        <v>2422</v>
      </c>
      <c r="BE604" t="s">
        <v>2423</v>
      </c>
      <c r="BF604" t="s">
        <v>2424</v>
      </c>
      <c r="BG604" t="s">
        <v>2422</v>
      </c>
    </row>
    <row r="605" spans="13:59" x14ac:dyDescent="0.25">
      <c r="M605" t="str">
        <f>_xlfn.IFNA(IF(VLOOKUP(TAB_Offres[[#This Row],[Reference]],TAB_Offres[[Reference]:[Request State]],COLUMNS(TAB_Offres[[Reference]:[Request State]]),FALSE)=D$6,TAB_Offres[[#This Row],[Reference]],""),"")</f>
        <v/>
      </c>
      <c r="N605" t="str">
        <f>_xlfn.IFNA(IF(VLOOKUP(TAB_Offres[[#This Row],[Reference]],TAB_Offres[[Reference]:[Has Expenses?]],COLUMNS(TAB_Offres[[Reference]:[Has Expenses?]]),FALSE)=J$2,TAB_Offres[[#This Row],[Reference]],""),"")</f>
        <v/>
      </c>
      <c r="O605" t="str">
        <f>IF(Tableau19[[#This Row],[EXPENSES_REF]]="","",MAX(O$1:O604)+1)</f>
        <v/>
      </c>
      <c r="P605" t="str">
        <f t="shared" si="22"/>
        <v/>
      </c>
      <c r="AI605" s="191" t="str">
        <f>IFERROR(_xlfn.SINGLE(
IF(_xlfn.SINGLE(INDEX(TAB_Offres[Ressource 1],ROWS(Params!AI$2:$AI605)))=0,NA(),
INDEX(TAB_Offres[Ressource 1],ROWS(Params!AI$2:$AI605)))),
IFERROR(_xlfn.SINGLE(IF(_xlfn.SINGLE(INDEX(#REF!,ROWS(Params!AI$2:$AI605)-COUNTA(TAB_Offres[Ressource 1])))=0,NA(),
INDEX(#REF!,ROWS(Params!AI$2:$AI605)-COUNTA(TAB_Offres[Ressource 1])))),
IFERROR(_xlfn.SINGLE(IF(_xlfn.SINGLE(INDEX(#REF!,ROWS(Params!AI$2:$AI605)-COUNTA(#REF!)-COUNTA(TAB_Offres[Ressource 1])))=0,NA(),
INDEX(#REF!,ROWS(Params!AI$2:$AI605)-COUNTA(#REF!)-COUNTA(TAB_Offres[Ressource 1])))),""))
)</f>
        <v/>
      </c>
      <c r="AJ605" s="192" t="str">
        <f>IF(TAB_ressource[[#This Row],[Import Ressource]]="","",MAX(AJ$1:AJ604)+1)</f>
        <v/>
      </c>
      <c r="AK605" s="193" t="str">
        <f>IFERROR(INDEX(TAB_ressource[Import Ressource],MATCH(ROW()-ROW($AK$1),TAB_ressource[ID Import ressources],0)),"")</f>
        <v/>
      </c>
      <c r="BD605" t="s">
        <v>2425</v>
      </c>
      <c r="BE605" t="s">
        <v>2426</v>
      </c>
      <c r="BF605" t="s">
        <v>2427</v>
      </c>
      <c r="BG605" t="s">
        <v>2425</v>
      </c>
    </row>
    <row r="606" spans="13:59" x14ac:dyDescent="0.25">
      <c r="M606" t="str">
        <f>_xlfn.IFNA(IF(VLOOKUP(TAB_Offres[[#This Row],[Reference]],TAB_Offres[[Reference]:[Request State]],COLUMNS(TAB_Offres[[Reference]:[Request State]]),FALSE)=D$6,TAB_Offres[[#This Row],[Reference]],""),"")</f>
        <v/>
      </c>
      <c r="N606" t="str">
        <f>_xlfn.IFNA(IF(VLOOKUP(TAB_Offres[[#This Row],[Reference]],TAB_Offres[[Reference]:[Has Expenses?]],COLUMNS(TAB_Offres[[Reference]:[Has Expenses?]]),FALSE)=J$2,TAB_Offres[[#This Row],[Reference]],""),"")</f>
        <v/>
      </c>
      <c r="O606" t="str">
        <f>IF(Tableau19[[#This Row],[EXPENSES_REF]]="","",MAX(O$1:O605)+1)</f>
        <v/>
      </c>
      <c r="P606" t="str">
        <f t="shared" si="22"/>
        <v/>
      </c>
      <c r="AI606" s="191" t="str">
        <f>IFERROR(_xlfn.SINGLE(
IF(_xlfn.SINGLE(INDEX(TAB_Offres[Ressource 1],ROWS(Params!AI$2:$AI606)))=0,NA(),
INDEX(TAB_Offres[Ressource 1],ROWS(Params!AI$2:$AI606)))),
IFERROR(_xlfn.SINGLE(IF(_xlfn.SINGLE(INDEX(#REF!,ROWS(Params!AI$2:$AI606)-COUNTA(TAB_Offres[Ressource 1])))=0,NA(),
INDEX(#REF!,ROWS(Params!AI$2:$AI606)-COUNTA(TAB_Offres[Ressource 1])))),
IFERROR(_xlfn.SINGLE(IF(_xlfn.SINGLE(INDEX(#REF!,ROWS(Params!AI$2:$AI606)-COUNTA(#REF!)-COUNTA(TAB_Offres[Ressource 1])))=0,NA(),
INDEX(#REF!,ROWS(Params!AI$2:$AI606)-COUNTA(#REF!)-COUNTA(TAB_Offres[Ressource 1])))),""))
)</f>
        <v/>
      </c>
      <c r="AJ606" s="192" t="str">
        <f>IF(TAB_ressource[[#This Row],[Import Ressource]]="","",MAX(AJ$1:AJ605)+1)</f>
        <v/>
      </c>
      <c r="AK606" s="193" t="str">
        <f>IFERROR(INDEX(TAB_ressource[Import Ressource],MATCH(ROW()-ROW($AK$1),TAB_ressource[ID Import ressources],0)),"")</f>
        <v/>
      </c>
      <c r="BD606" t="s">
        <v>2428</v>
      </c>
      <c r="BE606" t="s">
        <v>2429</v>
      </c>
      <c r="BF606" t="s">
        <v>2430</v>
      </c>
      <c r="BG606" t="s">
        <v>2428</v>
      </c>
    </row>
    <row r="607" spans="13:59" x14ac:dyDescent="0.25">
      <c r="M607" t="str">
        <f>_xlfn.IFNA(IF(VLOOKUP(TAB_Offres[[#This Row],[Reference]],TAB_Offres[[Reference]:[Request State]],COLUMNS(TAB_Offres[[Reference]:[Request State]]),FALSE)=D$6,TAB_Offres[[#This Row],[Reference]],""),"")</f>
        <v/>
      </c>
      <c r="N607" t="str">
        <f>_xlfn.IFNA(IF(VLOOKUP(TAB_Offres[[#This Row],[Reference]],TAB_Offres[[Reference]:[Has Expenses?]],COLUMNS(TAB_Offres[[Reference]:[Has Expenses?]]),FALSE)=J$2,TAB_Offres[[#This Row],[Reference]],""),"")</f>
        <v/>
      </c>
      <c r="O607" t="str">
        <f>IF(Tableau19[[#This Row],[EXPENSES_REF]]="","",MAX(O$1:O606)+1)</f>
        <v/>
      </c>
      <c r="P607" t="str">
        <f t="shared" si="22"/>
        <v/>
      </c>
      <c r="AI607" s="191" t="str">
        <f>IFERROR(_xlfn.SINGLE(
IF(_xlfn.SINGLE(INDEX(TAB_Offres[Ressource 1],ROWS(Params!AI$2:$AI607)))=0,NA(),
INDEX(TAB_Offres[Ressource 1],ROWS(Params!AI$2:$AI607)))),
IFERROR(_xlfn.SINGLE(IF(_xlfn.SINGLE(INDEX(#REF!,ROWS(Params!AI$2:$AI607)-COUNTA(TAB_Offres[Ressource 1])))=0,NA(),
INDEX(#REF!,ROWS(Params!AI$2:$AI607)-COUNTA(TAB_Offres[Ressource 1])))),
IFERROR(_xlfn.SINGLE(IF(_xlfn.SINGLE(INDEX(#REF!,ROWS(Params!AI$2:$AI607)-COUNTA(#REF!)-COUNTA(TAB_Offres[Ressource 1])))=0,NA(),
INDEX(#REF!,ROWS(Params!AI$2:$AI607)-COUNTA(#REF!)-COUNTA(TAB_Offres[Ressource 1])))),""))
)</f>
        <v/>
      </c>
      <c r="AJ607" s="192" t="str">
        <f>IF(TAB_ressource[[#This Row],[Import Ressource]]="","",MAX(AJ$1:AJ606)+1)</f>
        <v/>
      </c>
      <c r="AK607" s="193" t="str">
        <f>IFERROR(INDEX(TAB_ressource[Import Ressource],MATCH(ROW()-ROW($AK$1),TAB_ressource[ID Import ressources],0)),"")</f>
        <v/>
      </c>
      <c r="BD607" t="s">
        <v>2431</v>
      </c>
      <c r="BE607" t="s">
        <v>2432</v>
      </c>
      <c r="BF607" t="s">
        <v>2433</v>
      </c>
      <c r="BG607" t="s">
        <v>2431</v>
      </c>
    </row>
    <row r="608" spans="13:59" x14ac:dyDescent="0.25">
      <c r="M608" t="str">
        <f>_xlfn.IFNA(IF(VLOOKUP(TAB_Offres[[#This Row],[Reference]],TAB_Offres[[Reference]:[Request State]],COLUMNS(TAB_Offres[[Reference]:[Request State]]),FALSE)=D$6,TAB_Offres[[#This Row],[Reference]],""),"")</f>
        <v/>
      </c>
      <c r="N608" t="str">
        <f>_xlfn.IFNA(IF(VLOOKUP(TAB_Offres[[#This Row],[Reference]],TAB_Offres[[Reference]:[Has Expenses?]],COLUMNS(TAB_Offres[[Reference]:[Has Expenses?]]),FALSE)=J$2,TAB_Offres[[#This Row],[Reference]],""),"")</f>
        <v/>
      </c>
      <c r="O608" t="str">
        <f>IF(Tableau19[[#This Row],[EXPENSES_REF]]="","",MAX(O$1:O607)+1)</f>
        <v/>
      </c>
      <c r="P608" t="str">
        <f t="shared" si="22"/>
        <v/>
      </c>
      <c r="AI608" s="191" t="str">
        <f>IFERROR(_xlfn.SINGLE(
IF(_xlfn.SINGLE(INDEX(TAB_Offres[Ressource 1],ROWS(Params!AI$2:$AI608)))=0,NA(),
INDEX(TAB_Offres[Ressource 1],ROWS(Params!AI$2:$AI608)))),
IFERROR(_xlfn.SINGLE(IF(_xlfn.SINGLE(INDEX(#REF!,ROWS(Params!AI$2:$AI608)-COUNTA(TAB_Offres[Ressource 1])))=0,NA(),
INDEX(#REF!,ROWS(Params!AI$2:$AI608)-COUNTA(TAB_Offres[Ressource 1])))),
IFERROR(_xlfn.SINGLE(IF(_xlfn.SINGLE(INDEX(#REF!,ROWS(Params!AI$2:$AI608)-COUNTA(#REF!)-COUNTA(TAB_Offres[Ressource 1])))=0,NA(),
INDEX(#REF!,ROWS(Params!AI$2:$AI608)-COUNTA(#REF!)-COUNTA(TAB_Offres[Ressource 1])))),""))
)</f>
        <v/>
      </c>
      <c r="AJ608" s="192" t="str">
        <f>IF(TAB_ressource[[#This Row],[Import Ressource]]="","",MAX(AJ$1:AJ607)+1)</f>
        <v/>
      </c>
      <c r="AK608" s="193" t="str">
        <f>IFERROR(INDEX(TAB_ressource[Import Ressource],MATCH(ROW()-ROW($AK$1),TAB_ressource[ID Import ressources],0)),"")</f>
        <v/>
      </c>
      <c r="BD608" t="s">
        <v>2434</v>
      </c>
      <c r="BE608" t="s">
        <v>2435</v>
      </c>
      <c r="BF608" t="s">
        <v>2436</v>
      </c>
      <c r="BG608" t="s">
        <v>2434</v>
      </c>
    </row>
    <row r="609" spans="13:59" x14ac:dyDescent="0.25">
      <c r="M609" t="str">
        <f>_xlfn.IFNA(IF(VLOOKUP(TAB_Offres[[#This Row],[Reference]],TAB_Offres[[Reference]:[Request State]],COLUMNS(TAB_Offres[[Reference]:[Request State]]),FALSE)=D$6,TAB_Offres[[#This Row],[Reference]],""),"")</f>
        <v/>
      </c>
      <c r="N609" t="str">
        <f>_xlfn.IFNA(IF(VLOOKUP(TAB_Offres[[#This Row],[Reference]],TAB_Offres[[Reference]:[Has Expenses?]],COLUMNS(TAB_Offres[[Reference]:[Has Expenses?]]),FALSE)=J$2,TAB_Offres[[#This Row],[Reference]],""),"")</f>
        <v/>
      </c>
      <c r="O609" t="str">
        <f>IF(Tableau19[[#This Row],[EXPENSES_REF]]="","",MAX(O$1:O608)+1)</f>
        <v/>
      </c>
      <c r="P609" t="str">
        <f t="shared" si="22"/>
        <v/>
      </c>
      <c r="AI609" s="191" t="str">
        <f>IFERROR(_xlfn.SINGLE(
IF(_xlfn.SINGLE(INDEX(TAB_Offres[Ressource 1],ROWS(Params!AI$2:$AI609)))=0,NA(),
INDEX(TAB_Offres[Ressource 1],ROWS(Params!AI$2:$AI609)))),
IFERROR(_xlfn.SINGLE(IF(_xlfn.SINGLE(INDEX(#REF!,ROWS(Params!AI$2:$AI609)-COUNTA(TAB_Offres[Ressource 1])))=0,NA(),
INDEX(#REF!,ROWS(Params!AI$2:$AI609)-COUNTA(TAB_Offres[Ressource 1])))),
IFERROR(_xlfn.SINGLE(IF(_xlfn.SINGLE(INDEX(#REF!,ROWS(Params!AI$2:$AI609)-COUNTA(#REF!)-COUNTA(TAB_Offres[Ressource 1])))=0,NA(),
INDEX(#REF!,ROWS(Params!AI$2:$AI609)-COUNTA(#REF!)-COUNTA(TAB_Offres[Ressource 1])))),""))
)</f>
        <v/>
      </c>
      <c r="AJ609" s="192" t="str">
        <f>IF(TAB_ressource[[#This Row],[Import Ressource]]="","",MAX(AJ$1:AJ608)+1)</f>
        <v/>
      </c>
      <c r="AK609" s="193" t="str">
        <f>IFERROR(INDEX(TAB_ressource[Import Ressource],MATCH(ROW()-ROW($AK$1),TAB_ressource[ID Import ressources],0)),"")</f>
        <v/>
      </c>
      <c r="BD609" t="s">
        <v>2437</v>
      </c>
      <c r="BE609" t="s">
        <v>2438</v>
      </c>
      <c r="BF609" t="s">
        <v>2439</v>
      </c>
      <c r="BG609" t="s">
        <v>2437</v>
      </c>
    </row>
    <row r="610" spans="13:59" x14ac:dyDescent="0.25">
      <c r="M610" t="str">
        <f>_xlfn.IFNA(IF(VLOOKUP(TAB_Offres[[#This Row],[Reference]],TAB_Offres[[Reference]:[Request State]],COLUMNS(TAB_Offres[[Reference]:[Request State]]),FALSE)=D$6,TAB_Offres[[#This Row],[Reference]],""),"")</f>
        <v/>
      </c>
      <c r="N610" t="str">
        <f>_xlfn.IFNA(IF(VLOOKUP(TAB_Offres[[#This Row],[Reference]],TAB_Offres[[Reference]:[Has Expenses?]],COLUMNS(TAB_Offres[[Reference]:[Has Expenses?]]),FALSE)=J$2,TAB_Offres[[#This Row],[Reference]],""),"")</f>
        <v/>
      </c>
      <c r="O610" t="str">
        <f>IF(Tableau19[[#This Row],[EXPENSES_REF]]="","",MAX(O$1:O609)+1)</f>
        <v/>
      </c>
      <c r="P610" t="str">
        <f t="shared" si="22"/>
        <v/>
      </c>
      <c r="AI610" s="191" t="str">
        <f>IFERROR(_xlfn.SINGLE(
IF(_xlfn.SINGLE(INDEX(TAB_Offres[Ressource 1],ROWS(Params!AI$2:$AI610)))=0,NA(),
INDEX(TAB_Offres[Ressource 1],ROWS(Params!AI$2:$AI610)))),
IFERROR(_xlfn.SINGLE(IF(_xlfn.SINGLE(INDEX(#REF!,ROWS(Params!AI$2:$AI610)-COUNTA(TAB_Offres[Ressource 1])))=0,NA(),
INDEX(#REF!,ROWS(Params!AI$2:$AI610)-COUNTA(TAB_Offres[Ressource 1])))),
IFERROR(_xlfn.SINGLE(IF(_xlfn.SINGLE(INDEX(#REF!,ROWS(Params!AI$2:$AI610)-COUNTA(#REF!)-COUNTA(TAB_Offres[Ressource 1])))=0,NA(),
INDEX(#REF!,ROWS(Params!AI$2:$AI610)-COUNTA(#REF!)-COUNTA(TAB_Offres[Ressource 1])))),""))
)</f>
        <v/>
      </c>
      <c r="AJ610" s="192" t="str">
        <f>IF(TAB_ressource[[#This Row],[Import Ressource]]="","",MAX(AJ$1:AJ609)+1)</f>
        <v/>
      </c>
      <c r="AK610" s="193" t="str">
        <f>IFERROR(INDEX(TAB_ressource[Import Ressource],MATCH(ROW()-ROW($AK$1),TAB_ressource[ID Import ressources],0)),"")</f>
        <v/>
      </c>
      <c r="BD610" t="s">
        <v>2440</v>
      </c>
      <c r="BE610" t="s">
        <v>2441</v>
      </c>
      <c r="BF610" t="s">
        <v>2442</v>
      </c>
      <c r="BG610" t="s">
        <v>2440</v>
      </c>
    </row>
    <row r="611" spans="13:59" x14ac:dyDescent="0.25">
      <c r="M611" t="str">
        <f>_xlfn.IFNA(IF(VLOOKUP(TAB_Offres[[#This Row],[Reference]],TAB_Offres[[Reference]:[Request State]],COLUMNS(TAB_Offres[[Reference]:[Request State]]),FALSE)=D$6,TAB_Offres[[#This Row],[Reference]],""),"")</f>
        <v/>
      </c>
      <c r="N611" t="str">
        <f>_xlfn.IFNA(IF(VLOOKUP(TAB_Offres[[#This Row],[Reference]],TAB_Offres[[Reference]:[Has Expenses?]],COLUMNS(TAB_Offres[[Reference]:[Has Expenses?]]),FALSE)=J$2,TAB_Offres[[#This Row],[Reference]],""),"")</f>
        <v/>
      </c>
      <c r="O611" t="str">
        <f>IF(Tableau19[[#This Row],[EXPENSES_REF]]="","",MAX(O$1:O610)+1)</f>
        <v/>
      </c>
      <c r="P611" t="str">
        <f t="shared" si="22"/>
        <v/>
      </c>
      <c r="AI611" s="191" t="str">
        <f>IFERROR(_xlfn.SINGLE(
IF(_xlfn.SINGLE(INDEX(TAB_Offres[Ressource 1],ROWS(Params!AI$2:$AI611)))=0,NA(),
INDEX(TAB_Offres[Ressource 1],ROWS(Params!AI$2:$AI611)))),
IFERROR(_xlfn.SINGLE(IF(_xlfn.SINGLE(INDEX(#REF!,ROWS(Params!AI$2:$AI611)-COUNTA(TAB_Offres[Ressource 1])))=0,NA(),
INDEX(#REF!,ROWS(Params!AI$2:$AI611)-COUNTA(TAB_Offres[Ressource 1])))),
IFERROR(_xlfn.SINGLE(IF(_xlfn.SINGLE(INDEX(#REF!,ROWS(Params!AI$2:$AI611)-COUNTA(#REF!)-COUNTA(TAB_Offres[Ressource 1])))=0,NA(),
INDEX(#REF!,ROWS(Params!AI$2:$AI611)-COUNTA(#REF!)-COUNTA(TAB_Offres[Ressource 1])))),""))
)</f>
        <v/>
      </c>
      <c r="AJ611" s="192" t="str">
        <f>IF(TAB_ressource[[#This Row],[Import Ressource]]="","",MAX(AJ$1:AJ610)+1)</f>
        <v/>
      </c>
      <c r="AK611" s="193" t="str">
        <f>IFERROR(INDEX(TAB_ressource[Import Ressource],MATCH(ROW()-ROW($AK$1),TAB_ressource[ID Import ressources],0)),"")</f>
        <v/>
      </c>
      <c r="BD611" t="s">
        <v>2443</v>
      </c>
      <c r="BE611" t="s">
        <v>2444</v>
      </c>
      <c r="BF611" t="s">
        <v>2445</v>
      </c>
      <c r="BG611" t="s">
        <v>2443</v>
      </c>
    </row>
    <row r="612" spans="13:59" x14ac:dyDescent="0.25">
      <c r="M612" t="str">
        <f>_xlfn.IFNA(IF(VLOOKUP(TAB_Offres[[#This Row],[Reference]],TAB_Offres[[Reference]:[Request State]],COLUMNS(TAB_Offres[[Reference]:[Request State]]),FALSE)=D$6,TAB_Offres[[#This Row],[Reference]],""),"")</f>
        <v/>
      </c>
      <c r="N612" t="str">
        <f>_xlfn.IFNA(IF(VLOOKUP(TAB_Offres[[#This Row],[Reference]],TAB_Offres[[Reference]:[Has Expenses?]],COLUMNS(TAB_Offres[[Reference]:[Has Expenses?]]),FALSE)=J$2,TAB_Offres[[#This Row],[Reference]],""),"")</f>
        <v/>
      </c>
      <c r="O612" t="str">
        <f>IF(Tableau19[[#This Row],[EXPENSES_REF]]="","",MAX(O$1:O611)+1)</f>
        <v/>
      </c>
      <c r="P612" t="str">
        <f t="shared" si="22"/>
        <v/>
      </c>
      <c r="AI612" s="191" t="str">
        <f>IFERROR(_xlfn.SINGLE(
IF(_xlfn.SINGLE(INDEX(TAB_Offres[Ressource 1],ROWS(Params!AI$2:$AI612)))=0,NA(),
INDEX(TAB_Offres[Ressource 1],ROWS(Params!AI$2:$AI612)))),
IFERROR(_xlfn.SINGLE(IF(_xlfn.SINGLE(INDEX(#REF!,ROWS(Params!AI$2:$AI612)-COUNTA(TAB_Offres[Ressource 1])))=0,NA(),
INDEX(#REF!,ROWS(Params!AI$2:$AI612)-COUNTA(TAB_Offres[Ressource 1])))),
IFERROR(_xlfn.SINGLE(IF(_xlfn.SINGLE(INDEX(#REF!,ROWS(Params!AI$2:$AI612)-COUNTA(#REF!)-COUNTA(TAB_Offres[Ressource 1])))=0,NA(),
INDEX(#REF!,ROWS(Params!AI$2:$AI612)-COUNTA(#REF!)-COUNTA(TAB_Offres[Ressource 1])))),""))
)</f>
        <v/>
      </c>
      <c r="AJ612" s="192" t="str">
        <f>IF(TAB_ressource[[#This Row],[Import Ressource]]="","",MAX(AJ$1:AJ611)+1)</f>
        <v/>
      </c>
      <c r="AK612" s="193" t="str">
        <f>IFERROR(INDEX(TAB_ressource[Import Ressource],MATCH(ROW()-ROW($AK$1),TAB_ressource[ID Import ressources],0)),"")</f>
        <v/>
      </c>
      <c r="BD612" t="s">
        <v>2446</v>
      </c>
      <c r="BE612" t="s">
        <v>2447</v>
      </c>
      <c r="BF612" t="s">
        <v>2448</v>
      </c>
      <c r="BG612" t="s">
        <v>2446</v>
      </c>
    </row>
    <row r="613" spans="13:59" x14ac:dyDescent="0.25">
      <c r="M613" t="str">
        <f>_xlfn.IFNA(IF(VLOOKUP(TAB_Offres[[#This Row],[Reference]],TAB_Offres[[Reference]:[Request State]],COLUMNS(TAB_Offres[[Reference]:[Request State]]),FALSE)=D$6,TAB_Offres[[#This Row],[Reference]],""),"")</f>
        <v/>
      </c>
      <c r="N613" t="str">
        <f>_xlfn.IFNA(IF(VLOOKUP(TAB_Offres[[#This Row],[Reference]],TAB_Offres[[Reference]:[Has Expenses?]],COLUMNS(TAB_Offres[[Reference]:[Has Expenses?]]),FALSE)=J$2,TAB_Offres[[#This Row],[Reference]],""),"")</f>
        <v/>
      </c>
      <c r="O613" t="str">
        <f>IF(Tableau19[[#This Row],[EXPENSES_REF]]="","",MAX(O$1:O612)+1)</f>
        <v/>
      </c>
      <c r="P613" t="str">
        <f t="shared" si="22"/>
        <v/>
      </c>
      <c r="AI613" s="191" t="str">
        <f>IFERROR(_xlfn.SINGLE(
IF(_xlfn.SINGLE(INDEX(TAB_Offres[Ressource 1],ROWS(Params!AI$2:$AI613)))=0,NA(),
INDEX(TAB_Offres[Ressource 1],ROWS(Params!AI$2:$AI613)))),
IFERROR(_xlfn.SINGLE(IF(_xlfn.SINGLE(INDEX(#REF!,ROWS(Params!AI$2:$AI613)-COUNTA(TAB_Offres[Ressource 1])))=0,NA(),
INDEX(#REF!,ROWS(Params!AI$2:$AI613)-COUNTA(TAB_Offres[Ressource 1])))),
IFERROR(_xlfn.SINGLE(IF(_xlfn.SINGLE(INDEX(#REF!,ROWS(Params!AI$2:$AI613)-COUNTA(#REF!)-COUNTA(TAB_Offres[Ressource 1])))=0,NA(),
INDEX(#REF!,ROWS(Params!AI$2:$AI613)-COUNTA(#REF!)-COUNTA(TAB_Offres[Ressource 1])))),""))
)</f>
        <v/>
      </c>
      <c r="AJ613" s="192" t="str">
        <f>IF(TAB_ressource[[#This Row],[Import Ressource]]="","",MAX(AJ$1:AJ612)+1)</f>
        <v/>
      </c>
      <c r="AK613" s="193" t="str">
        <f>IFERROR(INDEX(TAB_ressource[Import Ressource],MATCH(ROW()-ROW($AK$1),TAB_ressource[ID Import ressources],0)),"")</f>
        <v/>
      </c>
      <c r="BD613" t="s">
        <v>2449</v>
      </c>
      <c r="BE613" t="s">
        <v>2450</v>
      </c>
      <c r="BF613" t="s">
        <v>2451</v>
      </c>
      <c r="BG613" t="s">
        <v>2449</v>
      </c>
    </row>
    <row r="614" spans="13:59" x14ac:dyDescent="0.25">
      <c r="M614" t="str">
        <f>_xlfn.IFNA(IF(VLOOKUP(TAB_Offres[[#This Row],[Reference]],TAB_Offres[[Reference]:[Request State]],COLUMNS(TAB_Offres[[Reference]:[Request State]]),FALSE)=D$6,TAB_Offres[[#This Row],[Reference]],""),"")</f>
        <v/>
      </c>
      <c r="N614" t="str">
        <f>_xlfn.IFNA(IF(VLOOKUP(TAB_Offres[[#This Row],[Reference]],TAB_Offres[[Reference]:[Has Expenses?]],COLUMNS(TAB_Offres[[Reference]:[Has Expenses?]]),FALSE)=J$2,TAB_Offres[[#This Row],[Reference]],""),"")</f>
        <v/>
      </c>
      <c r="O614" t="str">
        <f>IF(Tableau19[[#This Row],[EXPENSES_REF]]="","",MAX(O$1:O613)+1)</f>
        <v/>
      </c>
      <c r="P614" t="str">
        <f t="shared" si="22"/>
        <v/>
      </c>
      <c r="AI614" s="191" t="str">
        <f>IFERROR(_xlfn.SINGLE(
IF(_xlfn.SINGLE(INDEX(TAB_Offres[Ressource 1],ROWS(Params!AI$2:$AI614)))=0,NA(),
INDEX(TAB_Offres[Ressource 1],ROWS(Params!AI$2:$AI614)))),
IFERROR(_xlfn.SINGLE(IF(_xlfn.SINGLE(INDEX(#REF!,ROWS(Params!AI$2:$AI614)-COUNTA(TAB_Offres[Ressource 1])))=0,NA(),
INDEX(#REF!,ROWS(Params!AI$2:$AI614)-COUNTA(TAB_Offres[Ressource 1])))),
IFERROR(_xlfn.SINGLE(IF(_xlfn.SINGLE(INDEX(#REF!,ROWS(Params!AI$2:$AI614)-COUNTA(#REF!)-COUNTA(TAB_Offres[Ressource 1])))=0,NA(),
INDEX(#REF!,ROWS(Params!AI$2:$AI614)-COUNTA(#REF!)-COUNTA(TAB_Offres[Ressource 1])))),""))
)</f>
        <v/>
      </c>
      <c r="AJ614" s="192" t="str">
        <f>IF(TAB_ressource[[#This Row],[Import Ressource]]="","",MAX(AJ$1:AJ613)+1)</f>
        <v/>
      </c>
      <c r="AK614" s="193" t="str">
        <f>IFERROR(INDEX(TAB_ressource[Import Ressource],MATCH(ROW()-ROW($AK$1),TAB_ressource[ID Import ressources],0)),"")</f>
        <v/>
      </c>
      <c r="BD614" t="s">
        <v>2452</v>
      </c>
      <c r="BE614" t="s">
        <v>2453</v>
      </c>
      <c r="BF614" t="s">
        <v>2454</v>
      </c>
      <c r="BG614" t="s">
        <v>2452</v>
      </c>
    </row>
    <row r="615" spans="13:59" x14ac:dyDescent="0.25">
      <c r="M615" t="str">
        <f>_xlfn.IFNA(IF(VLOOKUP(TAB_Offres[[#This Row],[Reference]],TAB_Offres[[Reference]:[Request State]],COLUMNS(TAB_Offres[[Reference]:[Request State]]),FALSE)=D$6,TAB_Offres[[#This Row],[Reference]],""),"")</f>
        <v/>
      </c>
      <c r="N615" t="str">
        <f>_xlfn.IFNA(IF(VLOOKUP(TAB_Offres[[#This Row],[Reference]],TAB_Offres[[Reference]:[Has Expenses?]],COLUMNS(TAB_Offres[[Reference]:[Has Expenses?]]),FALSE)=J$2,TAB_Offres[[#This Row],[Reference]],""),"")</f>
        <v/>
      </c>
      <c r="O615" t="str">
        <f>IF(Tableau19[[#This Row],[EXPENSES_REF]]="","",MAX(O$1:O614)+1)</f>
        <v/>
      </c>
      <c r="P615" t="str">
        <f t="shared" si="22"/>
        <v/>
      </c>
      <c r="AI615" s="191" t="str">
        <f>IFERROR(_xlfn.SINGLE(
IF(_xlfn.SINGLE(INDEX(TAB_Offres[Ressource 1],ROWS(Params!AI$2:$AI615)))=0,NA(),
INDEX(TAB_Offres[Ressource 1],ROWS(Params!AI$2:$AI615)))),
IFERROR(_xlfn.SINGLE(IF(_xlfn.SINGLE(INDEX(#REF!,ROWS(Params!AI$2:$AI615)-COUNTA(TAB_Offres[Ressource 1])))=0,NA(),
INDEX(#REF!,ROWS(Params!AI$2:$AI615)-COUNTA(TAB_Offres[Ressource 1])))),
IFERROR(_xlfn.SINGLE(IF(_xlfn.SINGLE(INDEX(#REF!,ROWS(Params!AI$2:$AI615)-COUNTA(#REF!)-COUNTA(TAB_Offres[Ressource 1])))=0,NA(),
INDEX(#REF!,ROWS(Params!AI$2:$AI615)-COUNTA(#REF!)-COUNTA(TAB_Offres[Ressource 1])))),""))
)</f>
        <v/>
      </c>
      <c r="AJ615" s="192" t="str">
        <f>IF(TAB_ressource[[#This Row],[Import Ressource]]="","",MAX(AJ$1:AJ614)+1)</f>
        <v/>
      </c>
      <c r="AK615" s="193" t="str">
        <f>IFERROR(INDEX(TAB_ressource[Import Ressource],MATCH(ROW()-ROW($AK$1),TAB_ressource[ID Import ressources],0)),"")</f>
        <v/>
      </c>
      <c r="BD615" t="s">
        <v>2455</v>
      </c>
      <c r="BE615" t="s">
        <v>2456</v>
      </c>
      <c r="BF615" t="s">
        <v>2457</v>
      </c>
      <c r="BG615" t="s">
        <v>2455</v>
      </c>
    </row>
    <row r="616" spans="13:59" x14ac:dyDescent="0.25">
      <c r="M616" t="str">
        <f>_xlfn.IFNA(IF(VLOOKUP(TAB_Offres[[#This Row],[Reference]],TAB_Offres[[Reference]:[Request State]],COLUMNS(TAB_Offres[[Reference]:[Request State]]),FALSE)=D$6,TAB_Offres[[#This Row],[Reference]],""),"")</f>
        <v/>
      </c>
      <c r="N616" t="str">
        <f>_xlfn.IFNA(IF(VLOOKUP(TAB_Offres[[#This Row],[Reference]],TAB_Offres[[Reference]:[Has Expenses?]],COLUMNS(TAB_Offres[[Reference]:[Has Expenses?]]),FALSE)=J$2,TAB_Offres[[#This Row],[Reference]],""),"")</f>
        <v/>
      </c>
      <c r="O616" t="str">
        <f>IF(Tableau19[[#This Row],[EXPENSES_REF]]="","",MAX(O$1:O615)+1)</f>
        <v/>
      </c>
      <c r="P616" t="str">
        <f t="shared" si="22"/>
        <v/>
      </c>
      <c r="AI616" s="191" t="str">
        <f>IFERROR(_xlfn.SINGLE(
IF(_xlfn.SINGLE(INDEX(TAB_Offres[Ressource 1],ROWS(Params!AI$2:$AI616)))=0,NA(),
INDEX(TAB_Offres[Ressource 1],ROWS(Params!AI$2:$AI616)))),
IFERROR(_xlfn.SINGLE(IF(_xlfn.SINGLE(INDEX(#REF!,ROWS(Params!AI$2:$AI616)-COUNTA(TAB_Offres[Ressource 1])))=0,NA(),
INDEX(#REF!,ROWS(Params!AI$2:$AI616)-COUNTA(TAB_Offres[Ressource 1])))),
IFERROR(_xlfn.SINGLE(IF(_xlfn.SINGLE(INDEX(#REF!,ROWS(Params!AI$2:$AI616)-COUNTA(#REF!)-COUNTA(TAB_Offres[Ressource 1])))=0,NA(),
INDEX(#REF!,ROWS(Params!AI$2:$AI616)-COUNTA(#REF!)-COUNTA(TAB_Offres[Ressource 1])))),""))
)</f>
        <v/>
      </c>
      <c r="AJ616" s="192" t="str">
        <f>IF(TAB_ressource[[#This Row],[Import Ressource]]="","",MAX(AJ$1:AJ615)+1)</f>
        <v/>
      </c>
      <c r="AK616" s="193" t="str">
        <f>IFERROR(INDEX(TAB_ressource[Import Ressource],MATCH(ROW()-ROW($AK$1),TAB_ressource[ID Import ressources],0)),"")</f>
        <v/>
      </c>
      <c r="BD616" t="s">
        <v>2458</v>
      </c>
      <c r="BE616" t="s">
        <v>2459</v>
      </c>
      <c r="BF616" t="s">
        <v>2460</v>
      </c>
      <c r="BG616" t="s">
        <v>2458</v>
      </c>
    </row>
    <row r="617" spans="13:59" x14ac:dyDescent="0.25">
      <c r="M617" t="str">
        <f>_xlfn.IFNA(IF(VLOOKUP(TAB_Offres[[#This Row],[Reference]],TAB_Offres[[Reference]:[Request State]],COLUMNS(TAB_Offres[[Reference]:[Request State]]),FALSE)=D$6,TAB_Offres[[#This Row],[Reference]],""),"")</f>
        <v/>
      </c>
      <c r="N617" t="str">
        <f>_xlfn.IFNA(IF(VLOOKUP(TAB_Offres[[#This Row],[Reference]],TAB_Offres[[Reference]:[Has Expenses?]],COLUMNS(TAB_Offres[[Reference]:[Has Expenses?]]),FALSE)=J$2,TAB_Offres[[#This Row],[Reference]],""),"")</f>
        <v/>
      </c>
      <c r="O617" t="str">
        <f>IF(Tableau19[[#This Row],[EXPENSES_REF]]="","",MAX(O$1:O616)+1)</f>
        <v/>
      </c>
      <c r="P617" t="str">
        <f t="shared" si="22"/>
        <v/>
      </c>
      <c r="AI617" s="191" t="str">
        <f>IFERROR(_xlfn.SINGLE(
IF(_xlfn.SINGLE(INDEX(TAB_Offres[Ressource 1],ROWS(Params!AI$2:$AI617)))=0,NA(),
INDEX(TAB_Offres[Ressource 1],ROWS(Params!AI$2:$AI617)))),
IFERROR(_xlfn.SINGLE(IF(_xlfn.SINGLE(INDEX(#REF!,ROWS(Params!AI$2:$AI617)-COUNTA(TAB_Offres[Ressource 1])))=0,NA(),
INDEX(#REF!,ROWS(Params!AI$2:$AI617)-COUNTA(TAB_Offres[Ressource 1])))),
IFERROR(_xlfn.SINGLE(IF(_xlfn.SINGLE(INDEX(#REF!,ROWS(Params!AI$2:$AI617)-COUNTA(#REF!)-COUNTA(TAB_Offres[Ressource 1])))=0,NA(),
INDEX(#REF!,ROWS(Params!AI$2:$AI617)-COUNTA(#REF!)-COUNTA(TAB_Offres[Ressource 1])))),""))
)</f>
        <v/>
      </c>
      <c r="AJ617" s="192" t="str">
        <f>IF(TAB_ressource[[#This Row],[Import Ressource]]="","",MAX(AJ$1:AJ616)+1)</f>
        <v/>
      </c>
      <c r="AK617" s="193" t="str">
        <f>IFERROR(INDEX(TAB_ressource[Import Ressource],MATCH(ROW()-ROW($AK$1),TAB_ressource[ID Import ressources],0)),"")</f>
        <v/>
      </c>
      <c r="BD617" t="s">
        <v>2461</v>
      </c>
      <c r="BE617" t="s">
        <v>2462</v>
      </c>
      <c r="BF617" t="s">
        <v>2463</v>
      </c>
      <c r="BG617" t="s">
        <v>2461</v>
      </c>
    </row>
    <row r="618" spans="13:59" x14ac:dyDescent="0.25">
      <c r="M618" t="str">
        <f>_xlfn.IFNA(IF(VLOOKUP(TAB_Offres[[#This Row],[Reference]],TAB_Offres[[Reference]:[Request State]],COLUMNS(TAB_Offres[[Reference]:[Request State]]),FALSE)=D$6,TAB_Offres[[#This Row],[Reference]],""),"")</f>
        <v/>
      </c>
      <c r="N618" t="str">
        <f>_xlfn.IFNA(IF(VLOOKUP(TAB_Offres[[#This Row],[Reference]],TAB_Offres[[Reference]:[Has Expenses?]],COLUMNS(TAB_Offres[[Reference]:[Has Expenses?]]),FALSE)=J$2,TAB_Offres[[#This Row],[Reference]],""),"")</f>
        <v/>
      </c>
      <c r="O618" t="str">
        <f>IF(Tableau19[[#This Row],[EXPENSES_REF]]="","",MAX(O$1:O617)+1)</f>
        <v/>
      </c>
      <c r="P618" t="str">
        <f t="shared" si="22"/>
        <v/>
      </c>
      <c r="AI618" s="191" t="str">
        <f>IFERROR(_xlfn.SINGLE(
IF(_xlfn.SINGLE(INDEX(TAB_Offres[Ressource 1],ROWS(Params!AI$2:$AI618)))=0,NA(),
INDEX(TAB_Offres[Ressource 1],ROWS(Params!AI$2:$AI618)))),
IFERROR(_xlfn.SINGLE(IF(_xlfn.SINGLE(INDEX(#REF!,ROWS(Params!AI$2:$AI618)-COUNTA(TAB_Offres[Ressource 1])))=0,NA(),
INDEX(#REF!,ROWS(Params!AI$2:$AI618)-COUNTA(TAB_Offres[Ressource 1])))),
IFERROR(_xlfn.SINGLE(IF(_xlfn.SINGLE(INDEX(#REF!,ROWS(Params!AI$2:$AI618)-COUNTA(#REF!)-COUNTA(TAB_Offres[Ressource 1])))=0,NA(),
INDEX(#REF!,ROWS(Params!AI$2:$AI618)-COUNTA(#REF!)-COUNTA(TAB_Offres[Ressource 1])))),""))
)</f>
        <v/>
      </c>
      <c r="AJ618" s="192" t="str">
        <f>IF(TAB_ressource[[#This Row],[Import Ressource]]="","",MAX(AJ$1:AJ617)+1)</f>
        <v/>
      </c>
      <c r="AK618" s="193" t="str">
        <f>IFERROR(INDEX(TAB_ressource[Import Ressource],MATCH(ROW()-ROW($AK$1),TAB_ressource[ID Import ressources],0)),"")</f>
        <v/>
      </c>
      <c r="BD618" t="s">
        <v>2464</v>
      </c>
      <c r="BE618" t="s">
        <v>2465</v>
      </c>
      <c r="BF618" t="s">
        <v>2466</v>
      </c>
      <c r="BG618" t="s">
        <v>2464</v>
      </c>
    </row>
    <row r="619" spans="13:59" x14ac:dyDescent="0.25">
      <c r="M619" t="str">
        <f>_xlfn.IFNA(IF(VLOOKUP(TAB_Offres[[#This Row],[Reference]],TAB_Offres[[Reference]:[Request State]],COLUMNS(TAB_Offres[[Reference]:[Request State]]),FALSE)=D$6,TAB_Offres[[#This Row],[Reference]],""),"")</f>
        <v/>
      </c>
      <c r="N619" t="str">
        <f>_xlfn.IFNA(IF(VLOOKUP(TAB_Offres[[#This Row],[Reference]],TAB_Offres[[Reference]:[Has Expenses?]],COLUMNS(TAB_Offres[[Reference]:[Has Expenses?]]),FALSE)=J$2,TAB_Offres[[#This Row],[Reference]],""),"")</f>
        <v/>
      </c>
      <c r="O619" t="str">
        <f>IF(Tableau19[[#This Row],[EXPENSES_REF]]="","",MAX(O$1:O618)+1)</f>
        <v/>
      </c>
      <c r="P619" t="str">
        <f t="shared" si="22"/>
        <v/>
      </c>
      <c r="AI619" s="191" t="str">
        <f>IFERROR(_xlfn.SINGLE(
IF(_xlfn.SINGLE(INDEX(TAB_Offres[Ressource 1],ROWS(Params!AI$2:$AI619)))=0,NA(),
INDEX(TAB_Offres[Ressource 1],ROWS(Params!AI$2:$AI619)))),
IFERROR(_xlfn.SINGLE(IF(_xlfn.SINGLE(INDEX(#REF!,ROWS(Params!AI$2:$AI619)-COUNTA(TAB_Offres[Ressource 1])))=0,NA(),
INDEX(#REF!,ROWS(Params!AI$2:$AI619)-COUNTA(TAB_Offres[Ressource 1])))),
IFERROR(_xlfn.SINGLE(IF(_xlfn.SINGLE(INDEX(#REF!,ROWS(Params!AI$2:$AI619)-COUNTA(#REF!)-COUNTA(TAB_Offres[Ressource 1])))=0,NA(),
INDEX(#REF!,ROWS(Params!AI$2:$AI619)-COUNTA(#REF!)-COUNTA(TAB_Offres[Ressource 1])))),""))
)</f>
        <v/>
      </c>
      <c r="AJ619" s="192" t="str">
        <f>IF(TAB_ressource[[#This Row],[Import Ressource]]="","",MAX(AJ$1:AJ618)+1)</f>
        <v/>
      </c>
      <c r="AK619" s="193" t="str">
        <f>IFERROR(INDEX(TAB_ressource[Import Ressource],MATCH(ROW()-ROW($AK$1),TAB_ressource[ID Import ressources],0)),"")</f>
        <v/>
      </c>
      <c r="BD619" t="s">
        <v>2467</v>
      </c>
      <c r="BE619" t="s">
        <v>2468</v>
      </c>
      <c r="BF619" t="s">
        <v>2469</v>
      </c>
      <c r="BG619" t="s">
        <v>2467</v>
      </c>
    </row>
    <row r="620" spans="13:59" x14ac:dyDescent="0.25">
      <c r="M620" t="str">
        <f>_xlfn.IFNA(IF(VLOOKUP(TAB_Offres[[#This Row],[Reference]],TAB_Offres[[Reference]:[Request State]],COLUMNS(TAB_Offres[[Reference]:[Request State]]),FALSE)=D$6,TAB_Offres[[#This Row],[Reference]],""),"")</f>
        <v/>
      </c>
      <c r="N620" t="str">
        <f>_xlfn.IFNA(IF(VLOOKUP(TAB_Offres[[#This Row],[Reference]],TAB_Offres[[Reference]:[Has Expenses?]],COLUMNS(TAB_Offres[[Reference]:[Has Expenses?]]),FALSE)=J$2,TAB_Offres[[#This Row],[Reference]],""),"")</f>
        <v/>
      </c>
      <c r="O620" t="str">
        <f>IF(Tableau19[[#This Row],[EXPENSES_REF]]="","",MAX(O$1:O619)+1)</f>
        <v/>
      </c>
      <c r="P620" t="str">
        <f t="shared" si="22"/>
        <v/>
      </c>
      <c r="AI620" s="191" t="str">
        <f>IFERROR(_xlfn.SINGLE(
IF(_xlfn.SINGLE(INDEX(TAB_Offres[Ressource 1],ROWS(Params!AI$2:$AI620)))=0,NA(),
INDEX(TAB_Offres[Ressource 1],ROWS(Params!AI$2:$AI620)))),
IFERROR(_xlfn.SINGLE(IF(_xlfn.SINGLE(INDEX(#REF!,ROWS(Params!AI$2:$AI620)-COUNTA(TAB_Offres[Ressource 1])))=0,NA(),
INDEX(#REF!,ROWS(Params!AI$2:$AI620)-COUNTA(TAB_Offres[Ressource 1])))),
IFERROR(_xlfn.SINGLE(IF(_xlfn.SINGLE(INDEX(#REF!,ROWS(Params!AI$2:$AI620)-COUNTA(#REF!)-COUNTA(TAB_Offres[Ressource 1])))=0,NA(),
INDEX(#REF!,ROWS(Params!AI$2:$AI620)-COUNTA(#REF!)-COUNTA(TAB_Offres[Ressource 1])))),""))
)</f>
        <v/>
      </c>
      <c r="AJ620" s="192" t="str">
        <f>IF(TAB_ressource[[#This Row],[Import Ressource]]="","",MAX(AJ$1:AJ619)+1)</f>
        <v/>
      </c>
      <c r="AK620" s="193" t="str">
        <f>IFERROR(INDEX(TAB_ressource[Import Ressource],MATCH(ROW()-ROW($AK$1),TAB_ressource[ID Import ressources],0)),"")</f>
        <v/>
      </c>
      <c r="BD620" t="s">
        <v>2470</v>
      </c>
      <c r="BE620" t="s">
        <v>2471</v>
      </c>
      <c r="BF620" t="s">
        <v>2472</v>
      </c>
      <c r="BG620" t="s">
        <v>2470</v>
      </c>
    </row>
    <row r="621" spans="13:59" x14ac:dyDescent="0.25">
      <c r="M621" t="str">
        <f>_xlfn.IFNA(IF(VLOOKUP(TAB_Offres[[#This Row],[Reference]],TAB_Offres[[Reference]:[Request State]],COLUMNS(TAB_Offres[[Reference]:[Request State]]),FALSE)=D$6,TAB_Offres[[#This Row],[Reference]],""),"")</f>
        <v/>
      </c>
      <c r="N621" t="str">
        <f>_xlfn.IFNA(IF(VLOOKUP(TAB_Offres[[#This Row],[Reference]],TAB_Offres[[Reference]:[Has Expenses?]],COLUMNS(TAB_Offres[[Reference]:[Has Expenses?]]),FALSE)=J$2,TAB_Offres[[#This Row],[Reference]],""),"")</f>
        <v/>
      </c>
      <c r="O621" t="str">
        <f>IF(Tableau19[[#This Row],[EXPENSES_REF]]="","",MAX(O$1:O620)+1)</f>
        <v/>
      </c>
      <c r="P621" t="str">
        <f t="shared" si="22"/>
        <v/>
      </c>
      <c r="AI621" s="191" t="str">
        <f>IFERROR(_xlfn.SINGLE(
IF(_xlfn.SINGLE(INDEX(TAB_Offres[Ressource 1],ROWS(Params!AI$2:$AI621)))=0,NA(),
INDEX(TAB_Offres[Ressource 1],ROWS(Params!AI$2:$AI621)))),
IFERROR(_xlfn.SINGLE(IF(_xlfn.SINGLE(INDEX(#REF!,ROWS(Params!AI$2:$AI621)-COUNTA(TAB_Offres[Ressource 1])))=0,NA(),
INDEX(#REF!,ROWS(Params!AI$2:$AI621)-COUNTA(TAB_Offres[Ressource 1])))),
IFERROR(_xlfn.SINGLE(IF(_xlfn.SINGLE(INDEX(#REF!,ROWS(Params!AI$2:$AI621)-COUNTA(#REF!)-COUNTA(TAB_Offres[Ressource 1])))=0,NA(),
INDEX(#REF!,ROWS(Params!AI$2:$AI621)-COUNTA(#REF!)-COUNTA(TAB_Offres[Ressource 1])))),""))
)</f>
        <v/>
      </c>
      <c r="AJ621" s="192" t="str">
        <f>IF(TAB_ressource[[#This Row],[Import Ressource]]="","",MAX(AJ$1:AJ620)+1)</f>
        <v/>
      </c>
      <c r="AK621" s="193" t="str">
        <f>IFERROR(INDEX(TAB_ressource[Import Ressource],MATCH(ROW()-ROW($AK$1),TAB_ressource[ID Import ressources],0)),"")</f>
        <v/>
      </c>
      <c r="BD621" t="s">
        <v>2473</v>
      </c>
      <c r="BE621" t="s">
        <v>2474</v>
      </c>
      <c r="BF621" t="s">
        <v>2475</v>
      </c>
      <c r="BG621" t="s">
        <v>2473</v>
      </c>
    </row>
    <row r="622" spans="13:59" x14ac:dyDescent="0.25">
      <c r="M622" t="str">
        <f>_xlfn.IFNA(IF(VLOOKUP(TAB_Offres[[#This Row],[Reference]],TAB_Offres[[Reference]:[Request State]],COLUMNS(TAB_Offres[[Reference]:[Request State]]),FALSE)=D$6,TAB_Offres[[#This Row],[Reference]],""),"")</f>
        <v/>
      </c>
      <c r="N622" t="str">
        <f>_xlfn.IFNA(IF(VLOOKUP(TAB_Offres[[#This Row],[Reference]],TAB_Offres[[Reference]:[Has Expenses?]],COLUMNS(TAB_Offres[[Reference]:[Has Expenses?]]),FALSE)=J$2,TAB_Offres[[#This Row],[Reference]],""),"")</f>
        <v/>
      </c>
      <c r="O622" t="str">
        <f>IF(Tableau19[[#This Row],[EXPENSES_REF]]="","",MAX(O$1:O621)+1)</f>
        <v/>
      </c>
      <c r="P622" t="str">
        <f t="shared" si="22"/>
        <v/>
      </c>
      <c r="AI622" s="191" t="str">
        <f>IFERROR(_xlfn.SINGLE(
IF(_xlfn.SINGLE(INDEX(TAB_Offres[Ressource 1],ROWS(Params!AI$2:$AI622)))=0,NA(),
INDEX(TAB_Offres[Ressource 1],ROWS(Params!AI$2:$AI622)))),
IFERROR(_xlfn.SINGLE(IF(_xlfn.SINGLE(INDEX(#REF!,ROWS(Params!AI$2:$AI622)-COUNTA(TAB_Offres[Ressource 1])))=0,NA(),
INDEX(#REF!,ROWS(Params!AI$2:$AI622)-COUNTA(TAB_Offres[Ressource 1])))),
IFERROR(_xlfn.SINGLE(IF(_xlfn.SINGLE(INDEX(#REF!,ROWS(Params!AI$2:$AI622)-COUNTA(#REF!)-COUNTA(TAB_Offres[Ressource 1])))=0,NA(),
INDEX(#REF!,ROWS(Params!AI$2:$AI622)-COUNTA(#REF!)-COUNTA(TAB_Offres[Ressource 1])))),""))
)</f>
        <v/>
      </c>
      <c r="AJ622" s="192" t="str">
        <f>IF(TAB_ressource[[#This Row],[Import Ressource]]="","",MAX(AJ$1:AJ621)+1)</f>
        <v/>
      </c>
      <c r="AK622" s="193" t="str">
        <f>IFERROR(INDEX(TAB_ressource[Import Ressource],MATCH(ROW()-ROW($AK$1),TAB_ressource[ID Import ressources],0)),"")</f>
        <v/>
      </c>
      <c r="BD622" t="s">
        <v>2476</v>
      </c>
      <c r="BE622" t="s">
        <v>2477</v>
      </c>
      <c r="BF622" t="s">
        <v>2478</v>
      </c>
      <c r="BG622" t="s">
        <v>2476</v>
      </c>
    </row>
    <row r="623" spans="13:59" x14ac:dyDescent="0.25">
      <c r="M623" t="str">
        <f>_xlfn.IFNA(IF(VLOOKUP(TAB_Offres[[#This Row],[Reference]],TAB_Offres[[Reference]:[Request State]],COLUMNS(TAB_Offres[[Reference]:[Request State]]),FALSE)=D$6,TAB_Offres[[#This Row],[Reference]],""),"")</f>
        <v/>
      </c>
      <c r="N623" t="str">
        <f>_xlfn.IFNA(IF(VLOOKUP(TAB_Offres[[#This Row],[Reference]],TAB_Offres[[Reference]:[Has Expenses?]],COLUMNS(TAB_Offres[[Reference]:[Has Expenses?]]),FALSE)=J$2,TAB_Offres[[#This Row],[Reference]],""),"")</f>
        <v/>
      </c>
      <c r="O623" t="str">
        <f>IF(Tableau19[[#This Row],[EXPENSES_REF]]="","",MAX(O$1:O622)+1)</f>
        <v/>
      </c>
      <c r="P623" t="str">
        <f t="shared" si="22"/>
        <v/>
      </c>
      <c r="AI623" s="191" t="str">
        <f>IFERROR(_xlfn.SINGLE(
IF(_xlfn.SINGLE(INDEX(TAB_Offres[Ressource 1],ROWS(Params!AI$2:$AI623)))=0,NA(),
INDEX(TAB_Offres[Ressource 1],ROWS(Params!AI$2:$AI623)))),
IFERROR(_xlfn.SINGLE(IF(_xlfn.SINGLE(INDEX(#REF!,ROWS(Params!AI$2:$AI623)-COUNTA(TAB_Offres[Ressource 1])))=0,NA(),
INDEX(#REF!,ROWS(Params!AI$2:$AI623)-COUNTA(TAB_Offres[Ressource 1])))),
IFERROR(_xlfn.SINGLE(IF(_xlfn.SINGLE(INDEX(#REF!,ROWS(Params!AI$2:$AI623)-COUNTA(#REF!)-COUNTA(TAB_Offres[Ressource 1])))=0,NA(),
INDEX(#REF!,ROWS(Params!AI$2:$AI623)-COUNTA(#REF!)-COUNTA(TAB_Offres[Ressource 1])))),""))
)</f>
        <v/>
      </c>
      <c r="AJ623" s="192" t="str">
        <f>IF(TAB_ressource[[#This Row],[Import Ressource]]="","",MAX(AJ$1:AJ622)+1)</f>
        <v/>
      </c>
      <c r="AK623" s="193" t="str">
        <f>IFERROR(INDEX(TAB_ressource[Import Ressource],MATCH(ROW()-ROW($AK$1),TAB_ressource[ID Import ressources],0)),"")</f>
        <v/>
      </c>
      <c r="BD623" t="s">
        <v>2479</v>
      </c>
      <c r="BE623" t="s">
        <v>2480</v>
      </c>
      <c r="BF623" t="s">
        <v>2481</v>
      </c>
      <c r="BG623" t="s">
        <v>2479</v>
      </c>
    </row>
    <row r="624" spans="13:59" x14ac:dyDescent="0.25">
      <c r="M624" t="str">
        <f>_xlfn.IFNA(IF(VLOOKUP(TAB_Offres[[#This Row],[Reference]],TAB_Offres[[Reference]:[Request State]],COLUMNS(TAB_Offres[[Reference]:[Request State]]),FALSE)=D$6,TAB_Offres[[#This Row],[Reference]],""),"")</f>
        <v/>
      </c>
      <c r="N624" t="str">
        <f>_xlfn.IFNA(IF(VLOOKUP(TAB_Offres[[#This Row],[Reference]],TAB_Offres[[Reference]:[Has Expenses?]],COLUMNS(TAB_Offres[[Reference]:[Has Expenses?]]),FALSE)=J$2,TAB_Offres[[#This Row],[Reference]],""),"")</f>
        <v/>
      </c>
      <c r="O624" t="str">
        <f>IF(Tableau19[[#This Row],[EXPENSES_REF]]="","",MAX(O$1:O623)+1)</f>
        <v/>
      </c>
      <c r="P624" t="str">
        <f t="shared" si="22"/>
        <v/>
      </c>
      <c r="AI624" s="191" t="str">
        <f>IFERROR(_xlfn.SINGLE(
IF(_xlfn.SINGLE(INDEX(TAB_Offres[Ressource 1],ROWS(Params!AI$2:$AI624)))=0,NA(),
INDEX(TAB_Offres[Ressource 1],ROWS(Params!AI$2:$AI624)))),
IFERROR(_xlfn.SINGLE(IF(_xlfn.SINGLE(INDEX(#REF!,ROWS(Params!AI$2:$AI624)-COUNTA(TAB_Offres[Ressource 1])))=0,NA(),
INDEX(#REF!,ROWS(Params!AI$2:$AI624)-COUNTA(TAB_Offres[Ressource 1])))),
IFERROR(_xlfn.SINGLE(IF(_xlfn.SINGLE(INDEX(#REF!,ROWS(Params!AI$2:$AI624)-COUNTA(#REF!)-COUNTA(TAB_Offres[Ressource 1])))=0,NA(),
INDEX(#REF!,ROWS(Params!AI$2:$AI624)-COUNTA(#REF!)-COUNTA(TAB_Offres[Ressource 1])))),""))
)</f>
        <v/>
      </c>
      <c r="AJ624" s="192" t="str">
        <f>IF(TAB_ressource[[#This Row],[Import Ressource]]="","",MAX(AJ$1:AJ623)+1)</f>
        <v/>
      </c>
      <c r="AK624" s="193" t="str">
        <f>IFERROR(INDEX(TAB_ressource[Import Ressource],MATCH(ROW()-ROW($AK$1),TAB_ressource[ID Import ressources],0)),"")</f>
        <v/>
      </c>
      <c r="BD624" t="s">
        <v>2482</v>
      </c>
      <c r="BE624" t="s">
        <v>2483</v>
      </c>
      <c r="BF624" t="s">
        <v>2484</v>
      </c>
      <c r="BG624" t="s">
        <v>2482</v>
      </c>
    </row>
    <row r="625" spans="13:59" x14ac:dyDescent="0.25">
      <c r="M625" t="str">
        <f>_xlfn.IFNA(IF(VLOOKUP(TAB_Offres[[#This Row],[Reference]],TAB_Offres[[Reference]:[Request State]],COLUMNS(TAB_Offres[[Reference]:[Request State]]),FALSE)=D$6,TAB_Offres[[#This Row],[Reference]],""),"")</f>
        <v/>
      </c>
      <c r="N625" t="str">
        <f>_xlfn.IFNA(IF(VLOOKUP(TAB_Offres[[#This Row],[Reference]],TAB_Offres[[Reference]:[Has Expenses?]],COLUMNS(TAB_Offres[[Reference]:[Has Expenses?]]),FALSE)=J$2,TAB_Offres[[#This Row],[Reference]],""),"")</f>
        <v/>
      </c>
      <c r="O625" t="str">
        <f>IF(Tableau19[[#This Row],[EXPENSES_REF]]="","",MAX(O$1:O624)+1)</f>
        <v/>
      </c>
      <c r="P625" t="str">
        <f t="shared" si="22"/>
        <v/>
      </c>
      <c r="AI625" s="191" t="str">
        <f>IFERROR(_xlfn.SINGLE(
IF(_xlfn.SINGLE(INDEX(TAB_Offres[Ressource 1],ROWS(Params!AI$2:$AI625)))=0,NA(),
INDEX(TAB_Offres[Ressource 1],ROWS(Params!AI$2:$AI625)))),
IFERROR(_xlfn.SINGLE(IF(_xlfn.SINGLE(INDEX(#REF!,ROWS(Params!AI$2:$AI625)-COUNTA(TAB_Offres[Ressource 1])))=0,NA(),
INDEX(#REF!,ROWS(Params!AI$2:$AI625)-COUNTA(TAB_Offres[Ressource 1])))),
IFERROR(_xlfn.SINGLE(IF(_xlfn.SINGLE(INDEX(#REF!,ROWS(Params!AI$2:$AI625)-COUNTA(#REF!)-COUNTA(TAB_Offres[Ressource 1])))=0,NA(),
INDEX(#REF!,ROWS(Params!AI$2:$AI625)-COUNTA(#REF!)-COUNTA(TAB_Offres[Ressource 1])))),""))
)</f>
        <v/>
      </c>
      <c r="AJ625" s="192" t="str">
        <f>IF(TAB_ressource[[#This Row],[Import Ressource]]="","",MAX(AJ$1:AJ624)+1)</f>
        <v/>
      </c>
      <c r="AK625" s="193" t="str">
        <f>IFERROR(INDEX(TAB_ressource[Import Ressource],MATCH(ROW()-ROW($AK$1),TAB_ressource[ID Import ressources],0)),"")</f>
        <v/>
      </c>
      <c r="BD625" t="s">
        <v>2485</v>
      </c>
      <c r="BE625" t="s">
        <v>2486</v>
      </c>
      <c r="BF625" t="s">
        <v>2487</v>
      </c>
      <c r="BG625" t="s">
        <v>2485</v>
      </c>
    </row>
    <row r="626" spans="13:59" x14ac:dyDescent="0.25">
      <c r="M626" t="str">
        <f>_xlfn.IFNA(IF(VLOOKUP(TAB_Offres[[#This Row],[Reference]],TAB_Offres[[Reference]:[Request State]],COLUMNS(TAB_Offres[[Reference]:[Request State]]),FALSE)=D$6,TAB_Offres[[#This Row],[Reference]],""),"")</f>
        <v/>
      </c>
      <c r="N626" t="str">
        <f>_xlfn.IFNA(IF(VLOOKUP(TAB_Offres[[#This Row],[Reference]],TAB_Offres[[Reference]:[Has Expenses?]],COLUMNS(TAB_Offres[[Reference]:[Has Expenses?]]),FALSE)=J$2,TAB_Offres[[#This Row],[Reference]],""),"")</f>
        <v/>
      </c>
      <c r="O626" t="str">
        <f>IF(Tableau19[[#This Row],[EXPENSES_REF]]="","",MAX(O$1:O625)+1)</f>
        <v/>
      </c>
      <c r="P626" t="str">
        <f t="shared" si="22"/>
        <v/>
      </c>
      <c r="AI626" s="191" t="str">
        <f>IFERROR(_xlfn.SINGLE(
IF(_xlfn.SINGLE(INDEX(TAB_Offres[Ressource 1],ROWS(Params!AI$2:$AI626)))=0,NA(),
INDEX(TAB_Offres[Ressource 1],ROWS(Params!AI$2:$AI626)))),
IFERROR(_xlfn.SINGLE(IF(_xlfn.SINGLE(INDEX(#REF!,ROWS(Params!AI$2:$AI626)-COUNTA(TAB_Offres[Ressource 1])))=0,NA(),
INDEX(#REF!,ROWS(Params!AI$2:$AI626)-COUNTA(TAB_Offres[Ressource 1])))),
IFERROR(_xlfn.SINGLE(IF(_xlfn.SINGLE(INDEX(#REF!,ROWS(Params!AI$2:$AI626)-COUNTA(#REF!)-COUNTA(TAB_Offres[Ressource 1])))=0,NA(),
INDEX(#REF!,ROWS(Params!AI$2:$AI626)-COUNTA(#REF!)-COUNTA(TAB_Offres[Ressource 1])))),""))
)</f>
        <v/>
      </c>
      <c r="AJ626" s="192" t="str">
        <f>IF(TAB_ressource[[#This Row],[Import Ressource]]="","",MAX(AJ$1:AJ625)+1)</f>
        <v/>
      </c>
      <c r="AK626" s="193" t="str">
        <f>IFERROR(INDEX(TAB_ressource[Import Ressource],MATCH(ROW()-ROW($AK$1),TAB_ressource[ID Import ressources],0)),"")</f>
        <v/>
      </c>
      <c r="BD626" t="s">
        <v>2488</v>
      </c>
      <c r="BE626" t="s">
        <v>2489</v>
      </c>
      <c r="BF626" t="s">
        <v>2490</v>
      </c>
      <c r="BG626" t="s">
        <v>2488</v>
      </c>
    </row>
    <row r="627" spans="13:59" x14ac:dyDescent="0.25">
      <c r="M627" t="str">
        <f>_xlfn.IFNA(IF(VLOOKUP(TAB_Offres[[#This Row],[Reference]],TAB_Offres[[Reference]:[Request State]],COLUMNS(TAB_Offres[[Reference]:[Request State]]),FALSE)=D$6,TAB_Offres[[#This Row],[Reference]],""),"")</f>
        <v/>
      </c>
      <c r="N627" t="str">
        <f>_xlfn.IFNA(IF(VLOOKUP(TAB_Offres[[#This Row],[Reference]],TAB_Offres[[Reference]:[Has Expenses?]],COLUMNS(TAB_Offres[[Reference]:[Has Expenses?]]),FALSE)=J$2,TAB_Offres[[#This Row],[Reference]],""),"")</f>
        <v/>
      </c>
      <c r="O627" t="str">
        <f>IF(Tableau19[[#This Row],[EXPENSES_REF]]="","",MAX(O$1:O626)+1)</f>
        <v/>
      </c>
      <c r="P627" t="str">
        <f t="shared" si="22"/>
        <v/>
      </c>
      <c r="AI627" s="191" t="str">
        <f>IFERROR(_xlfn.SINGLE(
IF(_xlfn.SINGLE(INDEX(TAB_Offres[Ressource 1],ROWS(Params!AI$2:$AI627)))=0,NA(),
INDEX(TAB_Offres[Ressource 1],ROWS(Params!AI$2:$AI627)))),
IFERROR(_xlfn.SINGLE(IF(_xlfn.SINGLE(INDEX(#REF!,ROWS(Params!AI$2:$AI627)-COUNTA(TAB_Offres[Ressource 1])))=0,NA(),
INDEX(#REF!,ROWS(Params!AI$2:$AI627)-COUNTA(TAB_Offres[Ressource 1])))),
IFERROR(_xlfn.SINGLE(IF(_xlfn.SINGLE(INDEX(#REF!,ROWS(Params!AI$2:$AI627)-COUNTA(#REF!)-COUNTA(TAB_Offres[Ressource 1])))=0,NA(),
INDEX(#REF!,ROWS(Params!AI$2:$AI627)-COUNTA(#REF!)-COUNTA(TAB_Offres[Ressource 1])))),""))
)</f>
        <v/>
      </c>
      <c r="AJ627" s="192" t="str">
        <f>IF(TAB_ressource[[#This Row],[Import Ressource]]="","",MAX(AJ$1:AJ626)+1)</f>
        <v/>
      </c>
      <c r="AK627" s="193" t="str">
        <f>IFERROR(INDEX(TAB_ressource[Import Ressource],MATCH(ROW()-ROW($AK$1),TAB_ressource[ID Import ressources],0)),"")</f>
        <v/>
      </c>
      <c r="BD627" t="s">
        <v>2491</v>
      </c>
      <c r="BE627" t="s">
        <v>2492</v>
      </c>
      <c r="BF627" t="s">
        <v>2493</v>
      </c>
      <c r="BG627" t="s">
        <v>2491</v>
      </c>
    </row>
    <row r="628" spans="13:59" x14ac:dyDescent="0.25">
      <c r="M628" t="str">
        <f>_xlfn.IFNA(IF(VLOOKUP(TAB_Offres[[#This Row],[Reference]],TAB_Offres[[Reference]:[Request State]],COLUMNS(TAB_Offres[[Reference]:[Request State]]),FALSE)=D$6,TAB_Offres[[#This Row],[Reference]],""),"")</f>
        <v/>
      </c>
      <c r="N628" t="str">
        <f>_xlfn.IFNA(IF(VLOOKUP(TAB_Offres[[#This Row],[Reference]],TAB_Offres[[Reference]:[Has Expenses?]],COLUMNS(TAB_Offres[[Reference]:[Has Expenses?]]),FALSE)=J$2,TAB_Offres[[#This Row],[Reference]],""),"")</f>
        <v/>
      </c>
      <c r="O628" t="str">
        <f>IF(Tableau19[[#This Row],[EXPENSES_REF]]="","",MAX(O$1:O627)+1)</f>
        <v/>
      </c>
      <c r="P628" t="str">
        <f t="shared" si="22"/>
        <v/>
      </c>
      <c r="AI628" s="191" t="str">
        <f>IFERROR(_xlfn.SINGLE(
IF(_xlfn.SINGLE(INDEX(TAB_Offres[Ressource 1],ROWS(Params!AI$2:$AI628)))=0,NA(),
INDEX(TAB_Offres[Ressource 1],ROWS(Params!AI$2:$AI628)))),
IFERROR(_xlfn.SINGLE(IF(_xlfn.SINGLE(INDEX(#REF!,ROWS(Params!AI$2:$AI628)-COUNTA(TAB_Offres[Ressource 1])))=0,NA(),
INDEX(#REF!,ROWS(Params!AI$2:$AI628)-COUNTA(TAB_Offres[Ressource 1])))),
IFERROR(_xlfn.SINGLE(IF(_xlfn.SINGLE(INDEX(#REF!,ROWS(Params!AI$2:$AI628)-COUNTA(#REF!)-COUNTA(TAB_Offres[Ressource 1])))=0,NA(),
INDEX(#REF!,ROWS(Params!AI$2:$AI628)-COUNTA(#REF!)-COUNTA(TAB_Offres[Ressource 1])))),""))
)</f>
        <v/>
      </c>
      <c r="AJ628" s="192" t="str">
        <f>IF(TAB_ressource[[#This Row],[Import Ressource]]="","",MAX(AJ$1:AJ627)+1)</f>
        <v/>
      </c>
      <c r="AK628" s="193" t="str">
        <f>IFERROR(INDEX(TAB_ressource[Import Ressource],MATCH(ROW()-ROW($AK$1),TAB_ressource[ID Import ressources],0)),"")</f>
        <v/>
      </c>
      <c r="BD628" t="s">
        <v>2494</v>
      </c>
      <c r="BE628" t="s">
        <v>2495</v>
      </c>
      <c r="BF628" t="s">
        <v>2496</v>
      </c>
      <c r="BG628" t="s">
        <v>2494</v>
      </c>
    </row>
    <row r="629" spans="13:59" x14ac:dyDescent="0.25">
      <c r="M629" t="str">
        <f>_xlfn.IFNA(IF(VLOOKUP(TAB_Offres[[#This Row],[Reference]],TAB_Offres[[Reference]:[Request State]],COLUMNS(TAB_Offres[[Reference]:[Request State]]),FALSE)=D$6,TAB_Offres[[#This Row],[Reference]],""),"")</f>
        <v/>
      </c>
      <c r="N629" t="str">
        <f>_xlfn.IFNA(IF(VLOOKUP(TAB_Offres[[#This Row],[Reference]],TAB_Offres[[Reference]:[Has Expenses?]],COLUMNS(TAB_Offres[[Reference]:[Has Expenses?]]),FALSE)=J$2,TAB_Offres[[#This Row],[Reference]],""),"")</f>
        <v/>
      </c>
      <c r="O629" t="str">
        <f>IF(Tableau19[[#This Row],[EXPENSES_REF]]="","",MAX(O$1:O628)+1)</f>
        <v/>
      </c>
      <c r="P629" t="str">
        <f t="shared" si="22"/>
        <v/>
      </c>
      <c r="AI629" s="191" t="str">
        <f>IFERROR(_xlfn.SINGLE(
IF(_xlfn.SINGLE(INDEX(TAB_Offres[Ressource 1],ROWS(Params!AI$2:$AI629)))=0,NA(),
INDEX(TAB_Offres[Ressource 1],ROWS(Params!AI$2:$AI629)))),
IFERROR(_xlfn.SINGLE(IF(_xlfn.SINGLE(INDEX(#REF!,ROWS(Params!AI$2:$AI629)-COUNTA(TAB_Offres[Ressource 1])))=0,NA(),
INDEX(#REF!,ROWS(Params!AI$2:$AI629)-COUNTA(TAB_Offres[Ressource 1])))),
IFERROR(_xlfn.SINGLE(IF(_xlfn.SINGLE(INDEX(#REF!,ROWS(Params!AI$2:$AI629)-COUNTA(#REF!)-COUNTA(TAB_Offres[Ressource 1])))=0,NA(),
INDEX(#REF!,ROWS(Params!AI$2:$AI629)-COUNTA(#REF!)-COUNTA(TAB_Offres[Ressource 1])))),""))
)</f>
        <v/>
      </c>
      <c r="AJ629" s="192" t="str">
        <f>IF(TAB_ressource[[#This Row],[Import Ressource]]="","",MAX(AJ$1:AJ628)+1)</f>
        <v/>
      </c>
      <c r="AK629" s="193" t="str">
        <f>IFERROR(INDEX(TAB_ressource[Import Ressource],MATCH(ROW()-ROW($AK$1),TAB_ressource[ID Import ressources],0)),"")</f>
        <v/>
      </c>
      <c r="BD629" t="s">
        <v>2497</v>
      </c>
      <c r="BE629" t="s">
        <v>2498</v>
      </c>
      <c r="BF629" t="s">
        <v>2499</v>
      </c>
      <c r="BG629" t="s">
        <v>2497</v>
      </c>
    </row>
    <row r="630" spans="13:59" x14ac:dyDescent="0.25">
      <c r="M630" t="str">
        <f>_xlfn.IFNA(IF(VLOOKUP(TAB_Offres[[#This Row],[Reference]],TAB_Offres[[Reference]:[Request State]],COLUMNS(TAB_Offres[[Reference]:[Request State]]),FALSE)=D$6,TAB_Offres[[#This Row],[Reference]],""),"")</f>
        <v/>
      </c>
      <c r="N630" t="str">
        <f>_xlfn.IFNA(IF(VLOOKUP(TAB_Offres[[#This Row],[Reference]],TAB_Offres[[Reference]:[Has Expenses?]],COLUMNS(TAB_Offres[[Reference]:[Has Expenses?]]),FALSE)=J$2,TAB_Offres[[#This Row],[Reference]],""),"")</f>
        <v/>
      </c>
      <c r="O630" t="str">
        <f>IF(Tableau19[[#This Row],[EXPENSES_REF]]="","",MAX(O$1:O629)+1)</f>
        <v/>
      </c>
      <c r="P630" t="str">
        <f t="shared" si="22"/>
        <v/>
      </c>
      <c r="AI630" s="191" t="str">
        <f>IFERROR(_xlfn.SINGLE(
IF(_xlfn.SINGLE(INDEX(TAB_Offres[Ressource 1],ROWS(Params!AI$2:$AI630)))=0,NA(),
INDEX(TAB_Offres[Ressource 1],ROWS(Params!AI$2:$AI630)))),
IFERROR(_xlfn.SINGLE(IF(_xlfn.SINGLE(INDEX(#REF!,ROWS(Params!AI$2:$AI630)-COUNTA(TAB_Offres[Ressource 1])))=0,NA(),
INDEX(#REF!,ROWS(Params!AI$2:$AI630)-COUNTA(TAB_Offres[Ressource 1])))),
IFERROR(_xlfn.SINGLE(IF(_xlfn.SINGLE(INDEX(#REF!,ROWS(Params!AI$2:$AI630)-COUNTA(#REF!)-COUNTA(TAB_Offres[Ressource 1])))=0,NA(),
INDEX(#REF!,ROWS(Params!AI$2:$AI630)-COUNTA(#REF!)-COUNTA(TAB_Offres[Ressource 1])))),""))
)</f>
        <v/>
      </c>
      <c r="AJ630" s="192" t="str">
        <f>IF(TAB_ressource[[#This Row],[Import Ressource]]="","",MAX(AJ$1:AJ629)+1)</f>
        <v/>
      </c>
      <c r="AK630" s="193" t="str">
        <f>IFERROR(INDEX(TAB_ressource[Import Ressource],MATCH(ROW()-ROW($AK$1),TAB_ressource[ID Import ressources],0)),"")</f>
        <v/>
      </c>
      <c r="BD630" t="s">
        <v>2500</v>
      </c>
      <c r="BE630" t="s">
        <v>2501</v>
      </c>
      <c r="BF630" t="s">
        <v>2502</v>
      </c>
      <c r="BG630" t="s">
        <v>2500</v>
      </c>
    </row>
    <row r="631" spans="13:59" x14ac:dyDescent="0.25">
      <c r="M631" t="str">
        <f>_xlfn.IFNA(IF(VLOOKUP(TAB_Offres[[#This Row],[Reference]],TAB_Offres[[Reference]:[Request State]],COLUMNS(TAB_Offres[[Reference]:[Request State]]),FALSE)=D$6,TAB_Offres[[#This Row],[Reference]],""),"")</f>
        <v/>
      </c>
      <c r="N631" t="str">
        <f>_xlfn.IFNA(IF(VLOOKUP(TAB_Offres[[#This Row],[Reference]],TAB_Offres[[Reference]:[Has Expenses?]],COLUMNS(TAB_Offres[[Reference]:[Has Expenses?]]),FALSE)=J$2,TAB_Offres[[#This Row],[Reference]],""),"")</f>
        <v/>
      </c>
      <c r="O631" t="str">
        <f>IF(Tableau19[[#This Row],[EXPENSES_REF]]="","",MAX(O$1:O630)+1)</f>
        <v/>
      </c>
      <c r="P631" t="str">
        <f t="shared" si="22"/>
        <v/>
      </c>
      <c r="AI631" s="191" t="str">
        <f>IFERROR(_xlfn.SINGLE(
IF(_xlfn.SINGLE(INDEX(TAB_Offres[Ressource 1],ROWS(Params!AI$2:$AI631)))=0,NA(),
INDEX(TAB_Offres[Ressource 1],ROWS(Params!AI$2:$AI631)))),
IFERROR(_xlfn.SINGLE(IF(_xlfn.SINGLE(INDEX(#REF!,ROWS(Params!AI$2:$AI631)-COUNTA(TAB_Offres[Ressource 1])))=0,NA(),
INDEX(#REF!,ROWS(Params!AI$2:$AI631)-COUNTA(TAB_Offres[Ressource 1])))),
IFERROR(_xlfn.SINGLE(IF(_xlfn.SINGLE(INDEX(#REF!,ROWS(Params!AI$2:$AI631)-COUNTA(#REF!)-COUNTA(TAB_Offres[Ressource 1])))=0,NA(),
INDEX(#REF!,ROWS(Params!AI$2:$AI631)-COUNTA(#REF!)-COUNTA(TAB_Offres[Ressource 1])))),""))
)</f>
        <v/>
      </c>
      <c r="AJ631" s="192" t="str">
        <f>IF(TAB_ressource[[#This Row],[Import Ressource]]="","",MAX(AJ$1:AJ630)+1)</f>
        <v/>
      </c>
      <c r="AK631" s="193" t="str">
        <f>IFERROR(INDEX(TAB_ressource[Import Ressource],MATCH(ROW()-ROW($AK$1),TAB_ressource[ID Import ressources],0)),"")</f>
        <v/>
      </c>
      <c r="BD631" t="s">
        <v>2503</v>
      </c>
      <c r="BE631" t="s">
        <v>2504</v>
      </c>
      <c r="BF631" t="s">
        <v>2505</v>
      </c>
      <c r="BG631" t="s">
        <v>2503</v>
      </c>
    </row>
    <row r="632" spans="13:59" x14ac:dyDescent="0.25">
      <c r="M632" t="str">
        <f>_xlfn.IFNA(IF(VLOOKUP(TAB_Offres[[#This Row],[Reference]],TAB_Offres[[Reference]:[Request State]],COLUMNS(TAB_Offres[[Reference]:[Request State]]),FALSE)=D$6,TAB_Offres[[#This Row],[Reference]],""),"")</f>
        <v/>
      </c>
      <c r="N632" t="str">
        <f>_xlfn.IFNA(IF(VLOOKUP(TAB_Offres[[#This Row],[Reference]],TAB_Offres[[Reference]:[Has Expenses?]],COLUMNS(TAB_Offres[[Reference]:[Has Expenses?]]),FALSE)=J$2,TAB_Offres[[#This Row],[Reference]],""),"")</f>
        <v/>
      </c>
      <c r="O632" t="str">
        <f>IF(Tableau19[[#This Row],[EXPENSES_REF]]="","",MAX(O$1:O631)+1)</f>
        <v/>
      </c>
      <c r="P632" t="str">
        <f t="shared" si="22"/>
        <v/>
      </c>
      <c r="AI632" s="191" t="str">
        <f>IFERROR(_xlfn.SINGLE(
IF(_xlfn.SINGLE(INDEX(TAB_Offres[Ressource 1],ROWS(Params!AI$2:$AI632)))=0,NA(),
INDEX(TAB_Offres[Ressource 1],ROWS(Params!AI$2:$AI632)))),
IFERROR(_xlfn.SINGLE(IF(_xlfn.SINGLE(INDEX(#REF!,ROWS(Params!AI$2:$AI632)-COUNTA(TAB_Offres[Ressource 1])))=0,NA(),
INDEX(#REF!,ROWS(Params!AI$2:$AI632)-COUNTA(TAB_Offres[Ressource 1])))),
IFERROR(_xlfn.SINGLE(IF(_xlfn.SINGLE(INDEX(#REF!,ROWS(Params!AI$2:$AI632)-COUNTA(#REF!)-COUNTA(TAB_Offres[Ressource 1])))=0,NA(),
INDEX(#REF!,ROWS(Params!AI$2:$AI632)-COUNTA(#REF!)-COUNTA(TAB_Offres[Ressource 1])))),""))
)</f>
        <v/>
      </c>
      <c r="AJ632" s="192" t="str">
        <f>IF(TAB_ressource[[#This Row],[Import Ressource]]="","",MAX(AJ$1:AJ631)+1)</f>
        <v/>
      </c>
      <c r="AK632" s="193" t="str">
        <f>IFERROR(INDEX(TAB_ressource[Import Ressource],MATCH(ROW()-ROW($AK$1),TAB_ressource[ID Import ressources],0)),"")</f>
        <v/>
      </c>
      <c r="BD632" t="s">
        <v>2506</v>
      </c>
      <c r="BE632" t="s">
        <v>2507</v>
      </c>
      <c r="BF632" t="s">
        <v>2508</v>
      </c>
      <c r="BG632" t="s">
        <v>2506</v>
      </c>
    </row>
    <row r="633" spans="13:59" x14ac:dyDescent="0.25">
      <c r="M633" t="str">
        <f>_xlfn.IFNA(IF(VLOOKUP(TAB_Offres[[#This Row],[Reference]],TAB_Offres[[Reference]:[Request State]],COLUMNS(TAB_Offres[[Reference]:[Request State]]),FALSE)=D$6,TAB_Offres[[#This Row],[Reference]],""),"")</f>
        <v/>
      </c>
      <c r="N633" t="str">
        <f>_xlfn.IFNA(IF(VLOOKUP(TAB_Offres[[#This Row],[Reference]],TAB_Offres[[Reference]:[Has Expenses?]],COLUMNS(TAB_Offres[[Reference]:[Has Expenses?]]),FALSE)=J$2,TAB_Offres[[#This Row],[Reference]],""),"")</f>
        <v/>
      </c>
      <c r="O633" t="str">
        <f>IF(Tableau19[[#This Row],[EXPENSES_REF]]="","",MAX(O$1:O632)+1)</f>
        <v/>
      </c>
      <c r="P633" t="str">
        <f t="shared" si="22"/>
        <v/>
      </c>
      <c r="AI633" s="191" t="str">
        <f>IFERROR(_xlfn.SINGLE(
IF(_xlfn.SINGLE(INDEX(TAB_Offres[Ressource 1],ROWS(Params!AI$2:$AI633)))=0,NA(),
INDEX(TAB_Offres[Ressource 1],ROWS(Params!AI$2:$AI633)))),
IFERROR(_xlfn.SINGLE(IF(_xlfn.SINGLE(INDEX(#REF!,ROWS(Params!AI$2:$AI633)-COUNTA(TAB_Offres[Ressource 1])))=0,NA(),
INDEX(#REF!,ROWS(Params!AI$2:$AI633)-COUNTA(TAB_Offres[Ressource 1])))),
IFERROR(_xlfn.SINGLE(IF(_xlfn.SINGLE(INDEX(#REF!,ROWS(Params!AI$2:$AI633)-COUNTA(#REF!)-COUNTA(TAB_Offres[Ressource 1])))=0,NA(),
INDEX(#REF!,ROWS(Params!AI$2:$AI633)-COUNTA(#REF!)-COUNTA(TAB_Offres[Ressource 1])))),""))
)</f>
        <v/>
      </c>
      <c r="AJ633" s="192" t="str">
        <f>IF(TAB_ressource[[#This Row],[Import Ressource]]="","",MAX(AJ$1:AJ632)+1)</f>
        <v/>
      </c>
      <c r="AK633" s="193" t="str">
        <f>IFERROR(INDEX(TAB_ressource[Import Ressource],MATCH(ROW()-ROW($AK$1),TAB_ressource[ID Import ressources],0)),"")</f>
        <v/>
      </c>
      <c r="BD633" t="s">
        <v>2509</v>
      </c>
      <c r="BE633" t="s">
        <v>2510</v>
      </c>
      <c r="BF633" t="s">
        <v>2511</v>
      </c>
      <c r="BG633" t="s">
        <v>2509</v>
      </c>
    </row>
    <row r="634" spans="13:59" x14ac:dyDescent="0.25">
      <c r="M634" t="str">
        <f>_xlfn.IFNA(IF(VLOOKUP(TAB_Offres[[#This Row],[Reference]],TAB_Offres[[Reference]:[Request State]],COLUMNS(TAB_Offres[[Reference]:[Request State]]),FALSE)=D$6,TAB_Offres[[#This Row],[Reference]],""),"")</f>
        <v/>
      </c>
      <c r="N634" t="str">
        <f>_xlfn.IFNA(IF(VLOOKUP(TAB_Offres[[#This Row],[Reference]],TAB_Offres[[Reference]:[Has Expenses?]],COLUMNS(TAB_Offres[[Reference]:[Has Expenses?]]),FALSE)=J$2,TAB_Offres[[#This Row],[Reference]],""),"")</f>
        <v/>
      </c>
      <c r="O634" t="str">
        <f>IF(Tableau19[[#This Row],[EXPENSES_REF]]="","",MAX(O$1:O633)+1)</f>
        <v/>
      </c>
      <c r="P634" t="str">
        <f t="shared" si="22"/>
        <v/>
      </c>
      <c r="AI634" s="191" t="str">
        <f>IFERROR(_xlfn.SINGLE(
IF(_xlfn.SINGLE(INDEX(TAB_Offres[Ressource 1],ROWS(Params!AI$2:$AI634)))=0,NA(),
INDEX(TAB_Offres[Ressource 1],ROWS(Params!AI$2:$AI634)))),
IFERROR(_xlfn.SINGLE(IF(_xlfn.SINGLE(INDEX(#REF!,ROWS(Params!AI$2:$AI634)-COUNTA(TAB_Offres[Ressource 1])))=0,NA(),
INDEX(#REF!,ROWS(Params!AI$2:$AI634)-COUNTA(TAB_Offres[Ressource 1])))),
IFERROR(_xlfn.SINGLE(IF(_xlfn.SINGLE(INDEX(#REF!,ROWS(Params!AI$2:$AI634)-COUNTA(#REF!)-COUNTA(TAB_Offres[Ressource 1])))=0,NA(),
INDEX(#REF!,ROWS(Params!AI$2:$AI634)-COUNTA(#REF!)-COUNTA(TAB_Offres[Ressource 1])))),""))
)</f>
        <v/>
      </c>
      <c r="AJ634" s="192" t="str">
        <f>IF(TAB_ressource[[#This Row],[Import Ressource]]="","",MAX(AJ$1:AJ633)+1)</f>
        <v/>
      </c>
      <c r="AK634" s="193" t="str">
        <f>IFERROR(INDEX(TAB_ressource[Import Ressource],MATCH(ROW()-ROW($AK$1),TAB_ressource[ID Import ressources],0)),"")</f>
        <v/>
      </c>
      <c r="BD634" t="s">
        <v>2512</v>
      </c>
      <c r="BE634" t="s">
        <v>2513</v>
      </c>
      <c r="BF634" t="s">
        <v>2514</v>
      </c>
      <c r="BG634" t="s">
        <v>2512</v>
      </c>
    </row>
    <row r="635" spans="13:59" x14ac:dyDescent="0.25">
      <c r="M635" t="str">
        <f>_xlfn.IFNA(IF(VLOOKUP(TAB_Offres[[#This Row],[Reference]],TAB_Offres[[Reference]:[Request State]],COLUMNS(TAB_Offres[[Reference]:[Request State]]),FALSE)=D$6,TAB_Offres[[#This Row],[Reference]],""),"")</f>
        <v/>
      </c>
      <c r="N635" t="str">
        <f>_xlfn.IFNA(IF(VLOOKUP(TAB_Offres[[#This Row],[Reference]],TAB_Offres[[Reference]:[Has Expenses?]],COLUMNS(TAB_Offres[[Reference]:[Has Expenses?]]),FALSE)=J$2,TAB_Offres[[#This Row],[Reference]],""),"")</f>
        <v/>
      </c>
      <c r="O635" t="str">
        <f>IF(Tableau19[[#This Row],[EXPENSES_REF]]="","",MAX(O$1:O634)+1)</f>
        <v/>
      </c>
      <c r="P635" t="str">
        <f t="shared" si="22"/>
        <v/>
      </c>
      <c r="AI635" s="191" t="str">
        <f>IFERROR(_xlfn.SINGLE(
IF(_xlfn.SINGLE(INDEX(TAB_Offres[Ressource 1],ROWS(Params!AI$2:$AI635)))=0,NA(),
INDEX(TAB_Offres[Ressource 1],ROWS(Params!AI$2:$AI635)))),
IFERROR(_xlfn.SINGLE(IF(_xlfn.SINGLE(INDEX(#REF!,ROWS(Params!AI$2:$AI635)-COUNTA(TAB_Offres[Ressource 1])))=0,NA(),
INDEX(#REF!,ROWS(Params!AI$2:$AI635)-COUNTA(TAB_Offres[Ressource 1])))),
IFERROR(_xlfn.SINGLE(IF(_xlfn.SINGLE(INDEX(#REF!,ROWS(Params!AI$2:$AI635)-COUNTA(#REF!)-COUNTA(TAB_Offres[Ressource 1])))=0,NA(),
INDEX(#REF!,ROWS(Params!AI$2:$AI635)-COUNTA(#REF!)-COUNTA(TAB_Offres[Ressource 1])))),""))
)</f>
        <v/>
      </c>
      <c r="AJ635" s="192" t="str">
        <f>IF(TAB_ressource[[#This Row],[Import Ressource]]="","",MAX(AJ$1:AJ634)+1)</f>
        <v/>
      </c>
      <c r="AK635" s="193" t="str">
        <f>IFERROR(INDEX(TAB_ressource[Import Ressource],MATCH(ROW()-ROW($AK$1),TAB_ressource[ID Import ressources],0)),"")</f>
        <v/>
      </c>
      <c r="BD635" t="s">
        <v>2515</v>
      </c>
      <c r="BE635" t="s">
        <v>2516</v>
      </c>
      <c r="BF635" t="s">
        <v>2517</v>
      </c>
      <c r="BG635" t="s">
        <v>2515</v>
      </c>
    </row>
    <row r="636" spans="13:59" x14ac:dyDescent="0.25">
      <c r="M636" t="str">
        <f>_xlfn.IFNA(IF(VLOOKUP(TAB_Offres[[#This Row],[Reference]],TAB_Offres[[Reference]:[Request State]],COLUMNS(TAB_Offres[[Reference]:[Request State]]),FALSE)=D$6,TAB_Offres[[#This Row],[Reference]],""),"")</f>
        <v/>
      </c>
      <c r="N636" t="str">
        <f>_xlfn.IFNA(IF(VLOOKUP(TAB_Offres[[#This Row],[Reference]],TAB_Offres[[Reference]:[Has Expenses?]],COLUMNS(TAB_Offres[[Reference]:[Has Expenses?]]),FALSE)=J$2,TAB_Offres[[#This Row],[Reference]],""),"")</f>
        <v/>
      </c>
      <c r="O636" t="str">
        <f>IF(Tableau19[[#This Row],[EXPENSES_REF]]="","",MAX(O$1:O635)+1)</f>
        <v/>
      </c>
      <c r="P636" t="str">
        <f t="shared" si="22"/>
        <v/>
      </c>
      <c r="AI636" s="191" t="str">
        <f>IFERROR(_xlfn.SINGLE(
IF(_xlfn.SINGLE(INDEX(TAB_Offres[Ressource 1],ROWS(Params!AI$2:$AI636)))=0,NA(),
INDEX(TAB_Offres[Ressource 1],ROWS(Params!AI$2:$AI636)))),
IFERROR(_xlfn.SINGLE(IF(_xlfn.SINGLE(INDEX(#REF!,ROWS(Params!AI$2:$AI636)-COUNTA(TAB_Offres[Ressource 1])))=0,NA(),
INDEX(#REF!,ROWS(Params!AI$2:$AI636)-COUNTA(TAB_Offres[Ressource 1])))),
IFERROR(_xlfn.SINGLE(IF(_xlfn.SINGLE(INDEX(#REF!,ROWS(Params!AI$2:$AI636)-COUNTA(#REF!)-COUNTA(TAB_Offres[Ressource 1])))=0,NA(),
INDEX(#REF!,ROWS(Params!AI$2:$AI636)-COUNTA(#REF!)-COUNTA(TAB_Offres[Ressource 1])))),""))
)</f>
        <v/>
      </c>
      <c r="AJ636" s="192" t="str">
        <f>IF(TAB_ressource[[#This Row],[Import Ressource]]="","",MAX(AJ$1:AJ635)+1)</f>
        <v/>
      </c>
      <c r="AK636" s="193" t="str">
        <f>IFERROR(INDEX(TAB_ressource[Import Ressource],MATCH(ROW()-ROW($AK$1),TAB_ressource[ID Import ressources],0)),"")</f>
        <v/>
      </c>
      <c r="BD636" t="s">
        <v>2518</v>
      </c>
      <c r="BE636" t="s">
        <v>2519</v>
      </c>
      <c r="BF636" t="s">
        <v>2520</v>
      </c>
      <c r="BG636" t="s">
        <v>2518</v>
      </c>
    </row>
    <row r="637" spans="13:59" x14ac:dyDescent="0.25">
      <c r="M637" t="str">
        <f>_xlfn.IFNA(IF(VLOOKUP(TAB_Offres[[#This Row],[Reference]],TAB_Offres[[Reference]:[Request State]],COLUMNS(TAB_Offres[[Reference]:[Request State]]),FALSE)=D$6,TAB_Offres[[#This Row],[Reference]],""),"")</f>
        <v/>
      </c>
      <c r="N637" t="str">
        <f>_xlfn.IFNA(IF(VLOOKUP(TAB_Offres[[#This Row],[Reference]],TAB_Offres[[Reference]:[Has Expenses?]],COLUMNS(TAB_Offres[[Reference]:[Has Expenses?]]),FALSE)=J$2,TAB_Offres[[#This Row],[Reference]],""),"")</f>
        <v/>
      </c>
      <c r="O637" t="str">
        <f>IF(Tableau19[[#This Row],[EXPENSES_REF]]="","",MAX(O$1:O636)+1)</f>
        <v/>
      </c>
      <c r="P637" t="str">
        <f t="shared" si="22"/>
        <v/>
      </c>
      <c r="AI637" s="191" t="str">
        <f>IFERROR(_xlfn.SINGLE(
IF(_xlfn.SINGLE(INDEX(TAB_Offres[Ressource 1],ROWS(Params!AI$2:$AI637)))=0,NA(),
INDEX(TAB_Offres[Ressource 1],ROWS(Params!AI$2:$AI637)))),
IFERROR(_xlfn.SINGLE(IF(_xlfn.SINGLE(INDEX(#REF!,ROWS(Params!AI$2:$AI637)-COUNTA(TAB_Offres[Ressource 1])))=0,NA(),
INDEX(#REF!,ROWS(Params!AI$2:$AI637)-COUNTA(TAB_Offres[Ressource 1])))),
IFERROR(_xlfn.SINGLE(IF(_xlfn.SINGLE(INDEX(#REF!,ROWS(Params!AI$2:$AI637)-COUNTA(#REF!)-COUNTA(TAB_Offres[Ressource 1])))=0,NA(),
INDEX(#REF!,ROWS(Params!AI$2:$AI637)-COUNTA(#REF!)-COUNTA(TAB_Offres[Ressource 1])))),""))
)</f>
        <v/>
      </c>
      <c r="AJ637" s="192" t="str">
        <f>IF(TAB_ressource[[#This Row],[Import Ressource]]="","",MAX(AJ$1:AJ636)+1)</f>
        <v/>
      </c>
      <c r="AK637" s="193" t="str">
        <f>IFERROR(INDEX(TAB_ressource[Import Ressource],MATCH(ROW()-ROW($AK$1),TAB_ressource[ID Import ressources],0)),"")</f>
        <v/>
      </c>
      <c r="BD637" t="s">
        <v>2521</v>
      </c>
      <c r="BE637" t="s">
        <v>2522</v>
      </c>
      <c r="BF637" t="s">
        <v>2523</v>
      </c>
      <c r="BG637" t="s">
        <v>2521</v>
      </c>
    </row>
    <row r="638" spans="13:59" x14ac:dyDescent="0.25">
      <c r="M638" t="str">
        <f>_xlfn.IFNA(IF(VLOOKUP(TAB_Offres[[#This Row],[Reference]],TAB_Offres[[Reference]:[Request State]],COLUMNS(TAB_Offres[[Reference]:[Request State]]),FALSE)=D$6,TAB_Offres[[#This Row],[Reference]],""),"")</f>
        <v/>
      </c>
      <c r="N638" t="str">
        <f>_xlfn.IFNA(IF(VLOOKUP(TAB_Offres[[#This Row],[Reference]],TAB_Offres[[Reference]:[Has Expenses?]],COLUMNS(TAB_Offres[[Reference]:[Has Expenses?]]),FALSE)=J$2,TAB_Offres[[#This Row],[Reference]],""),"")</f>
        <v/>
      </c>
      <c r="O638" t="str">
        <f>IF(Tableau19[[#This Row],[EXPENSES_REF]]="","",MAX(O$1:O637)+1)</f>
        <v/>
      </c>
      <c r="P638" t="str">
        <f t="shared" si="22"/>
        <v/>
      </c>
      <c r="AI638" s="191" t="str">
        <f>IFERROR(_xlfn.SINGLE(
IF(_xlfn.SINGLE(INDEX(TAB_Offres[Ressource 1],ROWS(Params!AI$2:$AI638)))=0,NA(),
INDEX(TAB_Offres[Ressource 1],ROWS(Params!AI$2:$AI638)))),
IFERROR(_xlfn.SINGLE(IF(_xlfn.SINGLE(INDEX(#REF!,ROWS(Params!AI$2:$AI638)-COUNTA(TAB_Offres[Ressource 1])))=0,NA(),
INDEX(#REF!,ROWS(Params!AI$2:$AI638)-COUNTA(TAB_Offres[Ressource 1])))),
IFERROR(_xlfn.SINGLE(IF(_xlfn.SINGLE(INDEX(#REF!,ROWS(Params!AI$2:$AI638)-COUNTA(#REF!)-COUNTA(TAB_Offres[Ressource 1])))=0,NA(),
INDEX(#REF!,ROWS(Params!AI$2:$AI638)-COUNTA(#REF!)-COUNTA(TAB_Offres[Ressource 1])))),""))
)</f>
        <v/>
      </c>
      <c r="AJ638" s="192" t="str">
        <f>IF(TAB_ressource[[#This Row],[Import Ressource]]="","",MAX(AJ$1:AJ637)+1)</f>
        <v/>
      </c>
      <c r="AK638" s="193" t="str">
        <f>IFERROR(INDEX(TAB_ressource[Import Ressource],MATCH(ROW()-ROW($AK$1),TAB_ressource[ID Import ressources],0)),"")</f>
        <v/>
      </c>
      <c r="BD638" t="s">
        <v>2524</v>
      </c>
      <c r="BE638" t="s">
        <v>2525</v>
      </c>
      <c r="BF638" t="s">
        <v>2526</v>
      </c>
      <c r="BG638" t="s">
        <v>2524</v>
      </c>
    </row>
    <row r="639" spans="13:59" x14ac:dyDescent="0.25">
      <c r="M639" t="str">
        <f>_xlfn.IFNA(IF(VLOOKUP(TAB_Offres[[#This Row],[Reference]],TAB_Offres[[Reference]:[Request State]],COLUMNS(TAB_Offres[[Reference]:[Request State]]),FALSE)=D$6,TAB_Offres[[#This Row],[Reference]],""),"")</f>
        <v/>
      </c>
      <c r="N639" t="str">
        <f>_xlfn.IFNA(IF(VLOOKUP(TAB_Offres[[#This Row],[Reference]],TAB_Offres[[Reference]:[Has Expenses?]],COLUMNS(TAB_Offres[[Reference]:[Has Expenses?]]),FALSE)=J$2,TAB_Offres[[#This Row],[Reference]],""),"")</f>
        <v/>
      </c>
      <c r="O639" t="str">
        <f>IF(Tableau19[[#This Row],[EXPENSES_REF]]="","",MAX(O$1:O638)+1)</f>
        <v/>
      </c>
      <c r="P639" t="str">
        <f t="shared" si="22"/>
        <v/>
      </c>
      <c r="AI639" s="191" t="str">
        <f>IFERROR(_xlfn.SINGLE(
IF(_xlfn.SINGLE(INDEX(TAB_Offres[Ressource 1],ROWS(Params!AI$2:$AI639)))=0,NA(),
INDEX(TAB_Offres[Ressource 1],ROWS(Params!AI$2:$AI639)))),
IFERROR(_xlfn.SINGLE(IF(_xlfn.SINGLE(INDEX(#REF!,ROWS(Params!AI$2:$AI639)-COUNTA(TAB_Offres[Ressource 1])))=0,NA(),
INDEX(#REF!,ROWS(Params!AI$2:$AI639)-COUNTA(TAB_Offres[Ressource 1])))),
IFERROR(_xlfn.SINGLE(IF(_xlfn.SINGLE(INDEX(#REF!,ROWS(Params!AI$2:$AI639)-COUNTA(#REF!)-COUNTA(TAB_Offres[Ressource 1])))=0,NA(),
INDEX(#REF!,ROWS(Params!AI$2:$AI639)-COUNTA(#REF!)-COUNTA(TAB_Offres[Ressource 1])))),""))
)</f>
        <v/>
      </c>
      <c r="AJ639" s="192" t="str">
        <f>IF(TAB_ressource[[#This Row],[Import Ressource]]="","",MAX(AJ$1:AJ638)+1)</f>
        <v/>
      </c>
      <c r="AK639" s="193" t="str">
        <f>IFERROR(INDEX(TAB_ressource[Import Ressource],MATCH(ROW()-ROW($AK$1),TAB_ressource[ID Import ressources],0)),"")</f>
        <v/>
      </c>
      <c r="BD639" t="s">
        <v>2527</v>
      </c>
      <c r="BE639" t="s">
        <v>2528</v>
      </c>
      <c r="BF639" t="s">
        <v>2529</v>
      </c>
      <c r="BG639" t="s">
        <v>2527</v>
      </c>
    </row>
    <row r="640" spans="13:59" x14ac:dyDescent="0.25">
      <c r="M640" t="str">
        <f>_xlfn.IFNA(IF(VLOOKUP(TAB_Offres[[#This Row],[Reference]],TAB_Offres[[Reference]:[Request State]],COLUMNS(TAB_Offres[[Reference]:[Request State]]),FALSE)=D$6,TAB_Offres[[#This Row],[Reference]],""),"")</f>
        <v/>
      </c>
      <c r="N640" t="str">
        <f>_xlfn.IFNA(IF(VLOOKUP(TAB_Offres[[#This Row],[Reference]],TAB_Offres[[Reference]:[Has Expenses?]],COLUMNS(TAB_Offres[[Reference]:[Has Expenses?]]),FALSE)=J$2,TAB_Offres[[#This Row],[Reference]],""),"")</f>
        <v/>
      </c>
      <c r="O640" t="str">
        <f>IF(Tableau19[[#This Row],[EXPENSES_REF]]="","",MAX(O$1:O639)+1)</f>
        <v/>
      </c>
      <c r="P640" t="str">
        <f t="shared" si="22"/>
        <v/>
      </c>
      <c r="AI640" s="191" t="str">
        <f>IFERROR(_xlfn.SINGLE(
IF(_xlfn.SINGLE(INDEX(TAB_Offres[Ressource 1],ROWS(Params!AI$2:$AI640)))=0,NA(),
INDEX(TAB_Offres[Ressource 1],ROWS(Params!AI$2:$AI640)))),
IFERROR(_xlfn.SINGLE(IF(_xlfn.SINGLE(INDEX(#REF!,ROWS(Params!AI$2:$AI640)-COUNTA(TAB_Offres[Ressource 1])))=0,NA(),
INDEX(#REF!,ROWS(Params!AI$2:$AI640)-COUNTA(TAB_Offres[Ressource 1])))),
IFERROR(_xlfn.SINGLE(IF(_xlfn.SINGLE(INDEX(#REF!,ROWS(Params!AI$2:$AI640)-COUNTA(#REF!)-COUNTA(TAB_Offres[Ressource 1])))=0,NA(),
INDEX(#REF!,ROWS(Params!AI$2:$AI640)-COUNTA(#REF!)-COUNTA(TAB_Offres[Ressource 1])))),""))
)</f>
        <v/>
      </c>
      <c r="AJ640" s="192" t="str">
        <f>IF(TAB_ressource[[#This Row],[Import Ressource]]="","",MAX(AJ$1:AJ639)+1)</f>
        <v/>
      </c>
      <c r="AK640" s="193" t="str">
        <f>IFERROR(INDEX(TAB_ressource[Import Ressource],MATCH(ROW()-ROW($AK$1),TAB_ressource[ID Import ressources],0)),"")</f>
        <v/>
      </c>
      <c r="BD640" t="s">
        <v>2530</v>
      </c>
      <c r="BE640" t="s">
        <v>2531</v>
      </c>
      <c r="BF640" t="s">
        <v>2532</v>
      </c>
      <c r="BG640" t="s">
        <v>2530</v>
      </c>
    </row>
    <row r="641" spans="13:59" x14ac:dyDescent="0.25">
      <c r="M641" t="str">
        <f>_xlfn.IFNA(IF(VLOOKUP(TAB_Offres[[#This Row],[Reference]],TAB_Offres[[Reference]:[Request State]],COLUMNS(TAB_Offres[[Reference]:[Request State]]),FALSE)=D$6,TAB_Offres[[#This Row],[Reference]],""),"")</f>
        <v/>
      </c>
      <c r="N641" t="str">
        <f>_xlfn.IFNA(IF(VLOOKUP(TAB_Offres[[#This Row],[Reference]],TAB_Offres[[Reference]:[Has Expenses?]],COLUMNS(TAB_Offres[[Reference]:[Has Expenses?]]),FALSE)=J$2,TAB_Offres[[#This Row],[Reference]],""),"")</f>
        <v/>
      </c>
      <c r="O641" t="str">
        <f>IF(Tableau19[[#This Row],[EXPENSES_REF]]="","",MAX(O$1:O640)+1)</f>
        <v/>
      </c>
      <c r="P641" t="str">
        <f t="shared" si="22"/>
        <v/>
      </c>
      <c r="AI641" s="191" t="str">
        <f>IFERROR(_xlfn.SINGLE(
IF(_xlfn.SINGLE(INDEX(TAB_Offres[Ressource 1],ROWS(Params!AI$2:$AI641)))=0,NA(),
INDEX(TAB_Offres[Ressource 1],ROWS(Params!AI$2:$AI641)))),
IFERROR(_xlfn.SINGLE(IF(_xlfn.SINGLE(INDEX(#REF!,ROWS(Params!AI$2:$AI641)-COUNTA(TAB_Offres[Ressource 1])))=0,NA(),
INDEX(#REF!,ROWS(Params!AI$2:$AI641)-COUNTA(TAB_Offres[Ressource 1])))),
IFERROR(_xlfn.SINGLE(IF(_xlfn.SINGLE(INDEX(#REF!,ROWS(Params!AI$2:$AI641)-COUNTA(#REF!)-COUNTA(TAB_Offres[Ressource 1])))=0,NA(),
INDEX(#REF!,ROWS(Params!AI$2:$AI641)-COUNTA(#REF!)-COUNTA(TAB_Offres[Ressource 1])))),""))
)</f>
        <v/>
      </c>
      <c r="AJ641" s="192" t="str">
        <f>IF(TAB_ressource[[#This Row],[Import Ressource]]="","",MAX(AJ$1:AJ640)+1)</f>
        <v/>
      </c>
      <c r="AK641" s="193" t="str">
        <f>IFERROR(INDEX(TAB_ressource[Import Ressource],MATCH(ROW()-ROW($AK$1),TAB_ressource[ID Import ressources],0)),"")</f>
        <v/>
      </c>
      <c r="BD641" t="s">
        <v>2533</v>
      </c>
      <c r="BE641" t="s">
        <v>2534</v>
      </c>
      <c r="BF641" t="s">
        <v>2535</v>
      </c>
      <c r="BG641" t="s">
        <v>2533</v>
      </c>
    </row>
    <row r="642" spans="13:59" x14ac:dyDescent="0.25">
      <c r="M642" t="str">
        <f>_xlfn.IFNA(IF(VLOOKUP(TAB_Offres[[#This Row],[Reference]],TAB_Offres[[Reference]:[Request State]],COLUMNS(TAB_Offres[[Reference]:[Request State]]),FALSE)=D$6,TAB_Offres[[#This Row],[Reference]],""),"")</f>
        <v/>
      </c>
      <c r="N642" t="str">
        <f>_xlfn.IFNA(IF(VLOOKUP(TAB_Offres[[#This Row],[Reference]],TAB_Offres[[Reference]:[Has Expenses?]],COLUMNS(TAB_Offres[[Reference]:[Has Expenses?]]),FALSE)=J$2,TAB_Offres[[#This Row],[Reference]],""),"")</f>
        <v/>
      </c>
      <c r="O642" t="str">
        <f>IF(Tableau19[[#This Row],[EXPENSES_REF]]="","",MAX(O$1:O641)+1)</f>
        <v/>
      </c>
      <c r="P642" t="str">
        <f t="shared" ref="P642:P705" si="23">IFERROR(INDEX($N$2:$N$1001,MATCH(ROW()-ROW($P$1),$O$2:$O$1001,0)),"")</f>
        <v/>
      </c>
      <c r="AI642" s="191" t="str">
        <f>IFERROR(_xlfn.SINGLE(
IF(_xlfn.SINGLE(INDEX(TAB_Offres[Ressource 1],ROWS(Params!AI$2:$AI642)))=0,NA(),
INDEX(TAB_Offres[Ressource 1],ROWS(Params!AI$2:$AI642)))),
IFERROR(_xlfn.SINGLE(IF(_xlfn.SINGLE(INDEX(#REF!,ROWS(Params!AI$2:$AI642)-COUNTA(TAB_Offres[Ressource 1])))=0,NA(),
INDEX(#REF!,ROWS(Params!AI$2:$AI642)-COUNTA(TAB_Offres[Ressource 1])))),
IFERROR(_xlfn.SINGLE(IF(_xlfn.SINGLE(INDEX(#REF!,ROWS(Params!AI$2:$AI642)-COUNTA(#REF!)-COUNTA(TAB_Offres[Ressource 1])))=0,NA(),
INDEX(#REF!,ROWS(Params!AI$2:$AI642)-COUNTA(#REF!)-COUNTA(TAB_Offres[Ressource 1])))),""))
)</f>
        <v/>
      </c>
      <c r="AJ642" s="192" t="str">
        <f>IF(TAB_ressource[[#This Row],[Import Ressource]]="","",MAX(AJ$1:AJ641)+1)</f>
        <v/>
      </c>
      <c r="AK642" s="193" t="str">
        <f>IFERROR(INDEX(TAB_ressource[Import Ressource],MATCH(ROW()-ROW($AK$1),TAB_ressource[ID Import ressources],0)),"")</f>
        <v/>
      </c>
      <c r="BD642" t="s">
        <v>2536</v>
      </c>
      <c r="BE642" t="s">
        <v>2537</v>
      </c>
      <c r="BF642" t="s">
        <v>2538</v>
      </c>
      <c r="BG642" t="s">
        <v>2536</v>
      </c>
    </row>
    <row r="643" spans="13:59" x14ac:dyDescent="0.25">
      <c r="M643" t="str">
        <f>_xlfn.IFNA(IF(VLOOKUP(TAB_Offres[[#This Row],[Reference]],TAB_Offres[[Reference]:[Request State]],COLUMNS(TAB_Offres[[Reference]:[Request State]]),FALSE)=D$6,TAB_Offres[[#This Row],[Reference]],""),"")</f>
        <v/>
      </c>
      <c r="N643" t="str">
        <f>_xlfn.IFNA(IF(VLOOKUP(TAB_Offres[[#This Row],[Reference]],TAB_Offres[[Reference]:[Has Expenses?]],COLUMNS(TAB_Offres[[Reference]:[Has Expenses?]]),FALSE)=J$2,TAB_Offres[[#This Row],[Reference]],""),"")</f>
        <v/>
      </c>
      <c r="O643" t="str">
        <f>IF(Tableau19[[#This Row],[EXPENSES_REF]]="","",MAX(O$1:O642)+1)</f>
        <v/>
      </c>
      <c r="P643" t="str">
        <f t="shared" si="23"/>
        <v/>
      </c>
      <c r="AI643" s="191" t="str">
        <f>IFERROR(_xlfn.SINGLE(
IF(_xlfn.SINGLE(INDEX(TAB_Offres[Ressource 1],ROWS(Params!AI$2:$AI643)))=0,NA(),
INDEX(TAB_Offres[Ressource 1],ROWS(Params!AI$2:$AI643)))),
IFERROR(_xlfn.SINGLE(IF(_xlfn.SINGLE(INDEX(#REF!,ROWS(Params!AI$2:$AI643)-COUNTA(TAB_Offres[Ressource 1])))=0,NA(),
INDEX(#REF!,ROWS(Params!AI$2:$AI643)-COUNTA(TAB_Offres[Ressource 1])))),
IFERROR(_xlfn.SINGLE(IF(_xlfn.SINGLE(INDEX(#REF!,ROWS(Params!AI$2:$AI643)-COUNTA(#REF!)-COUNTA(TAB_Offres[Ressource 1])))=0,NA(),
INDEX(#REF!,ROWS(Params!AI$2:$AI643)-COUNTA(#REF!)-COUNTA(TAB_Offres[Ressource 1])))),""))
)</f>
        <v/>
      </c>
      <c r="AJ643" s="192" t="str">
        <f>IF(TAB_ressource[[#This Row],[Import Ressource]]="","",MAX(AJ$1:AJ642)+1)</f>
        <v/>
      </c>
      <c r="AK643" s="193" t="str">
        <f>IFERROR(INDEX(TAB_ressource[Import Ressource],MATCH(ROW()-ROW($AK$1),TAB_ressource[ID Import ressources],0)),"")</f>
        <v/>
      </c>
      <c r="BD643" t="s">
        <v>2539</v>
      </c>
      <c r="BE643" t="s">
        <v>2540</v>
      </c>
      <c r="BF643" t="s">
        <v>2541</v>
      </c>
      <c r="BG643" t="s">
        <v>2539</v>
      </c>
    </row>
    <row r="644" spans="13:59" x14ac:dyDescent="0.25">
      <c r="M644" t="str">
        <f>_xlfn.IFNA(IF(VLOOKUP(TAB_Offres[[#This Row],[Reference]],TAB_Offres[[Reference]:[Request State]],COLUMNS(TAB_Offres[[Reference]:[Request State]]),FALSE)=D$6,TAB_Offres[[#This Row],[Reference]],""),"")</f>
        <v/>
      </c>
      <c r="N644" t="str">
        <f>_xlfn.IFNA(IF(VLOOKUP(TAB_Offres[[#This Row],[Reference]],TAB_Offres[[Reference]:[Has Expenses?]],COLUMNS(TAB_Offres[[Reference]:[Has Expenses?]]),FALSE)=J$2,TAB_Offres[[#This Row],[Reference]],""),"")</f>
        <v/>
      </c>
      <c r="O644" t="str">
        <f>IF(Tableau19[[#This Row],[EXPENSES_REF]]="","",MAX(O$1:O643)+1)</f>
        <v/>
      </c>
      <c r="P644" t="str">
        <f t="shared" si="23"/>
        <v/>
      </c>
      <c r="AI644" s="191" t="str">
        <f>IFERROR(_xlfn.SINGLE(
IF(_xlfn.SINGLE(INDEX(TAB_Offres[Ressource 1],ROWS(Params!AI$2:$AI644)))=0,NA(),
INDEX(TAB_Offres[Ressource 1],ROWS(Params!AI$2:$AI644)))),
IFERROR(_xlfn.SINGLE(IF(_xlfn.SINGLE(INDEX(#REF!,ROWS(Params!AI$2:$AI644)-COUNTA(TAB_Offres[Ressource 1])))=0,NA(),
INDEX(#REF!,ROWS(Params!AI$2:$AI644)-COUNTA(TAB_Offres[Ressource 1])))),
IFERROR(_xlfn.SINGLE(IF(_xlfn.SINGLE(INDEX(#REF!,ROWS(Params!AI$2:$AI644)-COUNTA(#REF!)-COUNTA(TAB_Offres[Ressource 1])))=0,NA(),
INDEX(#REF!,ROWS(Params!AI$2:$AI644)-COUNTA(#REF!)-COUNTA(TAB_Offres[Ressource 1])))),""))
)</f>
        <v/>
      </c>
      <c r="AJ644" s="192" t="str">
        <f>IF(TAB_ressource[[#This Row],[Import Ressource]]="","",MAX(AJ$1:AJ643)+1)</f>
        <v/>
      </c>
      <c r="AK644" s="193" t="str">
        <f>IFERROR(INDEX(TAB_ressource[Import Ressource],MATCH(ROW()-ROW($AK$1),TAB_ressource[ID Import ressources],0)),"")</f>
        <v/>
      </c>
      <c r="BD644" t="s">
        <v>2542</v>
      </c>
      <c r="BE644" t="s">
        <v>2543</v>
      </c>
      <c r="BF644" t="s">
        <v>2544</v>
      </c>
      <c r="BG644" t="s">
        <v>2542</v>
      </c>
    </row>
    <row r="645" spans="13:59" x14ac:dyDescent="0.25">
      <c r="M645" t="str">
        <f>_xlfn.IFNA(IF(VLOOKUP(TAB_Offres[[#This Row],[Reference]],TAB_Offres[[Reference]:[Request State]],COLUMNS(TAB_Offres[[Reference]:[Request State]]),FALSE)=D$6,TAB_Offres[[#This Row],[Reference]],""),"")</f>
        <v/>
      </c>
      <c r="N645" t="str">
        <f>_xlfn.IFNA(IF(VLOOKUP(TAB_Offres[[#This Row],[Reference]],TAB_Offres[[Reference]:[Has Expenses?]],COLUMNS(TAB_Offres[[Reference]:[Has Expenses?]]),FALSE)=J$2,TAB_Offres[[#This Row],[Reference]],""),"")</f>
        <v/>
      </c>
      <c r="O645" t="str">
        <f>IF(Tableau19[[#This Row],[EXPENSES_REF]]="","",MAX(O$1:O644)+1)</f>
        <v/>
      </c>
      <c r="P645" t="str">
        <f t="shared" si="23"/>
        <v/>
      </c>
      <c r="AI645" s="191" t="str">
        <f>IFERROR(_xlfn.SINGLE(
IF(_xlfn.SINGLE(INDEX(TAB_Offres[Ressource 1],ROWS(Params!AI$2:$AI645)))=0,NA(),
INDEX(TAB_Offres[Ressource 1],ROWS(Params!AI$2:$AI645)))),
IFERROR(_xlfn.SINGLE(IF(_xlfn.SINGLE(INDEX(#REF!,ROWS(Params!AI$2:$AI645)-COUNTA(TAB_Offres[Ressource 1])))=0,NA(),
INDEX(#REF!,ROWS(Params!AI$2:$AI645)-COUNTA(TAB_Offres[Ressource 1])))),
IFERROR(_xlfn.SINGLE(IF(_xlfn.SINGLE(INDEX(#REF!,ROWS(Params!AI$2:$AI645)-COUNTA(#REF!)-COUNTA(TAB_Offres[Ressource 1])))=0,NA(),
INDEX(#REF!,ROWS(Params!AI$2:$AI645)-COUNTA(#REF!)-COUNTA(TAB_Offres[Ressource 1])))),""))
)</f>
        <v/>
      </c>
      <c r="AJ645" s="192" t="str">
        <f>IF(TAB_ressource[[#This Row],[Import Ressource]]="","",MAX(AJ$1:AJ644)+1)</f>
        <v/>
      </c>
      <c r="AK645" s="193" t="str">
        <f>IFERROR(INDEX(TAB_ressource[Import Ressource],MATCH(ROW()-ROW($AK$1),TAB_ressource[ID Import ressources],0)),"")</f>
        <v/>
      </c>
      <c r="BD645" t="s">
        <v>2545</v>
      </c>
      <c r="BE645" t="s">
        <v>2546</v>
      </c>
      <c r="BF645" t="s">
        <v>2547</v>
      </c>
      <c r="BG645" t="s">
        <v>2545</v>
      </c>
    </row>
    <row r="646" spans="13:59" x14ac:dyDescent="0.25">
      <c r="M646" t="str">
        <f>_xlfn.IFNA(IF(VLOOKUP(TAB_Offres[[#This Row],[Reference]],TAB_Offres[[Reference]:[Request State]],COLUMNS(TAB_Offres[[Reference]:[Request State]]),FALSE)=D$6,TAB_Offres[[#This Row],[Reference]],""),"")</f>
        <v/>
      </c>
      <c r="N646" t="str">
        <f>_xlfn.IFNA(IF(VLOOKUP(TAB_Offres[[#This Row],[Reference]],TAB_Offres[[Reference]:[Has Expenses?]],COLUMNS(TAB_Offres[[Reference]:[Has Expenses?]]),FALSE)=J$2,TAB_Offres[[#This Row],[Reference]],""),"")</f>
        <v/>
      </c>
      <c r="O646" t="str">
        <f>IF(Tableau19[[#This Row],[EXPENSES_REF]]="","",MAX(O$1:O645)+1)</f>
        <v/>
      </c>
      <c r="P646" t="str">
        <f t="shared" si="23"/>
        <v/>
      </c>
      <c r="AI646" s="191" t="str">
        <f>IFERROR(_xlfn.SINGLE(
IF(_xlfn.SINGLE(INDEX(TAB_Offres[Ressource 1],ROWS(Params!AI$2:$AI646)))=0,NA(),
INDEX(TAB_Offres[Ressource 1],ROWS(Params!AI$2:$AI646)))),
IFERROR(_xlfn.SINGLE(IF(_xlfn.SINGLE(INDEX(#REF!,ROWS(Params!AI$2:$AI646)-COUNTA(TAB_Offres[Ressource 1])))=0,NA(),
INDEX(#REF!,ROWS(Params!AI$2:$AI646)-COUNTA(TAB_Offres[Ressource 1])))),
IFERROR(_xlfn.SINGLE(IF(_xlfn.SINGLE(INDEX(#REF!,ROWS(Params!AI$2:$AI646)-COUNTA(#REF!)-COUNTA(TAB_Offres[Ressource 1])))=0,NA(),
INDEX(#REF!,ROWS(Params!AI$2:$AI646)-COUNTA(#REF!)-COUNTA(TAB_Offres[Ressource 1])))),""))
)</f>
        <v/>
      </c>
      <c r="AJ646" s="192" t="str">
        <f>IF(TAB_ressource[[#This Row],[Import Ressource]]="","",MAX(AJ$1:AJ645)+1)</f>
        <v/>
      </c>
      <c r="AK646" s="193" t="str">
        <f>IFERROR(INDEX(TAB_ressource[Import Ressource],MATCH(ROW()-ROW($AK$1),TAB_ressource[ID Import ressources],0)),"")</f>
        <v/>
      </c>
      <c r="BD646" t="s">
        <v>2548</v>
      </c>
      <c r="BE646" t="s">
        <v>2549</v>
      </c>
      <c r="BF646" t="s">
        <v>2550</v>
      </c>
      <c r="BG646" t="s">
        <v>2548</v>
      </c>
    </row>
    <row r="647" spans="13:59" x14ac:dyDescent="0.25">
      <c r="M647" t="str">
        <f>_xlfn.IFNA(IF(VLOOKUP(TAB_Offres[[#This Row],[Reference]],TAB_Offres[[Reference]:[Request State]],COLUMNS(TAB_Offres[[Reference]:[Request State]]),FALSE)=D$6,TAB_Offres[[#This Row],[Reference]],""),"")</f>
        <v/>
      </c>
      <c r="N647" t="str">
        <f>_xlfn.IFNA(IF(VLOOKUP(TAB_Offres[[#This Row],[Reference]],TAB_Offres[[Reference]:[Has Expenses?]],COLUMNS(TAB_Offres[[Reference]:[Has Expenses?]]),FALSE)=J$2,TAB_Offres[[#This Row],[Reference]],""),"")</f>
        <v/>
      </c>
      <c r="O647" t="str">
        <f>IF(Tableau19[[#This Row],[EXPENSES_REF]]="","",MAX(O$1:O646)+1)</f>
        <v/>
      </c>
      <c r="P647" t="str">
        <f t="shared" si="23"/>
        <v/>
      </c>
      <c r="AI647" s="191" t="str">
        <f>IFERROR(_xlfn.SINGLE(
IF(_xlfn.SINGLE(INDEX(TAB_Offres[Ressource 1],ROWS(Params!AI$2:$AI647)))=0,NA(),
INDEX(TAB_Offres[Ressource 1],ROWS(Params!AI$2:$AI647)))),
IFERROR(_xlfn.SINGLE(IF(_xlfn.SINGLE(INDEX(#REF!,ROWS(Params!AI$2:$AI647)-COUNTA(TAB_Offres[Ressource 1])))=0,NA(),
INDEX(#REF!,ROWS(Params!AI$2:$AI647)-COUNTA(TAB_Offres[Ressource 1])))),
IFERROR(_xlfn.SINGLE(IF(_xlfn.SINGLE(INDEX(#REF!,ROWS(Params!AI$2:$AI647)-COUNTA(#REF!)-COUNTA(TAB_Offres[Ressource 1])))=0,NA(),
INDEX(#REF!,ROWS(Params!AI$2:$AI647)-COUNTA(#REF!)-COUNTA(TAB_Offres[Ressource 1])))),""))
)</f>
        <v/>
      </c>
      <c r="AJ647" s="192" t="str">
        <f>IF(TAB_ressource[[#This Row],[Import Ressource]]="","",MAX(AJ$1:AJ646)+1)</f>
        <v/>
      </c>
      <c r="AK647" s="193" t="str">
        <f>IFERROR(INDEX(TAB_ressource[Import Ressource],MATCH(ROW()-ROW($AK$1),TAB_ressource[ID Import ressources],0)),"")</f>
        <v/>
      </c>
      <c r="BD647" t="s">
        <v>2551</v>
      </c>
      <c r="BE647" t="s">
        <v>2552</v>
      </c>
      <c r="BF647" t="s">
        <v>2553</v>
      </c>
      <c r="BG647" t="s">
        <v>2551</v>
      </c>
    </row>
    <row r="648" spans="13:59" x14ac:dyDescent="0.25">
      <c r="M648" t="str">
        <f>_xlfn.IFNA(IF(VLOOKUP(TAB_Offres[[#This Row],[Reference]],TAB_Offres[[Reference]:[Request State]],COLUMNS(TAB_Offres[[Reference]:[Request State]]),FALSE)=D$6,TAB_Offres[[#This Row],[Reference]],""),"")</f>
        <v/>
      </c>
      <c r="N648" t="str">
        <f>_xlfn.IFNA(IF(VLOOKUP(TAB_Offres[[#This Row],[Reference]],TAB_Offres[[Reference]:[Has Expenses?]],COLUMNS(TAB_Offres[[Reference]:[Has Expenses?]]),FALSE)=J$2,TAB_Offres[[#This Row],[Reference]],""),"")</f>
        <v/>
      </c>
      <c r="O648" t="str">
        <f>IF(Tableau19[[#This Row],[EXPENSES_REF]]="","",MAX(O$1:O647)+1)</f>
        <v/>
      </c>
      <c r="P648" t="str">
        <f t="shared" si="23"/>
        <v/>
      </c>
      <c r="AI648" s="191" t="str">
        <f>IFERROR(_xlfn.SINGLE(
IF(_xlfn.SINGLE(INDEX(TAB_Offres[Ressource 1],ROWS(Params!AI$2:$AI648)))=0,NA(),
INDEX(TAB_Offres[Ressource 1],ROWS(Params!AI$2:$AI648)))),
IFERROR(_xlfn.SINGLE(IF(_xlfn.SINGLE(INDEX(#REF!,ROWS(Params!AI$2:$AI648)-COUNTA(TAB_Offres[Ressource 1])))=0,NA(),
INDEX(#REF!,ROWS(Params!AI$2:$AI648)-COUNTA(TAB_Offres[Ressource 1])))),
IFERROR(_xlfn.SINGLE(IF(_xlfn.SINGLE(INDEX(#REF!,ROWS(Params!AI$2:$AI648)-COUNTA(#REF!)-COUNTA(TAB_Offres[Ressource 1])))=0,NA(),
INDEX(#REF!,ROWS(Params!AI$2:$AI648)-COUNTA(#REF!)-COUNTA(TAB_Offres[Ressource 1])))),""))
)</f>
        <v/>
      </c>
      <c r="AJ648" s="192" t="str">
        <f>IF(TAB_ressource[[#This Row],[Import Ressource]]="","",MAX(AJ$1:AJ647)+1)</f>
        <v/>
      </c>
      <c r="AK648" s="193" t="str">
        <f>IFERROR(INDEX(TAB_ressource[Import Ressource],MATCH(ROW()-ROW($AK$1),TAB_ressource[ID Import ressources],0)),"")</f>
        <v/>
      </c>
      <c r="BD648" t="s">
        <v>2554</v>
      </c>
      <c r="BE648" t="s">
        <v>2555</v>
      </c>
      <c r="BF648" t="s">
        <v>2556</v>
      </c>
      <c r="BG648" t="s">
        <v>2554</v>
      </c>
    </row>
    <row r="649" spans="13:59" x14ac:dyDescent="0.25">
      <c r="M649" t="str">
        <f>_xlfn.IFNA(IF(VLOOKUP(TAB_Offres[[#This Row],[Reference]],TAB_Offres[[Reference]:[Request State]],COLUMNS(TAB_Offres[[Reference]:[Request State]]),FALSE)=D$6,TAB_Offres[[#This Row],[Reference]],""),"")</f>
        <v/>
      </c>
      <c r="N649" t="str">
        <f>_xlfn.IFNA(IF(VLOOKUP(TAB_Offres[[#This Row],[Reference]],TAB_Offres[[Reference]:[Has Expenses?]],COLUMNS(TAB_Offres[[Reference]:[Has Expenses?]]),FALSE)=J$2,TAB_Offres[[#This Row],[Reference]],""),"")</f>
        <v/>
      </c>
      <c r="O649" t="str">
        <f>IF(Tableau19[[#This Row],[EXPENSES_REF]]="","",MAX(O$1:O648)+1)</f>
        <v/>
      </c>
      <c r="P649" t="str">
        <f t="shared" si="23"/>
        <v/>
      </c>
      <c r="AI649" s="191" t="str">
        <f>IFERROR(_xlfn.SINGLE(
IF(_xlfn.SINGLE(INDEX(TAB_Offres[Ressource 1],ROWS(Params!AI$2:$AI649)))=0,NA(),
INDEX(TAB_Offres[Ressource 1],ROWS(Params!AI$2:$AI649)))),
IFERROR(_xlfn.SINGLE(IF(_xlfn.SINGLE(INDEX(#REF!,ROWS(Params!AI$2:$AI649)-COUNTA(TAB_Offres[Ressource 1])))=0,NA(),
INDEX(#REF!,ROWS(Params!AI$2:$AI649)-COUNTA(TAB_Offres[Ressource 1])))),
IFERROR(_xlfn.SINGLE(IF(_xlfn.SINGLE(INDEX(#REF!,ROWS(Params!AI$2:$AI649)-COUNTA(#REF!)-COUNTA(TAB_Offres[Ressource 1])))=0,NA(),
INDEX(#REF!,ROWS(Params!AI$2:$AI649)-COUNTA(#REF!)-COUNTA(TAB_Offres[Ressource 1])))),""))
)</f>
        <v/>
      </c>
      <c r="AJ649" s="192" t="str">
        <f>IF(TAB_ressource[[#This Row],[Import Ressource]]="","",MAX(AJ$1:AJ648)+1)</f>
        <v/>
      </c>
      <c r="AK649" s="193" t="str">
        <f>IFERROR(INDEX(TAB_ressource[Import Ressource],MATCH(ROW()-ROW($AK$1),TAB_ressource[ID Import ressources],0)),"")</f>
        <v/>
      </c>
      <c r="BD649" t="s">
        <v>2557</v>
      </c>
      <c r="BE649" t="s">
        <v>2558</v>
      </c>
      <c r="BF649" t="s">
        <v>2559</v>
      </c>
      <c r="BG649" t="s">
        <v>2557</v>
      </c>
    </row>
    <row r="650" spans="13:59" x14ac:dyDescent="0.25">
      <c r="M650" t="str">
        <f>_xlfn.IFNA(IF(VLOOKUP(TAB_Offres[[#This Row],[Reference]],TAB_Offres[[Reference]:[Request State]],COLUMNS(TAB_Offres[[Reference]:[Request State]]),FALSE)=D$6,TAB_Offres[[#This Row],[Reference]],""),"")</f>
        <v/>
      </c>
      <c r="N650" t="str">
        <f>_xlfn.IFNA(IF(VLOOKUP(TAB_Offres[[#This Row],[Reference]],TAB_Offres[[Reference]:[Has Expenses?]],COLUMNS(TAB_Offres[[Reference]:[Has Expenses?]]),FALSE)=J$2,TAB_Offres[[#This Row],[Reference]],""),"")</f>
        <v/>
      </c>
      <c r="O650" t="str">
        <f>IF(Tableau19[[#This Row],[EXPENSES_REF]]="","",MAX(O$1:O649)+1)</f>
        <v/>
      </c>
      <c r="P650" t="str">
        <f t="shared" si="23"/>
        <v/>
      </c>
      <c r="AI650" s="191" t="str">
        <f>IFERROR(_xlfn.SINGLE(
IF(_xlfn.SINGLE(INDEX(TAB_Offres[Ressource 1],ROWS(Params!AI$2:$AI650)))=0,NA(),
INDEX(TAB_Offres[Ressource 1],ROWS(Params!AI$2:$AI650)))),
IFERROR(_xlfn.SINGLE(IF(_xlfn.SINGLE(INDEX(#REF!,ROWS(Params!AI$2:$AI650)-COUNTA(TAB_Offres[Ressource 1])))=0,NA(),
INDEX(#REF!,ROWS(Params!AI$2:$AI650)-COUNTA(TAB_Offres[Ressource 1])))),
IFERROR(_xlfn.SINGLE(IF(_xlfn.SINGLE(INDEX(#REF!,ROWS(Params!AI$2:$AI650)-COUNTA(#REF!)-COUNTA(TAB_Offres[Ressource 1])))=0,NA(),
INDEX(#REF!,ROWS(Params!AI$2:$AI650)-COUNTA(#REF!)-COUNTA(TAB_Offres[Ressource 1])))),""))
)</f>
        <v/>
      </c>
      <c r="AJ650" s="192" t="str">
        <f>IF(TAB_ressource[[#This Row],[Import Ressource]]="","",MAX(AJ$1:AJ649)+1)</f>
        <v/>
      </c>
      <c r="AK650" s="193" t="str">
        <f>IFERROR(INDEX(TAB_ressource[Import Ressource],MATCH(ROW()-ROW($AK$1),TAB_ressource[ID Import ressources],0)),"")</f>
        <v/>
      </c>
      <c r="BD650" t="s">
        <v>2560</v>
      </c>
      <c r="BE650" t="s">
        <v>2561</v>
      </c>
      <c r="BF650" t="s">
        <v>2562</v>
      </c>
      <c r="BG650" t="s">
        <v>2560</v>
      </c>
    </row>
    <row r="651" spans="13:59" x14ac:dyDescent="0.25">
      <c r="M651" t="str">
        <f>_xlfn.IFNA(IF(VLOOKUP(TAB_Offres[[#This Row],[Reference]],TAB_Offres[[Reference]:[Request State]],COLUMNS(TAB_Offres[[Reference]:[Request State]]),FALSE)=D$6,TAB_Offres[[#This Row],[Reference]],""),"")</f>
        <v/>
      </c>
      <c r="N651" t="str">
        <f>_xlfn.IFNA(IF(VLOOKUP(TAB_Offres[[#This Row],[Reference]],TAB_Offres[[Reference]:[Has Expenses?]],COLUMNS(TAB_Offres[[Reference]:[Has Expenses?]]),FALSE)=J$2,TAB_Offres[[#This Row],[Reference]],""),"")</f>
        <v/>
      </c>
      <c r="O651" t="str">
        <f>IF(Tableau19[[#This Row],[EXPENSES_REF]]="","",MAX(O$1:O650)+1)</f>
        <v/>
      </c>
      <c r="P651" t="str">
        <f t="shared" si="23"/>
        <v/>
      </c>
      <c r="AI651" s="191" t="str">
        <f>IFERROR(_xlfn.SINGLE(
IF(_xlfn.SINGLE(INDEX(TAB_Offres[Ressource 1],ROWS(Params!AI$2:$AI651)))=0,NA(),
INDEX(TAB_Offres[Ressource 1],ROWS(Params!AI$2:$AI651)))),
IFERROR(_xlfn.SINGLE(IF(_xlfn.SINGLE(INDEX(#REF!,ROWS(Params!AI$2:$AI651)-COUNTA(TAB_Offres[Ressource 1])))=0,NA(),
INDEX(#REF!,ROWS(Params!AI$2:$AI651)-COUNTA(TAB_Offres[Ressource 1])))),
IFERROR(_xlfn.SINGLE(IF(_xlfn.SINGLE(INDEX(#REF!,ROWS(Params!AI$2:$AI651)-COUNTA(#REF!)-COUNTA(TAB_Offres[Ressource 1])))=0,NA(),
INDEX(#REF!,ROWS(Params!AI$2:$AI651)-COUNTA(#REF!)-COUNTA(TAB_Offres[Ressource 1])))),""))
)</f>
        <v/>
      </c>
      <c r="AJ651" s="192" t="str">
        <f>IF(TAB_ressource[[#This Row],[Import Ressource]]="","",MAX(AJ$1:AJ650)+1)</f>
        <v/>
      </c>
      <c r="AK651" s="193" t="str">
        <f>IFERROR(INDEX(TAB_ressource[Import Ressource],MATCH(ROW()-ROW($AK$1),TAB_ressource[ID Import ressources],0)),"")</f>
        <v/>
      </c>
      <c r="BD651" t="s">
        <v>2563</v>
      </c>
      <c r="BE651" t="s">
        <v>2564</v>
      </c>
      <c r="BF651" t="s">
        <v>2565</v>
      </c>
      <c r="BG651" t="s">
        <v>2563</v>
      </c>
    </row>
    <row r="652" spans="13:59" x14ac:dyDescent="0.25">
      <c r="M652" t="str">
        <f>_xlfn.IFNA(IF(VLOOKUP(TAB_Offres[[#This Row],[Reference]],TAB_Offres[[Reference]:[Request State]],COLUMNS(TAB_Offres[[Reference]:[Request State]]),FALSE)=D$6,TAB_Offres[[#This Row],[Reference]],""),"")</f>
        <v/>
      </c>
      <c r="N652" t="str">
        <f>_xlfn.IFNA(IF(VLOOKUP(TAB_Offres[[#This Row],[Reference]],TAB_Offres[[Reference]:[Has Expenses?]],COLUMNS(TAB_Offres[[Reference]:[Has Expenses?]]),FALSE)=J$2,TAB_Offres[[#This Row],[Reference]],""),"")</f>
        <v/>
      </c>
      <c r="O652" t="str">
        <f>IF(Tableau19[[#This Row],[EXPENSES_REF]]="","",MAX(O$1:O651)+1)</f>
        <v/>
      </c>
      <c r="P652" t="str">
        <f t="shared" si="23"/>
        <v/>
      </c>
      <c r="AI652" s="191" t="str">
        <f>IFERROR(_xlfn.SINGLE(
IF(_xlfn.SINGLE(INDEX(TAB_Offres[Ressource 1],ROWS(Params!AI$2:$AI652)))=0,NA(),
INDEX(TAB_Offres[Ressource 1],ROWS(Params!AI$2:$AI652)))),
IFERROR(_xlfn.SINGLE(IF(_xlfn.SINGLE(INDEX(#REF!,ROWS(Params!AI$2:$AI652)-COUNTA(TAB_Offres[Ressource 1])))=0,NA(),
INDEX(#REF!,ROWS(Params!AI$2:$AI652)-COUNTA(TAB_Offres[Ressource 1])))),
IFERROR(_xlfn.SINGLE(IF(_xlfn.SINGLE(INDEX(#REF!,ROWS(Params!AI$2:$AI652)-COUNTA(#REF!)-COUNTA(TAB_Offres[Ressource 1])))=0,NA(),
INDEX(#REF!,ROWS(Params!AI$2:$AI652)-COUNTA(#REF!)-COUNTA(TAB_Offres[Ressource 1])))),""))
)</f>
        <v/>
      </c>
      <c r="AJ652" s="192" t="str">
        <f>IF(TAB_ressource[[#This Row],[Import Ressource]]="","",MAX(AJ$1:AJ651)+1)</f>
        <v/>
      </c>
      <c r="AK652" s="193" t="str">
        <f>IFERROR(INDEX(TAB_ressource[Import Ressource],MATCH(ROW()-ROW($AK$1),TAB_ressource[ID Import ressources],0)),"")</f>
        <v/>
      </c>
      <c r="BD652" t="s">
        <v>2566</v>
      </c>
      <c r="BE652" t="s">
        <v>2567</v>
      </c>
      <c r="BF652" t="s">
        <v>2568</v>
      </c>
      <c r="BG652" t="s">
        <v>2566</v>
      </c>
    </row>
    <row r="653" spans="13:59" x14ac:dyDescent="0.25">
      <c r="M653" t="str">
        <f>_xlfn.IFNA(IF(VLOOKUP(TAB_Offres[[#This Row],[Reference]],TAB_Offres[[Reference]:[Request State]],COLUMNS(TAB_Offres[[Reference]:[Request State]]),FALSE)=D$6,TAB_Offres[[#This Row],[Reference]],""),"")</f>
        <v/>
      </c>
      <c r="N653" t="str">
        <f>_xlfn.IFNA(IF(VLOOKUP(TAB_Offres[[#This Row],[Reference]],TAB_Offres[[Reference]:[Has Expenses?]],COLUMNS(TAB_Offres[[Reference]:[Has Expenses?]]),FALSE)=J$2,TAB_Offres[[#This Row],[Reference]],""),"")</f>
        <v/>
      </c>
      <c r="O653" t="str">
        <f>IF(Tableau19[[#This Row],[EXPENSES_REF]]="","",MAX(O$1:O652)+1)</f>
        <v/>
      </c>
      <c r="P653" t="str">
        <f t="shared" si="23"/>
        <v/>
      </c>
      <c r="AI653" s="191" t="str">
        <f>IFERROR(_xlfn.SINGLE(
IF(_xlfn.SINGLE(INDEX(TAB_Offres[Ressource 1],ROWS(Params!AI$2:$AI653)))=0,NA(),
INDEX(TAB_Offres[Ressource 1],ROWS(Params!AI$2:$AI653)))),
IFERROR(_xlfn.SINGLE(IF(_xlfn.SINGLE(INDEX(#REF!,ROWS(Params!AI$2:$AI653)-COUNTA(TAB_Offres[Ressource 1])))=0,NA(),
INDEX(#REF!,ROWS(Params!AI$2:$AI653)-COUNTA(TAB_Offres[Ressource 1])))),
IFERROR(_xlfn.SINGLE(IF(_xlfn.SINGLE(INDEX(#REF!,ROWS(Params!AI$2:$AI653)-COUNTA(#REF!)-COUNTA(TAB_Offres[Ressource 1])))=0,NA(),
INDEX(#REF!,ROWS(Params!AI$2:$AI653)-COUNTA(#REF!)-COUNTA(TAB_Offres[Ressource 1])))),""))
)</f>
        <v/>
      </c>
      <c r="AJ653" s="192" t="str">
        <f>IF(TAB_ressource[[#This Row],[Import Ressource]]="","",MAX(AJ$1:AJ652)+1)</f>
        <v/>
      </c>
      <c r="AK653" s="193" t="str">
        <f>IFERROR(INDEX(TAB_ressource[Import Ressource],MATCH(ROW()-ROW($AK$1),TAB_ressource[ID Import ressources],0)),"")</f>
        <v/>
      </c>
      <c r="BD653" t="s">
        <v>2569</v>
      </c>
      <c r="BE653" t="s">
        <v>2570</v>
      </c>
      <c r="BF653" t="s">
        <v>2571</v>
      </c>
      <c r="BG653" t="s">
        <v>2569</v>
      </c>
    </row>
    <row r="654" spans="13:59" x14ac:dyDescent="0.25">
      <c r="M654" t="str">
        <f>_xlfn.IFNA(IF(VLOOKUP(TAB_Offres[[#This Row],[Reference]],TAB_Offres[[Reference]:[Request State]],COLUMNS(TAB_Offres[[Reference]:[Request State]]),FALSE)=D$6,TAB_Offres[[#This Row],[Reference]],""),"")</f>
        <v/>
      </c>
      <c r="N654" t="str">
        <f>_xlfn.IFNA(IF(VLOOKUP(TAB_Offres[[#This Row],[Reference]],TAB_Offres[[Reference]:[Has Expenses?]],COLUMNS(TAB_Offres[[Reference]:[Has Expenses?]]),FALSE)=J$2,TAB_Offres[[#This Row],[Reference]],""),"")</f>
        <v/>
      </c>
      <c r="O654" t="str">
        <f>IF(Tableau19[[#This Row],[EXPENSES_REF]]="","",MAX(O$1:O653)+1)</f>
        <v/>
      </c>
      <c r="P654" t="str">
        <f t="shared" si="23"/>
        <v/>
      </c>
      <c r="AI654" s="191" t="str">
        <f>IFERROR(_xlfn.SINGLE(
IF(_xlfn.SINGLE(INDEX(TAB_Offres[Ressource 1],ROWS(Params!AI$2:$AI654)))=0,NA(),
INDEX(TAB_Offres[Ressource 1],ROWS(Params!AI$2:$AI654)))),
IFERROR(_xlfn.SINGLE(IF(_xlfn.SINGLE(INDEX(#REF!,ROWS(Params!AI$2:$AI654)-COUNTA(TAB_Offres[Ressource 1])))=0,NA(),
INDEX(#REF!,ROWS(Params!AI$2:$AI654)-COUNTA(TAB_Offres[Ressource 1])))),
IFERROR(_xlfn.SINGLE(IF(_xlfn.SINGLE(INDEX(#REF!,ROWS(Params!AI$2:$AI654)-COUNTA(#REF!)-COUNTA(TAB_Offres[Ressource 1])))=0,NA(),
INDEX(#REF!,ROWS(Params!AI$2:$AI654)-COUNTA(#REF!)-COUNTA(TAB_Offres[Ressource 1])))),""))
)</f>
        <v/>
      </c>
      <c r="AJ654" s="192" t="str">
        <f>IF(TAB_ressource[[#This Row],[Import Ressource]]="","",MAX(AJ$1:AJ653)+1)</f>
        <v/>
      </c>
      <c r="AK654" s="193" t="str">
        <f>IFERROR(INDEX(TAB_ressource[Import Ressource],MATCH(ROW()-ROW($AK$1),TAB_ressource[ID Import ressources],0)),"")</f>
        <v/>
      </c>
      <c r="BD654" t="s">
        <v>2572</v>
      </c>
      <c r="BE654" t="s">
        <v>2573</v>
      </c>
      <c r="BF654" t="s">
        <v>2574</v>
      </c>
      <c r="BG654" t="s">
        <v>2572</v>
      </c>
    </row>
    <row r="655" spans="13:59" x14ac:dyDescent="0.25">
      <c r="M655" t="str">
        <f>_xlfn.IFNA(IF(VLOOKUP(TAB_Offres[[#This Row],[Reference]],TAB_Offres[[Reference]:[Request State]],COLUMNS(TAB_Offres[[Reference]:[Request State]]),FALSE)=D$6,TAB_Offres[[#This Row],[Reference]],""),"")</f>
        <v/>
      </c>
      <c r="N655" t="str">
        <f>_xlfn.IFNA(IF(VLOOKUP(TAB_Offres[[#This Row],[Reference]],TAB_Offres[[Reference]:[Has Expenses?]],COLUMNS(TAB_Offres[[Reference]:[Has Expenses?]]),FALSE)=J$2,TAB_Offres[[#This Row],[Reference]],""),"")</f>
        <v/>
      </c>
      <c r="O655" t="str">
        <f>IF(Tableau19[[#This Row],[EXPENSES_REF]]="","",MAX(O$1:O654)+1)</f>
        <v/>
      </c>
      <c r="P655" t="str">
        <f t="shared" si="23"/>
        <v/>
      </c>
      <c r="AI655" s="191" t="str">
        <f>IFERROR(_xlfn.SINGLE(
IF(_xlfn.SINGLE(INDEX(TAB_Offres[Ressource 1],ROWS(Params!AI$2:$AI655)))=0,NA(),
INDEX(TAB_Offres[Ressource 1],ROWS(Params!AI$2:$AI655)))),
IFERROR(_xlfn.SINGLE(IF(_xlfn.SINGLE(INDEX(#REF!,ROWS(Params!AI$2:$AI655)-COUNTA(TAB_Offres[Ressource 1])))=0,NA(),
INDEX(#REF!,ROWS(Params!AI$2:$AI655)-COUNTA(TAB_Offres[Ressource 1])))),
IFERROR(_xlfn.SINGLE(IF(_xlfn.SINGLE(INDEX(#REF!,ROWS(Params!AI$2:$AI655)-COUNTA(#REF!)-COUNTA(TAB_Offres[Ressource 1])))=0,NA(),
INDEX(#REF!,ROWS(Params!AI$2:$AI655)-COUNTA(#REF!)-COUNTA(TAB_Offres[Ressource 1])))),""))
)</f>
        <v/>
      </c>
      <c r="AJ655" s="192" t="str">
        <f>IF(TAB_ressource[[#This Row],[Import Ressource]]="","",MAX(AJ$1:AJ654)+1)</f>
        <v/>
      </c>
      <c r="AK655" s="193" t="str">
        <f>IFERROR(INDEX(TAB_ressource[Import Ressource],MATCH(ROW()-ROW($AK$1),TAB_ressource[ID Import ressources],0)),"")</f>
        <v/>
      </c>
      <c r="BD655" t="s">
        <v>2575</v>
      </c>
      <c r="BE655" t="s">
        <v>2576</v>
      </c>
      <c r="BF655" t="s">
        <v>2577</v>
      </c>
      <c r="BG655" t="s">
        <v>2575</v>
      </c>
    </row>
    <row r="656" spans="13:59" x14ac:dyDescent="0.25">
      <c r="M656" t="str">
        <f>_xlfn.IFNA(IF(VLOOKUP(TAB_Offres[[#This Row],[Reference]],TAB_Offres[[Reference]:[Request State]],COLUMNS(TAB_Offres[[Reference]:[Request State]]),FALSE)=D$6,TAB_Offres[[#This Row],[Reference]],""),"")</f>
        <v/>
      </c>
      <c r="N656" t="str">
        <f>_xlfn.IFNA(IF(VLOOKUP(TAB_Offres[[#This Row],[Reference]],TAB_Offres[[Reference]:[Has Expenses?]],COLUMNS(TAB_Offres[[Reference]:[Has Expenses?]]),FALSE)=J$2,TAB_Offres[[#This Row],[Reference]],""),"")</f>
        <v/>
      </c>
      <c r="O656" t="str">
        <f>IF(Tableau19[[#This Row],[EXPENSES_REF]]="","",MAX(O$1:O655)+1)</f>
        <v/>
      </c>
      <c r="P656" t="str">
        <f t="shared" si="23"/>
        <v/>
      </c>
      <c r="AI656" s="191" t="str">
        <f>IFERROR(_xlfn.SINGLE(
IF(_xlfn.SINGLE(INDEX(TAB_Offres[Ressource 1],ROWS(Params!AI$2:$AI656)))=0,NA(),
INDEX(TAB_Offres[Ressource 1],ROWS(Params!AI$2:$AI656)))),
IFERROR(_xlfn.SINGLE(IF(_xlfn.SINGLE(INDEX(#REF!,ROWS(Params!AI$2:$AI656)-COUNTA(TAB_Offres[Ressource 1])))=0,NA(),
INDEX(#REF!,ROWS(Params!AI$2:$AI656)-COUNTA(TAB_Offres[Ressource 1])))),
IFERROR(_xlfn.SINGLE(IF(_xlfn.SINGLE(INDEX(#REF!,ROWS(Params!AI$2:$AI656)-COUNTA(#REF!)-COUNTA(TAB_Offres[Ressource 1])))=0,NA(),
INDEX(#REF!,ROWS(Params!AI$2:$AI656)-COUNTA(#REF!)-COUNTA(TAB_Offres[Ressource 1])))),""))
)</f>
        <v/>
      </c>
      <c r="AJ656" s="192" t="str">
        <f>IF(TAB_ressource[[#This Row],[Import Ressource]]="","",MAX(AJ$1:AJ655)+1)</f>
        <v/>
      </c>
      <c r="AK656" s="193" t="str">
        <f>IFERROR(INDEX(TAB_ressource[Import Ressource],MATCH(ROW()-ROW($AK$1),TAB_ressource[ID Import ressources],0)),"")</f>
        <v/>
      </c>
      <c r="BD656" t="s">
        <v>2578</v>
      </c>
      <c r="BE656" t="s">
        <v>2579</v>
      </c>
      <c r="BF656" t="s">
        <v>2580</v>
      </c>
      <c r="BG656" t="s">
        <v>2578</v>
      </c>
    </row>
    <row r="657" spans="13:59" x14ac:dyDescent="0.25">
      <c r="M657" t="str">
        <f>_xlfn.IFNA(IF(VLOOKUP(TAB_Offres[[#This Row],[Reference]],TAB_Offres[[Reference]:[Request State]],COLUMNS(TAB_Offres[[Reference]:[Request State]]),FALSE)=D$6,TAB_Offres[[#This Row],[Reference]],""),"")</f>
        <v/>
      </c>
      <c r="N657" t="str">
        <f>_xlfn.IFNA(IF(VLOOKUP(TAB_Offres[[#This Row],[Reference]],TAB_Offres[[Reference]:[Has Expenses?]],COLUMNS(TAB_Offres[[Reference]:[Has Expenses?]]),FALSE)=J$2,TAB_Offres[[#This Row],[Reference]],""),"")</f>
        <v/>
      </c>
      <c r="O657" t="str">
        <f>IF(Tableau19[[#This Row],[EXPENSES_REF]]="","",MAX(O$1:O656)+1)</f>
        <v/>
      </c>
      <c r="P657" t="str">
        <f t="shared" si="23"/>
        <v/>
      </c>
      <c r="AI657" s="191" t="str">
        <f>IFERROR(_xlfn.SINGLE(
IF(_xlfn.SINGLE(INDEX(TAB_Offres[Ressource 1],ROWS(Params!AI$2:$AI657)))=0,NA(),
INDEX(TAB_Offres[Ressource 1],ROWS(Params!AI$2:$AI657)))),
IFERROR(_xlfn.SINGLE(IF(_xlfn.SINGLE(INDEX(#REF!,ROWS(Params!AI$2:$AI657)-COUNTA(TAB_Offres[Ressource 1])))=0,NA(),
INDEX(#REF!,ROWS(Params!AI$2:$AI657)-COUNTA(TAB_Offres[Ressource 1])))),
IFERROR(_xlfn.SINGLE(IF(_xlfn.SINGLE(INDEX(#REF!,ROWS(Params!AI$2:$AI657)-COUNTA(#REF!)-COUNTA(TAB_Offres[Ressource 1])))=0,NA(),
INDEX(#REF!,ROWS(Params!AI$2:$AI657)-COUNTA(#REF!)-COUNTA(TAB_Offres[Ressource 1])))),""))
)</f>
        <v/>
      </c>
      <c r="AJ657" s="192" t="str">
        <f>IF(TAB_ressource[[#This Row],[Import Ressource]]="","",MAX(AJ$1:AJ656)+1)</f>
        <v/>
      </c>
      <c r="AK657" s="193" t="str">
        <f>IFERROR(INDEX(TAB_ressource[Import Ressource],MATCH(ROW()-ROW($AK$1),TAB_ressource[ID Import ressources],0)),"")</f>
        <v/>
      </c>
      <c r="BD657" t="s">
        <v>2581</v>
      </c>
      <c r="BE657" t="s">
        <v>2582</v>
      </c>
      <c r="BF657" t="s">
        <v>2583</v>
      </c>
      <c r="BG657" t="s">
        <v>2581</v>
      </c>
    </row>
    <row r="658" spans="13:59" x14ac:dyDescent="0.25">
      <c r="M658" t="str">
        <f>_xlfn.IFNA(IF(VLOOKUP(TAB_Offres[[#This Row],[Reference]],TAB_Offres[[Reference]:[Request State]],COLUMNS(TAB_Offres[[Reference]:[Request State]]),FALSE)=D$6,TAB_Offres[[#This Row],[Reference]],""),"")</f>
        <v/>
      </c>
      <c r="N658" t="str">
        <f>_xlfn.IFNA(IF(VLOOKUP(TAB_Offres[[#This Row],[Reference]],TAB_Offres[[Reference]:[Has Expenses?]],COLUMNS(TAB_Offres[[Reference]:[Has Expenses?]]),FALSE)=J$2,TAB_Offres[[#This Row],[Reference]],""),"")</f>
        <v/>
      </c>
      <c r="O658" t="str">
        <f>IF(Tableau19[[#This Row],[EXPENSES_REF]]="","",MAX(O$1:O657)+1)</f>
        <v/>
      </c>
      <c r="P658" t="str">
        <f t="shared" si="23"/>
        <v/>
      </c>
      <c r="AI658" s="191" t="str">
        <f>IFERROR(_xlfn.SINGLE(
IF(_xlfn.SINGLE(INDEX(TAB_Offres[Ressource 1],ROWS(Params!AI$2:$AI658)))=0,NA(),
INDEX(TAB_Offres[Ressource 1],ROWS(Params!AI$2:$AI658)))),
IFERROR(_xlfn.SINGLE(IF(_xlfn.SINGLE(INDEX(#REF!,ROWS(Params!AI$2:$AI658)-COUNTA(TAB_Offres[Ressource 1])))=0,NA(),
INDEX(#REF!,ROWS(Params!AI$2:$AI658)-COUNTA(TAB_Offres[Ressource 1])))),
IFERROR(_xlfn.SINGLE(IF(_xlfn.SINGLE(INDEX(#REF!,ROWS(Params!AI$2:$AI658)-COUNTA(#REF!)-COUNTA(TAB_Offres[Ressource 1])))=0,NA(),
INDEX(#REF!,ROWS(Params!AI$2:$AI658)-COUNTA(#REF!)-COUNTA(TAB_Offres[Ressource 1])))),""))
)</f>
        <v/>
      </c>
      <c r="AJ658" s="192" t="str">
        <f>IF(TAB_ressource[[#This Row],[Import Ressource]]="","",MAX(AJ$1:AJ657)+1)</f>
        <v/>
      </c>
      <c r="AK658" s="193" t="str">
        <f>IFERROR(INDEX(TAB_ressource[Import Ressource],MATCH(ROW()-ROW($AK$1),TAB_ressource[ID Import ressources],0)),"")</f>
        <v/>
      </c>
      <c r="BD658" t="s">
        <v>2584</v>
      </c>
      <c r="BE658" t="s">
        <v>2585</v>
      </c>
      <c r="BF658" t="s">
        <v>2586</v>
      </c>
      <c r="BG658" t="s">
        <v>2584</v>
      </c>
    </row>
    <row r="659" spans="13:59" x14ac:dyDescent="0.25">
      <c r="M659" t="str">
        <f>_xlfn.IFNA(IF(VLOOKUP(TAB_Offres[[#This Row],[Reference]],TAB_Offres[[Reference]:[Request State]],COLUMNS(TAB_Offres[[Reference]:[Request State]]),FALSE)=D$6,TAB_Offres[[#This Row],[Reference]],""),"")</f>
        <v/>
      </c>
      <c r="N659" t="str">
        <f>_xlfn.IFNA(IF(VLOOKUP(TAB_Offres[[#This Row],[Reference]],TAB_Offres[[Reference]:[Has Expenses?]],COLUMNS(TAB_Offres[[Reference]:[Has Expenses?]]),FALSE)=J$2,TAB_Offres[[#This Row],[Reference]],""),"")</f>
        <v/>
      </c>
      <c r="O659" t="str">
        <f>IF(Tableau19[[#This Row],[EXPENSES_REF]]="","",MAX(O$1:O658)+1)</f>
        <v/>
      </c>
      <c r="P659" t="str">
        <f t="shared" si="23"/>
        <v/>
      </c>
      <c r="AI659" s="191" t="str">
        <f>IFERROR(_xlfn.SINGLE(
IF(_xlfn.SINGLE(INDEX(TAB_Offres[Ressource 1],ROWS(Params!AI$2:$AI659)))=0,NA(),
INDEX(TAB_Offres[Ressource 1],ROWS(Params!AI$2:$AI659)))),
IFERROR(_xlfn.SINGLE(IF(_xlfn.SINGLE(INDEX(#REF!,ROWS(Params!AI$2:$AI659)-COUNTA(TAB_Offres[Ressource 1])))=0,NA(),
INDEX(#REF!,ROWS(Params!AI$2:$AI659)-COUNTA(TAB_Offres[Ressource 1])))),
IFERROR(_xlfn.SINGLE(IF(_xlfn.SINGLE(INDEX(#REF!,ROWS(Params!AI$2:$AI659)-COUNTA(#REF!)-COUNTA(TAB_Offres[Ressource 1])))=0,NA(),
INDEX(#REF!,ROWS(Params!AI$2:$AI659)-COUNTA(#REF!)-COUNTA(TAB_Offres[Ressource 1])))),""))
)</f>
        <v/>
      </c>
      <c r="AJ659" s="192" t="str">
        <f>IF(TAB_ressource[[#This Row],[Import Ressource]]="","",MAX(AJ$1:AJ658)+1)</f>
        <v/>
      </c>
      <c r="AK659" s="193" t="str">
        <f>IFERROR(INDEX(TAB_ressource[Import Ressource],MATCH(ROW()-ROW($AK$1),TAB_ressource[ID Import ressources],0)),"")</f>
        <v/>
      </c>
      <c r="BD659" t="s">
        <v>2587</v>
      </c>
      <c r="BE659" t="s">
        <v>2588</v>
      </c>
      <c r="BF659" t="s">
        <v>2589</v>
      </c>
      <c r="BG659" t="s">
        <v>2587</v>
      </c>
    </row>
    <row r="660" spans="13:59" x14ac:dyDescent="0.25">
      <c r="M660" t="str">
        <f>_xlfn.IFNA(IF(VLOOKUP(TAB_Offres[[#This Row],[Reference]],TAB_Offres[[Reference]:[Request State]],COLUMNS(TAB_Offres[[Reference]:[Request State]]),FALSE)=D$6,TAB_Offres[[#This Row],[Reference]],""),"")</f>
        <v/>
      </c>
      <c r="N660" t="str">
        <f>_xlfn.IFNA(IF(VLOOKUP(TAB_Offres[[#This Row],[Reference]],TAB_Offres[[Reference]:[Has Expenses?]],COLUMNS(TAB_Offres[[Reference]:[Has Expenses?]]),FALSE)=J$2,TAB_Offres[[#This Row],[Reference]],""),"")</f>
        <v/>
      </c>
      <c r="O660" t="str">
        <f>IF(Tableau19[[#This Row],[EXPENSES_REF]]="","",MAX(O$1:O659)+1)</f>
        <v/>
      </c>
      <c r="P660" t="str">
        <f t="shared" si="23"/>
        <v/>
      </c>
      <c r="AI660" s="191" t="str">
        <f>IFERROR(_xlfn.SINGLE(
IF(_xlfn.SINGLE(INDEX(TAB_Offres[Ressource 1],ROWS(Params!AI$2:$AI660)))=0,NA(),
INDEX(TAB_Offres[Ressource 1],ROWS(Params!AI$2:$AI660)))),
IFERROR(_xlfn.SINGLE(IF(_xlfn.SINGLE(INDEX(#REF!,ROWS(Params!AI$2:$AI660)-COUNTA(TAB_Offres[Ressource 1])))=0,NA(),
INDEX(#REF!,ROWS(Params!AI$2:$AI660)-COUNTA(TAB_Offres[Ressource 1])))),
IFERROR(_xlfn.SINGLE(IF(_xlfn.SINGLE(INDEX(#REF!,ROWS(Params!AI$2:$AI660)-COUNTA(#REF!)-COUNTA(TAB_Offres[Ressource 1])))=0,NA(),
INDEX(#REF!,ROWS(Params!AI$2:$AI660)-COUNTA(#REF!)-COUNTA(TAB_Offres[Ressource 1])))),""))
)</f>
        <v/>
      </c>
      <c r="AJ660" s="192" t="str">
        <f>IF(TAB_ressource[[#This Row],[Import Ressource]]="","",MAX(AJ$1:AJ659)+1)</f>
        <v/>
      </c>
      <c r="AK660" s="193" t="str">
        <f>IFERROR(INDEX(TAB_ressource[Import Ressource],MATCH(ROW()-ROW($AK$1),TAB_ressource[ID Import ressources],0)),"")</f>
        <v/>
      </c>
      <c r="BD660" t="s">
        <v>2590</v>
      </c>
      <c r="BE660" t="s">
        <v>2591</v>
      </c>
      <c r="BF660" t="s">
        <v>2592</v>
      </c>
      <c r="BG660" t="s">
        <v>2590</v>
      </c>
    </row>
    <row r="661" spans="13:59" x14ac:dyDescent="0.25">
      <c r="M661" t="str">
        <f>_xlfn.IFNA(IF(VLOOKUP(TAB_Offres[[#This Row],[Reference]],TAB_Offres[[Reference]:[Request State]],COLUMNS(TAB_Offres[[Reference]:[Request State]]),FALSE)=D$6,TAB_Offres[[#This Row],[Reference]],""),"")</f>
        <v/>
      </c>
      <c r="N661" t="str">
        <f>_xlfn.IFNA(IF(VLOOKUP(TAB_Offres[[#This Row],[Reference]],TAB_Offres[[Reference]:[Has Expenses?]],COLUMNS(TAB_Offres[[Reference]:[Has Expenses?]]),FALSE)=J$2,TAB_Offres[[#This Row],[Reference]],""),"")</f>
        <v/>
      </c>
      <c r="O661" t="str">
        <f>IF(Tableau19[[#This Row],[EXPENSES_REF]]="","",MAX(O$1:O660)+1)</f>
        <v/>
      </c>
      <c r="P661" t="str">
        <f t="shared" si="23"/>
        <v/>
      </c>
      <c r="AI661" s="191" t="str">
        <f>IFERROR(_xlfn.SINGLE(
IF(_xlfn.SINGLE(INDEX(TAB_Offres[Ressource 1],ROWS(Params!AI$2:$AI661)))=0,NA(),
INDEX(TAB_Offres[Ressource 1],ROWS(Params!AI$2:$AI661)))),
IFERROR(_xlfn.SINGLE(IF(_xlfn.SINGLE(INDEX(#REF!,ROWS(Params!AI$2:$AI661)-COUNTA(TAB_Offres[Ressource 1])))=0,NA(),
INDEX(#REF!,ROWS(Params!AI$2:$AI661)-COUNTA(TAB_Offres[Ressource 1])))),
IFERROR(_xlfn.SINGLE(IF(_xlfn.SINGLE(INDEX(#REF!,ROWS(Params!AI$2:$AI661)-COUNTA(#REF!)-COUNTA(TAB_Offres[Ressource 1])))=0,NA(),
INDEX(#REF!,ROWS(Params!AI$2:$AI661)-COUNTA(#REF!)-COUNTA(TAB_Offres[Ressource 1])))),""))
)</f>
        <v/>
      </c>
      <c r="AJ661" s="192" t="str">
        <f>IF(TAB_ressource[[#This Row],[Import Ressource]]="","",MAX(AJ$1:AJ660)+1)</f>
        <v/>
      </c>
      <c r="AK661" s="193" t="str">
        <f>IFERROR(INDEX(TAB_ressource[Import Ressource],MATCH(ROW()-ROW($AK$1),TAB_ressource[ID Import ressources],0)),"")</f>
        <v/>
      </c>
      <c r="BD661" t="s">
        <v>2593</v>
      </c>
      <c r="BE661" t="s">
        <v>2594</v>
      </c>
      <c r="BF661" t="s">
        <v>2595</v>
      </c>
      <c r="BG661" t="s">
        <v>2593</v>
      </c>
    </row>
    <row r="662" spans="13:59" x14ac:dyDescent="0.25">
      <c r="M662" t="str">
        <f>_xlfn.IFNA(IF(VLOOKUP(TAB_Offres[[#This Row],[Reference]],TAB_Offres[[Reference]:[Request State]],COLUMNS(TAB_Offres[[Reference]:[Request State]]),FALSE)=D$6,TAB_Offres[[#This Row],[Reference]],""),"")</f>
        <v/>
      </c>
      <c r="N662" t="str">
        <f>_xlfn.IFNA(IF(VLOOKUP(TAB_Offres[[#This Row],[Reference]],TAB_Offres[[Reference]:[Has Expenses?]],COLUMNS(TAB_Offres[[Reference]:[Has Expenses?]]),FALSE)=J$2,TAB_Offres[[#This Row],[Reference]],""),"")</f>
        <v/>
      </c>
      <c r="O662" t="str">
        <f>IF(Tableau19[[#This Row],[EXPENSES_REF]]="","",MAX(O$1:O661)+1)</f>
        <v/>
      </c>
      <c r="P662" t="str">
        <f t="shared" si="23"/>
        <v/>
      </c>
      <c r="AI662" s="191" t="str">
        <f>IFERROR(_xlfn.SINGLE(
IF(_xlfn.SINGLE(INDEX(TAB_Offres[Ressource 1],ROWS(Params!AI$2:$AI662)))=0,NA(),
INDEX(TAB_Offres[Ressource 1],ROWS(Params!AI$2:$AI662)))),
IFERROR(_xlfn.SINGLE(IF(_xlfn.SINGLE(INDEX(#REF!,ROWS(Params!AI$2:$AI662)-COUNTA(TAB_Offres[Ressource 1])))=0,NA(),
INDEX(#REF!,ROWS(Params!AI$2:$AI662)-COUNTA(TAB_Offres[Ressource 1])))),
IFERROR(_xlfn.SINGLE(IF(_xlfn.SINGLE(INDEX(#REF!,ROWS(Params!AI$2:$AI662)-COUNTA(#REF!)-COUNTA(TAB_Offres[Ressource 1])))=0,NA(),
INDEX(#REF!,ROWS(Params!AI$2:$AI662)-COUNTA(#REF!)-COUNTA(TAB_Offres[Ressource 1])))),""))
)</f>
        <v/>
      </c>
      <c r="AJ662" s="192" t="str">
        <f>IF(TAB_ressource[[#This Row],[Import Ressource]]="","",MAX(AJ$1:AJ661)+1)</f>
        <v/>
      </c>
      <c r="AK662" s="193" t="str">
        <f>IFERROR(INDEX(TAB_ressource[Import Ressource],MATCH(ROW()-ROW($AK$1),TAB_ressource[ID Import ressources],0)),"")</f>
        <v/>
      </c>
      <c r="BD662" t="s">
        <v>2596</v>
      </c>
      <c r="BE662" t="s">
        <v>2597</v>
      </c>
      <c r="BF662" t="s">
        <v>2598</v>
      </c>
      <c r="BG662" t="s">
        <v>2596</v>
      </c>
    </row>
    <row r="663" spans="13:59" x14ac:dyDescent="0.25">
      <c r="M663" t="str">
        <f>_xlfn.IFNA(IF(VLOOKUP(TAB_Offres[[#This Row],[Reference]],TAB_Offres[[Reference]:[Request State]],COLUMNS(TAB_Offres[[Reference]:[Request State]]),FALSE)=D$6,TAB_Offres[[#This Row],[Reference]],""),"")</f>
        <v/>
      </c>
      <c r="N663" t="str">
        <f>_xlfn.IFNA(IF(VLOOKUP(TAB_Offres[[#This Row],[Reference]],TAB_Offres[[Reference]:[Has Expenses?]],COLUMNS(TAB_Offres[[Reference]:[Has Expenses?]]),FALSE)=J$2,TAB_Offres[[#This Row],[Reference]],""),"")</f>
        <v/>
      </c>
      <c r="O663" t="str">
        <f>IF(Tableau19[[#This Row],[EXPENSES_REF]]="","",MAX(O$1:O662)+1)</f>
        <v/>
      </c>
      <c r="P663" t="str">
        <f t="shared" si="23"/>
        <v/>
      </c>
      <c r="AI663" s="191" t="str">
        <f>IFERROR(_xlfn.SINGLE(
IF(_xlfn.SINGLE(INDEX(TAB_Offres[Ressource 1],ROWS(Params!AI$2:$AI663)))=0,NA(),
INDEX(TAB_Offres[Ressource 1],ROWS(Params!AI$2:$AI663)))),
IFERROR(_xlfn.SINGLE(IF(_xlfn.SINGLE(INDEX(#REF!,ROWS(Params!AI$2:$AI663)-COUNTA(TAB_Offres[Ressource 1])))=0,NA(),
INDEX(#REF!,ROWS(Params!AI$2:$AI663)-COUNTA(TAB_Offres[Ressource 1])))),
IFERROR(_xlfn.SINGLE(IF(_xlfn.SINGLE(INDEX(#REF!,ROWS(Params!AI$2:$AI663)-COUNTA(#REF!)-COUNTA(TAB_Offres[Ressource 1])))=0,NA(),
INDEX(#REF!,ROWS(Params!AI$2:$AI663)-COUNTA(#REF!)-COUNTA(TAB_Offres[Ressource 1])))),""))
)</f>
        <v/>
      </c>
      <c r="AJ663" s="192" t="str">
        <f>IF(TAB_ressource[[#This Row],[Import Ressource]]="","",MAX(AJ$1:AJ662)+1)</f>
        <v/>
      </c>
      <c r="AK663" s="193" t="str">
        <f>IFERROR(INDEX(TAB_ressource[Import Ressource],MATCH(ROW()-ROW($AK$1),TAB_ressource[ID Import ressources],0)),"")</f>
        <v/>
      </c>
      <c r="BD663" t="s">
        <v>2599</v>
      </c>
      <c r="BE663" t="s">
        <v>2600</v>
      </c>
      <c r="BF663" t="s">
        <v>2601</v>
      </c>
      <c r="BG663" t="s">
        <v>2599</v>
      </c>
    </row>
    <row r="664" spans="13:59" x14ac:dyDescent="0.25">
      <c r="M664" t="str">
        <f>_xlfn.IFNA(IF(VLOOKUP(TAB_Offres[[#This Row],[Reference]],TAB_Offres[[Reference]:[Request State]],COLUMNS(TAB_Offres[[Reference]:[Request State]]),FALSE)=D$6,TAB_Offres[[#This Row],[Reference]],""),"")</f>
        <v/>
      </c>
      <c r="N664" t="str">
        <f>_xlfn.IFNA(IF(VLOOKUP(TAB_Offres[[#This Row],[Reference]],TAB_Offres[[Reference]:[Has Expenses?]],COLUMNS(TAB_Offres[[Reference]:[Has Expenses?]]),FALSE)=J$2,TAB_Offres[[#This Row],[Reference]],""),"")</f>
        <v/>
      </c>
      <c r="O664" t="str">
        <f>IF(Tableau19[[#This Row],[EXPENSES_REF]]="","",MAX(O$1:O663)+1)</f>
        <v/>
      </c>
      <c r="P664" t="str">
        <f t="shared" si="23"/>
        <v/>
      </c>
      <c r="AI664" s="191" t="str">
        <f>IFERROR(_xlfn.SINGLE(
IF(_xlfn.SINGLE(INDEX(TAB_Offres[Ressource 1],ROWS(Params!AI$2:$AI664)))=0,NA(),
INDEX(TAB_Offres[Ressource 1],ROWS(Params!AI$2:$AI664)))),
IFERROR(_xlfn.SINGLE(IF(_xlfn.SINGLE(INDEX(#REF!,ROWS(Params!AI$2:$AI664)-COUNTA(TAB_Offres[Ressource 1])))=0,NA(),
INDEX(#REF!,ROWS(Params!AI$2:$AI664)-COUNTA(TAB_Offres[Ressource 1])))),
IFERROR(_xlfn.SINGLE(IF(_xlfn.SINGLE(INDEX(#REF!,ROWS(Params!AI$2:$AI664)-COUNTA(#REF!)-COUNTA(TAB_Offres[Ressource 1])))=0,NA(),
INDEX(#REF!,ROWS(Params!AI$2:$AI664)-COUNTA(#REF!)-COUNTA(TAB_Offres[Ressource 1])))),""))
)</f>
        <v/>
      </c>
      <c r="AJ664" s="192" t="str">
        <f>IF(TAB_ressource[[#This Row],[Import Ressource]]="","",MAX(AJ$1:AJ663)+1)</f>
        <v/>
      </c>
      <c r="AK664" s="193" t="str">
        <f>IFERROR(INDEX(TAB_ressource[Import Ressource],MATCH(ROW()-ROW($AK$1),TAB_ressource[ID Import ressources],0)),"")</f>
        <v/>
      </c>
      <c r="BD664" t="s">
        <v>2602</v>
      </c>
      <c r="BE664" t="s">
        <v>2603</v>
      </c>
      <c r="BF664" t="s">
        <v>2604</v>
      </c>
      <c r="BG664" t="s">
        <v>2602</v>
      </c>
    </row>
    <row r="665" spans="13:59" x14ac:dyDescent="0.25">
      <c r="M665" t="str">
        <f>_xlfn.IFNA(IF(VLOOKUP(TAB_Offres[[#This Row],[Reference]],TAB_Offres[[Reference]:[Request State]],COLUMNS(TAB_Offres[[Reference]:[Request State]]),FALSE)=D$6,TAB_Offres[[#This Row],[Reference]],""),"")</f>
        <v/>
      </c>
      <c r="N665" t="str">
        <f>_xlfn.IFNA(IF(VLOOKUP(TAB_Offres[[#This Row],[Reference]],TAB_Offres[[Reference]:[Has Expenses?]],COLUMNS(TAB_Offres[[Reference]:[Has Expenses?]]),FALSE)=J$2,TAB_Offres[[#This Row],[Reference]],""),"")</f>
        <v/>
      </c>
      <c r="O665" t="str">
        <f>IF(Tableau19[[#This Row],[EXPENSES_REF]]="","",MAX(O$1:O664)+1)</f>
        <v/>
      </c>
      <c r="P665" t="str">
        <f t="shared" si="23"/>
        <v/>
      </c>
      <c r="AI665" s="191" t="str">
        <f>IFERROR(_xlfn.SINGLE(
IF(_xlfn.SINGLE(INDEX(TAB_Offres[Ressource 1],ROWS(Params!AI$2:$AI665)))=0,NA(),
INDEX(TAB_Offres[Ressource 1],ROWS(Params!AI$2:$AI665)))),
IFERROR(_xlfn.SINGLE(IF(_xlfn.SINGLE(INDEX(#REF!,ROWS(Params!AI$2:$AI665)-COUNTA(TAB_Offres[Ressource 1])))=0,NA(),
INDEX(#REF!,ROWS(Params!AI$2:$AI665)-COUNTA(TAB_Offres[Ressource 1])))),
IFERROR(_xlfn.SINGLE(IF(_xlfn.SINGLE(INDEX(#REF!,ROWS(Params!AI$2:$AI665)-COUNTA(#REF!)-COUNTA(TAB_Offres[Ressource 1])))=0,NA(),
INDEX(#REF!,ROWS(Params!AI$2:$AI665)-COUNTA(#REF!)-COUNTA(TAB_Offres[Ressource 1])))),""))
)</f>
        <v/>
      </c>
      <c r="AJ665" s="192" t="str">
        <f>IF(TAB_ressource[[#This Row],[Import Ressource]]="","",MAX(AJ$1:AJ664)+1)</f>
        <v/>
      </c>
      <c r="AK665" s="193" t="str">
        <f>IFERROR(INDEX(TAB_ressource[Import Ressource],MATCH(ROW()-ROW($AK$1),TAB_ressource[ID Import ressources],0)),"")</f>
        <v/>
      </c>
      <c r="BD665" t="s">
        <v>2605</v>
      </c>
      <c r="BE665" t="s">
        <v>2606</v>
      </c>
      <c r="BF665" t="s">
        <v>2607</v>
      </c>
      <c r="BG665" t="s">
        <v>2605</v>
      </c>
    </row>
    <row r="666" spans="13:59" x14ac:dyDescent="0.25">
      <c r="M666" t="str">
        <f>_xlfn.IFNA(IF(VLOOKUP(TAB_Offres[[#This Row],[Reference]],TAB_Offres[[Reference]:[Request State]],COLUMNS(TAB_Offres[[Reference]:[Request State]]),FALSE)=D$6,TAB_Offres[[#This Row],[Reference]],""),"")</f>
        <v/>
      </c>
      <c r="N666" t="str">
        <f>_xlfn.IFNA(IF(VLOOKUP(TAB_Offres[[#This Row],[Reference]],TAB_Offres[[Reference]:[Has Expenses?]],COLUMNS(TAB_Offres[[Reference]:[Has Expenses?]]),FALSE)=J$2,TAB_Offres[[#This Row],[Reference]],""),"")</f>
        <v/>
      </c>
      <c r="O666" t="str">
        <f>IF(Tableau19[[#This Row],[EXPENSES_REF]]="","",MAX(O$1:O665)+1)</f>
        <v/>
      </c>
      <c r="P666" t="str">
        <f t="shared" si="23"/>
        <v/>
      </c>
      <c r="AI666" s="191" t="str">
        <f>IFERROR(_xlfn.SINGLE(
IF(_xlfn.SINGLE(INDEX(TAB_Offres[Ressource 1],ROWS(Params!AI$2:$AI666)))=0,NA(),
INDEX(TAB_Offres[Ressource 1],ROWS(Params!AI$2:$AI666)))),
IFERROR(_xlfn.SINGLE(IF(_xlfn.SINGLE(INDEX(#REF!,ROWS(Params!AI$2:$AI666)-COUNTA(TAB_Offres[Ressource 1])))=0,NA(),
INDEX(#REF!,ROWS(Params!AI$2:$AI666)-COUNTA(TAB_Offres[Ressource 1])))),
IFERROR(_xlfn.SINGLE(IF(_xlfn.SINGLE(INDEX(#REF!,ROWS(Params!AI$2:$AI666)-COUNTA(#REF!)-COUNTA(TAB_Offres[Ressource 1])))=0,NA(),
INDEX(#REF!,ROWS(Params!AI$2:$AI666)-COUNTA(#REF!)-COUNTA(TAB_Offres[Ressource 1])))),""))
)</f>
        <v/>
      </c>
      <c r="AJ666" s="192" t="str">
        <f>IF(TAB_ressource[[#This Row],[Import Ressource]]="","",MAX(AJ$1:AJ665)+1)</f>
        <v/>
      </c>
      <c r="AK666" s="193" t="str">
        <f>IFERROR(INDEX(TAB_ressource[Import Ressource],MATCH(ROW()-ROW($AK$1),TAB_ressource[ID Import ressources],0)),"")</f>
        <v/>
      </c>
      <c r="BD666" t="s">
        <v>2608</v>
      </c>
      <c r="BE666" t="s">
        <v>2609</v>
      </c>
      <c r="BF666" t="s">
        <v>2610</v>
      </c>
      <c r="BG666" t="s">
        <v>2608</v>
      </c>
    </row>
    <row r="667" spans="13:59" x14ac:dyDescent="0.25">
      <c r="M667" t="str">
        <f>_xlfn.IFNA(IF(VLOOKUP(TAB_Offres[[#This Row],[Reference]],TAB_Offres[[Reference]:[Request State]],COLUMNS(TAB_Offres[[Reference]:[Request State]]),FALSE)=D$6,TAB_Offres[[#This Row],[Reference]],""),"")</f>
        <v/>
      </c>
      <c r="N667" t="str">
        <f>_xlfn.IFNA(IF(VLOOKUP(TAB_Offres[[#This Row],[Reference]],TAB_Offres[[Reference]:[Has Expenses?]],COLUMNS(TAB_Offres[[Reference]:[Has Expenses?]]),FALSE)=J$2,TAB_Offres[[#This Row],[Reference]],""),"")</f>
        <v/>
      </c>
      <c r="O667" t="str">
        <f>IF(Tableau19[[#This Row],[EXPENSES_REF]]="","",MAX(O$1:O666)+1)</f>
        <v/>
      </c>
      <c r="P667" t="str">
        <f t="shared" si="23"/>
        <v/>
      </c>
      <c r="AI667" s="191" t="str">
        <f>IFERROR(_xlfn.SINGLE(
IF(_xlfn.SINGLE(INDEX(TAB_Offres[Ressource 1],ROWS(Params!AI$2:$AI667)))=0,NA(),
INDEX(TAB_Offres[Ressource 1],ROWS(Params!AI$2:$AI667)))),
IFERROR(_xlfn.SINGLE(IF(_xlfn.SINGLE(INDEX(#REF!,ROWS(Params!AI$2:$AI667)-COUNTA(TAB_Offres[Ressource 1])))=0,NA(),
INDEX(#REF!,ROWS(Params!AI$2:$AI667)-COUNTA(TAB_Offres[Ressource 1])))),
IFERROR(_xlfn.SINGLE(IF(_xlfn.SINGLE(INDEX(#REF!,ROWS(Params!AI$2:$AI667)-COUNTA(#REF!)-COUNTA(TAB_Offres[Ressource 1])))=0,NA(),
INDEX(#REF!,ROWS(Params!AI$2:$AI667)-COUNTA(#REF!)-COUNTA(TAB_Offres[Ressource 1])))),""))
)</f>
        <v/>
      </c>
      <c r="AJ667" s="192" t="str">
        <f>IF(TAB_ressource[[#This Row],[Import Ressource]]="","",MAX(AJ$1:AJ666)+1)</f>
        <v/>
      </c>
      <c r="AK667" s="193" t="str">
        <f>IFERROR(INDEX(TAB_ressource[Import Ressource],MATCH(ROW()-ROW($AK$1),TAB_ressource[ID Import ressources],0)),"")</f>
        <v/>
      </c>
      <c r="BD667" t="s">
        <v>2611</v>
      </c>
      <c r="BE667" t="s">
        <v>2612</v>
      </c>
      <c r="BF667" t="s">
        <v>2613</v>
      </c>
      <c r="BG667" t="s">
        <v>2611</v>
      </c>
    </row>
    <row r="668" spans="13:59" x14ac:dyDescent="0.25">
      <c r="M668" t="str">
        <f>_xlfn.IFNA(IF(VLOOKUP(TAB_Offres[[#This Row],[Reference]],TAB_Offres[[Reference]:[Request State]],COLUMNS(TAB_Offres[[Reference]:[Request State]]),FALSE)=D$6,TAB_Offres[[#This Row],[Reference]],""),"")</f>
        <v/>
      </c>
      <c r="N668" t="str">
        <f>_xlfn.IFNA(IF(VLOOKUP(TAB_Offres[[#This Row],[Reference]],TAB_Offres[[Reference]:[Has Expenses?]],COLUMNS(TAB_Offres[[Reference]:[Has Expenses?]]),FALSE)=J$2,TAB_Offres[[#This Row],[Reference]],""),"")</f>
        <v/>
      </c>
      <c r="O668" t="str">
        <f>IF(Tableau19[[#This Row],[EXPENSES_REF]]="","",MAX(O$1:O667)+1)</f>
        <v/>
      </c>
      <c r="P668" t="str">
        <f t="shared" si="23"/>
        <v/>
      </c>
      <c r="AI668" s="191" t="str">
        <f>IFERROR(_xlfn.SINGLE(
IF(_xlfn.SINGLE(INDEX(TAB_Offres[Ressource 1],ROWS(Params!AI$2:$AI668)))=0,NA(),
INDEX(TAB_Offres[Ressource 1],ROWS(Params!AI$2:$AI668)))),
IFERROR(_xlfn.SINGLE(IF(_xlfn.SINGLE(INDEX(#REF!,ROWS(Params!AI$2:$AI668)-COUNTA(TAB_Offres[Ressource 1])))=0,NA(),
INDEX(#REF!,ROWS(Params!AI$2:$AI668)-COUNTA(TAB_Offres[Ressource 1])))),
IFERROR(_xlfn.SINGLE(IF(_xlfn.SINGLE(INDEX(#REF!,ROWS(Params!AI$2:$AI668)-COUNTA(#REF!)-COUNTA(TAB_Offres[Ressource 1])))=0,NA(),
INDEX(#REF!,ROWS(Params!AI$2:$AI668)-COUNTA(#REF!)-COUNTA(TAB_Offres[Ressource 1])))),""))
)</f>
        <v/>
      </c>
      <c r="AJ668" s="192" t="str">
        <f>IF(TAB_ressource[[#This Row],[Import Ressource]]="","",MAX(AJ$1:AJ667)+1)</f>
        <v/>
      </c>
      <c r="AK668" s="193" t="str">
        <f>IFERROR(INDEX(TAB_ressource[Import Ressource],MATCH(ROW()-ROW($AK$1),TAB_ressource[ID Import ressources],0)),"")</f>
        <v/>
      </c>
      <c r="BD668" t="s">
        <v>2614</v>
      </c>
      <c r="BE668" t="s">
        <v>2615</v>
      </c>
      <c r="BF668" t="s">
        <v>2616</v>
      </c>
      <c r="BG668" t="s">
        <v>2614</v>
      </c>
    </row>
    <row r="669" spans="13:59" x14ac:dyDescent="0.25">
      <c r="M669" t="str">
        <f>_xlfn.IFNA(IF(VLOOKUP(TAB_Offres[[#This Row],[Reference]],TAB_Offres[[Reference]:[Request State]],COLUMNS(TAB_Offres[[Reference]:[Request State]]),FALSE)=D$6,TAB_Offres[[#This Row],[Reference]],""),"")</f>
        <v/>
      </c>
      <c r="N669" t="str">
        <f>_xlfn.IFNA(IF(VLOOKUP(TAB_Offres[[#This Row],[Reference]],TAB_Offres[[Reference]:[Has Expenses?]],COLUMNS(TAB_Offres[[Reference]:[Has Expenses?]]),FALSE)=J$2,TAB_Offres[[#This Row],[Reference]],""),"")</f>
        <v/>
      </c>
      <c r="O669" t="str">
        <f>IF(Tableau19[[#This Row],[EXPENSES_REF]]="","",MAX(O$1:O668)+1)</f>
        <v/>
      </c>
      <c r="P669" t="str">
        <f t="shared" si="23"/>
        <v/>
      </c>
      <c r="AI669" s="191" t="str">
        <f>IFERROR(_xlfn.SINGLE(
IF(_xlfn.SINGLE(INDEX(TAB_Offres[Ressource 1],ROWS(Params!AI$2:$AI669)))=0,NA(),
INDEX(TAB_Offres[Ressource 1],ROWS(Params!AI$2:$AI669)))),
IFERROR(_xlfn.SINGLE(IF(_xlfn.SINGLE(INDEX(#REF!,ROWS(Params!AI$2:$AI669)-COUNTA(TAB_Offres[Ressource 1])))=0,NA(),
INDEX(#REF!,ROWS(Params!AI$2:$AI669)-COUNTA(TAB_Offres[Ressource 1])))),
IFERROR(_xlfn.SINGLE(IF(_xlfn.SINGLE(INDEX(#REF!,ROWS(Params!AI$2:$AI669)-COUNTA(#REF!)-COUNTA(TAB_Offres[Ressource 1])))=0,NA(),
INDEX(#REF!,ROWS(Params!AI$2:$AI669)-COUNTA(#REF!)-COUNTA(TAB_Offres[Ressource 1])))),""))
)</f>
        <v/>
      </c>
      <c r="AJ669" s="192" t="str">
        <f>IF(TAB_ressource[[#This Row],[Import Ressource]]="","",MAX(AJ$1:AJ668)+1)</f>
        <v/>
      </c>
      <c r="AK669" s="193" t="str">
        <f>IFERROR(INDEX(TAB_ressource[Import Ressource],MATCH(ROW()-ROW($AK$1),TAB_ressource[ID Import ressources],0)),"")</f>
        <v/>
      </c>
      <c r="BD669" t="s">
        <v>2617</v>
      </c>
      <c r="BE669" t="s">
        <v>2618</v>
      </c>
      <c r="BF669" t="s">
        <v>2619</v>
      </c>
      <c r="BG669" t="s">
        <v>2617</v>
      </c>
    </row>
    <row r="670" spans="13:59" x14ac:dyDescent="0.25">
      <c r="M670" t="str">
        <f>_xlfn.IFNA(IF(VLOOKUP(TAB_Offres[[#This Row],[Reference]],TAB_Offres[[Reference]:[Request State]],COLUMNS(TAB_Offres[[Reference]:[Request State]]),FALSE)=D$6,TAB_Offres[[#This Row],[Reference]],""),"")</f>
        <v/>
      </c>
      <c r="N670" t="str">
        <f>_xlfn.IFNA(IF(VLOOKUP(TAB_Offres[[#This Row],[Reference]],TAB_Offres[[Reference]:[Has Expenses?]],COLUMNS(TAB_Offres[[Reference]:[Has Expenses?]]),FALSE)=J$2,TAB_Offres[[#This Row],[Reference]],""),"")</f>
        <v/>
      </c>
      <c r="O670" t="str">
        <f>IF(Tableau19[[#This Row],[EXPENSES_REF]]="","",MAX(O$1:O669)+1)</f>
        <v/>
      </c>
      <c r="P670" t="str">
        <f t="shared" si="23"/>
        <v/>
      </c>
      <c r="AI670" s="191" t="str">
        <f>IFERROR(_xlfn.SINGLE(
IF(_xlfn.SINGLE(INDEX(TAB_Offres[Ressource 1],ROWS(Params!AI$2:$AI670)))=0,NA(),
INDEX(TAB_Offres[Ressource 1],ROWS(Params!AI$2:$AI670)))),
IFERROR(_xlfn.SINGLE(IF(_xlfn.SINGLE(INDEX(#REF!,ROWS(Params!AI$2:$AI670)-COUNTA(TAB_Offres[Ressource 1])))=0,NA(),
INDEX(#REF!,ROWS(Params!AI$2:$AI670)-COUNTA(TAB_Offres[Ressource 1])))),
IFERROR(_xlfn.SINGLE(IF(_xlfn.SINGLE(INDEX(#REF!,ROWS(Params!AI$2:$AI670)-COUNTA(#REF!)-COUNTA(TAB_Offres[Ressource 1])))=0,NA(),
INDEX(#REF!,ROWS(Params!AI$2:$AI670)-COUNTA(#REF!)-COUNTA(TAB_Offres[Ressource 1])))),""))
)</f>
        <v/>
      </c>
      <c r="AJ670" s="192" t="str">
        <f>IF(TAB_ressource[[#This Row],[Import Ressource]]="","",MAX(AJ$1:AJ669)+1)</f>
        <v/>
      </c>
      <c r="AK670" s="193" t="str">
        <f>IFERROR(INDEX(TAB_ressource[Import Ressource],MATCH(ROW()-ROW($AK$1),TAB_ressource[ID Import ressources],0)),"")</f>
        <v/>
      </c>
      <c r="BD670" t="s">
        <v>2620</v>
      </c>
      <c r="BE670" t="s">
        <v>2621</v>
      </c>
      <c r="BF670" t="s">
        <v>2622</v>
      </c>
      <c r="BG670" t="s">
        <v>2620</v>
      </c>
    </row>
    <row r="671" spans="13:59" x14ac:dyDescent="0.25">
      <c r="M671" t="str">
        <f>_xlfn.IFNA(IF(VLOOKUP(TAB_Offres[[#This Row],[Reference]],TAB_Offres[[Reference]:[Request State]],COLUMNS(TAB_Offres[[Reference]:[Request State]]),FALSE)=D$6,TAB_Offres[[#This Row],[Reference]],""),"")</f>
        <v/>
      </c>
      <c r="N671" t="str">
        <f>_xlfn.IFNA(IF(VLOOKUP(TAB_Offres[[#This Row],[Reference]],TAB_Offres[[Reference]:[Has Expenses?]],COLUMNS(TAB_Offres[[Reference]:[Has Expenses?]]),FALSE)=J$2,TAB_Offres[[#This Row],[Reference]],""),"")</f>
        <v/>
      </c>
      <c r="O671" t="str">
        <f>IF(Tableau19[[#This Row],[EXPENSES_REF]]="","",MAX(O$1:O670)+1)</f>
        <v/>
      </c>
      <c r="P671" t="str">
        <f t="shared" si="23"/>
        <v/>
      </c>
      <c r="AI671" s="191" t="str">
        <f>IFERROR(_xlfn.SINGLE(
IF(_xlfn.SINGLE(INDEX(TAB_Offres[Ressource 1],ROWS(Params!AI$2:$AI671)))=0,NA(),
INDEX(TAB_Offres[Ressource 1],ROWS(Params!AI$2:$AI671)))),
IFERROR(_xlfn.SINGLE(IF(_xlfn.SINGLE(INDEX(#REF!,ROWS(Params!AI$2:$AI671)-COUNTA(TAB_Offres[Ressource 1])))=0,NA(),
INDEX(#REF!,ROWS(Params!AI$2:$AI671)-COUNTA(TAB_Offres[Ressource 1])))),
IFERROR(_xlfn.SINGLE(IF(_xlfn.SINGLE(INDEX(#REF!,ROWS(Params!AI$2:$AI671)-COUNTA(#REF!)-COUNTA(TAB_Offres[Ressource 1])))=0,NA(),
INDEX(#REF!,ROWS(Params!AI$2:$AI671)-COUNTA(#REF!)-COUNTA(TAB_Offres[Ressource 1])))),""))
)</f>
        <v/>
      </c>
      <c r="AJ671" s="192" t="str">
        <f>IF(TAB_ressource[[#This Row],[Import Ressource]]="","",MAX(AJ$1:AJ670)+1)</f>
        <v/>
      </c>
      <c r="AK671" s="193" t="str">
        <f>IFERROR(INDEX(TAB_ressource[Import Ressource],MATCH(ROW()-ROW($AK$1),TAB_ressource[ID Import ressources],0)),"")</f>
        <v/>
      </c>
      <c r="BD671" t="s">
        <v>2623</v>
      </c>
      <c r="BE671" t="s">
        <v>2624</v>
      </c>
      <c r="BF671" t="s">
        <v>2625</v>
      </c>
      <c r="BG671" t="s">
        <v>2623</v>
      </c>
    </row>
    <row r="672" spans="13:59" x14ac:dyDescent="0.25">
      <c r="M672" t="str">
        <f>_xlfn.IFNA(IF(VLOOKUP(TAB_Offres[[#This Row],[Reference]],TAB_Offres[[Reference]:[Request State]],COLUMNS(TAB_Offres[[Reference]:[Request State]]),FALSE)=D$6,TAB_Offres[[#This Row],[Reference]],""),"")</f>
        <v/>
      </c>
      <c r="N672" t="str">
        <f>_xlfn.IFNA(IF(VLOOKUP(TAB_Offres[[#This Row],[Reference]],TAB_Offres[[Reference]:[Has Expenses?]],COLUMNS(TAB_Offres[[Reference]:[Has Expenses?]]),FALSE)=J$2,TAB_Offres[[#This Row],[Reference]],""),"")</f>
        <v/>
      </c>
      <c r="O672" t="str">
        <f>IF(Tableau19[[#This Row],[EXPENSES_REF]]="","",MAX(O$1:O671)+1)</f>
        <v/>
      </c>
      <c r="P672" t="str">
        <f t="shared" si="23"/>
        <v/>
      </c>
      <c r="AI672" s="191" t="str">
        <f>IFERROR(_xlfn.SINGLE(
IF(_xlfn.SINGLE(INDEX(TAB_Offres[Ressource 1],ROWS(Params!AI$2:$AI672)))=0,NA(),
INDEX(TAB_Offres[Ressource 1],ROWS(Params!AI$2:$AI672)))),
IFERROR(_xlfn.SINGLE(IF(_xlfn.SINGLE(INDEX(#REF!,ROWS(Params!AI$2:$AI672)-COUNTA(TAB_Offres[Ressource 1])))=0,NA(),
INDEX(#REF!,ROWS(Params!AI$2:$AI672)-COUNTA(TAB_Offres[Ressource 1])))),
IFERROR(_xlfn.SINGLE(IF(_xlfn.SINGLE(INDEX(#REF!,ROWS(Params!AI$2:$AI672)-COUNTA(#REF!)-COUNTA(TAB_Offres[Ressource 1])))=0,NA(),
INDEX(#REF!,ROWS(Params!AI$2:$AI672)-COUNTA(#REF!)-COUNTA(TAB_Offres[Ressource 1])))),""))
)</f>
        <v/>
      </c>
      <c r="AJ672" s="192" t="str">
        <f>IF(TAB_ressource[[#This Row],[Import Ressource]]="","",MAX(AJ$1:AJ671)+1)</f>
        <v/>
      </c>
      <c r="AK672" s="193" t="str">
        <f>IFERROR(INDEX(TAB_ressource[Import Ressource],MATCH(ROW()-ROW($AK$1),TAB_ressource[ID Import ressources],0)),"")</f>
        <v/>
      </c>
      <c r="BD672" t="s">
        <v>2626</v>
      </c>
      <c r="BE672" t="s">
        <v>2627</v>
      </c>
      <c r="BF672" t="s">
        <v>2628</v>
      </c>
      <c r="BG672" t="s">
        <v>2626</v>
      </c>
    </row>
    <row r="673" spans="13:59" x14ac:dyDescent="0.25">
      <c r="M673" t="str">
        <f>_xlfn.IFNA(IF(VLOOKUP(TAB_Offres[[#This Row],[Reference]],TAB_Offres[[Reference]:[Request State]],COLUMNS(TAB_Offres[[Reference]:[Request State]]),FALSE)=D$6,TAB_Offres[[#This Row],[Reference]],""),"")</f>
        <v/>
      </c>
      <c r="N673" t="str">
        <f>_xlfn.IFNA(IF(VLOOKUP(TAB_Offres[[#This Row],[Reference]],TAB_Offres[[Reference]:[Has Expenses?]],COLUMNS(TAB_Offres[[Reference]:[Has Expenses?]]),FALSE)=J$2,TAB_Offres[[#This Row],[Reference]],""),"")</f>
        <v/>
      </c>
      <c r="O673" t="str">
        <f>IF(Tableau19[[#This Row],[EXPENSES_REF]]="","",MAX(O$1:O672)+1)</f>
        <v/>
      </c>
      <c r="P673" t="str">
        <f t="shared" si="23"/>
        <v/>
      </c>
      <c r="AI673" s="191" t="str">
        <f>IFERROR(_xlfn.SINGLE(
IF(_xlfn.SINGLE(INDEX(TAB_Offres[Ressource 1],ROWS(Params!AI$2:$AI673)))=0,NA(),
INDEX(TAB_Offres[Ressource 1],ROWS(Params!AI$2:$AI673)))),
IFERROR(_xlfn.SINGLE(IF(_xlfn.SINGLE(INDEX(#REF!,ROWS(Params!AI$2:$AI673)-COUNTA(TAB_Offres[Ressource 1])))=0,NA(),
INDEX(#REF!,ROWS(Params!AI$2:$AI673)-COUNTA(TAB_Offres[Ressource 1])))),
IFERROR(_xlfn.SINGLE(IF(_xlfn.SINGLE(INDEX(#REF!,ROWS(Params!AI$2:$AI673)-COUNTA(#REF!)-COUNTA(TAB_Offres[Ressource 1])))=0,NA(),
INDEX(#REF!,ROWS(Params!AI$2:$AI673)-COUNTA(#REF!)-COUNTA(TAB_Offres[Ressource 1])))),""))
)</f>
        <v/>
      </c>
      <c r="AJ673" s="192" t="str">
        <f>IF(TAB_ressource[[#This Row],[Import Ressource]]="","",MAX(AJ$1:AJ672)+1)</f>
        <v/>
      </c>
      <c r="AK673" s="193" t="str">
        <f>IFERROR(INDEX(TAB_ressource[Import Ressource],MATCH(ROW()-ROW($AK$1),TAB_ressource[ID Import ressources],0)),"")</f>
        <v/>
      </c>
      <c r="BD673" t="s">
        <v>2629</v>
      </c>
      <c r="BE673" t="s">
        <v>2630</v>
      </c>
      <c r="BF673" t="s">
        <v>2631</v>
      </c>
      <c r="BG673" t="s">
        <v>2629</v>
      </c>
    </row>
    <row r="674" spans="13:59" x14ac:dyDescent="0.25">
      <c r="M674" t="str">
        <f>_xlfn.IFNA(IF(VLOOKUP(TAB_Offres[[#This Row],[Reference]],TAB_Offres[[Reference]:[Request State]],COLUMNS(TAB_Offres[[Reference]:[Request State]]),FALSE)=D$6,TAB_Offres[[#This Row],[Reference]],""),"")</f>
        <v/>
      </c>
      <c r="N674" t="str">
        <f>_xlfn.IFNA(IF(VLOOKUP(TAB_Offres[[#This Row],[Reference]],TAB_Offres[[Reference]:[Has Expenses?]],COLUMNS(TAB_Offres[[Reference]:[Has Expenses?]]),FALSE)=J$2,TAB_Offres[[#This Row],[Reference]],""),"")</f>
        <v/>
      </c>
      <c r="O674" t="str">
        <f>IF(Tableau19[[#This Row],[EXPENSES_REF]]="","",MAX(O$1:O673)+1)</f>
        <v/>
      </c>
      <c r="P674" t="str">
        <f t="shared" si="23"/>
        <v/>
      </c>
      <c r="AI674" s="191" t="str">
        <f>IFERROR(_xlfn.SINGLE(
IF(_xlfn.SINGLE(INDEX(TAB_Offres[Ressource 1],ROWS(Params!AI$2:$AI674)))=0,NA(),
INDEX(TAB_Offres[Ressource 1],ROWS(Params!AI$2:$AI674)))),
IFERROR(_xlfn.SINGLE(IF(_xlfn.SINGLE(INDEX(#REF!,ROWS(Params!AI$2:$AI674)-COUNTA(TAB_Offres[Ressource 1])))=0,NA(),
INDEX(#REF!,ROWS(Params!AI$2:$AI674)-COUNTA(TAB_Offres[Ressource 1])))),
IFERROR(_xlfn.SINGLE(IF(_xlfn.SINGLE(INDEX(#REF!,ROWS(Params!AI$2:$AI674)-COUNTA(#REF!)-COUNTA(TAB_Offres[Ressource 1])))=0,NA(),
INDEX(#REF!,ROWS(Params!AI$2:$AI674)-COUNTA(#REF!)-COUNTA(TAB_Offres[Ressource 1])))),""))
)</f>
        <v/>
      </c>
      <c r="AJ674" s="192" t="str">
        <f>IF(TAB_ressource[[#This Row],[Import Ressource]]="","",MAX(AJ$1:AJ673)+1)</f>
        <v/>
      </c>
      <c r="AK674" s="193" t="str">
        <f>IFERROR(INDEX(TAB_ressource[Import Ressource],MATCH(ROW()-ROW($AK$1),TAB_ressource[ID Import ressources],0)),"")</f>
        <v/>
      </c>
      <c r="BD674" t="s">
        <v>2632</v>
      </c>
      <c r="BE674" t="s">
        <v>2633</v>
      </c>
      <c r="BF674" t="s">
        <v>2634</v>
      </c>
      <c r="BG674" t="s">
        <v>2632</v>
      </c>
    </row>
    <row r="675" spans="13:59" x14ac:dyDescent="0.25">
      <c r="M675" t="str">
        <f>_xlfn.IFNA(IF(VLOOKUP(TAB_Offres[[#This Row],[Reference]],TAB_Offres[[Reference]:[Request State]],COLUMNS(TAB_Offres[[Reference]:[Request State]]),FALSE)=D$6,TAB_Offres[[#This Row],[Reference]],""),"")</f>
        <v/>
      </c>
      <c r="N675" t="str">
        <f>_xlfn.IFNA(IF(VLOOKUP(TAB_Offres[[#This Row],[Reference]],TAB_Offres[[Reference]:[Has Expenses?]],COLUMNS(TAB_Offres[[Reference]:[Has Expenses?]]),FALSE)=J$2,TAB_Offres[[#This Row],[Reference]],""),"")</f>
        <v/>
      </c>
      <c r="O675" t="str">
        <f>IF(Tableau19[[#This Row],[EXPENSES_REF]]="","",MAX(O$1:O674)+1)</f>
        <v/>
      </c>
      <c r="P675" t="str">
        <f t="shared" si="23"/>
        <v/>
      </c>
      <c r="AI675" s="191" t="str">
        <f>IFERROR(_xlfn.SINGLE(
IF(_xlfn.SINGLE(INDEX(TAB_Offres[Ressource 1],ROWS(Params!AI$2:$AI675)))=0,NA(),
INDEX(TAB_Offres[Ressource 1],ROWS(Params!AI$2:$AI675)))),
IFERROR(_xlfn.SINGLE(IF(_xlfn.SINGLE(INDEX(#REF!,ROWS(Params!AI$2:$AI675)-COUNTA(TAB_Offres[Ressource 1])))=0,NA(),
INDEX(#REF!,ROWS(Params!AI$2:$AI675)-COUNTA(TAB_Offres[Ressource 1])))),
IFERROR(_xlfn.SINGLE(IF(_xlfn.SINGLE(INDEX(#REF!,ROWS(Params!AI$2:$AI675)-COUNTA(#REF!)-COUNTA(TAB_Offres[Ressource 1])))=0,NA(),
INDEX(#REF!,ROWS(Params!AI$2:$AI675)-COUNTA(#REF!)-COUNTA(TAB_Offres[Ressource 1])))),""))
)</f>
        <v/>
      </c>
      <c r="AJ675" s="192" t="str">
        <f>IF(TAB_ressource[[#This Row],[Import Ressource]]="","",MAX(AJ$1:AJ674)+1)</f>
        <v/>
      </c>
      <c r="AK675" s="193" t="str">
        <f>IFERROR(INDEX(TAB_ressource[Import Ressource],MATCH(ROW()-ROW($AK$1),TAB_ressource[ID Import ressources],0)),"")</f>
        <v/>
      </c>
      <c r="BD675" t="s">
        <v>2635</v>
      </c>
      <c r="BE675" t="s">
        <v>2636</v>
      </c>
      <c r="BF675" t="s">
        <v>2637</v>
      </c>
      <c r="BG675" t="s">
        <v>2635</v>
      </c>
    </row>
    <row r="676" spans="13:59" x14ac:dyDescent="0.25">
      <c r="M676" t="str">
        <f>_xlfn.IFNA(IF(VLOOKUP(TAB_Offres[[#This Row],[Reference]],TAB_Offres[[Reference]:[Request State]],COLUMNS(TAB_Offres[[Reference]:[Request State]]),FALSE)=D$6,TAB_Offres[[#This Row],[Reference]],""),"")</f>
        <v/>
      </c>
      <c r="N676" t="str">
        <f>_xlfn.IFNA(IF(VLOOKUP(TAB_Offres[[#This Row],[Reference]],TAB_Offres[[Reference]:[Has Expenses?]],COLUMNS(TAB_Offres[[Reference]:[Has Expenses?]]),FALSE)=J$2,TAB_Offres[[#This Row],[Reference]],""),"")</f>
        <v/>
      </c>
      <c r="O676" t="str">
        <f>IF(Tableau19[[#This Row],[EXPENSES_REF]]="","",MAX(O$1:O675)+1)</f>
        <v/>
      </c>
      <c r="P676" t="str">
        <f t="shared" si="23"/>
        <v/>
      </c>
      <c r="AI676" s="191" t="str">
        <f>IFERROR(_xlfn.SINGLE(
IF(_xlfn.SINGLE(INDEX(TAB_Offres[Ressource 1],ROWS(Params!AI$2:$AI676)))=0,NA(),
INDEX(TAB_Offres[Ressource 1],ROWS(Params!AI$2:$AI676)))),
IFERROR(_xlfn.SINGLE(IF(_xlfn.SINGLE(INDEX(#REF!,ROWS(Params!AI$2:$AI676)-COUNTA(TAB_Offres[Ressource 1])))=0,NA(),
INDEX(#REF!,ROWS(Params!AI$2:$AI676)-COUNTA(TAB_Offres[Ressource 1])))),
IFERROR(_xlfn.SINGLE(IF(_xlfn.SINGLE(INDEX(#REF!,ROWS(Params!AI$2:$AI676)-COUNTA(#REF!)-COUNTA(TAB_Offres[Ressource 1])))=0,NA(),
INDEX(#REF!,ROWS(Params!AI$2:$AI676)-COUNTA(#REF!)-COUNTA(TAB_Offres[Ressource 1])))),""))
)</f>
        <v/>
      </c>
      <c r="AJ676" s="192" t="str">
        <f>IF(TAB_ressource[[#This Row],[Import Ressource]]="","",MAX(AJ$1:AJ675)+1)</f>
        <v/>
      </c>
      <c r="AK676" s="193" t="str">
        <f>IFERROR(INDEX(TAB_ressource[Import Ressource],MATCH(ROW()-ROW($AK$1),TAB_ressource[ID Import ressources],0)),"")</f>
        <v/>
      </c>
      <c r="BD676" t="s">
        <v>2638</v>
      </c>
      <c r="BE676" t="s">
        <v>2639</v>
      </c>
      <c r="BF676" t="s">
        <v>2640</v>
      </c>
      <c r="BG676" t="s">
        <v>2638</v>
      </c>
    </row>
    <row r="677" spans="13:59" x14ac:dyDescent="0.25">
      <c r="M677" t="str">
        <f>_xlfn.IFNA(IF(VLOOKUP(TAB_Offres[[#This Row],[Reference]],TAB_Offres[[Reference]:[Request State]],COLUMNS(TAB_Offres[[Reference]:[Request State]]),FALSE)=D$6,TAB_Offres[[#This Row],[Reference]],""),"")</f>
        <v/>
      </c>
      <c r="N677" t="str">
        <f>_xlfn.IFNA(IF(VLOOKUP(TAB_Offres[[#This Row],[Reference]],TAB_Offres[[Reference]:[Has Expenses?]],COLUMNS(TAB_Offres[[Reference]:[Has Expenses?]]),FALSE)=J$2,TAB_Offres[[#This Row],[Reference]],""),"")</f>
        <v/>
      </c>
      <c r="O677" t="str">
        <f>IF(Tableau19[[#This Row],[EXPENSES_REF]]="","",MAX(O$1:O676)+1)</f>
        <v/>
      </c>
      <c r="P677" t="str">
        <f t="shared" si="23"/>
        <v/>
      </c>
      <c r="AI677" s="191" t="str">
        <f>IFERROR(_xlfn.SINGLE(
IF(_xlfn.SINGLE(INDEX(TAB_Offres[Ressource 1],ROWS(Params!AI$2:$AI677)))=0,NA(),
INDEX(TAB_Offres[Ressource 1],ROWS(Params!AI$2:$AI677)))),
IFERROR(_xlfn.SINGLE(IF(_xlfn.SINGLE(INDEX(#REF!,ROWS(Params!AI$2:$AI677)-COUNTA(TAB_Offres[Ressource 1])))=0,NA(),
INDEX(#REF!,ROWS(Params!AI$2:$AI677)-COUNTA(TAB_Offres[Ressource 1])))),
IFERROR(_xlfn.SINGLE(IF(_xlfn.SINGLE(INDEX(#REF!,ROWS(Params!AI$2:$AI677)-COUNTA(#REF!)-COUNTA(TAB_Offres[Ressource 1])))=0,NA(),
INDEX(#REF!,ROWS(Params!AI$2:$AI677)-COUNTA(#REF!)-COUNTA(TAB_Offres[Ressource 1])))),""))
)</f>
        <v/>
      </c>
      <c r="AJ677" s="192" t="str">
        <f>IF(TAB_ressource[[#This Row],[Import Ressource]]="","",MAX(AJ$1:AJ676)+1)</f>
        <v/>
      </c>
      <c r="AK677" s="193" t="str">
        <f>IFERROR(INDEX(TAB_ressource[Import Ressource],MATCH(ROW()-ROW($AK$1),TAB_ressource[ID Import ressources],0)),"")</f>
        <v/>
      </c>
      <c r="BD677" t="s">
        <v>2641</v>
      </c>
      <c r="BE677" t="s">
        <v>2642</v>
      </c>
      <c r="BF677" t="s">
        <v>2643</v>
      </c>
      <c r="BG677" t="s">
        <v>2641</v>
      </c>
    </row>
    <row r="678" spans="13:59" x14ac:dyDescent="0.25">
      <c r="M678" t="str">
        <f>_xlfn.IFNA(IF(VLOOKUP(TAB_Offres[[#This Row],[Reference]],TAB_Offres[[Reference]:[Request State]],COLUMNS(TAB_Offres[[Reference]:[Request State]]),FALSE)=D$6,TAB_Offres[[#This Row],[Reference]],""),"")</f>
        <v/>
      </c>
      <c r="N678" t="str">
        <f>_xlfn.IFNA(IF(VLOOKUP(TAB_Offres[[#This Row],[Reference]],TAB_Offres[[Reference]:[Has Expenses?]],COLUMNS(TAB_Offres[[Reference]:[Has Expenses?]]),FALSE)=J$2,TAB_Offres[[#This Row],[Reference]],""),"")</f>
        <v/>
      </c>
      <c r="O678" t="str">
        <f>IF(Tableau19[[#This Row],[EXPENSES_REF]]="","",MAX(O$1:O677)+1)</f>
        <v/>
      </c>
      <c r="P678" t="str">
        <f t="shared" si="23"/>
        <v/>
      </c>
      <c r="AI678" s="191" t="str">
        <f>IFERROR(_xlfn.SINGLE(
IF(_xlfn.SINGLE(INDEX(TAB_Offres[Ressource 1],ROWS(Params!AI$2:$AI678)))=0,NA(),
INDEX(TAB_Offres[Ressource 1],ROWS(Params!AI$2:$AI678)))),
IFERROR(_xlfn.SINGLE(IF(_xlfn.SINGLE(INDEX(#REF!,ROWS(Params!AI$2:$AI678)-COUNTA(TAB_Offres[Ressource 1])))=0,NA(),
INDEX(#REF!,ROWS(Params!AI$2:$AI678)-COUNTA(TAB_Offres[Ressource 1])))),
IFERROR(_xlfn.SINGLE(IF(_xlfn.SINGLE(INDEX(#REF!,ROWS(Params!AI$2:$AI678)-COUNTA(#REF!)-COUNTA(TAB_Offres[Ressource 1])))=0,NA(),
INDEX(#REF!,ROWS(Params!AI$2:$AI678)-COUNTA(#REF!)-COUNTA(TAB_Offres[Ressource 1])))),""))
)</f>
        <v/>
      </c>
      <c r="AJ678" s="192" t="str">
        <f>IF(TAB_ressource[[#This Row],[Import Ressource]]="","",MAX(AJ$1:AJ677)+1)</f>
        <v/>
      </c>
      <c r="AK678" s="193" t="str">
        <f>IFERROR(INDEX(TAB_ressource[Import Ressource],MATCH(ROW()-ROW($AK$1),TAB_ressource[ID Import ressources],0)),"")</f>
        <v/>
      </c>
      <c r="BD678" t="s">
        <v>2644</v>
      </c>
      <c r="BE678" t="s">
        <v>2645</v>
      </c>
      <c r="BF678" t="s">
        <v>2646</v>
      </c>
      <c r="BG678" t="s">
        <v>2644</v>
      </c>
    </row>
    <row r="679" spans="13:59" x14ac:dyDescent="0.25">
      <c r="M679" t="str">
        <f>_xlfn.IFNA(IF(VLOOKUP(TAB_Offres[[#This Row],[Reference]],TAB_Offres[[Reference]:[Request State]],COLUMNS(TAB_Offres[[Reference]:[Request State]]),FALSE)=D$6,TAB_Offres[[#This Row],[Reference]],""),"")</f>
        <v/>
      </c>
      <c r="N679" t="str">
        <f>_xlfn.IFNA(IF(VLOOKUP(TAB_Offres[[#This Row],[Reference]],TAB_Offres[[Reference]:[Has Expenses?]],COLUMNS(TAB_Offres[[Reference]:[Has Expenses?]]),FALSE)=J$2,TAB_Offres[[#This Row],[Reference]],""),"")</f>
        <v/>
      </c>
      <c r="O679" t="str">
        <f>IF(Tableau19[[#This Row],[EXPENSES_REF]]="","",MAX(O$1:O678)+1)</f>
        <v/>
      </c>
      <c r="P679" t="str">
        <f t="shared" si="23"/>
        <v/>
      </c>
      <c r="AI679" s="191" t="str">
        <f>IFERROR(_xlfn.SINGLE(
IF(_xlfn.SINGLE(INDEX(TAB_Offres[Ressource 1],ROWS(Params!AI$2:$AI679)))=0,NA(),
INDEX(TAB_Offres[Ressource 1],ROWS(Params!AI$2:$AI679)))),
IFERROR(_xlfn.SINGLE(IF(_xlfn.SINGLE(INDEX(#REF!,ROWS(Params!AI$2:$AI679)-COUNTA(TAB_Offres[Ressource 1])))=0,NA(),
INDEX(#REF!,ROWS(Params!AI$2:$AI679)-COUNTA(TAB_Offres[Ressource 1])))),
IFERROR(_xlfn.SINGLE(IF(_xlfn.SINGLE(INDEX(#REF!,ROWS(Params!AI$2:$AI679)-COUNTA(#REF!)-COUNTA(TAB_Offres[Ressource 1])))=0,NA(),
INDEX(#REF!,ROWS(Params!AI$2:$AI679)-COUNTA(#REF!)-COUNTA(TAB_Offres[Ressource 1])))),""))
)</f>
        <v/>
      </c>
      <c r="AJ679" s="192" t="str">
        <f>IF(TAB_ressource[[#This Row],[Import Ressource]]="","",MAX(AJ$1:AJ678)+1)</f>
        <v/>
      </c>
      <c r="AK679" s="193" t="str">
        <f>IFERROR(INDEX(TAB_ressource[Import Ressource],MATCH(ROW()-ROW($AK$1),TAB_ressource[ID Import ressources],0)),"")</f>
        <v/>
      </c>
      <c r="BD679" t="s">
        <v>2647</v>
      </c>
      <c r="BE679" t="s">
        <v>2648</v>
      </c>
      <c r="BF679" t="s">
        <v>2649</v>
      </c>
      <c r="BG679" t="s">
        <v>2647</v>
      </c>
    </row>
    <row r="680" spans="13:59" x14ac:dyDescent="0.25">
      <c r="M680" t="str">
        <f>_xlfn.IFNA(IF(VLOOKUP(TAB_Offres[[#This Row],[Reference]],TAB_Offres[[Reference]:[Request State]],COLUMNS(TAB_Offres[[Reference]:[Request State]]),FALSE)=D$6,TAB_Offres[[#This Row],[Reference]],""),"")</f>
        <v/>
      </c>
      <c r="N680" t="str">
        <f>_xlfn.IFNA(IF(VLOOKUP(TAB_Offres[[#This Row],[Reference]],TAB_Offres[[Reference]:[Has Expenses?]],COLUMNS(TAB_Offres[[Reference]:[Has Expenses?]]),FALSE)=J$2,TAB_Offres[[#This Row],[Reference]],""),"")</f>
        <v/>
      </c>
      <c r="O680" t="str">
        <f>IF(Tableau19[[#This Row],[EXPENSES_REF]]="","",MAX(O$1:O679)+1)</f>
        <v/>
      </c>
      <c r="P680" t="str">
        <f t="shared" si="23"/>
        <v/>
      </c>
      <c r="AI680" s="191" t="str">
        <f>IFERROR(_xlfn.SINGLE(
IF(_xlfn.SINGLE(INDEX(TAB_Offres[Ressource 1],ROWS(Params!AI$2:$AI680)))=0,NA(),
INDEX(TAB_Offres[Ressource 1],ROWS(Params!AI$2:$AI680)))),
IFERROR(_xlfn.SINGLE(IF(_xlfn.SINGLE(INDEX(#REF!,ROWS(Params!AI$2:$AI680)-COUNTA(TAB_Offres[Ressource 1])))=0,NA(),
INDEX(#REF!,ROWS(Params!AI$2:$AI680)-COUNTA(TAB_Offres[Ressource 1])))),
IFERROR(_xlfn.SINGLE(IF(_xlfn.SINGLE(INDEX(#REF!,ROWS(Params!AI$2:$AI680)-COUNTA(#REF!)-COUNTA(TAB_Offres[Ressource 1])))=0,NA(),
INDEX(#REF!,ROWS(Params!AI$2:$AI680)-COUNTA(#REF!)-COUNTA(TAB_Offres[Ressource 1])))),""))
)</f>
        <v/>
      </c>
      <c r="AJ680" s="192" t="str">
        <f>IF(TAB_ressource[[#This Row],[Import Ressource]]="","",MAX(AJ$1:AJ679)+1)</f>
        <v/>
      </c>
      <c r="AK680" s="193" t="str">
        <f>IFERROR(INDEX(TAB_ressource[Import Ressource],MATCH(ROW()-ROW($AK$1),TAB_ressource[ID Import ressources],0)),"")</f>
        <v/>
      </c>
      <c r="BD680" t="s">
        <v>2650</v>
      </c>
      <c r="BE680" t="s">
        <v>2651</v>
      </c>
      <c r="BF680" t="s">
        <v>2652</v>
      </c>
      <c r="BG680" t="s">
        <v>2650</v>
      </c>
    </row>
    <row r="681" spans="13:59" x14ac:dyDescent="0.25">
      <c r="M681" t="str">
        <f>_xlfn.IFNA(IF(VLOOKUP(TAB_Offres[[#This Row],[Reference]],TAB_Offres[[Reference]:[Request State]],COLUMNS(TAB_Offres[[Reference]:[Request State]]),FALSE)=D$6,TAB_Offres[[#This Row],[Reference]],""),"")</f>
        <v/>
      </c>
      <c r="N681" t="str">
        <f>_xlfn.IFNA(IF(VLOOKUP(TAB_Offres[[#This Row],[Reference]],TAB_Offres[[Reference]:[Has Expenses?]],COLUMNS(TAB_Offres[[Reference]:[Has Expenses?]]),FALSE)=J$2,TAB_Offres[[#This Row],[Reference]],""),"")</f>
        <v/>
      </c>
      <c r="O681" t="str">
        <f>IF(Tableau19[[#This Row],[EXPENSES_REF]]="","",MAX(O$1:O680)+1)</f>
        <v/>
      </c>
      <c r="P681" t="str">
        <f t="shared" si="23"/>
        <v/>
      </c>
      <c r="AI681" s="191" t="str">
        <f>IFERROR(_xlfn.SINGLE(
IF(_xlfn.SINGLE(INDEX(TAB_Offres[Ressource 1],ROWS(Params!AI$2:$AI681)))=0,NA(),
INDEX(TAB_Offres[Ressource 1],ROWS(Params!AI$2:$AI681)))),
IFERROR(_xlfn.SINGLE(IF(_xlfn.SINGLE(INDEX(#REF!,ROWS(Params!AI$2:$AI681)-COUNTA(TAB_Offres[Ressource 1])))=0,NA(),
INDEX(#REF!,ROWS(Params!AI$2:$AI681)-COUNTA(TAB_Offres[Ressource 1])))),
IFERROR(_xlfn.SINGLE(IF(_xlfn.SINGLE(INDEX(#REF!,ROWS(Params!AI$2:$AI681)-COUNTA(#REF!)-COUNTA(TAB_Offres[Ressource 1])))=0,NA(),
INDEX(#REF!,ROWS(Params!AI$2:$AI681)-COUNTA(#REF!)-COUNTA(TAB_Offres[Ressource 1])))),""))
)</f>
        <v/>
      </c>
      <c r="AJ681" s="192" t="str">
        <f>IF(TAB_ressource[[#This Row],[Import Ressource]]="","",MAX(AJ$1:AJ680)+1)</f>
        <v/>
      </c>
      <c r="AK681" s="193" t="str">
        <f>IFERROR(INDEX(TAB_ressource[Import Ressource],MATCH(ROW()-ROW($AK$1),TAB_ressource[ID Import ressources],0)),"")</f>
        <v/>
      </c>
      <c r="BD681" t="s">
        <v>2653</v>
      </c>
      <c r="BE681" t="s">
        <v>2654</v>
      </c>
      <c r="BF681" t="s">
        <v>2655</v>
      </c>
      <c r="BG681" t="s">
        <v>2653</v>
      </c>
    </row>
    <row r="682" spans="13:59" x14ac:dyDescent="0.25">
      <c r="M682" t="str">
        <f>_xlfn.IFNA(IF(VLOOKUP(TAB_Offres[[#This Row],[Reference]],TAB_Offres[[Reference]:[Request State]],COLUMNS(TAB_Offres[[Reference]:[Request State]]),FALSE)=D$6,TAB_Offres[[#This Row],[Reference]],""),"")</f>
        <v/>
      </c>
      <c r="N682" t="str">
        <f>_xlfn.IFNA(IF(VLOOKUP(TAB_Offres[[#This Row],[Reference]],TAB_Offres[[Reference]:[Has Expenses?]],COLUMNS(TAB_Offres[[Reference]:[Has Expenses?]]),FALSE)=J$2,TAB_Offres[[#This Row],[Reference]],""),"")</f>
        <v/>
      </c>
      <c r="O682" t="str">
        <f>IF(Tableau19[[#This Row],[EXPENSES_REF]]="","",MAX(O$1:O681)+1)</f>
        <v/>
      </c>
      <c r="P682" t="str">
        <f t="shared" si="23"/>
        <v/>
      </c>
      <c r="AI682" s="191" t="str">
        <f>IFERROR(_xlfn.SINGLE(
IF(_xlfn.SINGLE(INDEX(TAB_Offres[Ressource 1],ROWS(Params!AI$2:$AI682)))=0,NA(),
INDEX(TAB_Offres[Ressource 1],ROWS(Params!AI$2:$AI682)))),
IFERROR(_xlfn.SINGLE(IF(_xlfn.SINGLE(INDEX(#REF!,ROWS(Params!AI$2:$AI682)-COUNTA(TAB_Offres[Ressource 1])))=0,NA(),
INDEX(#REF!,ROWS(Params!AI$2:$AI682)-COUNTA(TAB_Offres[Ressource 1])))),
IFERROR(_xlfn.SINGLE(IF(_xlfn.SINGLE(INDEX(#REF!,ROWS(Params!AI$2:$AI682)-COUNTA(#REF!)-COUNTA(TAB_Offres[Ressource 1])))=0,NA(),
INDEX(#REF!,ROWS(Params!AI$2:$AI682)-COUNTA(#REF!)-COUNTA(TAB_Offres[Ressource 1])))),""))
)</f>
        <v/>
      </c>
      <c r="AJ682" s="192" t="str">
        <f>IF(TAB_ressource[[#This Row],[Import Ressource]]="","",MAX(AJ$1:AJ681)+1)</f>
        <v/>
      </c>
      <c r="AK682" s="193" t="str">
        <f>IFERROR(INDEX(TAB_ressource[Import Ressource],MATCH(ROW()-ROW($AK$1),TAB_ressource[ID Import ressources],0)),"")</f>
        <v/>
      </c>
      <c r="BD682" t="s">
        <v>2656</v>
      </c>
      <c r="BE682" t="s">
        <v>2657</v>
      </c>
      <c r="BF682" t="s">
        <v>2658</v>
      </c>
      <c r="BG682" t="s">
        <v>2656</v>
      </c>
    </row>
    <row r="683" spans="13:59" x14ac:dyDescent="0.25">
      <c r="M683" t="str">
        <f>_xlfn.IFNA(IF(VLOOKUP(TAB_Offres[[#This Row],[Reference]],TAB_Offres[[Reference]:[Request State]],COLUMNS(TAB_Offres[[Reference]:[Request State]]),FALSE)=D$6,TAB_Offres[[#This Row],[Reference]],""),"")</f>
        <v/>
      </c>
      <c r="N683" t="str">
        <f>_xlfn.IFNA(IF(VLOOKUP(TAB_Offres[[#This Row],[Reference]],TAB_Offres[[Reference]:[Has Expenses?]],COLUMNS(TAB_Offres[[Reference]:[Has Expenses?]]),FALSE)=J$2,TAB_Offres[[#This Row],[Reference]],""),"")</f>
        <v/>
      </c>
      <c r="O683" t="str">
        <f>IF(Tableau19[[#This Row],[EXPENSES_REF]]="","",MAX(O$1:O682)+1)</f>
        <v/>
      </c>
      <c r="P683" t="str">
        <f t="shared" si="23"/>
        <v/>
      </c>
      <c r="AI683" s="191" t="str">
        <f>IFERROR(_xlfn.SINGLE(
IF(_xlfn.SINGLE(INDEX(TAB_Offres[Ressource 1],ROWS(Params!AI$2:$AI683)))=0,NA(),
INDEX(TAB_Offres[Ressource 1],ROWS(Params!AI$2:$AI683)))),
IFERROR(_xlfn.SINGLE(IF(_xlfn.SINGLE(INDEX(#REF!,ROWS(Params!AI$2:$AI683)-COUNTA(TAB_Offres[Ressource 1])))=0,NA(),
INDEX(#REF!,ROWS(Params!AI$2:$AI683)-COUNTA(TAB_Offres[Ressource 1])))),
IFERROR(_xlfn.SINGLE(IF(_xlfn.SINGLE(INDEX(#REF!,ROWS(Params!AI$2:$AI683)-COUNTA(#REF!)-COUNTA(TAB_Offres[Ressource 1])))=0,NA(),
INDEX(#REF!,ROWS(Params!AI$2:$AI683)-COUNTA(#REF!)-COUNTA(TAB_Offres[Ressource 1])))),""))
)</f>
        <v/>
      </c>
      <c r="AJ683" s="192" t="str">
        <f>IF(TAB_ressource[[#This Row],[Import Ressource]]="","",MAX(AJ$1:AJ682)+1)</f>
        <v/>
      </c>
      <c r="AK683" s="193" t="str">
        <f>IFERROR(INDEX(TAB_ressource[Import Ressource],MATCH(ROW()-ROW($AK$1),TAB_ressource[ID Import ressources],0)),"")</f>
        <v/>
      </c>
      <c r="BD683" t="s">
        <v>2659</v>
      </c>
      <c r="BE683" t="s">
        <v>2660</v>
      </c>
      <c r="BF683" t="s">
        <v>2661</v>
      </c>
      <c r="BG683" t="s">
        <v>2659</v>
      </c>
    </row>
    <row r="684" spans="13:59" x14ac:dyDescent="0.25">
      <c r="M684" t="str">
        <f>_xlfn.IFNA(IF(VLOOKUP(TAB_Offres[[#This Row],[Reference]],TAB_Offres[[Reference]:[Request State]],COLUMNS(TAB_Offres[[Reference]:[Request State]]),FALSE)=D$6,TAB_Offres[[#This Row],[Reference]],""),"")</f>
        <v/>
      </c>
      <c r="N684" t="str">
        <f>_xlfn.IFNA(IF(VLOOKUP(TAB_Offres[[#This Row],[Reference]],TAB_Offres[[Reference]:[Has Expenses?]],COLUMNS(TAB_Offres[[Reference]:[Has Expenses?]]),FALSE)=J$2,TAB_Offres[[#This Row],[Reference]],""),"")</f>
        <v/>
      </c>
      <c r="O684" t="str">
        <f>IF(Tableau19[[#This Row],[EXPENSES_REF]]="","",MAX(O$1:O683)+1)</f>
        <v/>
      </c>
      <c r="P684" t="str">
        <f t="shared" si="23"/>
        <v/>
      </c>
      <c r="AI684" s="191" t="str">
        <f>IFERROR(_xlfn.SINGLE(
IF(_xlfn.SINGLE(INDEX(TAB_Offres[Ressource 1],ROWS(Params!AI$2:$AI684)))=0,NA(),
INDEX(TAB_Offres[Ressource 1],ROWS(Params!AI$2:$AI684)))),
IFERROR(_xlfn.SINGLE(IF(_xlfn.SINGLE(INDEX(#REF!,ROWS(Params!AI$2:$AI684)-COUNTA(TAB_Offres[Ressource 1])))=0,NA(),
INDEX(#REF!,ROWS(Params!AI$2:$AI684)-COUNTA(TAB_Offres[Ressource 1])))),
IFERROR(_xlfn.SINGLE(IF(_xlfn.SINGLE(INDEX(#REF!,ROWS(Params!AI$2:$AI684)-COUNTA(#REF!)-COUNTA(TAB_Offres[Ressource 1])))=0,NA(),
INDEX(#REF!,ROWS(Params!AI$2:$AI684)-COUNTA(#REF!)-COUNTA(TAB_Offres[Ressource 1])))),""))
)</f>
        <v/>
      </c>
      <c r="AJ684" s="192" t="str">
        <f>IF(TAB_ressource[[#This Row],[Import Ressource]]="","",MAX(AJ$1:AJ683)+1)</f>
        <v/>
      </c>
      <c r="AK684" s="193" t="str">
        <f>IFERROR(INDEX(TAB_ressource[Import Ressource],MATCH(ROW()-ROW($AK$1),TAB_ressource[ID Import ressources],0)),"")</f>
        <v/>
      </c>
      <c r="BD684" t="s">
        <v>2662</v>
      </c>
      <c r="BE684" t="s">
        <v>2663</v>
      </c>
      <c r="BF684" t="s">
        <v>2664</v>
      </c>
      <c r="BG684" t="s">
        <v>2662</v>
      </c>
    </row>
    <row r="685" spans="13:59" x14ac:dyDescent="0.25">
      <c r="M685" t="str">
        <f>_xlfn.IFNA(IF(VLOOKUP(TAB_Offres[[#This Row],[Reference]],TAB_Offres[[Reference]:[Request State]],COLUMNS(TAB_Offres[[Reference]:[Request State]]),FALSE)=D$6,TAB_Offres[[#This Row],[Reference]],""),"")</f>
        <v/>
      </c>
      <c r="N685" t="str">
        <f>_xlfn.IFNA(IF(VLOOKUP(TAB_Offres[[#This Row],[Reference]],TAB_Offres[[Reference]:[Has Expenses?]],COLUMNS(TAB_Offres[[Reference]:[Has Expenses?]]),FALSE)=J$2,TAB_Offres[[#This Row],[Reference]],""),"")</f>
        <v/>
      </c>
      <c r="O685" t="str">
        <f>IF(Tableau19[[#This Row],[EXPENSES_REF]]="","",MAX(O$1:O684)+1)</f>
        <v/>
      </c>
      <c r="P685" t="str">
        <f t="shared" si="23"/>
        <v/>
      </c>
      <c r="AI685" s="191" t="str">
        <f>IFERROR(_xlfn.SINGLE(
IF(_xlfn.SINGLE(INDEX(TAB_Offres[Ressource 1],ROWS(Params!AI$2:$AI685)))=0,NA(),
INDEX(TAB_Offres[Ressource 1],ROWS(Params!AI$2:$AI685)))),
IFERROR(_xlfn.SINGLE(IF(_xlfn.SINGLE(INDEX(#REF!,ROWS(Params!AI$2:$AI685)-COUNTA(TAB_Offres[Ressource 1])))=0,NA(),
INDEX(#REF!,ROWS(Params!AI$2:$AI685)-COUNTA(TAB_Offres[Ressource 1])))),
IFERROR(_xlfn.SINGLE(IF(_xlfn.SINGLE(INDEX(#REF!,ROWS(Params!AI$2:$AI685)-COUNTA(#REF!)-COUNTA(TAB_Offres[Ressource 1])))=0,NA(),
INDEX(#REF!,ROWS(Params!AI$2:$AI685)-COUNTA(#REF!)-COUNTA(TAB_Offres[Ressource 1])))),""))
)</f>
        <v/>
      </c>
      <c r="AJ685" s="192" t="str">
        <f>IF(TAB_ressource[[#This Row],[Import Ressource]]="","",MAX(AJ$1:AJ684)+1)</f>
        <v/>
      </c>
      <c r="AK685" s="193" t="str">
        <f>IFERROR(INDEX(TAB_ressource[Import Ressource],MATCH(ROW()-ROW($AK$1),TAB_ressource[ID Import ressources],0)),"")</f>
        <v/>
      </c>
      <c r="BD685" t="s">
        <v>2665</v>
      </c>
      <c r="BE685" t="s">
        <v>2666</v>
      </c>
      <c r="BF685" t="s">
        <v>2667</v>
      </c>
      <c r="BG685" t="s">
        <v>2665</v>
      </c>
    </row>
    <row r="686" spans="13:59" x14ac:dyDescent="0.25">
      <c r="M686" t="str">
        <f>_xlfn.IFNA(IF(VLOOKUP(TAB_Offres[[#This Row],[Reference]],TAB_Offres[[Reference]:[Request State]],COLUMNS(TAB_Offres[[Reference]:[Request State]]),FALSE)=D$6,TAB_Offres[[#This Row],[Reference]],""),"")</f>
        <v/>
      </c>
      <c r="N686" t="str">
        <f>_xlfn.IFNA(IF(VLOOKUP(TAB_Offres[[#This Row],[Reference]],TAB_Offres[[Reference]:[Has Expenses?]],COLUMNS(TAB_Offres[[Reference]:[Has Expenses?]]),FALSE)=J$2,TAB_Offres[[#This Row],[Reference]],""),"")</f>
        <v/>
      </c>
      <c r="O686" t="str">
        <f>IF(Tableau19[[#This Row],[EXPENSES_REF]]="","",MAX(O$1:O685)+1)</f>
        <v/>
      </c>
      <c r="P686" t="str">
        <f t="shared" si="23"/>
        <v/>
      </c>
      <c r="AI686" s="191" t="str">
        <f>IFERROR(_xlfn.SINGLE(
IF(_xlfn.SINGLE(INDEX(TAB_Offres[Ressource 1],ROWS(Params!AI$2:$AI686)))=0,NA(),
INDEX(TAB_Offres[Ressource 1],ROWS(Params!AI$2:$AI686)))),
IFERROR(_xlfn.SINGLE(IF(_xlfn.SINGLE(INDEX(#REF!,ROWS(Params!AI$2:$AI686)-COUNTA(TAB_Offres[Ressource 1])))=0,NA(),
INDEX(#REF!,ROWS(Params!AI$2:$AI686)-COUNTA(TAB_Offres[Ressource 1])))),
IFERROR(_xlfn.SINGLE(IF(_xlfn.SINGLE(INDEX(#REF!,ROWS(Params!AI$2:$AI686)-COUNTA(#REF!)-COUNTA(TAB_Offres[Ressource 1])))=0,NA(),
INDEX(#REF!,ROWS(Params!AI$2:$AI686)-COUNTA(#REF!)-COUNTA(TAB_Offres[Ressource 1])))),""))
)</f>
        <v/>
      </c>
      <c r="AJ686" s="192" t="str">
        <f>IF(TAB_ressource[[#This Row],[Import Ressource]]="","",MAX(AJ$1:AJ685)+1)</f>
        <v/>
      </c>
      <c r="AK686" s="193" t="str">
        <f>IFERROR(INDEX(TAB_ressource[Import Ressource],MATCH(ROW()-ROW($AK$1),TAB_ressource[ID Import ressources],0)),"")</f>
        <v/>
      </c>
      <c r="BD686" t="s">
        <v>2668</v>
      </c>
      <c r="BE686" t="s">
        <v>2669</v>
      </c>
      <c r="BF686" t="s">
        <v>2670</v>
      </c>
      <c r="BG686" t="s">
        <v>2668</v>
      </c>
    </row>
    <row r="687" spans="13:59" x14ac:dyDescent="0.25">
      <c r="M687" t="str">
        <f>_xlfn.IFNA(IF(VLOOKUP(TAB_Offres[[#This Row],[Reference]],TAB_Offres[[Reference]:[Request State]],COLUMNS(TAB_Offres[[Reference]:[Request State]]),FALSE)=D$6,TAB_Offres[[#This Row],[Reference]],""),"")</f>
        <v/>
      </c>
      <c r="N687" t="str">
        <f>_xlfn.IFNA(IF(VLOOKUP(TAB_Offres[[#This Row],[Reference]],TAB_Offres[[Reference]:[Has Expenses?]],COLUMNS(TAB_Offres[[Reference]:[Has Expenses?]]),FALSE)=J$2,TAB_Offres[[#This Row],[Reference]],""),"")</f>
        <v/>
      </c>
      <c r="O687" t="str">
        <f>IF(Tableau19[[#This Row],[EXPENSES_REF]]="","",MAX(O$1:O686)+1)</f>
        <v/>
      </c>
      <c r="P687" t="str">
        <f t="shared" si="23"/>
        <v/>
      </c>
      <c r="AI687" s="191" t="str">
        <f>IFERROR(_xlfn.SINGLE(
IF(_xlfn.SINGLE(INDEX(TAB_Offres[Ressource 1],ROWS(Params!AI$2:$AI687)))=0,NA(),
INDEX(TAB_Offres[Ressource 1],ROWS(Params!AI$2:$AI687)))),
IFERROR(_xlfn.SINGLE(IF(_xlfn.SINGLE(INDEX(#REF!,ROWS(Params!AI$2:$AI687)-COUNTA(TAB_Offres[Ressource 1])))=0,NA(),
INDEX(#REF!,ROWS(Params!AI$2:$AI687)-COUNTA(TAB_Offres[Ressource 1])))),
IFERROR(_xlfn.SINGLE(IF(_xlfn.SINGLE(INDEX(#REF!,ROWS(Params!AI$2:$AI687)-COUNTA(#REF!)-COUNTA(TAB_Offres[Ressource 1])))=0,NA(),
INDEX(#REF!,ROWS(Params!AI$2:$AI687)-COUNTA(#REF!)-COUNTA(TAB_Offres[Ressource 1])))),""))
)</f>
        <v/>
      </c>
      <c r="AJ687" s="192" t="str">
        <f>IF(TAB_ressource[[#This Row],[Import Ressource]]="","",MAX(AJ$1:AJ686)+1)</f>
        <v/>
      </c>
      <c r="AK687" s="193" t="str">
        <f>IFERROR(INDEX(TAB_ressource[Import Ressource],MATCH(ROW()-ROW($AK$1),TAB_ressource[ID Import ressources],0)),"")</f>
        <v/>
      </c>
      <c r="BD687" t="s">
        <v>2671</v>
      </c>
      <c r="BE687" t="s">
        <v>2672</v>
      </c>
      <c r="BF687" t="s">
        <v>2673</v>
      </c>
      <c r="BG687" t="s">
        <v>2671</v>
      </c>
    </row>
    <row r="688" spans="13:59" x14ac:dyDescent="0.25">
      <c r="M688" t="str">
        <f>_xlfn.IFNA(IF(VLOOKUP(TAB_Offres[[#This Row],[Reference]],TAB_Offres[[Reference]:[Request State]],COLUMNS(TAB_Offres[[Reference]:[Request State]]),FALSE)=D$6,TAB_Offres[[#This Row],[Reference]],""),"")</f>
        <v/>
      </c>
      <c r="N688" t="str">
        <f>_xlfn.IFNA(IF(VLOOKUP(TAB_Offres[[#This Row],[Reference]],TAB_Offres[[Reference]:[Has Expenses?]],COLUMNS(TAB_Offres[[Reference]:[Has Expenses?]]),FALSE)=J$2,TAB_Offres[[#This Row],[Reference]],""),"")</f>
        <v/>
      </c>
      <c r="O688" t="str">
        <f>IF(Tableau19[[#This Row],[EXPENSES_REF]]="","",MAX(O$1:O687)+1)</f>
        <v/>
      </c>
      <c r="P688" t="str">
        <f t="shared" si="23"/>
        <v/>
      </c>
      <c r="AI688" s="191" t="str">
        <f>IFERROR(_xlfn.SINGLE(
IF(_xlfn.SINGLE(INDEX(TAB_Offres[Ressource 1],ROWS(Params!AI$2:$AI688)))=0,NA(),
INDEX(TAB_Offres[Ressource 1],ROWS(Params!AI$2:$AI688)))),
IFERROR(_xlfn.SINGLE(IF(_xlfn.SINGLE(INDEX(#REF!,ROWS(Params!AI$2:$AI688)-COUNTA(TAB_Offres[Ressource 1])))=0,NA(),
INDEX(#REF!,ROWS(Params!AI$2:$AI688)-COUNTA(TAB_Offres[Ressource 1])))),
IFERROR(_xlfn.SINGLE(IF(_xlfn.SINGLE(INDEX(#REF!,ROWS(Params!AI$2:$AI688)-COUNTA(#REF!)-COUNTA(TAB_Offres[Ressource 1])))=0,NA(),
INDEX(#REF!,ROWS(Params!AI$2:$AI688)-COUNTA(#REF!)-COUNTA(TAB_Offres[Ressource 1])))),""))
)</f>
        <v/>
      </c>
      <c r="AJ688" s="192" t="str">
        <f>IF(TAB_ressource[[#This Row],[Import Ressource]]="","",MAX(AJ$1:AJ687)+1)</f>
        <v/>
      </c>
      <c r="AK688" s="193" t="str">
        <f>IFERROR(INDEX(TAB_ressource[Import Ressource],MATCH(ROW()-ROW($AK$1),TAB_ressource[ID Import ressources],0)),"")</f>
        <v/>
      </c>
      <c r="BD688" t="s">
        <v>2674</v>
      </c>
      <c r="BE688" t="s">
        <v>2675</v>
      </c>
      <c r="BF688" t="s">
        <v>2676</v>
      </c>
      <c r="BG688" t="s">
        <v>2674</v>
      </c>
    </row>
    <row r="689" spans="13:59" x14ac:dyDescent="0.25">
      <c r="M689" t="str">
        <f>_xlfn.IFNA(IF(VLOOKUP(TAB_Offres[[#This Row],[Reference]],TAB_Offres[[Reference]:[Request State]],COLUMNS(TAB_Offres[[Reference]:[Request State]]),FALSE)=D$6,TAB_Offres[[#This Row],[Reference]],""),"")</f>
        <v/>
      </c>
      <c r="N689" t="str">
        <f>_xlfn.IFNA(IF(VLOOKUP(TAB_Offres[[#This Row],[Reference]],TAB_Offres[[Reference]:[Has Expenses?]],COLUMNS(TAB_Offres[[Reference]:[Has Expenses?]]),FALSE)=J$2,TAB_Offres[[#This Row],[Reference]],""),"")</f>
        <v/>
      </c>
      <c r="O689" t="str">
        <f>IF(Tableau19[[#This Row],[EXPENSES_REF]]="","",MAX(O$1:O688)+1)</f>
        <v/>
      </c>
      <c r="P689" t="str">
        <f t="shared" si="23"/>
        <v/>
      </c>
      <c r="AI689" s="191" t="str">
        <f>IFERROR(_xlfn.SINGLE(
IF(_xlfn.SINGLE(INDEX(TAB_Offres[Ressource 1],ROWS(Params!AI$2:$AI689)))=0,NA(),
INDEX(TAB_Offres[Ressource 1],ROWS(Params!AI$2:$AI689)))),
IFERROR(_xlfn.SINGLE(IF(_xlfn.SINGLE(INDEX(#REF!,ROWS(Params!AI$2:$AI689)-COUNTA(TAB_Offres[Ressource 1])))=0,NA(),
INDEX(#REF!,ROWS(Params!AI$2:$AI689)-COUNTA(TAB_Offres[Ressource 1])))),
IFERROR(_xlfn.SINGLE(IF(_xlfn.SINGLE(INDEX(#REF!,ROWS(Params!AI$2:$AI689)-COUNTA(#REF!)-COUNTA(TAB_Offres[Ressource 1])))=0,NA(),
INDEX(#REF!,ROWS(Params!AI$2:$AI689)-COUNTA(#REF!)-COUNTA(TAB_Offres[Ressource 1])))),""))
)</f>
        <v/>
      </c>
      <c r="AJ689" s="192" t="str">
        <f>IF(TAB_ressource[[#This Row],[Import Ressource]]="","",MAX(AJ$1:AJ688)+1)</f>
        <v/>
      </c>
      <c r="AK689" s="193" t="str">
        <f>IFERROR(INDEX(TAB_ressource[Import Ressource],MATCH(ROW()-ROW($AK$1),TAB_ressource[ID Import ressources],0)),"")</f>
        <v/>
      </c>
      <c r="BD689" t="s">
        <v>2677</v>
      </c>
      <c r="BE689" t="s">
        <v>2678</v>
      </c>
      <c r="BF689" t="s">
        <v>2679</v>
      </c>
      <c r="BG689" t="s">
        <v>2677</v>
      </c>
    </row>
    <row r="690" spans="13:59" x14ac:dyDescent="0.25">
      <c r="M690" t="str">
        <f>_xlfn.IFNA(IF(VLOOKUP(TAB_Offres[[#This Row],[Reference]],TAB_Offres[[Reference]:[Request State]],COLUMNS(TAB_Offres[[Reference]:[Request State]]),FALSE)=D$6,TAB_Offres[[#This Row],[Reference]],""),"")</f>
        <v/>
      </c>
      <c r="N690" t="str">
        <f>_xlfn.IFNA(IF(VLOOKUP(TAB_Offres[[#This Row],[Reference]],TAB_Offres[[Reference]:[Has Expenses?]],COLUMNS(TAB_Offres[[Reference]:[Has Expenses?]]),FALSE)=J$2,TAB_Offres[[#This Row],[Reference]],""),"")</f>
        <v/>
      </c>
      <c r="O690" t="str">
        <f>IF(Tableau19[[#This Row],[EXPENSES_REF]]="","",MAX(O$1:O689)+1)</f>
        <v/>
      </c>
      <c r="P690" t="str">
        <f t="shared" si="23"/>
        <v/>
      </c>
      <c r="AI690" s="191" t="str">
        <f>IFERROR(_xlfn.SINGLE(
IF(_xlfn.SINGLE(INDEX(TAB_Offres[Ressource 1],ROWS(Params!AI$2:$AI690)))=0,NA(),
INDEX(TAB_Offres[Ressource 1],ROWS(Params!AI$2:$AI690)))),
IFERROR(_xlfn.SINGLE(IF(_xlfn.SINGLE(INDEX(#REF!,ROWS(Params!AI$2:$AI690)-COUNTA(TAB_Offres[Ressource 1])))=0,NA(),
INDEX(#REF!,ROWS(Params!AI$2:$AI690)-COUNTA(TAB_Offres[Ressource 1])))),
IFERROR(_xlfn.SINGLE(IF(_xlfn.SINGLE(INDEX(#REF!,ROWS(Params!AI$2:$AI690)-COUNTA(#REF!)-COUNTA(TAB_Offres[Ressource 1])))=0,NA(),
INDEX(#REF!,ROWS(Params!AI$2:$AI690)-COUNTA(#REF!)-COUNTA(TAB_Offres[Ressource 1])))),""))
)</f>
        <v/>
      </c>
      <c r="AJ690" s="192" t="str">
        <f>IF(TAB_ressource[[#This Row],[Import Ressource]]="","",MAX(AJ$1:AJ689)+1)</f>
        <v/>
      </c>
      <c r="AK690" s="193" t="str">
        <f>IFERROR(INDEX(TAB_ressource[Import Ressource],MATCH(ROW()-ROW($AK$1),TAB_ressource[ID Import ressources],0)),"")</f>
        <v/>
      </c>
      <c r="BD690" t="s">
        <v>2680</v>
      </c>
      <c r="BE690" t="s">
        <v>2681</v>
      </c>
      <c r="BF690" t="s">
        <v>2682</v>
      </c>
      <c r="BG690" t="s">
        <v>2680</v>
      </c>
    </row>
    <row r="691" spans="13:59" x14ac:dyDescent="0.25">
      <c r="M691" t="str">
        <f>_xlfn.IFNA(IF(VLOOKUP(TAB_Offres[[#This Row],[Reference]],TAB_Offres[[Reference]:[Request State]],COLUMNS(TAB_Offres[[Reference]:[Request State]]),FALSE)=D$6,TAB_Offres[[#This Row],[Reference]],""),"")</f>
        <v/>
      </c>
      <c r="N691" t="str">
        <f>_xlfn.IFNA(IF(VLOOKUP(TAB_Offres[[#This Row],[Reference]],TAB_Offres[[Reference]:[Has Expenses?]],COLUMNS(TAB_Offres[[Reference]:[Has Expenses?]]),FALSE)=J$2,TAB_Offres[[#This Row],[Reference]],""),"")</f>
        <v/>
      </c>
      <c r="O691" t="str">
        <f>IF(Tableau19[[#This Row],[EXPENSES_REF]]="","",MAX(O$1:O690)+1)</f>
        <v/>
      </c>
      <c r="P691" t="str">
        <f t="shared" si="23"/>
        <v/>
      </c>
      <c r="AI691" s="191" t="str">
        <f>IFERROR(_xlfn.SINGLE(
IF(_xlfn.SINGLE(INDEX(TAB_Offres[Ressource 1],ROWS(Params!AI$2:$AI691)))=0,NA(),
INDEX(TAB_Offres[Ressource 1],ROWS(Params!AI$2:$AI691)))),
IFERROR(_xlfn.SINGLE(IF(_xlfn.SINGLE(INDEX(#REF!,ROWS(Params!AI$2:$AI691)-COUNTA(TAB_Offres[Ressource 1])))=0,NA(),
INDEX(#REF!,ROWS(Params!AI$2:$AI691)-COUNTA(TAB_Offres[Ressource 1])))),
IFERROR(_xlfn.SINGLE(IF(_xlfn.SINGLE(INDEX(#REF!,ROWS(Params!AI$2:$AI691)-COUNTA(#REF!)-COUNTA(TAB_Offres[Ressource 1])))=0,NA(),
INDEX(#REF!,ROWS(Params!AI$2:$AI691)-COUNTA(#REF!)-COUNTA(TAB_Offres[Ressource 1])))),""))
)</f>
        <v/>
      </c>
      <c r="AJ691" s="192" t="str">
        <f>IF(TAB_ressource[[#This Row],[Import Ressource]]="","",MAX(AJ$1:AJ690)+1)</f>
        <v/>
      </c>
      <c r="AK691" s="193" t="str">
        <f>IFERROR(INDEX(TAB_ressource[Import Ressource],MATCH(ROW()-ROW($AK$1),TAB_ressource[ID Import ressources],0)),"")</f>
        <v/>
      </c>
      <c r="BD691" t="s">
        <v>2683</v>
      </c>
      <c r="BE691" t="s">
        <v>2684</v>
      </c>
      <c r="BF691" t="s">
        <v>2685</v>
      </c>
      <c r="BG691" t="s">
        <v>2683</v>
      </c>
    </row>
    <row r="692" spans="13:59" x14ac:dyDescent="0.25">
      <c r="M692" t="str">
        <f>_xlfn.IFNA(IF(VLOOKUP(TAB_Offres[[#This Row],[Reference]],TAB_Offres[[Reference]:[Request State]],COLUMNS(TAB_Offres[[Reference]:[Request State]]),FALSE)=D$6,TAB_Offres[[#This Row],[Reference]],""),"")</f>
        <v/>
      </c>
      <c r="N692" t="str">
        <f>_xlfn.IFNA(IF(VLOOKUP(TAB_Offres[[#This Row],[Reference]],TAB_Offres[[Reference]:[Has Expenses?]],COLUMNS(TAB_Offres[[Reference]:[Has Expenses?]]),FALSE)=J$2,TAB_Offres[[#This Row],[Reference]],""),"")</f>
        <v/>
      </c>
      <c r="O692" t="str">
        <f>IF(Tableau19[[#This Row],[EXPENSES_REF]]="","",MAX(O$1:O691)+1)</f>
        <v/>
      </c>
      <c r="P692" t="str">
        <f t="shared" si="23"/>
        <v/>
      </c>
      <c r="AI692" s="191" t="str">
        <f>IFERROR(_xlfn.SINGLE(
IF(_xlfn.SINGLE(INDEX(TAB_Offres[Ressource 1],ROWS(Params!AI$2:$AI692)))=0,NA(),
INDEX(TAB_Offres[Ressource 1],ROWS(Params!AI$2:$AI692)))),
IFERROR(_xlfn.SINGLE(IF(_xlfn.SINGLE(INDEX(#REF!,ROWS(Params!AI$2:$AI692)-COUNTA(TAB_Offres[Ressource 1])))=0,NA(),
INDEX(#REF!,ROWS(Params!AI$2:$AI692)-COUNTA(TAB_Offres[Ressource 1])))),
IFERROR(_xlfn.SINGLE(IF(_xlfn.SINGLE(INDEX(#REF!,ROWS(Params!AI$2:$AI692)-COUNTA(#REF!)-COUNTA(TAB_Offres[Ressource 1])))=0,NA(),
INDEX(#REF!,ROWS(Params!AI$2:$AI692)-COUNTA(#REF!)-COUNTA(TAB_Offres[Ressource 1])))),""))
)</f>
        <v/>
      </c>
      <c r="AJ692" s="192" t="str">
        <f>IF(TAB_ressource[[#This Row],[Import Ressource]]="","",MAX(AJ$1:AJ691)+1)</f>
        <v/>
      </c>
      <c r="AK692" s="193" t="str">
        <f>IFERROR(INDEX(TAB_ressource[Import Ressource],MATCH(ROW()-ROW($AK$1),TAB_ressource[ID Import ressources],0)),"")</f>
        <v/>
      </c>
      <c r="BD692" t="s">
        <v>2686</v>
      </c>
      <c r="BE692" t="s">
        <v>2687</v>
      </c>
      <c r="BF692" t="s">
        <v>2688</v>
      </c>
      <c r="BG692" t="s">
        <v>2686</v>
      </c>
    </row>
    <row r="693" spans="13:59" x14ac:dyDescent="0.25">
      <c r="M693" t="str">
        <f>_xlfn.IFNA(IF(VLOOKUP(TAB_Offres[[#This Row],[Reference]],TAB_Offres[[Reference]:[Request State]],COLUMNS(TAB_Offres[[Reference]:[Request State]]),FALSE)=D$6,TAB_Offres[[#This Row],[Reference]],""),"")</f>
        <v/>
      </c>
      <c r="N693" t="str">
        <f>_xlfn.IFNA(IF(VLOOKUP(TAB_Offres[[#This Row],[Reference]],TAB_Offres[[Reference]:[Has Expenses?]],COLUMNS(TAB_Offres[[Reference]:[Has Expenses?]]),FALSE)=J$2,TAB_Offres[[#This Row],[Reference]],""),"")</f>
        <v/>
      </c>
      <c r="O693" t="str">
        <f>IF(Tableau19[[#This Row],[EXPENSES_REF]]="","",MAX(O$1:O692)+1)</f>
        <v/>
      </c>
      <c r="P693" t="str">
        <f t="shared" si="23"/>
        <v/>
      </c>
      <c r="AI693" s="191" t="str">
        <f>IFERROR(_xlfn.SINGLE(
IF(_xlfn.SINGLE(INDEX(TAB_Offres[Ressource 1],ROWS(Params!AI$2:$AI693)))=0,NA(),
INDEX(TAB_Offres[Ressource 1],ROWS(Params!AI$2:$AI693)))),
IFERROR(_xlfn.SINGLE(IF(_xlfn.SINGLE(INDEX(#REF!,ROWS(Params!AI$2:$AI693)-COUNTA(TAB_Offres[Ressource 1])))=0,NA(),
INDEX(#REF!,ROWS(Params!AI$2:$AI693)-COUNTA(TAB_Offres[Ressource 1])))),
IFERROR(_xlfn.SINGLE(IF(_xlfn.SINGLE(INDEX(#REF!,ROWS(Params!AI$2:$AI693)-COUNTA(#REF!)-COUNTA(TAB_Offres[Ressource 1])))=0,NA(),
INDEX(#REF!,ROWS(Params!AI$2:$AI693)-COUNTA(#REF!)-COUNTA(TAB_Offres[Ressource 1])))),""))
)</f>
        <v/>
      </c>
      <c r="AJ693" s="192" t="str">
        <f>IF(TAB_ressource[[#This Row],[Import Ressource]]="","",MAX(AJ$1:AJ692)+1)</f>
        <v/>
      </c>
      <c r="AK693" s="193" t="str">
        <f>IFERROR(INDEX(TAB_ressource[Import Ressource],MATCH(ROW()-ROW($AK$1),TAB_ressource[ID Import ressources],0)),"")</f>
        <v/>
      </c>
      <c r="BD693" t="s">
        <v>2689</v>
      </c>
      <c r="BE693" t="s">
        <v>2690</v>
      </c>
      <c r="BF693" t="s">
        <v>2691</v>
      </c>
      <c r="BG693" t="s">
        <v>2689</v>
      </c>
    </row>
    <row r="694" spans="13:59" x14ac:dyDescent="0.25">
      <c r="M694" t="str">
        <f>_xlfn.IFNA(IF(VLOOKUP(TAB_Offres[[#This Row],[Reference]],TAB_Offres[[Reference]:[Request State]],COLUMNS(TAB_Offres[[Reference]:[Request State]]),FALSE)=D$6,TAB_Offres[[#This Row],[Reference]],""),"")</f>
        <v/>
      </c>
      <c r="N694" t="str">
        <f>_xlfn.IFNA(IF(VLOOKUP(TAB_Offres[[#This Row],[Reference]],TAB_Offres[[Reference]:[Has Expenses?]],COLUMNS(TAB_Offres[[Reference]:[Has Expenses?]]),FALSE)=J$2,TAB_Offres[[#This Row],[Reference]],""),"")</f>
        <v/>
      </c>
      <c r="O694" t="str">
        <f>IF(Tableau19[[#This Row],[EXPENSES_REF]]="","",MAX(O$1:O693)+1)</f>
        <v/>
      </c>
      <c r="P694" t="str">
        <f t="shared" si="23"/>
        <v/>
      </c>
      <c r="AI694" s="191" t="str">
        <f>IFERROR(_xlfn.SINGLE(
IF(_xlfn.SINGLE(INDEX(TAB_Offres[Ressource 1],ROWS(Params!AI$2:$AI694)))=0,NA(),
INDEX(TAB_Offres[Ressource 1],ROWS(Params!AI$2:$AI694)))),
IFERROR(_xlfn.SINGLE(IF(_xlfn.SINGLE(INDEX(#REF!,ROWS(Params!AI$2:$AI694)-COUNTA(TAB_Offres[Ressource 1])))=0,NA(),
INDEX(#REF!,ROWS(Params!AI$2:$AI694)-COUNTA(TAB_Offres[Ressource 1])))),
IFERROR(_xlfn.SINGLE(IF(_xlfn.SINGLE(INDEX(#REF!,ROWS(Params!AI$2:$AI694)-COUNTA(#REF!)-COUNTA(TAB_Offres[Ressource 1])))=0,NA(),
INDEX(#REF!,ROWS(Params!AI$2:$AI694)-COUNTA(#REF!)-COUNTA(TAB_Offres[Ressource 1])))),""))
)</f>
        <v/>
      </c>
      <c r="AJ694" s="192" t="str">
        <f>IF(TAB_ressource[[#This Row],[Import Ressource]]="","",MAX(AJ$1:AJ693)+1)</f>
        <v/>
      </c>
      <c r="AK694" s="193" t="str">
        <f>IFERROR(INDEX(TAB_ressource[Import Ressource],MATCH(ROW()-ROW($AK$1),TAB_ressource[ID Import ressources],0)),"")</f>
        <v/>
      </c>
      <c r="BD694" t="s">
        <v>2692</v>
      </c>
      <c r="BE694" t="s">
        <v>2693</v>
      </c>
      <c r="BF694" t="s">
        <v>2694</v>
      </c>
      <c r="BG694" t="s">
        <v>2692</v>
      </c>
    </row>
    <row r="695" spans="13:59" x14ac:dyDescent="0.25">
      <c r="M695" t="str">
        <f>_xlfn.IFNA(IF(VLOOKUP(TAB_Offres[[#This Row],[Reference]],TAB_Offres[[Reference]:[Request State]],COLUMNS(TAB_Offres[[Reference]:[Request State]]),FALSE)=D$6,TAB_Offres[[#This Row],[Reference]],""),"")</f>
        <v/>
      </c>
      <c r="N695" t="str">
        <f>_xlfn.IFNA(IF(VLOOKUP(TAB_Offres[[#This Row],[Reference]],TAB_Offres[[Reference]:[Has Expenses?]],COLUMNS(TAB_Offres[[Reference]:[Has Expenses?]]),FALSE)=J$2,TAB_Offres[[#This Row],[Reference]],""),"")</f>
        <v/>
      </c>
      <c r="O695" t="str">
        <f>IF(Tableau19[[#This Row],[EXPENSES_REF]]="","",MAX(O$1:O694)+1)</f>
        <v/>
      </c>
      <c r="P695" t="str">
        <f t="shared" si="23"/>
        <v/>
      </c>
      <c r="AI695" s="191" t="str">
        <f>IFERROR(_xlfn.SINGLE(
IF(_xlfn.SINGLE(INDEX(TAB_Offres[Ressource 1],ROWS(Params!AI$2:$AI695)))=0,NA(),
INDEX(TAB_Offres[Ressource 1],ROWS(Params!AI$2:$AI695)))),
IFERROR(_xlfn.SINGLE(IF(_xlfn.SINGLE(INDEX(#REF!,ROWS(Params!AI$2:$AI695)-COUNTA(TAB_Offres[Ressource 1])))=0,NA(),
INDEX(#REF!,ROWS(Params!AI$2:$AI695)-COUNTA(TAB_Offres[Ressource 1])))),
IFERROR(_xlfn.SINGLE(IF(_xlfn.SINGLE(INDEX(#REF!,ROWS(Params!AI$2:$AI695)-COUNTA(#REF!)-COUNTA(TAB_Offres[Ressource 1])))=0,NA(),
INDEX(#REF!,ROWS(Params!AI$2:$AI695)-COUNTA(#REF!)-COUNTA(TAB_Offres[Ressource 1])))),""))
)</f>
        <v/>
      </c>
      <c r="AJ695" s="192" t="str">
        <f>IF(TAB_ressource[[#This Row],[Import Ressource]]="","",MAX(AJ$1:AJ694)+1)</f>
        <v/>
      </c>
      <c r="AK695" s="193" t="str">
        <f>IFERROR(INDEX(TAB_ressource[Import Ressource],MATCH(ROW()-ROW($AK$1),TAB_ressource[ID Import ressources],0)),"")</f>
        <v/>
      </c>
      <c r="BD695" t="s">
        <v>2695</v>
      </c>
      <c r="BE695" t="s">
        <v>2696</v>
      </c>
      <c r="BF695" t="s">
        <v>2697</v>
      </c>
      <c r="BG695" t="s">
        <v>2695</v>
      </c>
    </row>
    <row r="696" spans="13:59" x14ac:dyDescent="0.25">
      <c r="M696" t="str">
        <f>_xlfn.IFNA(IF(VLOOKUP(TAB_Offres[[#This Row],[Reference]],TAB_Offres[[Reference]:[Request State]],COLUMNS(TAB_Offres[[Reference]:[Request State]]),FALSE)=D$6,TAB_Offres[[#This Row],[Reference]],""),"")</f>
        <v/>
      </c>
      <c r="N696" t="str">
        <f>_xlfn.IFNA(IF(VLOOKUP(TAB_Offres[[#This Row],[Reference]],TAB_Offres[[Reference]:[Has Expenses?]],COLUMNS(TAB_Offres[[Reference]:[Has Expenses?]]),FALSE)=J$2,TAB_Offres[[#This Row],[Reference]],""),"")</f>
        <v/>
      </c>
      <c r="O696" t="str">
        <f>IF(Tableau19[[#This Row],[EXPENSES_REF]]="","",MAX(O$1:O695)+1)</f>
        <v/>
      </c>
      <c r="P696" t="str">
        <f t="shared" si="23"/>
        <v/>
      </c>
      <c r="AI696" s="191" t="str">
        <f>IFERROR(_xlfn.SINGLE(
IF(_xlfn.SINGLE(INDEX(TAB_Offres[Ressource 1],ROWS(Params!AI$2:$AI696)))=0,NA(),
INDEX(TAB_Offres[Ressource 1],ROWS(Params!AI$2:$AI696)))),
IFERROR(_xlfn.SINGLE(IF(_xlfn.SINGLE(INDEX(#REF!,ROWS(Params!AI$2:$AI696)-COUNTA(TAB_Offres[Ressource 1])))=0,NA(),
INDEX(#REF!,ROWS(Params!AI$2:$AI696)-COUNTA(TAB_Offres[Ressource 1])))),
IFERROR(_xlfn.SINGLE(IF(_xlfn.SINGLE(INDEX(#REF!,ROWS(Params!AI$2:$AI696)-COUNTA(#REF!)-COUNTA(TAB_Offres[Ressource 1])))=0,NA(),
INDEX(#REF!,ROWS(Params!AI$2:$AI696)-COUNTA(#REF!)-COUNTA(TAB_Offres[Ressource 1])))),""))
)</f>
        <v/>
      </c>
      <c r="AJ696" s="192" t="str">
        <f>IF(TAB_ressource[[#This Row],[Import Ressource]]="","",MAX(AJ$1:AJ695)+1)</f>
        <v/>
      </c>
      <c r="AK696" s="193" t="str">
        <f>IFERROR(INDEX(TAB_ressource[Import Ressource],MATCH(ROW()-ROW($AK$1),TAB_ressource[ID Import ressources],0)),"")</f>
        <v/>
      </c>
      <c r="BD696" t="s">
        <v>2698</v>
      </c>
      <c r="BE696" t="s">
        <v>2699</v>
      </c>
      <c r="BF696" t="s">
        <v>2700</v>
      </c>
      <c r="BG696" t="s">
        <v>2698</v>
      </c>
    </row>
    <row r="697" spans="13:59" x14ac:dyDescent="0.25">
      <c r="M697" t="str">
        <f>_xlfn.IFNA(IF(VLOOKUP(TAB_Offres[[#This Row],[Reference]],TAB_Offres[[Reference]:[Request State]],COLUMNS(TAB_Offres[[Reference]:[Request State]]),FALSE)=D$6,TAB_Offres[[#This Row],[Reference]],""),"")</f>
        <v/>
      </c>
      <c r="N697" t="str">
        <f>_xlfn.IFNA(IF(VLOOKUP(TAB_Offres[[#This Row],[Reference]],TAB_Offres[[Reference]:[Has Expenses?]],COLUMNS(TAB_Offres[[Reference]:[Has Expenses?]]),FALSE)=J$2,TAB_Offres[[#This Row],[Reference]],""),"")</f>
        <v/>
      </c>
      <c r="O697" t="str">
        <f>IF(Tableau19[[#This Row],[EXPENSES_REF]]="","",MAX(O$1:O696)+1)</f>
        <v/>
      </c>
      <c r="P697" t="str">
        <f t="shared" si="23"/>
        <v/>
      </c>
      <c r="AI697" s="191" t="str">
        <f>IFERROR(_xlfn.SINGLE(
IF(_xlfn.SINGLE(INDEX(TAB_Offres[Ressource 1],ROWS(Params!AI$2:$AI697)))=0,NA(),
INDEX(TAB_Offres[Ressource 1],ROWS(Params!AI$2:$AI697)))),
IFERROR(_xlfn.SINGLE(IF(_xlfn.SINGLE(INDEX(#REF!,ROWS(Params!AI$2:$AI697)-COUNTA(TAB_Offres[Ressource 1])))=0,NA(),
INDEX(#REF!,ROWS(Params!AI$2:$AI697)-COUNTA(TAB_Offres[Ressource 1])))),
IFERROR(_xlfn.SINGLE(IF(_xlfn.SINGLE(INDEX(#REF!,ROWS(Params!AI$2:$AI697)-COUNTA(#REF!)-COUNTA(TAB_Offres[Ressource 1])))=0,NA(),
INDEX(#REF!,ROWS(Params!AI$2:$AI697)-COUNTA(#REF!)-COUNTA(TAB_Offres[Ressource 1])))),""))
)</f>
        <v/>
      </c>
      <c r="AJ697" s="192" t="str">
        <f>IF(TAB_ressource[[#This Row],[Import Ressource]]="","",MAX(AJ$1:AJ696)+1)</f>
        <v/>
      </c>
      <c r="AK697" s="193" t="str">
        <f>IFERROR(INDEX(TAB_ressource[Import Ressource],MATCH(ROW()-ROW($AK$1),TAB_ressource[ID Import ressources],0)),"")</f>
        <v/>
      </c>
      <c r="BD697" t="s">
        <v>2701</v>
      </c>
      <c r="BE697" t="s">
        <v>2702</v>
      </c>
      <c r="BF697" t="s">
        <v>2703</v>
      </c>
      <c r="BG697" t="s">
        <v>2701</v>
      </c>
    </row>
    <row r="698" spans="13:59" x14ac:dyDescent="0.25">
      <c r="M698" t="str">
        <f>_xlfn.IFNA(IF(VLOOKUP(TAB_Offres[[#This Row],[Reference]],TAB_Offres[[Reference]:[Request State]],COLUMNS(TAB_Offres[[Reference]:[Request State]]),FALSE)=D$6,TAB_Offres[[#This Row],[Reference]],""),"")</f>
        <v/>
      </c>
      <c r="N698" t="str">
        <f>_xlfn.IFNA(IF(VLOOKUP(TAB_Offres[[#This Row],[Reference]],TAB_Offres[[Reference]:[Has Expenses?]],COLUMNS(TAB_Offres[[Reference]:[Has Expenses?]]),FALSE)=J$2,TAB_Offres[[#This Row],[Reference]],""),"")</f>
        <v/>
      </c>
      <c r="O698" t="str">
        <f>IF(Tableau19[[#This Row],[EXPENSES_REF]]="","",MAX(O$1:O697)+1)</f>
        <v/>
      </c>
      <c r="P698" t="str">
        <f t="shared" si="23"/>
        <v/>
      </c>
      <c r="AI698" s="191" t="str">
        <f>IFERROR(_xlfn.SINGLE(
IF(_xlfn.SINGLE(INDEX(TAB_Offres[Ressource 1],ROWS(Params!AI$2:$AI698)))=0,NA(),
INDEX(TAB_Offres[Ressource 1],ROWS(Params!AI$2:$AI698)))),
IFERROR(_xlfn.SINGLE(IF(_xlfn.SINGLE(INDEX(#REF!,ROWS(Params!AI$2:$AI698)-COUNTA(TAB_Offres[Ressource 1])))=0,NA(),
INDEX(#REF!,ROWS(Params!AI$2:$AI698)-COUNTA(TAB_Offres[Ressource 1])))),
IFERROR(_xlfn.SINGLE(IF(_xlfn.SINGLE(INDEX(#REF!,ROWS(Params!AI$2:$AI698)-COUNTA(#REF!)-COUNTA(TAB_Offres[Ressource 1])))=0,NA(),
INDEX(#REF!,ROWS(Params!AI$2:$AI698)-COUNTA(#REF!)-COUNTA(TAB_Offres[Ressource 1])))),""))
)</f>
        <v/>
      </c>
      <c r="AJ698" s="192" t="str">
        <f>IF(TAB_ressource[[#This Row],[Import Ressource]]="","",MAX(AJ$1:AJ697)+1)</f>
        <v/>
      </c>
      <c r="AK698" s="193" t="str">
        <f>IFERROR(INDEX(TAB_ressource[Import Ressource],MATCH(ROW()-ROW($AK$1),TAB_ressource[ID Import ressources],0)),"")</f>
        <v/>
      </c>
      <c r="BD698" t="s">
        <v>2704</v>
      </c>
      <c r="BE698" t="s">
        <v>2705</v>
      </c>
      <c r="BF698" t="s">
        <v>2706</v>
      </c>
      <c r="BG698" t="s">
        <v>2704</v>
      </c>
    </row>
    <row r="699" spans="13:59" x14ac:dyDescent="0.25">
      <c r="M699" t="str">
        <f>_xlfn.IFNA(IF(VLOOKUP(TAB_Offres[[#This Row],[Reference]],TAB_Offres[[Reference]:[Request State]],COLUMNS(TAB_Offres[[Reference]:[Request State]]),FALSE)=D$6,TAB_Offres[[#This Row],[Reference]],""),"")</f>
        <v/>
      </c>
      <c r="N699" t="str">
        <f>_xlfn.IFNA(IF(VLOOKUP(TAB_Offres[[#This Row],[Reference]],TAB_Offres[[Reference]:[Has Expenses?]],COLUMNS(TAB_Offres[[Reference]:[Has Expenses?]]),FALSE)=J$2,TAB_Offres[[#This Row],[Reference]],""),"")</f>
        <v/>
      </c>
      <c r="O699" t="str">
        <f>IF(Tableau19[[#This Row],[EXPENSES_REF]]="","",MAX(O$1:O698)+1)</f>
        <v/>
      </c>
      <c r="P699" t="str">
        <f t="shared" si="23"/>
        <v/>
      </c>
      <c r="AI699" s="191" t="str">
        <f>IFERROR(_xlfn.SINGLE(
IF(_xlfn.SINGLE(INDEX(TAB_Offres[Ressource 1],ROWS(Params!AI$2:$AI699)))=0,NA(),
INDEX(TAB_Offres[Ressource 1],ROWS(Params!AI$2:$AI699)))),
IFERROR(_xlfn.SINGLE(IF(_xlfn.SINGLE(INDEX(#REF!,ROWS(Params!AI$2:$AI699)-COUNTA(TAB_Offres[Ressource 1])))=0,NA(),
INDEX(#REF!,ROWS(Params!AI$2:$AI699)-COUNTA(TAB_Offres[Ressource 1])))),
IFERROR(_xlfn.SINGLE(IF(_xlfn.SINGLE(INDEX(#REF!,ROWS(Params!AI$2:$AI699)-COUNTA(#REF!)-COUNTA(TAB_Offres[Ressource 1])))=0,NA(),
INDEX(#REF!,ROWS(Params!AI$2:$AI699)-COUNTA(#REF!)-COUNTA(TAB_Offres[Ressource 1])))),""))
)</f>
        <v/>
      </c>
      <c r="AJ699" s="192" t="str">
        <f>IF(TAB_ressource[[#This Row],[Import Ressource]]="","",MAX(AJ$1:AJ698)+1)</f>
        <v/>
      </c>
      <c r="AK699" s="193" t="str">
        <f>IFERROR(INDEX(TAB_ressource[Import Ressource],MATCH(ROW()-ROW($AK$1),TAB_ressource[ID Import ressources],0)),"")</f>
        <v/>
      </c>
      <c r="BD699" t="s">
        <v>2707</v>
      </c>
      <c r="BE699" t="s">
        <v>2708</v>
      </c>
      <c r="BF699" t="s">
        <v>2709</v>
      </c>
      <c r="BG699" t="s">
        <v>2707</v>
      </c>
    </row>
    <row r="700" spans="13:59" x14ac:dyDescent="0.25">
      <c r="M700" t="str">
        <f>_xlfn.IFNA(IF(VLOOKUP(TAB_Offres[[#This Row],[Reference]],TAB_Offres[[Reference]:[Request State]],COLUMNS(TAB_Offres[[Reference]:[Request State]]),FALSE)=D$6,TAB_Offres[[#This Row],[Reference]],""),"")</f>
        <v/>
      </c>
      <c r="N700" t="str">
        <f>_xlfn.IFNA(IF(VLOOKUP(TAB_Offres[[#This Row],[Reference]],TAB_Offres[[Reference]:[Has Expenses?]],COLUMNS(TAB_Offres[[Reference]:[Has Expenses?]]),FALSE)=J$2,TAB_Offres[[#This Row],[Reference]],""),"")</f>
        <v/>
      </c>
      <c r="O700" t="str">
        <f>IF(Tableau19[[#This Row],[EXPENSES_REF]]="","",MAX(O$1:O699)+1)</f>
        <v/>
      </c>
      <c r="P700" t="str">
        <f t="shared" si="23"/>
        <v/>
      </c>
      <c r="AI700" s="191" t="str">
        <f>IFERROR(_xlfn.SINGLE(
IF(_xlfn.SINGLE(INDEX(TAB_Offres[Ressource 1],ROWS(Params!AI$2:$AI700)))=0,NA(),
INDEX(TAB_Offres[Ressource 1],ROWS(Params!AI$2:$AI700)))),
IFERROR(_xlfn.SINGLE(IF(_xlfn.SINGLE(INDEX(#REF!,ROWS(Params!AI$2:$AI700)-COUNTA(TAB_Offres[Ressource 1])))=0,NA(),
INDEX(#REF!,ROWS(Params!AI$2:$AI700)-COUNTA(TAB_Offres[Ressource 1])))),
IFERROR(_xlfn.SINGLE(IF(_xlfn.SINGLE(INDEX(#REF!,ROWS(Params!AI$2:$AI700)-COUNTA(#REF!)-COUNTA(TAB_Offres[Ressource 1])))=0,NA(),
INDEX(#REF!,ROWS(Params!AI$2:$AI700)-COUNTA(#REF!)-COUNTA(TAB_Offres[Ressource 1])))),""))
)</f>
        <v/>
      </c>
      <c r="AJ700" s="192" t="str">
        <f>IF(TAB_ressource[[#This Row],[Import Ressource]]="","",MAX(AJ$1:AJ699)+1)</f>
        <v/>
      </c>
      <c r="AK700" s="193" t="str">
        <f>IFERROR(INDEX(TAB_ressource[Import Ressource],MATCH(ROW()-ROW($AK$1),TAB_ressource[ID Import ressources],0)),"")</f>
        <v/>
      </c>
      <c r="BD700" t="s">
        <v>2710</v>
      </c>
      <c r="BE700" t="s">
        <v>2711</v>
      </c>
      <c r="BF700" t="s">
        <v>2712</v>
      </c>
      <c r="BG700" t="s">
        <v>2710</v>
      </c>
    </row>
    <row r="701" spans="13:59" x14ac:dyDescent="0.25">
      <c r="M701" t="str">
        <f>_xlfn.IFNA(IF(VLOOKUP(TAB_Offres[[#This Row],[Reference]],TAB_Offres[[Reference]:[Request State]],COLUMNS(TAB_Offres[[Reference]:[Request State]]),FALSE)=D$6,TAB_Offres[[#This Row],[Reference]],""),"")</f>
        <v/>
      </c>
      <c r="N701" t="str">
        <f>_xlfn.IFNA(IF(VLOOKUP(TAB_Offres[[#This Row],[Reference]],TAB_Offres[[Reference]:[Has Expenses?]],COLUMNS(TAB_Offres[[Reference]:[Has Expenses?]]),FALSE)=J$2,TAB_Offres[[#This Row],[Reference]],""),"")</f>
        <v/>
      </c>
      <c r="O701" t="str">
        <f>IF(Tableau19[[#This Row],[EXPENSES_REF]]="","",MAX(O$1:O700)+1)</f>
        <v/>
      </c>
      <c r="P701" t="str">
        <f t="shared" si="23"/>
        <v/>
      </c>
      <c r="AI701" s="191" t="str">
        <f>IFERROR(_xlfn.SINGLE(
IF(_xlfn.SINGLE(INDEX(TAB_Offres[Ressource 1],ROWS(Params!AI$2:$AI701)))=0,NA(),
INDEX(TAB_Offres[Ressource 1],ROWS(Params!AI$2:$AI701)))),
IFERROR(_xlfn.SINGLE(IF(_xlfn.SINGLE(INDEX(#REF!,ROWS(Params!AI$2:$AI701)-COUNTA(TAB_Offres[Ressource 1])))=0,NA(),
INDEX(#REF!,ROWS(Params!AI$2:$AI701)-COUNTA(TAB_Offres[Ressource 1])))),
IFERROR(_xlfn.SINGLE(IF(_xlfn.SINGLE(INDEX(#REF!,ROWS(Params!AI$2:$AI701)-COUNTA(#REF!)-COUNTA(TAB_Offres[Ressource 1])))=0,NA(),
INDEX(#REF!,ROWS(Params!AI$2:$AI701)-COUNTA(#REF!)-COUNTA(TAB_Offres[Ressource 1])))),""))
)</f>
        <v/>
      </c>
      <c r="AJ701" s="192" t="str">
        <f>IF(TAB_ressource[[#This Row],[Import Ressource]]="","",MAX(AJ$1:AJ700)+1)</f>
        <v/>
      </c>
      <c r="AK701" s="193" t="str">
        <f>IFERROR(INDEX(TAB_ressource[Import Ressource],MATCH(ROW()-ROW($AK$1),TAB_ressource[ID Import ressources],0)),"")</f>
        <v/>
      </c>
      <c r="BD701" t="s">
        <v>2713</v>
      </c>
      <c r="BE701" t="s">
        <v>2714</v>
      </c>
      <c r="BF701" t="s">
        <v>2715</v>
      </c>
      <c r="BG701" t="s">
        <v>2713</v>
      </c>
    </row>
    <row r="702" spans="13:59" x14ac:dyDescent="0.25">
      <c r="M702" t="str">
        <f>_xlfn.IFNA(IF(VLOOKUP(TAB_Offres[[#This Row],[Reference]],TAB_Offres[[Reference]:[Request State]],COLUMNS(TAB_Offres[[Reference]:[Request State]]),FALSE)=D$6,TAB_Offres[[#This Row],[Reference]],""),"")</f>
        <v/>
      </c>
      <c r="N702" t="str">
        <f>_xlfn.IFNA(IF(VLOOKUP(TAB_Offres[[#This Row],[Reference]],TAB_Offres[[Reference]:[Has Expenses?]],COLUMNS(TAB_Offres[[Reference]:[Has Expenses?]]),FALSE)=J$2,TAB_Offres[[#This Row],[Reference]],""),"")</f>
        <v/>
      </c>
      <c r="O702" t="str">
        <f>IF(Tableau19[[#This Row],[EXPENSES_REF]]="","",MAX(O$1:O701)+1)</f>
        <v/>
      </c>
      <c r="P702" t="str">
        <f t="shared" si="23"/>
        <v/>
      </c>
      <c r="AI702" s="191" t="str">
        <f>IFERROR(_xlfn.SINGLE(
IF(_xlfn.SINGLE(INDEX(TAB_Offres[Ressource 1],ROWS(Params!AI$2:$AI702)))=0,NA(),
INDEX(TAB_Offres[Ressource 1],ROWS(Params!AI$2:$AI702)))),
IFERROR(_xlfn.SINGLE(IF(_xlfn.SINGLE(INDEX(#REF!,ROWS(Params!AI$2:$AI702)-COUNTA(TAB_Offres[Ressource 1])))=0,NA(),
INDEX(#REF!,ROWS(Params!AI$2:$AI702)-COUNTA(TAB_Offres[Ressource 1])))),
IFERROR(_xlfn.SINGLE(IF(_xlfn.SINGLE(INDEX(#REF!,ROWS(Params!AI$2:$AI702)-COUNTA(#REF!)-COUNTA(TAB_Offres[Ressource 1])))=0,NA(),
INDEX(#REF!,ROWS(Params!AI$2:$AI702)-COUNTA(#REF!)-COUNTA(TAB_Offres[Ressource 1])))),""))
)</f>
        <v/>
      </c>
      <c r="AJ702" s="192" t="str">
        <f>IF(TAB_ressource[[#This Row],[Import Ressource]]="","",MAX(AJ$1:AJ701)+1)</f>
        <v/>
      </c>
      <c r="AK702" s="193" t="str">
        <f>IFERROR(INDEX(TAB_ressource[Import Ressource],MATCH(ROW()-ROW($AK$1),TAB_ressource[ID Import ressources],0)),"")</f>
        <v/>
      </c>
      <c r="BD702" t="s">
        <v>2716</v>
      </c>
      <c r="BE702" t="s">
        <v>2717</v>
      </c>
      <c r="BF702" t="s">
        <v>2718</v>
      </c>
      <c r="BG702" t="s">
        <v>2716</v>
      </c>
    </row>
    <row r="703" spans="13:59" x14ac:dyDescent="0.25">
      <c r="M703" t="str">
        <f>_xlfn.IFNA(IF(VLOOKUP(TAB_Offres[[#This Row],[Reference]],TAB_Offres[[Reference]:[Request State]],COLUMNS(TAB_Offres[[Reference]:[Request State]]),FALSE)=D$6,TAB_Offres[[#This Row],[Reference]],""),"")</f>
        <v/>
      </c>
      <c r="N703" t="str">
        <f>_xlfn.IFNA(IF(VLOOKUP(TAB_Offres[[#This Row],[Reference]],TAB_Offres[[Reference]:[Has Expenses?]],COLUMNS(TAB_Offres[[Reference]:[Has Expenses?]]),FALSE)=J$2,TAB_Offres[[#This Row],[Reference]],""),"")</f>
        <v/>
      </c>
      <c r="O703" t="str">
        <f>IF(Tableau19[[#This Row],[EXPENSES_REF]]="","",MAX(O$1:O702)+1)</f>
        <v/>
      </c>
      <c r="P703" t="str">
        <f t="shared" si="23"/>
        <v/>
      </c>
      <c r="AI703" s="191" t="str">
        <f>IFERROR(_xlfn.SINGLE(
IF(_xlfn.SINGLE(INDEX(TAB_Offres[Ressource 1],ROWS(Params!AI$2:$AI703)))=0,NA(),
INDEX(TAB_Offres[Ressource 1],ROWS(Params!AI$2:$AI703)))),
IFERROR(_xlfn.SINGLE(IF(_xlfn.SINGLE(INDEX(#REF!,ROWS(Params!AI$2:$AI703)-COUNTA(TAB_Offres[Ressource 1])))=0,NA(),
INDEX(#REF!,ROWS(Params!AI$2:$AI703)-COUNTA(TAB_Offres[Ressource 1])))),
IFERROR(_xlfn.SINGLE(IF(_xlfn.SINGLE(INDEX(#REF!,ROWS(Params!AI$2:$AI703)-COUNTA(#REF!)-COUNTA(TAB_Offres[Ressource 1])))=0,NA(),
INDEX(#REF!,ROWS(Params!AI$2:$AI703)-COUNTA(#REF!)-COUNTA(TAB_Offres[Ressource 1])))),""))
)</f>
        <v/>
      </c>
      <c r="AJ703" s="192" t="str">
        <f>IF(TAB_ressource[[#This Row],[Import Ressource]]="","",MAX(AJ$1:AJ702)+1)</f>
        <v/>
      </c>
      <c r="AK703" s="193" t="str">
        <f>IFERROR(INDEX(TAB_ressource[Import Ressource],MATCH(ROW()-ROW($AK$1),TAB_ressource[ID Import ressources],0)),"")</f>
        <v/>
      </c>
      <c r="BD703" t="s">
        <v>2719</v>
      </c>
      <c r="BE703" t="s">
        <v>2720</v>
      </c>
      <c r="BF703" t="s">
        <v>2721</v>
      </c>
      <c r="BG703" t="s">
        <v>2719</v>
      </c>
    </row>
    <row r="704" spans="13:59" x14ac:dyDescent="0.25">
      <c r="M704" t="str">
        <f>_xlfn.IFNA(IF(VLOOKUP(TAB_Offres[[#This Row],[Reference]],TAB_Offres[[Reference]:[Request State]],COLUMNS(TAB_Offres[[Reference]:[Request State]]),FALSE)=D$6,TAB_Offres[[#This Row],[Reference]],""),"")</f>
        <v/>
      </c>
      <c r="N704" t="str">
        <f>_xlfn.IFNA(IF(VLOOKUP(TAB_Offres[[#This Row],[Reference]],TAB_Offres[[Reference]:[Has Expenses?]],COLUMNS(TAB_Offres[[Reference]:[Has Expenses?]]),FALSE)=J$2,TAB_Offres[[#This Row],[Reference]],""),"")</f>
        <v/>
      </c>
      <c r="O704" t="str">
        <f>IF(Tableau19[[#This Row],[EXPENSES_REF]]="","",MAX(O$1:O703)+1)</f>
        <v/>
      </c>
      <c r="P704" t="str">
        <f t="shared" si="23"/>
        <v/>
      </c>
      <c r="AI704" s="191" t="str">
        <f>IFERROR(_xlfn.SINGLE(
IF(_xlfn.SINGLE(INDEX(TAB_Offres[Ressource 1],ROWS(Params!AI$2:$AI704)))=0,NA(),
INDEX(TAB_Offres[Ressource 1],ROWS(Params!AI$2:$AI704)))),
IFERROR(_xlfn.SINGLE(IF(_xlfn.SINGLE(INDEX(#REF!,ROWS(Params!AI$2:$AI704)-COUNTA(TAB_Offres[Ressource 1])))=0,NA(),
INDEX(#REF!,ROWS(Params!AI$2:$AI704)-COUNTA(TAB_Offres[Ressource 1])))),
IFERROR(_xlfn.SINGLE(IF(_xlfn.SINGLE(INDEX(#REF!,ROWS(Params!AI$2:$AI704)-COUNTA(#REF!)-COUNTA(TAB_Offres[Ressource 1])))=0,NA(),
INDEX(#REF!,ROWS(Params!AI$2:$AI704)-COUNTA(#REF!)-COUNTA(TAB_Offres[Ressource 1])))),""))
)</f>
        <v/>
      </c>
      <c r="AJ704" s="192" t="str">
        <f>IF(TAB_ressource[[#This Row],[Import Ressource]]="","",MAX(AJ$1:AJ703)+1)</f>
        <v/>
      </c>
      <c r="AK704" s="193" t="str">
        <f>IFERROR(INDEX(TAB_ressource[Import Ressource],MATCH(ROW()-ROW($AK$1),TAB_ressource[ID Import ressources],0)),"")</f>
        <v/>
      </c>
      <c r="BD704" t="s">
        <v>2722</v>
      </c>
      <c r="BE704" t="s">
        <v>2723</v>
      </c>
      <c r="BF704" t="s">
        <v>2724</v>
      </c>
      <c r="BG704" t="s">
        <v>2722</v>
      </c>
    </row>
    <row r="705" spans="13:59" x14ac:dyDescent="0.25">
      <c r="M705" t="str">
        <f>_xlfn.IFNA(IF(VLOOKUP(TAB_Offres[[#This Row],[Reference]],TAB_Offres[[Reference]:[Request State]],COLUMNS(TAB_Offres[[Reference]:[Request State]]),FALSE)=D$6,TAB_Offres[[#This Row],[Reference]],""),"")</f>
        <v/>
      </c>
      <c r="N705" t="str">
        <f>_xlfn.IFNA(IF(VLOOKUP(TAB_Offres[[#This Row],[Reference]],TAB_Offres[[Reference]:[Has Expenses?]],COLUMNS(TAB_Offres[[Reference]:[Has Expenses?]]),FALSE)=J$2,TAB_Offres[[#This Row],[Reference]],""),"")</f>
        <v/>
      </c>
      <c r="O705" t="str">
        <f>IF(Tableau19[[#This Row],[EXPENSES_REF]]="","",MAX(O$1:O704)+1)</f>
        <v/>
      </c>
      <c r="P705" t="str">
        <f t="shared" si="23"/>
        <v/>
      </c>
      <c r="AI705" s="191" t="str">
        <f>IFERROR(_xlfn.SINGLE(
IF(_xlfn.SINGLE(INDEX(TAB_Offres[Ressource 1],ROWS(Params!AI$2:$AI705)))=0,NA(),
INDEX(TAB_Offres[Ressource 1],ROWS(Params!AI$2:$AI705)))),
IFERROR(_xlfn.SINGLE(IF(_xlfn.SINGLE(INDEX(#REF!,ROWS(Params!AI$2:$AI705)-COUNTA(TAB_Offres[Ressource 1])))=0,NA(),
INDEX(#REF!,ROWS(Params!AI$2:$AI705)-COUNTA(TAB_Offres[Ressource 1])))),
IFERROR(_xlfn.SINGLE(IF(_xlfn.SINGLE(INDEX(#REF!,ROWS(Params!AI$2:$AI705)-COUNTA(#REF!)-COUNTA(TAB_Offres[Ressource 1])))=0,NA(),
INDEX(#REF!,ROWS(Params!AI$2:$AI705)-COUNTA(#REF!)-COUNTA(TAB_Offres[Ressource 1])))),""))
)</f>
        <v/>
      </c>
      <c r="AJ705" s="192" t="str">
        <f>IF(TAB_ressource[[#This Row],[Import Ressource]]="","",MAX(AJ$1:AJ704)+1)</f>
        <v/>
      </c>
      <c r="AK705" s="193" t="str">
        <f>IFERROR(INDEX(TAB_ressource[Import Ressource],MATCH(ROW()-ROW($AK$1),TAB_ressource[ID Import ressources],0)),"")</f>
        <v/>
      </c>
      <c r="BD705" t="s">
        <v>2725</v>
      </c>
      <c r="BE705" t="s">
        <v>2726</v>
      </c>
      <c r="BF705" t="s">
        <v>2727</v>
      </c>
      <c r="BG705" t="s">
        <v>2725</v>
      </c>
    </row>
    <row r="706" spans="13:59" x14ac:dyDescent="0.25">
      <c r="M706" t="str">
        <f>_xlfn.IFNA(IF(VLOOKUP(TAB_Offres[[#This Row],[Reference]],TAB_Offres[[Reference]:[Request State]],COLUMNS(TAB_Offres[[Reference]:[Request State]]),FALSE)=D$6,TAB_Offres[[#This Row],[Reference]],""),"")</f>
        <v/>
      </c>
      <c r="N706" t="str">
        <f>_xlfn.IFNA(IF(VLOOKUP(TAB_Offres[[#This Row],[Reference]],TAB_Offres[[Reference]:[Has Expenses?]],COLUMNS(TAB_Offres[[Reference]:[Has Expenses?]]),FALSE)=J$2,TAB_Offres[[#This Row],[Reference]],""),"")</f>
        <v/>
      </c>
      <c r="O706" t="str">
        <f>IF(Tableau19[[#This Row],[EXPENSES_REF]]="","",MAX(O$1:O705)+1)</f>
        <v/>
      </c>
      <c r="P706" t="str">
        <f t="shared" ref="P706:P769" si="24">IFERROR(INDEX($N$2:$N$1001,MATCH(ROW()-ROW($P$1),$O$2:$O$1001,0)),"")</f>
        <v/>
      </c>
      <c r="AI706" s="191" t="str">
        <f>IFERROR(_xlfn.SINGLE(
IF(_xlfn.SINGLE(INDEX(TAB_Offres[Ressource 1],ROWS(Params!AI$2:$AI706)))=0,NA(),
INDEX(TAB_Offres[Ressource 1],ROWS(Params!AI$2:$AI706)))),
IFERROR(_xlfn.SINGLE(IF(_xlfn.SINGLE(INDEX(#REF!,ROWS(Params!AI$2:$AI706)-COUNTA(TAB_Offres[Ressource 1])))=0,NA(),
INDEX(#REF!,ROWS(Params!AI$2:$AI706)-COUNTA(TAB_Offres[Ressource 1])))),
IFERROR(_xlfn.SINGLE(IF(_xlfn.SINGLE(INDEX(#REF!,ROWS(Params!AI$2:$AI706)-COUNTA(#REF!)-COUNTA(TAB_Offres[Ressource 1])))=0,NA(),
INDEX(#REF!,ROWS(Params!AI$2:$AI706)-COUNTA(#REF!)-COUNTA(TAB_Offres[Ressource 1])))),""))
)</f>
        <v/>
      </c>
      <c r="AJ706" s="192" t="str">
        <f>IF(TAB_ressource[[#This Row],[Import Ressource]]="","",MAX(AJ$1:AJ705)+1)</f>
        <v/>
      </c>
      <c r="AK706" s="193" t="str">
        <f>IFERROR(INDEX(TAB_ressource[Import Ressource],MATCH(ROW()-ROW($AK$1),TAB_ressource[ID Import ressources],0)),"")</f>
        <v/>
      </c>
      <c r="BD706" t="s">
        <v>2728</v>
      </c>
      <c r="BE706" t="s">
        <v>2729</v>
      </c>
      <c r="BF706" t="s">
        <v>2730</v>
      </c>
      <c r="BG706" t="s">
        <v>2728</v>
      </c>
    </row>
    <row r="707" spans="13:59" x14ac:dyDescent="0.25">
      <c r="M707" t="str">
        <f>_xlfn.IFNA(IF(VLOOKUP(TAB_Offres[[#This Row],[Reference]],TAB_Offres[[Reference]:[Request State]],COLUMNS(TAB_Offres[[Reference]:[Request State]]),FALSE)=D$6,TAB_Offres[[#This Row],[Reference]],""),"")</f>
        <v/>
      </c>
      <c r="N707" t="str">
        <f>_xlfn.IFNA(IF(VLOOKUP(TAB_Offres[[#This Row],[Reference]],TAB_Offres[[Reference]:[Has Expenses?]],COLUMNS(TAB_Offres[[Reference]:[Has Expenses?]]),FALSE)=J$2,TAB_Offres[[#This Row],[Reference]],""),"")</f>
        <v/>
      </c>
      <c r="O707" t="str">
        <f>IF(Tableau19[[#This Row],[EXPENSES_REF]]="","",MAX(O$1:O706)+1)</f>
        <v/>
      </c>
      <c r="P707" t="str">
        <f t="shared" si="24"/>
        <v/>
      </c>
      <c r="AI707" s="191" t="str">
        <f>IFERROR(_xlfn.SINGLE(
IF(_xlfn.SINGLE(INDEX(TAB_Offres[Ressource 1],ROWS(Params!AI$2:$AI707)))=0,NA(),
INDEX(TAB_Offres[Ressource 1],ROWS(Params!AI$2:$AI707)))),
IFERROR(_xlfn.SINGLE(IF(_xlfn.SINGLE(INDEX(#REF!,ROWS(Params!AI$2:$AI707)-COUNTA(TAB_Offres[Ressource 1])))=0,NA(),
INDEX(#REF!,ROWS(Params!AI$2:$AI707)-COUNTA(TAB_Offres[Ressource 1])))),
IFERROR(_xlfn.SINGLE(IF(_xlfn.SINGLE(INDEX(#REF!,ROWS(Params!AI$2:$AI707)-COUNTA(#REF!)-COUNTA(TAB_Offres[Ressource 1])))=0,NA(),
INDEX(#REF!,ROWS(Params!AI$2:$AI707)-COUNTA(#REF!)-COUNTA(TAB_Offres[Ressource 1])))),""))
)</f>
        <v/>
      </c>
      <c r="AJ707" s="192" t="str">
        <f>IF(TAB_ressource[[#This Row],[Import Ressource]]="","",MAX(AJ$1:AJ706)+1)</f>
        <v/>
      </c>
      <c r="AK707" s="193" t="str">
        <f>IFERROR(INDEX(TAB_ressource[Import Ressource],MATCH(ROW()-ROW($AK$1),TAB_ressource[ID Import ressources],0)),"")</f>
        <v/>
      </c>
      <c r="BD707" t="s">
        <v>2731</v>
      </c>
      <c r="BE707" t="s">
        <v>2732</v>
      </c>
      <c r="BF707" t="s">
        <v>2733</v>
      </c>
      <c r="BG707" t="s">
        <v>2731</v>
      </c>
    </row>
    <row r="708" spans="13:59" x14ac:dyDescent="0.25">
      <c r="M708" t="str">
        <f>_xlfn.IFNA(IF(VLOOKUP(TAB_Offres[[#This Row],[Reference]],TAB_Offres[[Reference]:[Request State]],COLUMNS(TAB_Offres[[Reference]:[Request State]]),FALSE)=D$6,TAB_Offres[[#This Row],[Reference]],""),"")</f>
        <v/>
      </c>
      <c r="N708" t="str">
        <f>_xlfn.IFNA(IF(VLOOKUP(TAB_Offres[[#This Row],[Reference]],TAB_Offres[[Reference]:[Has Expenses?]],COLUMNS(TAB_Offres[[Reference]:[Has Expenses?]]),FALSE)=J$2,TAB_Offres[[#This Row],[Reference]],""),"")</f>
        <v/>
      </c>
      <c r="O708" t="str">
        <f>IF(Tableau19[[#This Row],[EXPENSES_REF]]="","",MAX(O$1:O707)+1)</f>
        <v/>
      </c>
      <c r="P708" t="str">
        <f t="shared" si="24"/>
        <v/>
      </c>
      <c r="AI708" s="191" t="str">
        <f>IFERROR(_xlfn.SINGLE(
IF(_xlfn.SINGLE(INDEX(TAB_Offres[Ressource 1],ROWS(Params!AI$2:$AI708)))=0,NA(),
INDEX(TAB_Offres[Ressource 1],ROWS(Params!AI$2:$AI708)))),
IFERROR(_xlfn.SINGLE(IF(_xlfn.SINGLE(INDEX(#REF!,ROWS(Params!AI$2:$AI708)-COUNTA(TAB_Offres[Ressource 1])))=0,NA(),
INDEX(#REF!,ROWS(Params!AI$2:$AI708)-COUNTA(TAB_Offres[Ressource 1])))),
IFERROR(_xlfn.SINGLE(IF(_xlfn.SINGLE(INDEX(#REF!,ROWS(Params!AI$2:$AI708)-COUNTA(#REF!)-COUNTA(TAB_Offres[Ressource 1])))=0,NA(),
INDEX(#REF!,ROWS(Params!AI$2:$AI708)-COUNTA(#REF!)-COUNTA(TAB_Offres[Ressource 1])))),""))
)</f>
        <v/>
      </c>
      <c r="AJ708" s="192" t="str">
        <f>IF(TAB_ressource[[#This Row],[Import Ressource]]="","",MAX(AJ$1:AJ707)+1)</f>
        <v/>
      </c>
      <c r="AK708" s="193" t="str">
        <f>IFERROR(INDEX(TAB_ressource[Import Ressource],MATCH(ROW()-ROW($AK$1),TAB_ressource[ID Import ressources],0)),"")</f>
        <v/>
      </c>
      <c r="BD708" t="s">
        <v>2734</v>
      </c>
      <c r="BE708" t="s">
        <v>2735</v>
      </c>
      <c r="BF708" t="s">
        <v>2736</v>
      </c>
      <c r="BG708" t="s">
        <v>2734</v>
      </c>
    </row>
    <row r="709" spans="13:59" x14ac:dyDescent="0.25">
      <c r="M709" t="str">
        <f>_xlfn.IFNA(IF(VLOOKUP(TAB_Offres[[#This Row],[Reference]],TAB_Offres[[Reference]:[Request State]],COLUMNS(TAB_Offres[[Reference]:[Request State]]),FALSE)=D$6,TAB_Offres[[#This Row],[Reference]],""),"")</f>
        <v/>
      </c>
      <c r="N709" t="str">
        <f>_xlfn.IFNA(IF(VLOOKUP(TAB_Offres[[#This Row],[Reference]],TAB_Offres[[Reference]:[Has Expenses?]],COLUMNS(TAB_Offres[[Reference]:[Has Expenses?]]),FALSE)=J$2,TAB_Offres[[#This Row],[Reference]],""),"")</f>
        <v/>
      </c>
      <c r="O709" t="str">
        <f>IF(Tableau19[[#This Row],[EXPENSES_REF]]="","",MAX(O$1:O708)+1)</f>
        <v/>
      </c>
      <c r="P709" t="str">
        <f t="shared" si="24"/>
        <v/>
      </c>
      <c r="AI709" s="191" t="str">
        <f>IFERROR(_xlfn.SINGLE(
IF(_xlfn.SINGLE(INDEX(TAB_Offres[Ressource 1],ROWS(Params!AI$2:$AI709)))=0,NA(),
INDEX(TAB_Offres[Ressource 1],ROWS(Params!AI$2:$AI709)))),
IFERROR(_xlfn.SINGLE(IF(_xlfn.SINGLE(INDEX(#REF!,ROWS(Params!AI$2:$AI709)-COUNTA(TAB_Offres[Ressource 1])))=0,NA(),
INDEX(#REF!,ROWS(Params!AI$2:$AI709)-COUNTA(TAB_Offres[Ressource 1])))),
IFERROR(_xlfn.SINGLE(IF(_xlfn.SINGLE(INDEX(#REF!,ROWS(Params!AI$2:$AI709)-COUNTA(#REF!)-COUNTA(TAB_Offres[Ressource 1])))=0,NA(),
INDEX(#REF!,ROWS(Params!AI$2:$AI709)-COUNTA(#REF!)-COUNTA(TAB_Offres[Ressource 1])))),""))
)</f>
        <v/>
      </c>
      <c r="AJ709" s="192" t="str">
        <f>IF(TAB_ressource[[#This Row],[Import Ressource]]="","",MAX(AJ$1:AJ708)+1)</f>
        <v/>
      </c>
      <c r="AK709" s="193" t="str">
        <f>IFERROR(INDEX(TAB_ressource[Import Ressource],MATCH(ROW()-ROW($AK$1),TAB_ressource[ID Import ressources],0)),"")</f>
        <v/>
      </c>
      <c r="BD709" t="s">
        <v>2737</v>
      </c>
      <c r="BE709" t="s">
        <v>2738</v>
      </c>
      <c r="BF709" t="s">
        <v>2739</v>
      </c>
      <c r="BG709" t="s">
        <v>2737</v>
      </c>
    </row>
    <row r="710" spans="13:59" x14ac:dyDescent="0.25">
      <c r="M710" t="str">
        <f>_xlfn.IFNA(IF(VLOOKUP(TAB_Offres[[#This Row],[Reference]],TAB_Offres[[Reference]:[Request State]],COLUMNS(TAB_Offres[[Reference]:[Request State]]),FALSE)=D$6,TAB_Offres[[#This Row],[Reference]],""),"")</f>
        <v/>
      </c>
      <c r="N710" t="str">
        <f>_xlfn.IFNA(IF(VLOOKUP(TAB_Offres[[#This Row],[Reference]],TAB_Offres[[Reference]:[Has Expenses?]],COLUMNS(TAB_Offres[[Reference]:[Has Expenses?]]),FALSE)=J$2,TAB_Offres[[#This Row],[Reference]],""),"")</f>
        <v/>
      </c>
      <c r="O710" t="str">
        <f>IF(Tableau19[[#This Row],[EXPENSES_REF]]="","",MAX(O$1:O709)+1)</f>
        <v/>
      </c>
      <c r="P710" t="str">
        <f t="shared" si="24"/>
        <v/>
      </c>
      <c r="AI710" s="191" t="str">
        <f>IFERROR(_xlfn.SINGLE(
IF(_xlfn.SINGLE(INDEX(TAB_Offres[Ressource 1],ROWS(Params!AI$2:$AI710)))=0,NA(),
INDEX(TAB_Offres[Ressource 1],ROWS(Params!AI$2:$AI710)))),
IFERROR(_xlfn.SINGLE(IF(_xlfn.SINGLE(INDEX(#REF!,ROWS(Params!AI$2:$AI710)-COUNTA(TAB_Offres[Ressource 1])))=0,NA(),
INDEX(#REF!,ROWS(Params!AI$2:$AI710)-COUNTA(TAB_Offres[Ressource 1])))),
IFERROR(_xlfn.SINGLE(IF(_xlfn.SINGLE(INDEX(#REF!,ROWS(Params!AI$2:$AI710)-COUNTA(#REF!)-COUNTA(TAB_Offres[Ressource 1])))=0,NA(),
INDEX(#REF!,ROWS(Params!AI$2:$AI710)-COUNTA(#REF!)-COUNTA(TAB_Offres[Ressource 1])))),""))
)</f>
        <v/>
      </c>
      <c r="AJ710" s="192" t="str">
        <f>IF(TAB_ressource[[#This Row],[Import Ressource]]="","",MAX(AJ$1:AJ709)+1)</f>
        <v/>
      </c>
      <c r="AK710" s="193" t="str">
        <f>IFERROR(INDEX(TAB_ressource[Import Ressource],MATCH(ROW()-ROW($AK$1),TAB_ressource[ID Import ressources],0)),"")</f>
        <v/>
      </c>
      <c r="BD710" t="s">
        <v>2740</v>
      </c>
      <c r="BE710" t="s">
        <v>2741</v>
      </c>
      <c r="BF710" t="s">
        <v>2742</v>
      </c>
      <c r="BG710" t="s">
        <v>2740</v>
      </c>
    </row>
    <row r="711" spans="13:59" x14ac:dyDescent="0.25">
      <c r="M711" t="str">
        <f>_xlfn.IFNA(IF(VLOOKUP(TAB_Offres[[#This Row],[Reference]],TAB_Offres[[Reference]:[Request State]],COLUMNS(TAB_Offres[[Reference]:[Request State]]),FALSE)=D$6,TAB_Offres[[#This Row],[Reference]],""),"")</f>
        <v/>
      </c>
      <c r="N711" t="str">
        <f>_xlfn.IFNA(IF(VLOOKUP(TAB_Offres[[#This Row],[Reference]],TAB_Offres[[Reference]:[Has Expenses?]],COLUMNS(TAB_Offres[[Reference]:[Has Expenses?]]),FALSE)=J$2,TAB_Offres[[#This Row],[Reference]],""),"")</f>
        <v/>
      </c>
      <c r="O711" t="str">
        <f>IF(Tableau19[[#This Row],[EXPENSES_REF]]="","",MAX(O$1:O710)+1)</f>
        <v/>
      </c>
      <c r="P711" t="str">
        <f t="shared" si="24"/>
        <v/>
      </c>
      <c r="AI711" s="191" t="str">
        <f>IFERROR(_xlfn.SINGLE(
IF(_xlfn.SINGLE(INDEX(TAB_Offres[Ressource 1],ROWS(Params!AI$2:$AI711)))=0,NA(),
INDEX(TAB_Offres[Ressource 1],ROWS(Params!AI$2:$AI711)))),
IFERROR(_xlfn.SINGLE(IF(_xlfn.SINGLE(INDEX(#REF!,ROWS(Params!AI$2:$AI711)-COUNTA(TAB_Offres[Ressource 1])))=0,NA(),
INDEX(#REF!,ROWS(Params!AI$2:$AI711)-COUNTA(TAB_Offres[Ressource 1])))),
IFERROR(_xlfn.SINGLE(IF(_xlfn.SINGLE(INDEX(#REF!,ROWS(Params!AI$2:$AI711)-COUNTA(#REF!)-COUNTA(TAB_Offres[Ressource 1])))=0,NA(),
INDEX(#REF!,ROWS(Params!AI$2:$AI711)-COUNTA(#REF!)-COUNTA(TAB_Offres[Ressource 1])))),""))
)</f>
        <v/>
      </c>
      <c r="AJ711" s="192" t="str">
        <f>IF(TAB_ressource[[#This Row],[Import Ressource]]="","",MAX(AJ$1:AJ710)+1)</f>
        <v/>
      </c>
      <c r="AK711" s="193" t="str">
        <f>IFERROR(INDEX(TAB_ressource[Import Ressource],MATCH(ROW()-ROW($AK$1),TAB_ressource[ID Import ressources],0)),"")</f>
        <v/>
      </c>
      <c r="BD711" t="s">
        <v>2743</v>
      </c>
      <c r="BE711" t="s">
        <v>2744</v>
      </c>
      <c r="BF711" t="s">
        <v>2745</v>
      </c>
      <c r="BG711" t="s">
        <v>2743</v>
      </c>
    </row>
    <row r="712" spans="13:59" x14ac:dyDescent="0.25">
      <c r="M712" t="str">
        <f>_xlfn.IFNA(IF(VLOOKUP(TAB_Offres[[#This Row],[Reference]],TAB_Offres[[Reference]:[Request State]],COLUMNS(TAB_Offres[[Reference]:[Request State]]),FALSE)=D$6,TAB_Offres[[#This Row],[Reference]],""),"")</f>
        <v/>
      </c>
      <c r="N712" t="str">
        <f>_xlfn.IFNA(IF(VLOOKUP(TAB_Offres[[#This Row],[Reference]],TAB_Offres[[Reference]:[Has Expenses?]],COLUMNS(TAB_Offres[[Reference]:[Has Expenses?]]),FALSE)=J$2,TAB_Offres[[#This Row],[Reference]],""),"")</f>
        <v/>
      </c>
      <c r="O712" t="str">
        <f>IF(Tableau19[[#This Row],[EXPENSES_REF]]="","",MAX(O$1:O711)+1)</f>
        <v/>
      </c>
      <c r="P712" t="str">
        <f t="shared" si="24"/>
        <v/>
      </c>
      <c r="AI712" s="191" t="str">
        <f>IFERROR(_xlfn.SINGLE(
IF(_xlfn.SINGLE(INDEX(TAB_Offres[Ressource 1],ROWS(Params!AI$2:$AI712)))=0,NA(),
INDEX(TAB_Offres[Ressource 1],ROWS(Params!AI$2:$AI712)))),
IFERROR(_xlfn.SINGLE(IF(_xlfn.SINGLE(INDEX(#REF!,ROWS(Params!AI$2:$AI712)-COUNTA(TAB_Offres[Ressource 1])))=0,NA(),
INDEX(#REF!,ROWS(Params!AI$2:$AI712)-COUNTA(TAB_Offres[Ressource 1])))),
IFERROR(_xlfn.SINGLE(IF(_xlfn.SINGLE(INDEX(#REF!,ROWS(Params!AI$2:$AI712)-COUNTA(#REF!)-COUNTA(TAB_Offres[Ressource 1])))=0,NA(),
INDEX(#REF!,ROWS(Params!AI$2:$AI712)-COUNTA(#REF!)-COUNTA(TAB_Offres[Ressource 1])))),""))
)</f>
        <v/>
      </c>
      <c r="AJ712" s="192" t="str">
        <f>IF(TAB_ressource[[#This Row],[Import Ressource]]="","",MAX(AJ$1:AJ711)+1)</f>
        <v/>
      </c>
      <c r="AK712" s="193" t="str">
        <f>IFERROR(INDEX(TAB_ressource[Import Ressource],MATCH(ROW()-ROW($AK$1),TAB_ressource[ID Import ressources],0)),"")</f>
        <v/>
      </c>
      <c r="BD712" t="s">
        <v>2746</v>
      </c>
      <c r="BE712" t="s">
        <v>2747</v>
      </c>
      <c r="BF712" t="s">
        <v>2748</v>
      </c>
      <c r="BG712" t="s">
        <v>2746</v>
      </c>
    </row>
    <row r="713" spans="13:59" x14ac:dyDescent="0.25">
      <c r="M713" t="str">
        <f>_xlfn.IFNA(IF(VLOOKUP(TAB_Offres[[#This Row],[Reference]],TAB_Offres[[Reference]:[Request State]],COLUMNS(TAB_Offres[[Reference]:[Request State]]),FALSE)=D$6,TAB_Offres[[#This Row],[Reference]],""),"")</f>
        <v/>
      </c>
      <c r="N713" t="str">
        <f>_xlfn.IFNA(IF(VLOOKUP(TAB_Offres[[#This Row],[Reference]],TAB_Offres[[Reference]:[Has Expenses?]],COLUMNS(TAB_Offres[[Reference]:[Has Expenses?]]),FALSE)=J$2,TAB_Offres[[#This Row],[Reference]],""),"")</f>
        <v/>
      </c>
      <c r="O713" t="str">
        <f>IF(Tableau19[[#This Row],[EXPENSES_REF]]="","",MAX(O$1:O712)+1)</f>
        <v/>
      </c>
      <c r="P713" t="str">
        <f t="shared" si="24"/>
        <v/>
      </c>
      <c r="AI713" s="191" t="str">
        <f>IFERROR(_xlfn.SINGLE(
IF(_xlfn.SINGLE(INDEX(TAB_Offres[Ressource 1],ROWS(Params!AI$2:$AI713)))=0,NA(),
INDEX(TAB_Offres[Ressource 1],ROWS(Params!AI$2:$AI713)))),
IFERROR(_xlfn.SINGLE(IF(_xlfn.SINGLE(INDEX(#REF!,ROWS(Params!AI$2:$AI713)-COUNTA(TAB_Offres[Ressource 1])))=0,NA(),
INDEX(#REF!,ROWS(Params!AI$2:$AI713)-COUNTA(TAB_Offres[Ressource 1])))),
IFERROR(_xlfn.SINGLE(IF(_xlfn.SINGLE(INDEX(#REF!,ROWS(Params!AI$2:$AI713)-COUNTA(#REF!)-COUNTA(TAB_Offres[Ressource 1])))=0,NA(),
INDEX(#REF!,ROWS(Params!AI$2:$AI713)-COUNTA(#REF!)-COUNTA(TAB_Offres[Ressource 1])))),""))
)</f>
        <v/>
      </c>
      <c r="AJ713" s="192" t="str">
        <f>IF(TAB_ressource[[#This Row],[Import Ressource]]="","",MAX(AJ$1:AJ712)+1)</f>
        <v/>
      </c>
      <c r="AK713" s="193" t="str">
        <f>IFERROR(INDEX(TAB_ressource[Import Ressource],MATCH(ROW()-ROW($AK$1),TAB_ressource[ID Import ressources],0)),"")</f>
        <v/>
      </c>
      <c r="BD713" t="s">
        <v>2749</v>
      </c>
      <c r="BE713" t="s">
        <v>2750</v>
      </c>
      <c r="BF713" t="s">
        <v>2751</v>
      </c>
      <c r="BG713" t="s">
        <v>2749</v>
      </c>
    </row>
    <row r="714" spans="13:59" x14ac:dyDescent="0.25">
      <c r="M714" t="str">
        <f>_xlfn.IFNA(IF(VLOOKUP(TAB_Offres[[#This Row],[Reference]],TAB_Offres[[Reference]:[Request State]],COLUMNS(TAB_Offres[[Reference]:[Request State]]),FALSE)=D$6,TAB_Offres[[#This Row],[Reference]],""),"")</f>
        <v/>
      </c>
      <c r="N714" t="str">
        <f>_xlfn.IFNA(IF(VLOOKUP(TAB_Offres[[#This Row],[Reference]],TAB_Offres[[Reference]:[Has Expenses?]],COLUMNS(TAB_Offres[[Reference]:[Has Expenses?]]),FALSE)=J$2,TAB_Offres[[#This Row],[Reference]],""),"")</f>
        <v/>
      </c>
      <c r="O714" t="str">
        <f>IF(Tableau19[[#This Row],[EXPENSES_REF]]="","",MAX(O$1:O713)+1)</f>
        <v/>
      </c>
      <c r="P714" t="str">
        <f t="shared" si="24"/>
        <v/>
      </c>
      <c r="AI714" s="191" t="str">
        <f>IFERROR(_xlfn.SINGLE(
IF(_xlfn.SINGLE(INDEX(TAB_Offres[Ressource 1],ROWS(Params!AI$2:$AI714)))=0,NA(),
INDEX(TAB_Offres[Ressource 1],ROWS(Params!AI$2:$AI714)))),
IFERROR(_xlfn.SINGLE(IF(_xlfn.SINGLE(INDEX(#REF!,ROWS(Params!AI$2:$AI714)-COUNTA(TAB_Offres[Ressource 1])))=0,NA(),
INDEX(#REF!,ROWS(Params!AI$2:$AI714)-COUNTA(TAB_Offres[Ressource 1])))),
IFERROR(_xlfn.SINGLE(IF(_xlfn.SINGLE(INDEX(#REF!,ROWS(Params!AI$2:$AI714)-COUNTA(#REF!)-COUNTA(TAB_Offres[Ressource 1])))=0,NA(),
INDEX(#REF!,ROWS(Params!AI$2:$AI714)-COUNTA(#REF!)-COUNTA(TAB_Offres[Ressource 1])))),""))
)</f>
        <v/>
      </c>
      <c r="AJ714" s="192" t="str">
        <f>IF(TAB_ressource[[#This Row],[Import Ressource]]="","",MAX(AJ$1:AJ713)+1)</f>
        <v/>
      </c>
      <c r="AK714" s="193" t="str">
        <f>IFERROR(INDEX(TAB_ressource[Import Ressource],MATCH(ROW()-ROW($AK$1),TAB_ressource[ID Import ressources],0)),"")</f>
        <v/>
      </c>
      <c r="BD714" t="s">
        <v>2752</v>
      </c>
      <c r="BE714" t="s">
        <v>2753</v>
      </c>
      <c r="BF714" t="s">
        <v>2754</v>
      </c>
      <c r="BG714" t="s">
        <v>2752</v>
      </c>
    </row>
    <row r="715" spans="13:59" x14ac:dyDescent="0.25">
      <c r="M715" t="str">
        <f>_xlfn.IFNA(IF(VLOOKUP(TAB_Offres[[#This Row],[Reference]],TAB_Offres[[Reference]:[Request State]],COLUMNS(TAB_Offres[[Reference]:[Request State]]),FALSE)=D$6,TAB_Offres[[#This Row],[Reference]],""),"")</f>
        <v/>
      </c>
      <c r="N715" t="str">
        <f>_xlfn.IFNA(IF(VLOOKUP(TAB_Offres[[#This Row],[Reference]],TAB_Offres[[Reference]:[Has Expenses?]],COLUMNS(TAB_Offres[[Reference]:[Has Expenses?]]),FALSE)=J$2,TAB_Offres[[#This Row],[Reference]],""),"")</f>
        <v/>
      </c>
      <c r="O715" t="str">
        <f>IF(Tableau19[[#This Row],[EXPENSES_REF]]="","",MAX(O$1:O714)+1)</f>
        <v/>
      </c>
      <c r="P715" t="str">
        <f t="shared" si="24"/>
        <v/>
      </c>
      <c r="AI715" s="191" t="str">
        <f>IFERROR(_xlfn.SINGLE(
IF(_xlfn.SINGLE(INDEX(TAB_Offres[Ressource 1],ROWS(Params!AI$2:$AI715)))=0,NA(),
INDEX(TAB_Offres[Ressource 1],ROWS(Params!AI$2:$AI715)))),
IFERROR(_xlfn.SINGLE(IF(_xlfn.SINGLE(INDEX(#REF!,ROWS(Params!AI$2:$AI715)-COUNTA(TAB_Offres[Ressource 1])))=0,NA(),
INDEX(#REF!,ROWS(Params!AI$2:$AI715)-COUNTA(TAB_Offres[Ressource 1])))),
IFERROR(_xlfn.SINGLE(IF(_xlfn.SINGLE(INDEX(#REF!,ROWS(Params!AI$2:$AI715)-COUNTA(#REF!)-COUNTA(TAB_Offres[Ressource 1])))=0,NA(),
INDEX(#REF!,ROWS(Params!AI$2:$AI715)-COUNTA(#REF!)-COUNTA(TAB_Offres[Ressource 1])))),""))
)</f>
        <v/>
      </c>
      <c r="AJ715" s="192" t="str">
        <f>IF(TAB_ressource[[#This Row],[Import Ressource]]="","",MAX(AJ$1:AJ714)+1)</f>
        <v/>
      </c>
      <c r="AK715" s="193" t="str">
        <f>IFERROR(INDEX(TAB_ressource[Import Ressource],MATCH(ROW()-ROW($AK$1),TAB_ressource[ID Import ressources],0)),"")</f>
        <v/>
      </c>
      <c r="BD715" t="s">
        <v>2755</v>
      </c>
      <c r="BE715" t="s">
        <v>2756</v>
      </c>
      <c r="BF715" t="s">
        <v>2757</v>
      </c>
      <c r="BG715" t="s">
        <v>2755</v>
      </c>
    </row>
    <row r="716" spans="13:59" x14ac:dyDescent="0.25">
      <c r="M716" t="str">
        <f>_xlfn.IFNA(IF(VLOOKUP(TAB_Offres[[#This Row],[Reference]],TAB_Offres[[Reference]:[Request State]],COLUMNS(TAB_Offres[[Reference]:[Request State]]),FALSE)=D$6,TAB_Offres[[#This Row],[Reference]],""),"")</f>
        <v/>
      </c>
      <c r="N716" t="str">
        <f>_xlfn.IFNA(IF(VLOOKUP(TAB_Offres[[#This Row],[Reference]],TAB_Offres[[Reference]:[Has Expenses?]],COLUMNS(TAB_Offres[[Reference]:[Has Expenses?]]),FALSE)=J$2,TAB_Offres[[#This Row],[Reference]],""),"")</f>
        <v/>
      </c>
      <c r="O716" t="str">
        <f>IF(Tableau19[[#This Row],[EXPENSES_REF]]="","",MAX(O$1:O715)+1)</f>
        <v/>
      </c>
      <c r="P716" t="str">
        <f t="shared" si="24"/>
        <v/>
      </c>
      <c r="AI716" s="191" t="str">
        <f>IFERROR(_xlfn.SINGLE(
IF(_xlfn.SINGLE(INDEX(TAB_Offres[Ressource 1],ROWS(Params!AI$2:$AI716)))=0,NA(),
INDEX(TAB_Offres[Ressource 1],ROWS(Params!AI$2:$AI716)))),
IFERROR(_xlfn.SINGLE(IF(_xlfn.SINGLE(INDEX(#REF!,ROWS(Params!AI$2:$AI716)-COUNTA(TAB_Offres[Ressource 1])))=0,NA(),
INDEX(#REF!,ROWS(Params!AI$2:$AI716)-COUNTA(TAB_Offres[Ressource 1])))),
IFERROR(_xlfn.SINGLE(IF(_xlfn.SINGLE(INDEX(#REF!,ROWS(Params!AI$2:$AI716)-COUNTA(#REF!)-COUNTA(TAB_Offres[Ressource 1])))=0,NA(),
INDEX(#REF!,ROWS(Params!AI$2:$AI716)-COUNTA(#REF!)-COUNTA(TAB_Offres[Ressource 1])))),""))
)</f>
        <v/>
      </c>
      <c r="AJ716" s="192" t="str">
        <f>IF(TAB_ressource[[#This Row],[Import Ressource]]="","",MAX(AJ$1:AJ715)+1)</f>
        <v/>
      </c>
      <c r="AK716" s="193" t="str">
        <f>IFERROR(INDEX(TAB_ressource[Import Ressource],MATCH(ROW()-ROW($AK$1),TAB_ressource[ID Import ressources],0)),"")</f>
        <v/>
      </c>
      <c r="BD716" t="s">
        <v>2758</v>
      </c>
      <c r="BE716" t="s">
        <v>2759</v>
      </c>
      <c r="BF716" t="s">
        <v>2760</v>
      </c>
      <c r="BG716" t="s">
        <v>2758</v>
      </c>
    </row>
    <row r="717" spans="13:59" x14ac:dyDescent="0.25">
      <c r="M717" t="str">
        <f>_xlfn.IFNA(IF(VLOOKUP(TAB_Offres[[#This Row],[Reference]],TAB_Offres[[Reference]:[Request State]],COLUMNS(TAB_Offres[[Reference]:[Request State]]),FALSE)=D$6,TAB_Offres[[#This Row],[Reference]],""),"")</f>
        <v/>
      </c>
      <c r="N717" t="str">
        <f>_xlfn.IFNA(IF(VLOOKUP(TAB_Offres[[#This Row],[Reference]],TAB_Offres[[Reference]:[Has Expenses?]],COLUMNS(TAB_Offres[[Reference]:[Has Expenses?]]),FALSE)=J$2,TAB_Offres[[#This Row],[Reference]],""),"")</f>
        <v/>
      </c>
      <c r="O717" t="str">
        <f>IF(Tableau19[[#This Row],[EXPENSES_REF]]="","",MAX(O$1:O716)+1)</f>
        <v/>
      </c>
      <c r="P717" t="str">
        <f t="shared" si="24"/>
        <v/>
      </c>
      <c r="AI717" s="191" t="str">
        <f>IFERROR(_xlfn.SINGLE(
IF(_xlfn.SINGLE(INDEX(TAB_Offres[Ressource 1],ROWS(Params!AI$2:$AI717)))=0,NA(),
INDEX(TAB_Offres[Ressource 1],ROWS(Params!AI$2:$AI717)))),
IFERROR(_xlfn.SINGLE(IF(_xlfn.SINGLE(INDEX(#REF!,ROWS(Params!AI$2:$AI717)-COUNTA(TAB_Offres[Ressource 1])))=0,NA(),
INDEX(#REF!,ROWS(Params!AI$2:$AI717)-COUNTA(TAB_Offres[Ressource 1])))),
IFERROR(_xlfn.SINGLE(IF(_xlfn.SINGLE(INDEX(#REF!,ROWS(Params!AI$2:$AI717)-COUNTA(#REF!)-COUNTA(TAB_Offres[Ressource 1])))=0,NA(),
INDEX(#REF!,ROWS(Params!AI$2:$AI717)-COUNTA(#REF!)-COUNTA(TAB_Offres[Ressource 1])))),""))
)</f>
        <v/>
      </c>
      <c r="AJ717" s="192" t="str">
        <f>IF(TAB_ressource[[#This Row],[Import Ressource]]="","",MAX(AJ$1:AJ716)+1)</f>
        <v/>
      </c>
      <c r="AK717" s="193" t="str">
        <f>IFERROR(INDEX(TAB_ressource[Import Ressource],MATCH(ROW()-ROW($AK$1),TAB_ressource[ID Import ressources],0)),"")</f>
        <v/>
      </c>
      <c r="BD717" t="s">
        <v>2761</v>
      </c>
      <c r="BE717" t="s">
        <v>2762</v>
      </c>
      <c r="BF717" t="s">
        <v>2763</v>
      </c>
      <c r="BG717" t="s">
        <v>2761</v>
      </c>
    </row>
    <row r="718" spans="13:59" x14ac:dyDescent="0.25">
      <c r="M718" t="str">
        <f>_xlfn.IFNA(IF(VLOOKUP(TAB_Offres[[#This Row],[Reference]],TAB_Offres[[Reference]:[Request State]],COLUMNS(TAB_Offres[[Reference]:[Request State]]),FALSE)=D$6,TAB_Offres[[#This Row],[Reference]],""),"")</f>
        <v/>
      </c>
      <c r="N718" t="str">
        <f>_xlfn.IFNA(IF(VLOOKUP(TAB_Offres[[#This Row],[Reference]],TAB_Offres[[Reference]:[Has Expenses?]],COLUMNS(TAB_Offres[[Reference]:[Has Expenses?]]),FALSE)=J$2,TAB_Offres[[#This Row],[Reference]],""),"")</f>
        <v/>
      </c>
      <c r="O718" t="str">
        <f>IF(Tableau19[[#This Row],[EXPENSES_REF]]="","",MAX(O$1:O717)+1)</f>
        <v/>
      </c>
      <c r="P718" t="str">
        <f t="shared" si="24"/>
        <v/>
      </c>
      <c r="AI718" s="191" t="str">
        <f>IFERROR(_xlfn.SINGLE(
IF(_xlfn.SINGLE(INDEX(TAB_Offres[Ressource 1],ROWS(Params!AI$2:$AI718)))=0,NA(),
INDEX(TAB_Offres[Ressource 1],ROWS(Params!AI$2:$AI718)))),
IFERROR(_xlfn.SINGLE(IF(_xlfn.SINGLE(INDEX(#REF!,ROWS(Params!AI$2:$AI718)-COUNTA(TAB_Offres[Ressource 1])))=0,NA(),
INDEX(#REF!,ROWS(Params!AI$2:$AI718)-COUNTA(TAB_Offres[Ressource 1])))),
IFERROR(_xlfn.SINGLE(IF(_xlfn.SINGLE(INDEX(#REF!,ROWS(Params!AI$2:$AI718)-COUNTA(#REF!)-COUNTA(TAB_Offres[Ressource 1])))=0,NA(),
INDEX(#REF!,ROWS(Params!AI$2:$AI718)-COUNTA(#REF!)-COUNTA(TAB_Offres[Ressource 1])))),""))
)</f>
        <v/>
      </c>
      <c r="AJ718" s="192" t="str">
        <f>IF(TAB_ressource[[#This Row],[Import Ressource]]="","",MAX(AJ$1:AJ717)+1)</f>
        <v/>
      </c>
      <c r="AK718" s="193" t="str">
        <f>IFERROR(INDEX(TAB_ressource[Import Ressource],MATCH(ROW()-ROW($AK$1),TAB_ressource[ID Import ressources],0)),"")</f>
        <v/>
      </c>
      <c r="BD718" t="s">
        <v>2764</v>
      </c>
      <c r="BE718" t="s">
        <v>2765</v>
      </c>
      <c r="BF718" t="s">
        <v>2766</v>
      </c>
      <c r="BG718" t="s">
        <v>2764</v>
      </c>
    </row>
    <row r="719" spans="13:59" x14ac:dyDescent="0.25">
      <c r="M719" t="str">
        <f>_xlfn.IFNA(IF(VLOOKUP(TAB_Offres[[#This Row],[Reference]],TAB_Offres[[Reference]:[Request State]],COLUMNS(TAB_Offres[[Reference]:[Request State]]),FALSE)=D$6,TAB_Offres[[#This Row],[Reference]],""),"")</f>
        <v/>
      </c>
      <c r="N719" t="str">
        <f>_xlfn.IFNA(IF(VLOOKUP(TAB_Offres[[#This Row],[Reference]],TAB_Offres[[Reference]:[Has Expenses?]],COLUMNS(TAB_Offres[[Reference]:[Has Expenses?]]),FALSE)=J$2,TAB_Offres[[#This Row],[Reference]],""),"")</f>
        <v/>
      </c>
      <c r="O719" t="str">
        <f>IF(Tableau19[[#This Row],[EXPENSES_REF]]="","",MAX(O$1:O718)+1)</f>
        <v/>
      </c>
      <c r="P719" t="str">
        <f t="shared" si="24"/>
        <v/>
      </c>
      <c r="AI719" s="191" t="str">
        <f>IFERROR(_xlfn.SINGLE(
IF(_xlfn.SINGLE(INDEX(TAB_Offres[Ressource 1],ROWS(Params!AI$2:$AI719)))=0,NA(),
INDEX(TAB_Offres[Ressource 1],ROWS(Params!AI$2:$AI719)))),
IFERROR(_xlfn.SINGLE(IF(_xlfn.SINGLE(INDEX(#REF!,ROWS(Params!AI$2:$AI719)-COUNTA(TAB_Offres[Ressource 1])))=0,NA(),
INDEX(#REF!,ROWS(Params!AI$2:$AI719)-COUNTA(TAB_Offres[Ressource 1])))),
IFERROR(_xlfn.SINGLE(IF(_xlfn.SINGLE(INDEX(#REF!,ROWS(Params!AI$2:$AI719)-COUNTA(#REF!)-COUNTA(TAB_Offres[Ressource 1])))=0,NA(),
INDEX(#REF!,ROWS(Params!AI$2:$AI719)-COUNTA(#REF!)-COUNTA(TAB_Offres[Ressource 1])))),""))
)</f>
        <v/>
      </c>
      <c r="AJ719" s="192" t="str">
        <f>IF(TAB_ressource[[#This Row],[Import Ressource]]="","",MAX(AJ$1:AJ718)+1)</f>
        <v/>
      </c>
      <c r="AK719" s="193" t="str">
        <f>IFERROR(INDEX(TAB_ressource[Import Ressource],MATCH(ROW()-ROW($AK$1),TAB_ressource[ID Import ressources],0)),"")</f>
        <v/>
      </c>
      <c r="BD719" t="s">
        <v>2767</v>
      </c>
      <c r="BE719" t="s">
        <v>2768</v>
      </c>
      <c r="BF719" t="s">
        <v>2769</v>
      </c>
      <c r="BG719" t="s">
        <v>2767</v>
      </c>
    </row>
    <row r="720" spans="13:59" x14ac:dyDescent="0.25">
      <c r="M720" t="str">
        <f>_xlfn.IFNA(IF(VLOOKUP(TAB_Offres[[#This Row],[Reference]],TAB_Offres[[Reference]:[Request State]],COLUMNS(TAB_Offres[[Reference]:[Request State]]),FALSE)=D$6,TAB_Offres[[#This Row],[Reference]],""),"")</f>
        <v/>
      </c>
      <c r="N720" t="str">
        <f>_xlfn.IFNA(IF(VLOOKUP(TAB_Offres[[#This Row],[Reference]],TAB_Offres[[Reference]:[Has Expenses?]],COLUMNS(TAB_Offres[[Reference]:[Has Expenses?]]),FALSE)=J$2,TAB_Offres[[#This Row],[Reference]],""),"")</f>
        <v/>
      </c>
      <c r="O720" t="str">
        <f>IF(Tableau19[[#This Row],[EXPENSES_REF]]="","",MAX(O$1:O719)+1)</f>
        <v/>
      </c>
      <c r="P720" t="str">
        <f t="shared" si="24"/>
        <v/>
      </c>
      <c r="AI720" s="191" t="str">
        <f>IFERROR(_xlfn.SINGLE(
IF(_xlfn.SINGLE(INDEX(TAB_Offres[Ressource 1],ROWS(Params!AI$2:$AI720)))=0,NA(),
INDEX(TAB_Offres[Ressource 1],ROWS(Params!AI$2:$AI720)))),
IFERROR(_xlfn.SINGLE(IF(_xlfn.SINGLE(INDEX(#REF!,ROWS(Params!AI$2:$AI720)-COUNTA(TAB_Offres[Ressource 1])))=0,NA(),
INDEX(#REF!,ROWS(Params!AI$2:$AI720)-COUNTA(TAB_Offres[Ressource 1])))),
IFERROR(_xlfn.SINGLE(IF(_xlfn.SINGLE(INDEX(#REF!,ROWS(Params!AI$2:$AI720)-COUNTA(#REF!)-COUNTA(TAB_Offres[Ressource 1])))=0,NA(),
INDEX(#REF!,ROWS(Params!AI$2:$AI720)-COUNTA(#REF!)-COUNTA(TAB_Offres[Ressource 1])))),""))
)</f>
        <v/>
      </c>
      <c r="AJ720" s="192" t="str">
        <f>IF(TAB_ressource[[#This Row],[Import Ressource]]="","",MAX(AJ$1:AJ719)+1)</f>
        <v/>
      </c>
      <c r="AK720" s="193" t="str">
        <f>IFERROR(INDEX(TAB_ressource[Import Ressource],MATCH(ROW()-ROW($AK$1),TAB_ressource[ID Import ressources],0)),"")</f>
        <v/>
      </c>
      <c r="BD720" t="s">
        <v>2770</v>
      </c>
      <c r="BE720" t="s">
        <v>2771</v>
      </c>
      <c r="BF720" t="s">
        <v>2772</v>
      </c>
      <c r="BG720" t="s">
        <v>2770</v>
      </c>
    </row>
    <row r="721" spans="13:59" x14ac:dyDescent="0.25">
      <c r="M721" t="str">
        <f>_xlfn.IFNA(IF(VLOOKUP(TAB_Offres[[#This Row],[Reference]],TAB_Offres[[Reference]:[Request State]],COLUMNS(TAB_Offres[[Reference]:[Request State]]),FALSE)=D$6,TAB_Offres[[#This Row],[Reference]],""),"")</f>
        <v/>
      </c>
      <c r="N721" t="str">
        <f>_xlfn.IFNA(IF(VLOOKUP(TAB_Offres[[#This Row],[Reference]],TAB_Offres[[Reference]:[Has Expenses?]],COLUMNS(TAB_Offres[[Reference]:[Has Expenses?]]),FALSE)=J$2,TAB_Offres[[#This Row],[Reference]],""),"")</f>
        <v/>
      </c>
      <c r="O721" t="str">
        <f>IF(Tableau19[[#This Row],[EXPENSES_REF]]="","",MAX(O$1:O720)+1)</f>
        <v/>
      </c>
      <c r="P721" t="str">
        <f t="shared" si="24"/>
        <v/>
      </c>
      <c r="AI721" s="191" t="str">
        <f>IFERROR(_xlfn.SINGLE(
IF(_xlfn.SINGLE(INDEX(TAB_Offres[Ressource 1],ROWS(Params!AI$2:$AI721)))=0,NA(),
INDEX(TAB_Offres[Ressource 1],ROWS(Params!AI$2:$AI721)))),
IFERROR(_xlfn.SINGLE(IF(_xlfn.SINGLE(INDEX(#REF!,ROWS(Params!AI$2:$AI721)-COUNTA(TAB_Offres[Ressource 1])))=0,NA(),
INDEX(#REF!,ROWS(Params!AI$2:$AI721)-COUNTA(TAB_Offres[Ressource 1])))),
IFERROR(_xlfn.SINGLE(IF(_xlfn.SINGLE(INDEX(#REF!,ROWS(Params!AI$2:$AI721)-COUNTA(#REF!)-COUNTA(TAB_Offres[Ressource 1])))=0,NA(),
INDEX(#REF!,ROWS(Params!AI$2:$AI721)-COUNTA(#REF!)-COUNTA(TAB_Offres[Ressource 1])))),""))
)</f>
        <v/>
      </c>
      <c r="AJ721" s="192" t="str">
        <f>IF(TAB_ressource[[#This Row],[Import Ressource]]="","",MAX(AJ$1:AJ720)+1)</f>
        <v/>
      </c>
      <c r="AK721" s="193" t="str">
        <f>IFERROR(INDEX(TAB_ressource[Import Ressource],MATCH(ROW()-ROW($AK$1),TAB_ressource[ID Import ressources],0)),"")</f>
        <v/>
      </c>
      <c r="BD721" t="s">
        <v>2773</v>
      </c>
      <c r="BE721" t="s">
        <v>2774</v>
      </c>
      <c r="BF721" t="s">
        <v>2775</v>
      </c>
      <c r="BG721" t="s">
        <v>2773</v>
      </c>
    </row>
    <row r="722" spans="13:59" x14ac:dyDescent="0.25">
      <c r="M722" t="str">
        <f>_xlfn.IFNA(IF(VLOOKUP(TAB_Offres[[#This Row],[Reference]],TAB_Offres[[Reference]:[Request State]],COLUMNS(TAB_Offres[[Reference]:[Request State]]),FALSE)=D$6,TAB_Offres[[#This Row],[Reference]],""),"")</f>
        <v/>
      </c>
      <c r="N722" t="str">
        <f>_xlfn.IFNA(IF(VLOOKUP(TAB_Offres[[#This Row],[Reference]],TAB_Offres[[Reference]:[Has Expenses?]],COLUMNS(TAB_Offres[[Reference]:[Has Expenses?]]),FALSE)=J$2,TAB_Offres[[#This Row],[Reference]],""),"")</f>
        <v/>
      </c>
      <c r="O722" t="str">
        <f>IF(Tableau19[[#This Row],[EXPENSES_REF]]="","",MAX(O$1:O721)+1)</f>
        <v/>
      </c>
      <c r="P722" t="str">
        <f t="shared" si="24"/>
        <v/>
      </c>
      <c r="AI722" s="191" t="str">
        <f>IFERROR(_xlfn.SINGLE(
IF(_xlfn.SINGLE(INDEX(TAB_Offres[Ressource 1],ROWS(Params!AI$2:$AI722)))=0,NA(),
INDEX(TAB_Offres[Ressource 1],ROWS(Params!AI$2:$AI722)))),
IFERROR(_xlfn.SINGLE(IF(_xlfn.SINGLE(INDEX(#REF!,ROWS(Params!AI$2:$AI722)-COUNTA(TAB_Offres[Ressource 1])))=0,NA(),
INDEX(#REF!,ROWS(Params!AI$2:$AI722)-COUNTA(TAB_Offres[Ressource 1])))),
IFERROR(_xlfn.SINGLE(IF(_xlfn.SINGLE(INDEX(#REF!,ROWS(Params!AI$2:$AI722)-COUNTA(#REF!)-COUNTA(TAB_Offres[Ressource 1])))=0,NA(),
INDEX(#REF!,ROWS(Params!AI$2:$AI722)-COUNTA(#REF!)-COUNTA(TAB_Offres[Ressource 1])))),""))
)</f>
        <v/>
      </c>
      <c r="AJ722" s="192" t="str">
        <f>IF(TAB_ressource[[#This Row],[Import Ressource]]="","",MAX(AJ$1:AJ721)+1)</f>
        <v/>
      </c>
      <c r="AK722" s="193" t="str">
        <f>IFERROR(INDEX(TAB_ressource[Import Ressource],MATCH(ROW()-ROW($AK$1),TAB_ressource[ID Import ressources],0)),"")</f>
        <v/>
      </c>
      <c r="BD722" t="s">
        <v>2776</v>
      </c>
      <c r="BE722" t="s">
        <v>2777</v>
      </c>
      <c r="BF722" t="s">
        <v>2778</v>
      </c>
      <c r="BG722" t="s">
        <v>2776</v>
      </c>
    </row>
    <row r="723" spans="13:59" x14ac:dyDescent="0.25">
      <c r="M723" t="str">
        <f>_xlfn.IFNA(IF(VLOOKUP(TAB_Offres[[#This Row],[Reference]],TAB_Offres[[Reference]:[Request State]],COLUMNS(TAB_Offres[[Reference]:[Request State]]),FALSE)=D$6,TAB_Offres[[#This Row],[Reference]],""),"")</f>
        <v/>
      </c>
      <c r="N723" t="str">
        <f>_xlfn.IFNA(IF(VLOOKUP(TAB_Offres[[#This Row],[Reference]],TAB_Offres[[Reference]:[Has Expenses?]],COLUMNS(TAB_Offres[[Reference]:[Has Expenses?]]),FALSE)=J$2,TAB_Offres[[#This Row],[Reference]],""),"")</f>
        <v/>
      </c>
      <c r="O723" t="str">
        <f>IF(Tableau19[[#This Row],[EXPENSES_REF]]="","",MAX(O$1:O722)+1)</f>
        <v/>
      </c>
      <c r="P723" t="str">
        <f t="shared" si="24"/>
        <v/>
      </c>
      <c r="AI723" s="191" t="str">
        <f>IFERROR(_xlfn.SINGLE(
IF(_xlfn.SINGLE(INDEX(TAB_Offres[Ressource 1],ROWS(Params!AI$2:$AI723)))=0,NA(),
INDEX(TAB_Offres[Ressource 1],ROWS(Params!AI$2:$AI723)))),
IFERROR(_xlfn.SINGLE(IF(_xlfn.SINGLE(INDEX(#REF!,ROWS(Params!AI$2:$AI723)-COUNTA(TAB_Offres[Ressource 1])))=0,NA(),
INDEX(#REF!,ROWS(Params!AI$2:$AI723)-COUNTA(TAB_Offres[Ressource 1])))),
IFERROR(_xlfn.SINGLE(IF(_xlfn.SINGLE(INDEX(#REF!,ROWS(Params!AI$2:$AI723)-COUNTA(#REF!)-COUNTA(TAB_Offres[Ressource 1])))=0,NA(),
INDEX(#REF!,ROWS(Params!AI$2:$AI723)-COUNTA(#REF!)-COUNTA(TAB_Offres[Ressource 1])))),""))
)</f>
        <v/>
      </c>
      <c r="AJ723" s="192" t="str">
        <f>IF(TAB_ressource[[#This Row],[Import Ressource]]="","",MAX(AJ$1:AJ722)+1)</f>
        <v/>
      </c>
      <c r="AK723" s="193" t="str">
        <f>IFERROR(INDEX(TAB_ressource[Import Ressource],MATCH(ROW()-ROW($AK$1),TAB_ressource[ID Import ressources],0)),"")</f>
        <v/>
      </c>
      <c r="BD723" t="s">
        <v>2779</v>
      </c>
      <c r="BE723" t="s">
        <v>2780</v>
      </c>
      <c r="BF723" t="s">
        <v>2781</v>
      </c>
      <c r="BG723" t="s">
        <v>2779</v>
      </c>
    </row>
    <row r="724" spans="13:59" x14ac:dyDescent="0.25">
      <c r="M724" t="str">
        <f>_xlfn.IFNA(IF(VLOOKUP(TAB_Offres[[#This Row],[Reference]],TAB_Offres[[Reference]:[Request State]],COLUMNS(TAB_Offres[[Reference]:[Request State]]),FALSE)=D$6,TAB_Offres[[#This Row],[Reference]],""),"")</f>
        <v/>
      </c>
      <c r="N724" t="str">
        <f>_xlfn.IFNA(IF(VLOOKUP(TAB_Offres[[#This Row],[Reference]],TAB_Offres[[Reference]:[Has Expenses?]],COLUMNS(TAB_Offres[[Reference]:[Has Expenses?]]),FALSE)=J$2,TAB_Offres[[#This Row],[Reference]],""),"")</f>
        <v/>
      </c>
      <c r="O724" t="str">
        <f>IF(Tableau19[[#This Row],[EXPENSES_REF]]="","",MAX(O$1:O723)+1)</f>
        <v/>
      </c>
      <c r="P724" t="str">
        <f t="shared" si="24"/>
        <v/>
      </c>
      <c r="AI724" s="191" t="str">
        <f>IFERROR(_xlfn.SINGLE(
IF(_xlfn.SINGLE(INDEX(TAB_Offres[Ressource 1],ROWS(Params!AI$2:$AI724)))=0,NA(),
INDEX(TAB_Offres[Ressource 1],ROWS(Params!AI$2:$AI724)))),
IFERROR(_xlfn.SINGLE(IF(_xlfn.SINGLE(INDEX(#REF!,ROWS(Params!AI$2:$AI724)-COUNTA(TAB_Offres[Ressource 1])))=0,NA(),
INDEX(#REF!,ROWS(Params!AI$2:$AI724)-COUNTA(TAB_Offres[Ressource 1])))),
IFERROR(_xlfn.SINGLE(IF(_xlfn.SINGLE(INDEX(#REF!,ROWS(Params!AI$2:$AI724)-COUNTA(#REF!)-COUNTA(TAB_Offres[Ressource 1])))=0,NA(),
INDEX(#REF!,ROWS(Params!AI$2:$AI724)-COUNTA(#REF!)-COUNTA(TAB_Offres[Ressource 1])))),""))
)</f>
        <v/>
      </c>
      <c r="AJ724" s="192" t="str">
        <f>IF(TAB_ressource[[#This Row],[Import Ressource]]="","",MAX(AJ$1:AJ723)+1)</f>
        <v/>
      </c>
      <c r="AK724" s="193" t="str">
        <f>IFERROR(INDEX(TAB_ressource[Import Ressource],MATCH(ROW()-ROW($AK$1),TAB_ressource[ID Import ressources],0)),"")</f>
        <v/>
      </c>
      <c r="BD724" t="s">
        <v>2782</v>
      </c>
      <c r="BE724" t="s">
        <v>2783</v>
      </c>
      <c r="BF724" t="s">
        <v>2784</v>
      </c>
      <c r="BG724" t="s">
        <v>2782</v>
      </c>
    </row>
    <row r="725" spans="13:59" x14ac:dyDescent="0.25">
      <c r="M725" t="str">
        <f>_xlfn.IFNA(IF(VLOOKUP(TAB_Offres[[#This Row],[Reference]],TAB_Offres[[Reference]:[Request State]],COLUMNS(TAB_Offres[[Reference]:[Request State]]),FALSE)=D$6,TAB_Offres[[#This Row],[Reference]],""),"")</f>
        <v/>
      </c>
      <c r="N725" t="str">
        <f>_xlfn.IFNA(IF(VLOOKUP(TAB_Offres[[#This Row],[Reference]],TAB_Offres[[Reference]:[Has Expenses?]],COLUMNS(TAB_Offres[[Reference]:[Has Expenses?]]),FALSE)=J$2,TAB_Offres[[#This Row],[Reference]],""),"")</f>
        <v/>
      </c>
      <c r="O725" t="str">
        <f>IF(Tableau19[[#This Row],[EXPENSES_REF]]="","",MAX(O$1:O724)+1)</f>
        <v/>
      </c>
      <c r="P725" t="str">
        <f t="shared" si="24"/>
        <v/>
      </c>
      <c r="AI725" s="191" t="str">
        <f>IFERROR(_xlfn.SINGLE(
IF(_xlfn.SINGLE(INDEX(TAB_Offres[Ressource 1],ROWS(Params!AI$2:$AI725)))=0,NA(),
INDEX(TAB_Offres[Ressource 1],ROWS(Params!AI$2:$AI725)))),
IFERROR(_xlfn.SINGLE(IF(_xlfn.SINGLE(INDEX(#REF!,ROWS(Params!AI$2:$AI725)-COUNTA(TAB_Offres[Ressource 1])))=0,NA(),
INDEX(#REF!,ROWS(Params!AI$2:$AI725)-COUNTA(TAB_Offres[Ressource 1])))),
IFERROR(_xlfn.SINGLE(IF(_xlfn.SINGLE(INDEX(#REF!,ROWS(Params!AI$2:$AI725)-COUNTA(#REF!)-COUNTA(TAB_Offres[Ressource 1])))=0,NA(),
INDEX(#REF!,ROWS(Params!AI$2:$AI725)-COUNTA(#REF!)-COUNTA(TAB_Offres[Ressource 1])))),""))
)</f>
        <v/>
      </c>
      <c r="AJ725" s="192" t="str">
        <f>IF(TAB_ressource[[#This Row],[Import Ressource]]="","",MAX(AJ$1:AJ724)+1)</f>
        <v/>
      </c>
      <c r="AK725" s="193" t="str">
        <f>IFERROR(INDEX(TAB_ressource[Import Ressource],MATCH(ROW()-ROW($AK$1),TAB_ressource[ID Import ressources],0)),"")</f>
        <v/>
      </c>
      <c r="BD725" t="s">
        <v>2785</v>
      </c>
      <c r="BE725" t="s">
        <v>2786</v>
      </c>
      <c r="BF725" t="s">
        <v>2787</v>
      </c>
      <c r="BG725" t="s">
        <v>2785</v>
      </c>
    </row>
    <row r="726" spans="13:59" x14ac:dyDescent="0.25">
      <c r="M726" t="str">
        <f>_xlfn.IFNA(IF(VLOOKUP(TAB_Offres[[#This Row],[Reference]],TAB_Offres[[Reference]:[Request State]],COLUMNS(TAB_Offres[[Reference]:[Request State]]),FALSE)=D$6,TAB_Offres[[#This Row],[Reference]],""),"")</f>
        <v/>
      </c>
      <c r="N726" t="str">
        <f>_xlfn.IFNA(IF(VLOOKUP(TAB_Offres[[#This Row],[Reference]],TAB_Offres[[Reference]:[Has Expenses?]],COLUMNS(TAB_Offres[[Reference]:[Has Expenses?]]),FALSE)=J$2,TAB_Offres[[#This Row],[Reference]],""),"")</f>
        <v/>
      </c>
      <c r="O726" t="str">
        <f>IF(Tableau19[[#This Row],[EXPENSES_REF]]="","",MAX(O$1:O725)+1)</f>
        <v/>
      </c>
      <c r="P726" t="str">
        <f t="shared" si="24"/>
        <v/>
      </c>
      <c r="AI726" s="191" t="str">
        <f>IFERROR(_xlfn.SINGLE(
IF(_xlfn.SINGLE(INDEX(TAB_Offres[Ressource 1],ROWS(Params!AI$2:$AI726)))=0,NA(),
INDEX(TAB_Offres[Ressource 1],ROWS(Params!AI$2:$AI726)))),
IFERROR(_xlfn.SINGLE(IF(_xlfn.SINGLE(INDEX(#REF!,ROWS(Params!AI$2:$AI726)-COUNTA(TAB_Offres[Ressource 1])))=0,NA(),
INDEX(#REF!,ROWS(Params!AI$2:$AI726)-COUNTA(TAB_Offres[Ressource 1])))),
IFERROR(_xlfn.SINGLE(IF(_xlfn.SINGLE(INDEX(#REF!,ROWS(Params!AI$2:$AI726)-COUNTA(#REF!)-COUNTA(TAB_Offres[Ressource 1])))=0,NA(),
INDEX(#REF!,ROWS(Params!AI$2:$AI726)-COUNTA(#REF!)-COUNTA(TAB_Offres[Ressource 1])))),""))
)</f>
        <v/>
      </c>
      <c r="AJ726" s="192" t="str">
        <f>IF(TAB_ressource[[#This Row],[Import Ressource]]="","",MAX(AJ$1:AJ725)+1)</f>
        <v/>
      </c>
      <c r="AK726" s="193" t="str">
        <f>IFERROR(INDEX(TAB_ressource[Import Ressource],MATCH(ROW()-ROW($AK$1),TAB_ressource[ID Import ressources],0)),"")</f>
        <v/>
      </c>
      <c r="BD726" t="s">
        <v>2788</v>
      </c>
      <c r="BE726" t="s">
        <v>2789</v>
      </c>
      <c r="BF726" t="s">
        <v>2790</v>
      </c>
      <c r="BG726" t="s">
        <v>2788</v>
      </c>
    </row>
    <row r="727" spans="13:59" x14ac:dyDescent="0.25">
      <c r="M727" t="str">
        <f>_xlfn.IFNA(IF(VLOOKUP(TAB_Offres[[#This Row],[Reference]],TAB_Offres[[Reference]:[Request State]],COLUMNS(TAB_Offres[[Reference]:[Request State]]),FALSE)=D$6,TAB_Offres[[#This Row],[Reference]],""),"")</f>
        <v/>
      </c>
      <c r="N727" t="str">
        <f>_xlfn.IFNA(IF(VLOOKUP(TAB_Offres[[#This Row],[Reference]],TAB_Offres[[Reference]:[Has Expenses?]],COLUMNS(TAB_Offres[[Reference]:[Has Expenses?]]),FALSE)=J$2,TAB_Offres[[#This Row],[Reference]],""),"")</f>
        <v/>
      </c>
      <c r="O727" t="str">
        <f>IF(Tableau19[[#This Row],[EXPENSES_REF]]="","",MAX(O$1:O726)+1)</f>
        <v/>
      </c>
      <c r="P727" t="str">
        <f t="shared" si="24"/>
        <v/>
      </c>
      <c r="AI727" s="191" t="str">
        <f>IFERROR(_xlfn.SINGLE(
IF(_xlfn.SINGLE(INDEX(TAB_Offres[Ressource 1],ROWS(Params!AI$2:$AI727)))=0,NA(),
INDEX(TAB_Offres[Ressource 1],ROWS(Params!AI$2:$AI727)))),
IFERROR(_xlfn.SINGLE(IF(_xlfn.SINGLE(INDEX(#REF!,ROWS(Params!AI$2:$AI727)-COUNTA(TAB_Offres[Ressource 1])))=0,NA(),
INDEX(#REF!,ROWS(Params!AI$2:$AI727)-COUNTA(TAB_Offres[Ressource 1])))),
IFERROR(_xlfn.SINGLE(IF(_xlfn.SINGLE(INDEX(#REF!,ROWS(Params!AI$2:$AI727)-COUNTA(#REF!)-COUNTA(TAB_Offres[Ressource 1])))=0,NA(),
INDEX(#REF!,ROWS(Params!AI$2:$AI727)-COUNTA(#REF!)-COUNTA(TAB_Offres[Ressource 1])))),""))
)</f>
        <v/>
      </c>
      <c r="AJ727" s="192" t="str">
        <f>IF(TAB_ressource[[#This Row],[Import Ressource]]="","",MAX(AJ$1:AJ726)+1)</f>
        <v/>
      </c>
      <c r="AK727" s="193" t="str">
        <f>IFERROR(INDEX(TAB_ressource[Import Ressource],MATCH(ROW()-ROW($AK$1),TAB_ressource[ID Import ressources],0)),"")</f>
        <v/>
      </c>
      <c r="BD727" t="s">
        <v>2791</v>
      </c>
      <c r="BE727" t="s">
        <v>2792</v>
      </c>
      <c r="BF727" t="s">
        <v>2793</v>
      </c>
      <c r="BG727" t="s">
        <v>2791</v>
      </c>
    </row>
    <row r="728" spans="13:59" x14ac:dyDescent="0.25">
      <c r="M728" t="str">
        <f>_xlfn.IFNA(IF(VLOOKUP(TAB_Offres[[#This Row],[Reference]],TAB_Offres[[Reference]:[Request State]],COLUMNS(TAB_Offres[[Reference]:[Request State]]),FALSE)=D$6,TAB_Offres[[#This Row],[Reference]],""),"")</f>
        <v/>
      </c>
      <c r="N728" t="str">
        <f>_xlfn.IFNA(IF(VLOOKUP(TAB_Offres[[#This Row],[Reference]],TAB_Offres[[Reference]:[Has Expenses?]],COLUMNS(TAB_Offres[[Reference]:[Has Expenses?]]),FALSE)=J$2,TAB_Offres[[#This Row],[Reference]],""),"")</f>
        <v/>
      </c>
      <c r="O728" t="str">
        <f>IF(Tableau19[[#This Row],[EXPENSES_REF]]="","",MAX(O$1:O727)+1)</f>
        <v/>
      </c>
      <c r="P728" t="str">
        <f t="shared" si="24"/>
        <v/>
      </c>
      <c r="AI728" s="191" t="str">
        <f>IFERROR(_xlfn.SINGLE(
IF(_xlfn.SINGLE(INDEX(TAB_Offres[Ressource 1],ROWS(Params!AI$2:$AI728)))=0,NA(),
INDEX(TAB_Offres[Ressource 1],ROWS(Params!AI$2:$AI728)))),
IFERROR(_xlfn.SINGLE(IF(_xlfn.SINGLE(INDEX(#REF!,ROWS(Params!AI$2:$AI728)-COUNTA(TAB_Offres[Ressource 1])))=0,NA(),
INDEX(#REF!,ROWS(Params!AI$2:$AI728)-COUNTA(TAB_Offres[Ressource 1])))),
IFERROR(_xlfn.SINGLE(IF(_xlfn.SINGLE(INDEX(#REF!,ROWS(Params!AI$2:$AI728)-COUNTA(#REF!)-COUNTA(TAB_Offres[Ressource 1])))=0,NA(),
INDEX(#REF!,ROWS(Params!AI$2:$AI728)-COUNTA(#REF!)-COUNTA(TAB_Offres[Ressource 1])))),""))
)</f>
        <v/>
      </c>
      <c r="AJ728" s="192" t="str">
        <f>IF(TAB_ressource[[#This Row],[Import Ressource]]="","",MAX(AJ$1:AJ727)+1)</f>
        <v/>
      </c>
      <c r="AK728" s="193" t="str">
        <f>IFERROR(INDEX(TAB_ressource[Import Ressource],MATCH(ROW()-ROW($AK$1),TAB_ressource[ID Import ressources],0)),"")</f>
        <v/>
      </c>
      <c r="BD728" t="s">
        <v>2794</v>
      </c>
      <c r="BE728" t="s">
        <v>2795</v>
      </c>
      <c r="BF728" t="s">
        <v>2796</v>
      </c>
      <c r="BG728" t="s">
        <v>2794</v>
      </c>
    </row>
    <row r="729" spans="13:59" x14ac:dyDescent="0.25">
      <c r="M729" t="str">
        <f>_xlfn.IFNA(IF(VLOOKUP(TAB_Offres[[#This Row],[Reference]],TAB_Offres[[Reference]:[Request State]],COLUMNS(TAB_Offres[[Reference]:[Request State]]),FALSE)=D$6,TAB_Offres[[#This Row],[Reference]],""),"")</f>
        <v/>
      </c>
      <c r="N729" t="str">
        <f>_xlfn.IFNA(IF(VLOOKUP(TAB_Offres[[#This Row],[Reference]],TAB_Offres[[Reference]:[Has Expenses?]],COLUMNS(TAB_Offres[[Reference]:[Has Expenses?]]),FALSE)=J$2,TAB_Offres[[#This Row],[Reference]],""),"")</f>
        <v/>
      </c>
      <c r="O729" t="str">
        <f>IF(Tableau19[[#This Row],[EXPENSES_REF]]="","",MAX(O$1:O728)+1)</f>
        <v/>
      </c>
      <c r="P729" t="str">
        <f t="shared" si="24"/>
        <v/>
      </c>
      <c r="AI729" s="191" t="str">
        <f>IFERROR(_xlfn.SINGLE(
IF(_xlfn.SINGLE(INDEX(TAB_Offres[Ressource 1],ROWS(Params!AI$2:$AI729)))=0,NA(),
INDEX(TAB_Offres[Ressource 1],ROWS(Params!AI$2:$AI729)))),
IFERROR(_xlfn.SINGLE(IF(_xlfn.SINGLE(INDEX(#REF!,ROWS(Params!AI$2:$AI729)-COUNTA(TAB_Offres[Ressource 1])))=0,NA(),
INDEX(#REF!,ROWS(Params!AI$2:$AI729)-COUNTA(TAB_Offres[Ressource 1])))),
IFERROR(_xlfn.SINGLE(IF(_xlfn.SINGLE(INDEX(#REF!,ROWS(Params!AI$2:$AI729)-COUNTA(#REF!)-COUNTA(TAB_Offres[Ressource 1])))=0,NA(),
INDEX(#REF!,ROWS(Params!AI$2:$AI729)-COUNTA(#REF!)-COUNTA(TAB_Offres[Ressource 1])))),""))
)</f>
        <v/>
      </c>
      <c r="AJ729" s="192" t="str">
        <f>IF(TAB_ressource[[#This Row],[Import Ressource]]="","",MAX(AJ$1:AJ728)+1)</f>
        <v/>
      </c>
      <c r="AK729" s="193" t="str">
        <f>IFERROR(INDEX(TAB_ressource[Import Ressource],MATCH(ROW()-ROW($AK$1),TAB_ressource[ID Import ressources],0)),"")</f>
        <v/>
      </c>
      <c r="BD729" t="s">
        <v>2797</v>
      </c>
      <c r="BE729" t="s">
        <v>2798</v>
      </c>
      <c r="BF729" t="s">
        <v>2799</v>
      </c>
      <c r="BG729" t="s">
        <v>2797</v>
      </c>
    </row>
    <row r="730" spans="13:59" x14ac:dyDescent="0.25">
      <c r="M730" t="str">
        <f>_xlfn.IFNA(IF(VLOOKUP(TAB_Offres[[#This Row],[Reference]],TAB_Offres[[Reference]:[Request State]],COLUMNS(TAB_Offres[[Reference]:[Request State]]),FALSE)=D$6,TAB_Offres[[#This Row],[Reference]],""),"")</f>
        <v/>
      </c>
      <c r="N730" t="str">
        <f>_xlfn.IFNA(IF(VLOOKUP(TAB_Offres[[#This Row],[Reference]],TAB_Offres[[Reference]:[Has Expenses?]],COLUMNS(TAB_Offres[[Reference]:[Has Expenses?]]),FALSE)=J$2,TAB_Offres[[#This Row],[Reference]],""),"")</f>
        <v/>
      </c>
      <c r="O730" t="str">
        <f>IF(Tableau19[[#This Row],[EXPENSES_REF]]="","",MAX(O$1:O729)+1)</f>
        <v/>
      </c>
      <c r="P730" t="str">
        <f t="shared" si="24"/>
        <v/>
      </c>
      <c r="AI730" s="191" t="str">
        <f>IFERROR(_xlfn.SINGLE(
IF(_xlfn.SINGLE(INDEX(TAB_Offres[Ressource 1],ROWS(Params!AI$2:$AI730)))=0,NA(),
INDEX(TAB_Offres[Ressource 1],ROWS(Params!AI$2:$AI730)))),
IFERROR(_xlfn.SINGLE(IF(_xlfn.SINGLE(INDEX(#REF!,ROWS(Params!AI$2:$AI730)-COUNTA(TAB_Offres[Ressource 1])))=0,NA(),
INDEX(#REF!,ROWS(Params!AI$2:$AI730)-COUNTA(TAB_Offres[Ressource 1])))),
IFERROR(_xlfn.SINGLE(IF(_xlfn.SINGLE(INDEX(#REF!,ROWS(Params!AI$2:$AI730)-COUNTA(#REF!)-COUNTA(TAB_Offres[Ressource 1])))=0,NA(),
INDEX(#REF!,ROWS(Params!AI$2:$AI730)-COUNTA(#REF!)-COUNTA(TAB_Offres[Ressource 1])))),""))
)</f>
        <v/>
      </c>
      <c r="AJ730" s="192" t="str">
        <f>IF(TAB_ressource[[#This Row],[Import Ressource]]="","",MAX(AJ$1:AJ729)+1)</f>
        <v/>
      </c>
      <c r="AK730" s="193" t="str">
        <f>IFERROR(INDEX(TAB_ressource[Import Ressource],MATCH(ROW()-ROW($AK$1),TAB_ressource[ID Import ressources],0)),"")</f>
        <v/>
      </c>
      <c r="BD730" t="s">
        <v>2800</v>
      </c>
      <c r="BE730" t="s">
        <v>2801</v>
      </c>
      <c r="BF730" t="s">
        <v>2802</v>
      </c>
      <c r="BG730" t="s">
        <v>2800</v>
      </c>
    </row>
    <row r="731" spans="13:59" x14ac:dyDescent="0.25">
      <c r="M731" t="str">
        <f>_xlfn.IFNA(IF(VLOOKUP(TAB_Offres[[#This Row],[Reference]],TAB_Offres[[Reference]:[Request State]],COLUMNS(TAB_Offres[[Reference]:[Request State]]),FALSE)=D$6,TAB_Offres[[#This Row],[Reference]],""),"")</f>
        <v/>
      </c>
      <c r="N731" t="str">
        <f>_xlfn.IFNA(IF(VLOOKUP(TAB_Offres[[#This Row],[Reference]],TAB_Offres[[Reference]:[Has Expenses?]],COLUMNS(TAB_Offres[[Reference]:[Has Expenses?]]),FALSE)=J$2,TAB_Offres[[#This Row],[Reference]],""),"")</f>
        <v/>
      </c>
      <c r="O731" t="str">
        <f>IF(Tableau19[[#This Row],[EXPENSES_REF]]="","",MAX(O$1:O730)+1)</f>
        <v/>
      </c>
      <c r="P731" t="str">
        <f t="shared" si="24"/>
        <v/>
      </c>
      <c r="AI731" s="191" t="str">
        <f>IFERROR(_xlfn.SINGLE(
IF(_xlfn.SINGLE(INDEX(TAB_Offres[Ressource 1],ROWS(Params!AI$2:$AI731)))=0,NA(),
INDEX(TAB_Offres[Ressource 1],ROWS(Params!AI$2:$AI731)))),
IFERROR(_xlfn.SINGLE(IF(_xlfn.SINGLE(INDEX(#REF!,ROWS(Params!AI$2:$AI731)-COUNTA(TAB_Offres[Ressource 1])))=0,NA(),
INDEX(#REF!,ROWS(Params!AI$2:$AI731)-COUNTA(TAB_Offres[Ressource 1])))),
IFERROR(_xlfn.SINGLE(IF(_xlfn.SINGLE(INDEX(#REF!,ROWS(Params!AI$2:$AI731)-COUNTA(#REF!)-COUNTA(TAB_Offres[Ressource 1])))=0,NA(),
INDEX(#REF!,ROWS(Params!AI$2:$AI731)-COUNTA(#REF!)-COUNTA(TAB_Offres[Ressource 1])))),""))
)</f>
        <v/>
      </c>
      <c r="AJ731" s="192" t="str">
        <f>IF(TAB_ressource[[#This Row],[Import Ressource]]="","",MAX(AJ$1:AJ730)+1)</f>
        <v/>
      </c>
      <c r="AK731" s="193" t="str">
        <f>IFERROR(INDEX(TAB_ressource[Import Ressource],MATCH(ROW()-ROW($AK$1),TAB_ressource[ID Import ressources],0)),"")</f>
        <v/>
      </c>
      <c r="BD731" t="s">
        <v>2803</v>
      </c>
      <c r="BE731" t="s">
        <v>2804</v>
      </c>
      <c r="BF731" t="s">
        <v>2805</v>
      </c>
      <c r="BG731" t="s">
        <v>2803</v>
      </c>
    </row>
    <row r="732" spans="13:59" x14ac:dyDescent="0.25">
      <c r="M732" t="str">
        <f>_xlfn.IFNA(IF(VLOOKUP(TAB_Offres[[#This Row],[Reference]],TAB_Offres[[Reference]:[Request State]],COLUMNS(TAB_Offres[[Reference]:[Request State]]),FALSE)=D$6,TAB_Offres[[#This Row],[Reference]],""),"")</f>
        <v/>
      </c>
      <c r="N732" t="str">
        <f>_xlfn.IFNA(IF(VLOOKUP(TAB_Offres[[#This Row],[Reference]],TAB_Offres[[Reference]:[Has Expenses?]],COLUMNS(TAB_Offres[[Reference]:[Has Expenses?]]),FALSE)=J$2,TAB_Offres[[#This Row],[Reference]],""),"")</f>
        <v/>
      </c>
      <c r="O732" t="str">
        <f>IF(Tableau19[[#This Row],[EXPENSES_REF]]="","",MAX(O$1:O731)+1)</f>
        <v/>
      </c>
      <c r="P732" t="str">
        <f t="shared" si="24"/>
        <v/>
      </c>
      <c r="AI732" s="191" t="str">
        <f>IFERROR(_xlfn.SINGLE(
IF(_xlfn.SINGLE(INDEX(TAB_Offres[Ressource 1],ROWS(Params!AI$2:$AI732)))=0,NA(),
INDEX(TAB_Offres[Ressource 1],ROWS(Params!AI$2:$AI732)))),
IFERROR(_xlfn.SINGLE(IF(_xlfn.SINGLE(INDEX(#REF!,ROWS(Params!AI$2:$AI732)-COUNTA(TAB_Offres[Ressource 1])))=0,NA(),
INDEX(#REF!,ROWS(Params!AI$2:$AI732)-COUNTA(TAB_Offres[Ressource 1])))),
IFERROR(_xlfn.SINGLE(IF(_xlfn.SINGLE(INDEX(#REF!,ROWS(Params!AI$2:$AI732)-COUNTA(#REF!)-COUNTA(TAB_Offres[Ressource 1])))=0,NA(),
INDEX(#REF!,ROWS(Params!AI$2:$AI732)-COUNTA(#REF!)-COUNTA(TAB_Offres[Ressource 1])))),""))
)</f>
        <v/>
      </c>
      <c r="AJ732" s="192" t="str">
        <f>IF(TAB_ressource[[#This Row],[Import Ressource]]="","",MAX(AJ$1:AJ731)+1)</f>
        <v/>
      </c>
      <c r="AK732" s="193" t="str">
        <f>IFERROR(INDEX(TAB_ressource[Import Ressource],MATCH(ROW()-ROW($AK$1),TAB_ressource[ID Import ressources],0)),"")</f>
        <v/>
      </c>
      <c r="BD732" t="s">
        <v>2806</v>
      </c>
      <c r="BE732" t="s">
        <v>2807</v>
      </c>
      <c r="BF732" t="s">
        <v>2808</v>
      </c>
      <c r="BG732" t="s">
        <v>2806</v>
      </c>
    </row>
    <row r="733" spans="13:59" x14ac:dyDescent="0.25">
      <c r="M733" t="str">
        <f>_xlfn.IFNA(IF(VLOOKUP(TAB_Offres[[#This Row],[Reference]],TAB_Offres[[Reference]:[Request State]],COLUMNS(TAB_Offres[[Reference]:[Request State]]),FALSE)=D$6,TAB_Offres[[#This Row],[Reference]],""),"")</f>
        <v/>
      </c>
      <c r="N733" t="str">
        <f>_xlfn.IFNA(IF(VLOOKUP(TAB_Offres[[#This Row],[Reference]],TAB_Offres[[Reference]:[Has Expenses?]],COLUMNS(TAB_Offres[[Reference]:[Has Expenses?]]),FALSE)=J$2,TAB_Offres[[#This Row],[Reference]],""),"")</f>
        <v/>
      </c>
      <c r="O733" t="str">
        <f>IF(Tableau19[[#This Row],[EXPENSES_REF]]="","",MAX(O$1:O732)+1)</f>
        <v/>
      </c>
      <c r="P733" t="str">
        <f t="shared" si="24"/>
        <v/>
      </c>
      <c r="AI733" s="191" t="str">
        <f>IFERROR(_xlfn.SINGLE(
IF(_xlfn.SINGLE(INDEX(TAB_Offres[Ressource 1],ROWS(Params!AI$2:$AI733)))=0,NA(),
INDEX(TAB_Offres[Ressource 1],ROWS(Params!AI$2:$AI733)))),
IFERROR(_xlfn.SINGLE(IF(_xlfn.SINGLE(INDEX(#REF!,ROWS(Params!AI$2:$AI733)-COUNTA(TAB_Offres[Ressource 1])))=0,NA(),
INDEX(#REF!,ROWS(Params!AI$2:$AI733)-COUNTA(TAB_Offres[Ressource 1])))),
IFERROR(_xlfn.SINGLE(IF(_xlfn.SINGLE(INDEX(#REF!,ROWS(Params!AI$2:$AI733)-COUNTA(#REF!)-COUNTA(TAB_Offres[Ressource 1])))=0,NA(),
INDEX(#REF!,ROWS(Params!AI$2:$AI733)-COUNTA(#REF!)-COUNTA(TAB_Offres[Ressource 1])))),""))
)</f>
        <v/>
      </c>
      <c r="AJ733" s="192" t="str">
        <f>IF(TAB_ressource[[#This Row],[Import Ressource]]="","",MAX(AJ$1:AJ732)+1)</f>
        <v/>
      </c>
      <c r="AK733" s="193" t="str">
        <f>IFERROR(INDEX(TAB_ressource[Import Ressource],MATCH(ROW()-ROW($AK$1),TAB_ressource[ID Import ressources],0)),"")</f>
        <v/>
      </c>
      <c r="BD733" t="s">
        <v>2809</v>
      </c>
      <c r="BE733" t="s">
        <v>2810</v>
      </c>
      <c r="BF733" t="s">
        <v>2811</v>
      </c>
      <c r="BG733" t="s">
        <v>2809</v>
      </c>
    </row>
    <row r="734" spans="13:59" x14ac:dyDescent="0.25">
      <c r="M734" t="str">
        <f>_xlfn.IFNA(IF(VLOOKUP(TAB_Offres[[#This Row],[Reference]],TAB_Offres[[Reference]:[Request State]],COLUMNS(TAB_Offres[[Reference]:[Request State]]),FALSE)=D$6,TAB_Offres[[#This Row],[Reference]],""),"")</f>
        <v/>
      </c>
      <c r="N734" t="str">
        <f>_xlfn.IFNA(IF(VLOOKUP(TAB_Offres[[#This Row],[Reference]],TAB_Offres[[Reference]:[Has Expenses?]],COLUMNS(TAB_Offres[[Reference]:[Has Expenses?]]),FALSE)=J$2,TAB_Offres[[#This Row],[Reference]],""),"")</f>
        <v/>
      </c>
      <c r="O734" t="str">
        <f>IF(Tableau19[[#This Row],[EXPENSES_REF]]="","",MAX(O$1:O733)+1)</f>
        <v/>
      </c>
      <c r="P734" t="str">
        <f t="shared" si="24"/>
        <v/>
      </c>
      <c r="AI734" s="191" t="str">
        <f>IFERROR(_xlfn.SINGLE(
IF(_xlfn.SINGLE(INDEX(TAB_Offres[Ressource 1],ROWS(Params!AI$2:$AI734)))=0,NA(),
INDEX(TAB_Offres[Ressource 1],ROWS(Params!AI$2:$AI734)))),
IFERROR(_xlfn.SINGLE(IF(_xlfn.SINGLE(INDEX(#REF!,ROWS(Params!AI$2:$AI734)-COUNTA(TAB_Offres[Ressource 1])))=0,NA(),
INDEX(#REF!,ROWS(Params!AI$2:$AI734)-COUNTA(TAB_Offres[Ressource 1])))),
IFERROR(_xlfn.SINGLE(IF(_xlfn.SINGLE(INDEX(#REF!,ROWS(Params!AI$2:$AI734)-COUNTA(#REF!)-COUNTA(TAB_Offres[Ressource 1])))=0,NA(),
INDEX(#REF!,ROWS(Params!AI$2:$AI734)-COUNTA(#REF!)-COUNTA(TAB_Offres[Ressource 1])))),""))
)</f>
        <v/>
      </c>
      <c r="AJ734" s="192" t="str">
        <f>IF(TAB_ressource[[#This Row],[Import Ressource]]="","",MAX(AJ$1:AJ733)+1)</f>
        <v/>
      </c>
      <c r="AK734" s="193" t="str">
        <f>IFERROR(INDEX(TAB_ressource[Import Ressource],MATCH(ROW()-ROW($AK$1),TAB_ressource[ID Import ressources],0)),"")</f>
        <v/>
      </c>
      <c r="BD734" t="s">
        <v>2812</v>
      </c>
      <c r="BE734" t="s">
        <v>2813</v>
      </c>
      <c r="BF734" t="s">
        <v>2814</v>
      </c>
      <c r="BG734" t="s">
        <v>2812</v>
      </c>
    </row>
    <row r="735" spans="13:59" x14ac:dyDescent="0.25">
      <c r="M735" t="str">
        <f>_xlfn.IFNA(IF(VLOOKUP(TAB_Offres[[#This Row],[Reference]],TAB_Offres[[Reference]:[Request State]],COLUMNS(TAB_Offres[[Reference]:[Request State]]),FALSE)=D$6,TAB_Offres[[#This Row],[Reference]],""),"")</f>
        <v/>
      </c>
      <c r="N735" t="str">
        <f>_xlfn.IFNA(IF(VLOOKUP(TAB_Offres[[#This Row],[Reference]],TAB_Offres[[Reference]:[Has Expenses?]],COLUMNS(TAB_Offres[[Reference]:[Has Expenses?]]),FALSE)=J$2,TAB_Offres[[#This Row],[Reference]],""),"")</f>
        <v/>
      </c>
      <c r="O735" t="str">
        <f>IF(Tableau19[[#This Row],[EXPENSES_REF]]="","",MAX(O$1:O734)+1)</f>
        <v/>
      </c>
      <c r="P735" t="str">
        <f t="shared" si="24"/>
        <v/>
      </c>
      <c r="AI735" s="191" t="str">
        <f>IFERROR(_xlfn.SINGLE(
IF(_xlfn.SINGLE(INDEX(TAB_Offres[Ressource 1],ROWS(Params!AI$2:$AI735)))=0,NA(),
INDEX(TAB_Offres[Ressource 1],ROWS(Params!AI$2:$AI735)))),
IFERROR(_xlfn.SINGLE(IF(_xlfn.SINGLE(INDEX(#REF!,ROWS(Params!AI$2:$AI735)-COUNTA(TAB_Offres[Ressource 1])))=0,NA(),
INDEX(#REF!,ROWS(Params!AI$2:$AI735)-COUNTA(TAB_Offres[Ressource 1])))),
IFERROR(_xlfn.SINGLE(IF(_xlfn.SINGLE(INDEX(#REF!,ROWS(Params!AI$2:$AI735)-COUNTA(#REF!)-COUNTA(TAB_Offres[Ressource 1])))=0,NA(),
INDEX(#REF!,ROWS(Params!AI$2:$AI735)-COUNTA(#REF!)-COUNTA(TAB_Offres[Ressource 1])))),""))
)</f>
        <v/>
      </c>
      <c r="AJ735" s="192" t="str">
        <f>IF(TAB_ressource[[#This Row],[Import Ressource]]="","",MAX(AJ$1:AJ734)+1)</f>
        <v/>
      </c>
      <c r="AK735" s="193" t="str">
        <f>IFERROR(INDEX(TAB_ressource[Import Ressource],MATCH(ROW()-ROW($AK$1),TAB_ressource[ID Import ressources],0)),"")</f>
        <v/>
      </c>
      <c r="BD735" t="s">
        <v>2815</v>
      </c>
      <c r="BE735" t="s">
        <v>2816</v>
      </c>
      <c r="BF735" t="s">
        <v>2817</v>
      </c>
      <c r="BG735" t="s">
        <v>2815</v>
      </c>
    </row>
    <row r="736" spans="13:59" x14ac:dyDescent="0.25">
      <c r="M736" t="str">
        <f>_xlfn.IFNA(IF(VLOOKUP(TAB_Offres[[#This Row],[Reference]],TAB_Offres[[Reference]:[Request State]],COLUMNS(TAB_Offres[[Reference]:[Request State]]),FALSE)=D$6,TAB_Offres[[#This Row],[Reference]],""),"")</f>
        <v/>
      </c>
      <c r="N736" t="str">
        <f>_xlfn.IFNA(IF(VLOOKUP(TAB_Offres[[#This Row],[Reference]],TAB_Offres[[Reference]:[Has Expenses?]],COLUMNS(TAB_Offres[[Reference]:[Has Expenses?]]),FALSE)=J$2,TAB_Offres[[#This Row],[Reference]],""),"")</f>
        <v/>
      </c>
      <c r="O736" t="str">
        <f>IF(Tableau19[[#This Row],[EXPENSES_REF]]="","",MAX(O$1:O735)+1)</f>
        <v/>
      </c>
      <c r="P736" t="str">
        <f t="shared" si="24"/>
        <v/>
      </c>
      <c r="AI736" s="191" t="str">
        <f>IFERROR(_xlfn.SINGLE(
IF(_xlfn.SINGLE(INDEX(TAB_Offres[Ressource 1],ROWS(Params!AI$2:$AI736)))=0,NA(),
INDEX(TAB_Offres[Ressource 1],ROWS(Params!AI$2:$AI736)))),
IFERROR(_xlfn.SINGLE(IF(_xlfn.SINGLE(INDEX(#REF!,ROWS(Params!AI$2:$AI736)-COUNTA(TAB_Offres[Ressource 1])))=0,NA(),
INDEX(#REF!,ROWS(Params!AI$2:$AI736)-COUNTA(TAB_Offres[Ressource 1])))),
IFERROR(_xlfn.SINGLE(IF(_xlfn.SINGLE(INDEX(#REF!,ROWS(Params!AI$2:$AI736)-COUNTA(#REF!)-COUNTA(TAB_Offres[Ressource 1])))=0,NA(),
INDEX(#REF!,ROWS(Params!AI$2:$AI736)-COUNTA(#REF!)-COUNTA(TAB_Offres[Ressource 1])))),""))
)</f>
        <v/>
      </c>
      <c r="AJ736" s="192" t="str">
        <f>IF(TAB_ressource[[#This Row],[Import Ressource]]="","",MAX(AJ$1:AJ735)+1)</f>
        <v/>
      </c>
      <c r="AK736" s="193" t="str">
        <f>IFERROR(INDEX(TAB_ressource[Import Ressource],MATCH(ROW()-ROW($AK$1),TAB_ressource[ID Import ressources],0)),"")</f>
        <v/>
      </c>
      <c r="BD736" t="s">
        <v>2818</v>
      </c>
      <c r="BE736" t="s">
        <v>2819</v>
      </c>
      <c r="BF736" t="s">
        <v>2820</v>
      </c>
      <c r="BG736" t="s">
        <v>2818</v>
      </c>
    </row>
    <row r="737" spans="13:59" x14ac:dyDescent="0.25">
      <c r="M737" t="str">
        <f>_xlfn.IFNA(IF(VLOOKUP(TAB_Offres[[#This Row],[Reference]],TAB_Offres[[Reference]:[Request State]],COLUMNS(TAB_Offres[[Reference]:[Request State]]),FALSE)=D$6,TAB_Offres[[#This Row],[Reference]],""),"")</f>
        <v/>
      </c>
      <c r="N737" t="str">
        <f>_xlfn.IFNA(IF(VLOOKUP(TAB_Offres[[#This Row],[Reference]],TAB_Offres[[Reference]:[Has Expenses?]],COLUMNS(TAB_Offres[[Reference]:[Has Expenses?]]),FALSE)=J$2,TAB_Offres[[#This Row],[Reference]],""),"")</f>
        <v/>
      </c>
      <c r="O737" t="str">
        <f>IF(Tableau19[[#This Row],[EXPENSES_REF]]="","",MAX(O$1:O736)+1)</f>
        <v/>
      </c>
      <c r="P737" t="str">
        <f t="shared" si="24"/>
        <v/>
      </c>
      <c r="AI737" s="191" t="str">
        <f>IFERROR(_xlfn.SINGLE(
IF(_xlfn.SINGLE(INDEX(TAB_Offres[Ressource 1],ROWS(Params!AI$2:$AI737)))=0,NA(),
INDEX(TAB_Offres[Ressource 1],ROWS(Params!AI$2:$AI737)))),
IFERROR(_xlfn.SINGLE(IF(_xlfn.SINGLE(INDEX(#REF!,ROWS(Params!AI$2:$AI737)-COUNTA(TAB_Offres[Ressource 1])))=0,NA(),
INDEX(#REF!,ROWS(Params!AI$2:$AI737)-COUNTA(TAB_Offres[Ressource 1])))),
IFERROR(_xlfn.SINGLE(IF(_xlfn.SINGLE(INDEX(#REF!,ROWS(Params!AI$2:$AI737)-COUNTA(#REF!)-COUNTA(TAB_Offres[Ressource 1])))=0,NA(),
INDEX(#REF!,ROWS(Params!AI$2:$AI737)-COUNTA(#REF!)-COUNTA(TAB_Offres[Ressource 1])))),""))
)</f>
        <v/>
      </c>
      <c r="AJ737" s="192" t="str">
        <f>IF(TAB_ressource[[#This Row],[Import Ressource]]="","",MAX(AJ$1:AJ736)+1)</f>
        <v/>
      </c>
      <c r="AK737" s="193" t="str">
        <f>IFERROR(INDEX(TAB_ressource[Import Ressource],MATCH(ROW()-ROW($AK$1),TAB_ressource[ID Import ressources],0)),"")</f>
        <v/>
      </c>
      <c r="BD737" t="s">
        <v>2821</v>
      </c>
      <c r="BE737" t="s">
        <v>2822</v>
      </c>
      <c r="BF737" t="s">
        <v>2823</v>
      </c>
      <c r="BG737" t="s">
        <v>2821</v>
      </c>
    </row>
    <row r="738" spans="13:59" x14ac:dyDescent="0.25">
      <c r="M738" t="str">
        <f>_xlfn.IFNA(IF(VLOOKUP(TAB_Offres[[#This Row],[Reference]],TAB_Offres[[Reference]:[Request State]],COLUMNS(TAB_Offres[[Reference]:[Request State]]),FALSE)=D$6,TAB_Offres[[#This Row],[Reference]],""),"")</f>
        <v/>
      </c>
      <c r="N738" t="str">
        <f>_xlfn.IFNA(IF(VLOOKUP(TAB_Offres[[#This Row],[Reference]],TAB_Offres[[Reference]:[Has Expenses?]],COLUMNS(TAB_Offres[[Reference]:[Has Expenses?]]),FALSE)=J$2,TAB_Offres[[#This Row],[Reference]],""),"")</f>
        <v/>
      </c>
      <c r="O738" t="str">
        <f>IF(Tableau19[[#This Row],[EXPENSES_REF]]="","",MAX(O$1:O737)+1)</f>
        <v/>
      </c>
      <c r="P738" t="str">
        <f t="shared" si="24"/>
        <v/>
      </c>
      <c r="AI738" s="191" t="str">
        <f>IFERROR(_xlfn.SINGLE(
IF(_xlfn.SINGLE(INDEX(TAB_Offres[Ressource 1],ROWS(Params!AI$2:$AI738)))=0,NA(),
INDEX(TAB_Offres[Ressource 1],ROWS(Params!AI$2:$AI738)))),
IFERROR(_xlfn.SINGLE(IF(_xlfn.SINGLE(INDEX(#REF!,ROWS(Params!AI$2:$AI738)-COUNTA(TAB_Offres[Ressource 1])))=0,NA(),
INDEX(#REF!,ROWS(Params!AI$2:$AI738)-COUNTA(TAB_Offres[Ressource 1])))),
IFERROR(_xlfn.SINGLE(IF(_xlfn.SINGLE(INDEX(#REF!,ROWS(Params!AI$2:$AI738)-COUNTA(#REF!)-COUNTA(TAB_Offres[Ressource 1])))=0,NA(),
INDEX(#REF!,ROWS(Params!AI$2:$AI738)-COUNTA(#REF!)-COUNTA(TAB_Offres[Ressource 1])))),""))
)</f>
        <v/>
      </c>
      <c r="AJ738" s="192" t="str">
        <f>IF(TAB_ressource[[#This Row],[Import Ressource]]="","",MAX(AJ$1:AJ737)+1)</f>
        <v/>
      </c>
      <c r="AK738" s="193" t="str">
        <f>IFERROR(INDEX(TAB_ressource[Import Ressource],MATCH(ROW()-ROW($AK$1),TAB_ressource[ID Import ressources],0)),"")</f>
        <v/>
      </c>
      <c r="BD738" t="s">
        <v>2824</v>
      </c>
      <c r="BE738" t="s">
        <v>2825</v>
      </c>
      <c r="BF738" t="s">
        <v>2826</v>
      </c>
      <c r="BG738" t="s">
        <v>2824</v>
      </c>
    </row>
    <row r="739" spans="13:59" x14ac:dyDescent="0.25">
      <c r="M739" t="str">
        <f>_xlfn.IFNA(IF(VLOOKUP(TAB_Offres[[#This Row],[Reference]],TAB_Offres[[Reference]:[Request State]],COLUMNS(TAB_Offres[[Reference]:[Request State]]),FALSE)=D$6,TAB_Offres[[#This Row],[Reference]],""),"")</f>
        <v/>
      </c>
      <c r="N739" t="str">
        <f>_xlfn.IFNA(IF(VLOOKUP(TAB_Offres[[#This Row],[Reference]],TAB_Offres[[Reference]:[Has Expenses?]],COLUMNS(TAB_Offres[[Reference]:[Has Expenses?]]),FALSE)=J$2,TAB_Offres[[#This Row],[Reference]],""),"")</f>
        <v/>
      </c>
      <c r="O739" t="str">
        <f>IF(Tableau19[[#This Row],[EXPENSES_REF]]="","",MAX(O$1:O738)+1)</f>
        <v/>
      </c>
      <c r="P739" t="str">
        <f t="shared" si="24"/>
        <v/>
      </c>
      <c r="AI739" s="191" t="str">
        <f>IFERROR(_xlfn.SINGLE(
IF(_xlfn.SINGLE(INDEX(TAB_Offres[Ressource 1],ROWS(Params!AI$2:$AI739)))=0,NA(),
INDEX(TAB_Offres[Ressource 1],ROWS(Params!AI$2:$AI739)))),
IFERROR(_xlfn.SINGLE(IF(_xlfn.SINGLE(INDEX(#REF!,ROWS(Params!AI$2:$AI739)-COUNTA(TAB_Offres[Ressource 1])))=0,NA(),
INDEX(#REF!,ROWS(Params!AI$2:$AI739)-COUNTA(TAB_Offres[Ressource 1])))),
IFERROR(_xlfn.SINGLE(IF(_xlfn.SINGLE(INDEX(#REF!,ROWS(Params!AI$2:$AI739)-COUNTA(#REF!)-COUNTA(TAB_Offres[Ressource 1])))=0,NA(),
INDEX(#REF!,ROWS(Params!AI$2:$AI739)-COUNTA(#REF!)-COUNTA(TAB_Offres[Ressource 1])))),""))
)</f>
        <v/>
      </c>
      <c r="AJ739" s="192" t="str">
        <f>IF(TAB_ressource[[#This Row],[Import Ressource]]="","",MAX(AJ$1:AJ738)+1)</f>
        <v/>
      </c>
      <c r="AK739" s="193" t="str">
        <f>IFERROR(INDEX(TAB_ressource[Import Ressource],MATCH(ROW()-ROW($AK$1),TAB_ressource[ID Import ressources],0)),"")</f>
        <v/>
      </c>
      <c r="BD739" t="s">
        <v>2827</v>
      </c>
      <c r="BE739" t="s">
        <v>2828</v>
      </c>
      <c r="BF739" t="s">
        <v>2829</v>
      </c>
      <c r="BG739" t="s">
        <v>2827</v>
      </c>
    </row>
    <row r="740" spans="13:59" x14ac:dyDescent="0.25">
      <c r="M740" t="str">
        <f>_xlfn.IFNA(IF(VLOOKUP(TAB_Offres[[#This Row],[Reference]],TAB_Offres[[Reference]:[Request State]],COLUMNS(TAB_Offres[[Reference]:[Request State]]),FALSE)=D$6,TAB_Offres[[#This Row],[Reference]],""),"")</f>
        <v/>
      </c>
      <c r="N740" t="str">
        <f>_xlfn.IFNA(IF(VLOOKUP(TAB_Offres[[#This Row],[Reference]],TAB_Offres[[Reference]:[Has Expenses?]],COLUMNS(TAB_Offres[[Reference]:[Has Expenses?]]),FALSE)=J$2,TAB_Offres[[#This Row],[Reference]],""),"")</f>
        <v/>
      </c>
      <c r="O740" t="str">
        <f>IF(Tableau19[[#This Row],[EXPENSES_REF]]="","",MAX(O$1:O739)+1)</f>
        <v/>
      </c>
      <c r="P740" t="str">
        <f t="shared" si="24"/>
        <v/>
      </c>
      <c r="AI740" s="191" t="str">
        <f>IFERROR(_xlfn.SINGLE(
IF(_xlfn.SINGLE(INDEX(TAB_Offres[Ressource 1],ROWS(Params!AI$2:$AI740)))=0,NA(),
INDEX(TAB_Offres[Ressource 1],ROWS(Params!AI$2:$AI740)))),
IFERROR(_xlfn.SINGLE(IF(_xlfn.SINGLE(INDEX(#REF!,ROWS(Params!AI$2:$AI740)-COUNTA(TAB_Offres[Ressource 1])))=0,NA(),
INDEX(#REF!,ROWS(Params!AI$2:$AI740)-COUNTA(TAB_Offres[Ressource 1])))),
IFERROR(_xlfn.SINGLE(IF(_xlfn.SINGLE(INDEX(#REF!,ROWS(Params!AI$2:$AI740)-COUNTA(#REF!)-COUNTA(TAB_Offres[Ressource 1])))=0,NA(),
INDEX(#REF!,ROWS(Params!AI$2:$AI740)-COUNTA(#REF!)-COUNTA(TAB_Offres[Ressource 1])))),""))
)</f>
        <v/>
      </c>
      <c r="AJ740" s="192" t="str">
        <f>IF(TAB_ressource[[#This Row],[Import Ressource]]="","",MAX(AJ$1:AJ739)+1)</f>
        <v/>
      </c>
      <c r="AK740" s="193" t="str">
        <f>IFERROR(INDEX(TAB_ressource[Import Ressource],MATCH(ROW()-ROW($AK$1),TAB_ressource[ID Import ressources],0)),"")</f>
        <v/>
      </c>
      <c r="BD740" t="s">
        <v>2830</v>
      </c>
      <c r="BE740" t="s">
        <v>2831</v>
      </c>
      <c r="BF740" t="s">
        <v>2832</v>
      </c>
      <c r="BG740" t="s">
        <v>2830</v>
      </c>
    </row>
    <row r="741" spans="13:59" x14ac:dyDescent="0.25">
      <c r="M741" t="str">
        <f>_xlfn.IFNA(IF(VLOOKUP(TAB_Offres[[#This Row],[Reference]],TAB_Offres[[Reference]:[Request State]],COLUMNS(TAB_Offres[[Reference]:[Request State]]),FALSE)=D$6,TAB_Offres[[#This Row],[Reference]],""),"")</f>
        <v/>
      </c>
      <c r="N741" t="str">
        <f>_xlfn.IFNA(IF(VLOOKUP(TAB_Offres[[#This Row],[Reference]],TAB_Offres[[Reference]:[Has Expenses?]],COLUMNS(TAB_Offres[[Reference]:[Has Expenses?]]),FALSE)=J$2,TAB_Offres[[#This Row],[Reference]],""),"")</f>
        <v/>
      </c>
      <c r="O741" t="str">
        <f>IF(Tableau19[[#This Row],[EXPENSES_REF]]="","",MAX(O$1:O740)+1)</f>
        <v/>
      </c>
      <c r="P741" t="str">
        <f t="shared" si="24"/>
        <v/>
      </c>
      <c r="AI741" s="191" t="str">
        <f>IFERROR(_xlfn.SINGLE(
IF(_xlfn.SINGLE(INDEX(TAB_Offres[Ressource 1],ROWS(Params!AI$2:$AI741)))=0,NA(),
INDEX(TAB_Offres[Ressource 1],ROWS(Params!AI$2:$AI741)))),
IFERROR(_xlfn.SINGLE(IF(_xlfn.SINGLE(INDEX(#REF!,ROWS(Params!AI$2:$AI741)-COUNTA(TAB_Offres[Ressource 1])))=0,NA(),
INDEX(#REF!,ROWS(Params!AI$2:$AI741)-COUNTA(TAB_Offres[Ressource 1])))),
IFERROR(_xlfn.SINGLE(IF(_xlfn.SINGLE(INDEX(#REF!,ROWS(Params!AI$2:$AI741)-COUNTA(#REF!)-COUNTA(TAB_Offres[Ressource 1])))=0,NA(),
INDEX(#REF!,ROWS(Params!AI$2:$AI741)-COUNTA(#REF!)-COUNTA(TAB_Offres[Ressource 1])))),""))
)</f>
        <v/>
      </c>
      <c r="AJ741" s="192" t="str">
        <f>IF(TAB_ressource[[#This Row],[Import Ressource]]="","",MAX(AJ$1:AJ740)+1)</f>
        <v/>
      </c>
      <c r="AK741" s="193" t="str">
        <f>IFERROR(INDEX(TAB_ressource[Import Ressource],MATCH(ROW()-ROW($AK$1),TAB_ressource[ID Import ressources],0)),"")</f>
        <v/>
      </c>
      <c r="BD741" t="s">
        <v>2833</v>
      </c>
      <c r="BE741" t="s">
        <v>2834</v>
      </c>
      <c r="BF741" t="s">
        <v>2835</v>
      </c>
      <c r="BG741" t="s">
        <v>2833</v>
      </c>
    </row>
    <row r="742" spans="13:59" x14ac:dyDescent="0.25">
      <c r="M742" t="str">
        <f>_xlfn.IFNA(IF(VLOOKUP(TAB_Offres[[#This Row],[Reference]],TAB_Offres[[Reference]:[Request State]],COLUMNS(TAB_Offres[[Reference]:[Request State]]),FALSE)=D$6,TAB_Offres[[#This Row],[Reference]],""),"")</f>
        <v/>
      </c>
      <c r="N742" t="str">
        <f>_xlfn.IFNA(IF(VLOOKUP(TAB_Offres[[#This Row],[Reference]],TAB_Offres[[Reference]:[Has Expenses?]],COLUMNS(TAB_Offres[[Reference]:[Has Expenses?]]),FALSE)=J$2,TAB_Offres[[#This Row],[Reference]],""),"")</f>
        <v/>
      </c>
      <c r="O742" t="str">
        <f>IF(Tableau19[[#This Row],[EXPENSES_REF]]="","",MAX(O$1:O741)+1)</f>
        <v/>
      </c>
      <c r="P742" t="str">
        <f t="shared" si="24"/>
        <v/>
      </c>
      <c r="AI742" s="191" t="str">
        <f>IFERROR(_xlfn.SINGLE(
IF(_xlfn.SINGLE(INDEX(TAB_Offres[Ressource 1],ROWS(Params!AI$2:$AI742)))=0,NA(),
INDEX(TAB_Offres[Ressource 1],ROWS(Params!AI$2:$AI742)))),
IFERROR(_xlfn.SINGLE(IF(_xlfn.SINGLE(INDEX(#REF!,ROWS(Params!AI$2:$AI742)-COUNTA(TAB_Offres[Ressource 1])))=0,NA(),
INDEX(#REF!,ROWS(Params!AI$2:$AI742)-COUNTA(TAB_Offres[Ressource 1])))),
IFERROR(_xlfn.SINGLE(IF(_xlfn.SINGLE(INDEX(#REF!,ROWS(Params!AI$2:$AI742)-COUNTA(#REF!)-COUNTA(TAB_Offres[Ressource 1])))=0,NA(),
INDEX(#REF!,ROWS(Params!AI$2:$AI742)-COUNTA(#REF!)-COUNTA(TAB_Offres[Ressource 1])))),""))
)</f>
        <v/>
      </c>
      <c r="AJ742" s="192" t="str">
        <f>IF(TAB_ressource[[#This Row],[Import Ressource]]="","",MAX(AJ$1:AJ741)+1)</f>
        <v/>
      </c>
      <c r="AK742" s="193" t="str">
        <f>IFERROR(INDEX(TAB_ressource[Import Ressource],MATCH(ROW()-ROW($AK$1),TAB_ressource[ID Import ressources],0)),"")</f>
        <v/>
      </c>
      <c r="BD742" t="s">
        <v>2836</v>
      </c>
      <c r="BE742" t="s">
        <v>2837</v>
      </c>
      <c r="BF742" t="s">
        <v>2838</v>
      </c>
      <c r="BG742" t="s">
        <v>2836</v>
      </c>
    </row>
    <row r="743" spans="13:59" x14ac:dyDescent="0.25">
      <c r="M743" t="str">
        <f>_xlfn.IFNA(IF(VLOOKUP(TAB_Offres[[#This Row],[Reference]],TAB_Offres[[Reference]:[Request State]],COLUMNS(TAB_Offres[[Reference]:[Request State]]),FALSE)=D$6,TAB_Offres[[#This Row],[Reference]],""),"")</f>
        <v/>
      </c>
      <c r="N743" t="str">
        <f>_xlfn.IFNA(IF(VLOOKUP(TAB_Offres[[#This Row],[Reference]],TAB_Offres[[Reference]:[Has Expenses?]],COLUMNS(TAB_Offres[[Reference]:[Has Expenses?]]),FALSE)=J$2,TAB_Offres[[#This Row],[Reference]],""),"")</f>
        <v/>
      </c>
      <c r="O743" t="str">
        <f>IF(Tableau19[[#This Row],[EXPENSES_REF]]="","",MAX(O$1:O742)+1)</f>
        <v/>
      </c>
      <c r="P743" t="str">
        <f t="shared" si="24"/>
        <v/>
      </c>
      <c r="AI743" s="191" t="str">
        <f>IFERROR(_xlfn.SINGLE(
IF(_xlfn.SINGLE(INDEX(TAB_Offres[Ressource 1],ROWS(Params!AI$2:$AI743)))=0,NA(),
INDEX(TAB_Offres[Ressource 1],ROWS(Params!AI$2:$AI743)))),
IFERROR(_xlfn.SINGLE(IF(_xlfn.SINGLE(INDEX(#REF!,ROWS(Params!AI$2:$AI743)-COUNTA(TAB_Offres[Ressource 1])))=0,NA(),
INDEX(#REF!,ROWS(Params!AI$2:$AI743)-COUNTA(TAB_Offres[Ressource 1])))),
IFERROR(_xlfn.SINGLE(IF(_xlfn.SINGLE(INDEX(#REF!,ROWS(Params!AI$2:$AI743)-COUNTA(#REF!)-COUNTA(TAB_Offres[Ressource 1])))=0,NA(),
INDEX(#REF!,ROWS(Params!AI$2:$AI743)-COUNTA(#REF!)-COUNTA(TAB_Offres[Ressource 1])))),""))
)</f>
        <v/>
      </c>
      <c r="AJ743" s="192" t="str">
        <f>IF(TAB_ressource[[#This Row],[Import Ressource]]="","",MAX(AJ$1:AJ742)+1)</f>
        <v/>
      </c>
      <c r="AK743" s="193" t="str">
        <f>IFERROR(INDEX(TAB_ressource[Import Ressource],MATCH(ROW()-ROW($AK$1),TAB_ressource[ID Import ressources],0)),"")</f>
        <v/>
      </c>
      <c r="BD743" t="s">
        <v>2839</v>
      </c>
      <c r="BE743" t="s">
        <v>2840</v>
      </c>
      <c r="BF743" t="s">
        <v>2841</v>
      </c>
      <c r="BG743" t="s">
        <v>2839</v>
      </c>
    </row>
    <row r="744" spans="13:59" x14ac:dyDescent="0.25">
      <c r="M744" t="str">
        <f>_xlfn.IFNA(IF(VLOOKUP(TAB_Offres[[#This Row],[Reference]],TAB_Offres[[Reference]:[Request State]],COLUMNS(TAB_Offres[[Reference]:[Request State]]),FALSE)=D$6,TAB_Offres[[#This Row],[Reference]],""),"")</f>
        <v/>
      </c>
      <c r="N744" t="str">
        <f>_xlfn.IFNA(IF(VLOOKUP(TAB_Offres[[#This Row],[Reference]],TAB_Offres[[Reference]:[Has Expenses?]],COLUMNS(TAB_Offres[[Reference]:[Has Expenses?]]),FALSE)=J$2,TAB_Offres[[#This Row],[Reference]],""),"")</f>
        <v/>
      </c>
      <c r="O744" t="str">
        <f>IF(Tableau19[[#This Row],[EXPENSES_REF]]="","",MAX(O$1:O743)+1)</f>
        <v/>
      </c>
      <c r="P744" t="str">
        <f t="shared" si="24"/>
        <v/>
      </c>
      <c r="AI744" s="191" t="str">
        <f>IFERROR(_xlfn.SINGLE(
IF(_xlfn.SINGLE(INDEX(TAB_Offres[Ressource 1],ROWS(Params!AI$2:$AI744)))=0,NA(),
INDEX(TAB_Offres[Ressource 1],ROWS(Params!AI$2:$AI744)))),
IFERROR(_xlfn.SINGLE(IF(_xlfn.SINGLE(INDEX(#REF!,ROWS(Params!AI$2:$AI744)-COUNTA(TAB_Offres[Ressource 1])))=0,NA(),
INDEX(#REF!,ROWS(Params!AI$2:$AI744)-COUNTA(TAB_Offres[Ressource 1])))),
IFERROR(_xlfn.SINGLE(IF(_xlfn.SINGLE(INDEX(#REF!,ROWS(Params!AI$2:$AI744)-COUNTA(#REF!)-COUNTA(TAB_Offres[Ressource 1])))=0,NA(),
INDEX(#REF!,ROWS(Params!AI$2:$AI744)-COUNTA(#REF!)-COUNTA(TAB_Offres[Ressource 1])))),""))
)</f>
        <v/>
      </c>
      <c r="AJ744" s="192" t="str">
        <f>IF(TAB_ressource[[#This Row],[Import Ressource]]="","",MAX(AJ$1:AJ743)+1)</f>
        <v/>
      </c>
      <c r="AK744" s="193" t="str">
        <f>IFERROR(INDEX(TAB_ressource[Import Ressource],MATCH(ROW()-ROW($AK$1),TAB_ressource[ID Import ressources],0)),"")</f>
        <v/>
      </c>
      <c r="BD744" t="s">
        <v>2842</v>
      </c>
      <c r="BE744" t="s">
        <v>2843</v>
      </c>
      <c r="BF744" t="s">
        <v>2844</v>
      </c>
      <c r="BG744" t="s">
        <v>2842</v>
      </c>
    </row>
    <row r="745" spans="13:59" x14ac:dyDescent="0.25">
      <c r="M745" t="str">
        <f>_xlfn.IFNA(IF(VLOOKUP(TAB_Offres[[#This Row],[Reference]],TAB_Offres[[Reference]:[Request State]],COLUMNS(TAB_Offres[[Reference]:[Request State]]),FALSE)=D$6,TAB_Offres[[#This Row],[Reference]],""),"")</f>
        <v/>
      </c>
      <c r="N745" t="str">
        <f>_xlfn.IFNA(IF(VLOOKUP(TAB_Offres[[#This Row],[Reference]],TAB_Offres[[Reference]:[Has Expenses?]],COLUMNS(TAB_Offres[[Reference]:[Has Expenses?]]),FALSE)=J$2,TAB_Offres[[#This Row],[Reference]],""),"")</f>
        <v/>
      </c>
      <c r="O745" t="str">
        <f>IF(Tableau19[[#This Row],[EXPENSES_REF]]="","",MAX(O$1:O744)+1)</f>
        <v/>
      </c>
      <c r="P745" t="str">
        <f t="shared" si="24"/>
        <v/>
      </c>
      <c r="AI745" s="191" t="str">
        <f>IFERROR(_xlfn.SINGLE(
IF(_xlfn.SINGLE(INDEX(TAB_Offres[Ressource 1],ROWS(Params!AI$2:$AI745)))=0,NA(),
INDEX(TAB_Offres[Ressource 1],ROWS(Params!AI$2:$AI745)))),
IFERROR(_xlfn.SINGLE(IF(_xlfn.SINGLE(INDEX(#REF!,ROWS(Params!AI$2:$AI745)-COUNTA(TAB_Offres[Ressource 1])))=0,NA(),
INDEX(#REF!,ROWS(Params!AI$2:$AI745)-COUNTA(TAB_Offres[Ressource 1])))),
IFERROR(_xlfn.SINGLE(IF(_xlfn.SINGLE(INDEX(#REF!,ROWS(Params!AI$2:$AI745)-COUNTA(#REF!)-COUNTA(TAB_Offres[Ressource 1])))=0,NA(),
INDEX(#REF!,ROWS(Params!AI$2:$AI745)-COUNTA(#REF!)-COUNTA(TAB_Offres[Ressource 1])))),""))
)</f>
        <v/>
      </c>
      <c r="AJ745" s="192" t="str">
        <f>IF(TAB_ressource[[#This Row],[Import Ressource]]="","",MAX(AJ$1:AJ744)+1)</f>
        <v/>
      </c>
      <c r="AK745" s="193" t="str">
        <f>IFERROR(INDEX(TAB_ressource[Import Ressource],MATCH(ROW()-ROW($AK$1),TAB_ressource[ID Import ressources],0)),"")</f>
        <v/>
      </c>
      <c r="BD745" t="s">
        <v>2845</v>
      </c>
      <c r="BE745" t="s">
        <v>2846</v>
      </c>
      <c r="BF745" t="s">
        <v>2847</v>
      </c>
      <c r="BG745" t="s">
        <v>2845</v>
      </c>
    </row>
    <row r="746" spans="13:59" x14ac:dyDescent="0.25">
      <c r="M746" t="str">
        <f>_xlfn.IFNA(IF(VLOOKUP(TAB_Offres[[#This Row],[Reference]],TAB_Offres[[Reference]:[Request State]],COLUMNS(TAB_Offres[[Reference]:[Request State]]),FALSE)=D$6,TAB_Offres[[#This Row],[Reference]],""),"")</f>
        <v/>
      </c>
      <c r="N746" t="str">
        <f>_xlfn.IFNA(IF(VLOOKUP(TAB_Offres[[#This Row],[Reference]],TAB_Offres[[Reference]:[Has Expenses?]],COLUMNS(TAB_Offres[[Reference]:[Has Expenses?]]),FALSE)=J$2,TAB_Offres[[#This Row],[Reference]],""),"")</f>
        <v/>
      </c>
      <c r="O746" t="str">
        <f>IF(Tableau19[[#This Row],[EXPENSES_REF]]="","",MAX(O$1:O745)+1)</f>
        <v/>
      </c>
      <c r="P746" t="str">
        <f t="shared" si="24"/>
        <v/>
      </c>
      <c r="AI746" s="191" t="str">
        <f>IFERROR(_xlfn.SINGLE(
IF(_xlfn.SINGLE(INDEX(TAB_Offres[Ressource 1],ROWS(Params!AI$2:$AI746)))=0,NA(),
INDEX(TAB_Offres[Ressource 1],ROWS(Params!AI$2:$AI746)))),
IFERROR(_xlfn.SINGLE(IF(_xlfn.SINGLE(INDEX(#REF!,ROWS(Params!AI$2:$AI746)-COUNTA(TAB_Offres[Ressource 1])))=0,NA(),
INDEX(#REF!,ROWS(Params!AI$2:$AI746)-COUNTA(TAB_Offres[Ressource 1])))),
IFERROR(_xlfn.SINGLE(IF(_xlfn.SINGLE(INDEX(#REF!,ROWS(Params!AI$2:$AI746)-COUNTA(#REF!)-COUNTA(TAB_Offres[Ressource 1])))=0,NA(),
INDEX(#REF!,ROWS(Params!AI$2:$AI746)-COUNTA(#REF!)-COUNTA(TAB_Offres[Ressource 1])))),""))
)</f>
        <v/>
      </c>
      <c r="AJ746" s="192" t="str">
        <f>IF(TAB_ressource[[#This Row],[Import Ressource]]="","",MAX(AJ$1:AJ745)+1)</f>
        <v/>
      </c>
      <c r="AK746" s="193" t="str">
        <f>IFERROR(INDEX(TAB_ressource[Import Ressource],MATCH(ROW()-ROW($AK$1),TAB_ressource[ID Import ressources],0)),"")</f>
        <v/>
      </c>
      <c r="BD746" t="s">
        <v>2848</v>
      </c>
      <c r="BE746" t="s">
        <v>2849</v>
      </c>
      <c r="BF746" t="s">
        <v>2850</v>
      </c>
      <c r="BG746" t="s">
        <v>2848</v>
      </c>
    </row>
    <row r="747" spans="13:59" x14ac:dyDescent="0.25">
      <c r="M747" t="str">
        <f>_xlfn.IFNA(IF(VLOOKUP(TAB_Offres[[#This Row],[Reference]],TAB_Offres[[Reference]:[Request State]],COLUMNS(TAB_Offres[[Reference]:[Request State]]),FALSE)=D$6,TAB_Offres[[#This Row],[Reference]],""),"")</f>
        <v/>
      </c>
      <c r="N747" t="str">
        <f>_xlfn.IFNA(IF(VLOOKUP(TAB_Offres[[#This Row],[Reference]],TAB_Offres[[Reference]:[Has Expenses?]],COLUMNS(TAB_Offres[[Reference]:[Has Expenses?]]),FALSE)=J$2,TAB_Offres[[#This Row],[Reference]],""),"")</f>
        <v/>
      </c>
      <c r="O747" t="str">
        <f>IF(Tableau19[[#This Row],[EXPENSES_REF]]="","",MAX(O$1:O746)+1)</f>
        <v/>
      </c>
      <c r="P747" t="str">
        <f t="shared" si="24"/>
        <v/>
      </c>
      <c r="AI747" s="191" t="str">
        <f>IFERROR(_xlfn.SINGLE(
IF(_xlfn.SINGLE(INDEX(TAB_Offres[Ressource 1],ROWS(Params!AI$2:$AI747)))=0,NA(),
INDEX(TAB_Offres[Ressource 1],ROWS(Params!AI$2:$AI747)))),
IFERROR(_xlfn.SINGLE(IF(_xlfn.SINGLE(INDEX(#REF!,ROWS(Params!AI$2:$AI747)-COUNTA(TAB_Offres[Ressource 1])))=0,NA(),
INDEX(#REF!,ROWS(Params!AI$2:$AI747)-COUNTA(TAB_Offres[Ressource 1])))),
IFERROR(_xlfn.SINGLE(IF(_xlfn.SINGLE(INDEX(#REF!,ROWS(Params!AI$2:$AI747)-COUNTA(#REF!)-COUNTA(TAB_Offres[Ressource 1])))=0,NA(),
INDEX(#REF!,ROWS(Params!AI$2:$AI747)-COUNTA(#REF!)-COUNTA(TAB_Offres[Ressource 1])))),""))
)</f>
        <v/>
      </c>
      <c r="AJ747" s="192" t="str">
        <f>IF(TAB_ressource[[#This Row],[Import Ressource]]="","",MAX(AJ$1:AJ746)+1)</f>
        <v/>
      </c>
      <c r="AK747" s="193" t="str">
        <f>IFERROR(INDEX(TAB_ressource[Import Ressource],MATCH(ROW()-ROW($AK$1),TAB_ressource[ID Import ressources],0)),"")</f>
        <v/>
      </c>
      <c r="BD747" t="s">
        <v>2851</v>
      </c>
      <c r="BE747" t="s">
        <v>2852</v>
      </c>
      <c r="BF747" t="s">
        <v>2853</v>
      </c>
      <c r="BG747" t="s">
        <v>2851</v>
      </c>
    </row>
    <row r="748" spans="13:59" x14ac:dyDescent="0.25">
      <c r="M748" t="str">
        <f>_xlfn.IFNA(IF(VLOOKUP(TAB_Offres[[#This Row],[Reference]],TAB_Offres[[Reference]:[Request State]],COLUMNS(TAB_Offres[[Reference]:[Request State]]),FALSE)=D$6,TAB_Offres[[#This Row],[Reference]],""),"")</f>
        <v/>
      </c>
      <c r="N748" t="str">
        <f>_xlfn.IFNA(IF(VLOOKUP(TAB_Offres[[#This Row],[Reference]],TAB_Offres[[Reference]:[Has Expenses?]],COLUMNS(TAB_Offres[[Reference]:[Has Expenses?]]),FALSE)=J$2,TAB_Offres[[#This Row],[Reference]],""),"")</f>
        <v/>
      </c>
      <c r="O748" t="str">
        <f>IF(Tableau19[[#This Row],[EXPENSES_REF]]="","",MAX(O$1:O747)+1)</f>
        <v/>
      </c>
      <c r="P748" t="str">
        <f t="shared" si="24"/>
        <v/>
      </c>
      <c r="AI748" s="191" t="str">
        <f>IFERROR(_xlfn.SINGLE(
IF(_xlfn.SINGLE(INDEX(TAB_Offres[Ressource 1],ROWS(Params!AI$2:$AI748)))=0,NA(),
INDEX(TAB_Offres[Ressource 1],ROWS(Params!AI$2:$AI748)))),
IFERROR(_xlfn.SINGLE(IF(_xlfn.SINGLE(INDEX(#REF!,ROWS(Params!AI$2:$AI748)-COUNTA(TAB_Offres[Ressource 1])))=0,NA(),
INDEX(#REF!,ROWS(Params!AI$2:$AI748)-COUNTA(TAB_Offres[Ressource 1])))),
IFERROR(_xlfn.SINGLE(IF(_xlfn.SINGLE(INDEX(#REF!,ROWS(Params!AI$2:$AI748)-COUNTA(#REF!)-COUNTA(TAB_Offres[Ressource 1])))=0,NA(),
INDEX(#REF!,ROWS(Params!AI$2:$AI748)-COUNTA(#REF!)-COUNTA(TAB_Offres[Ressource 1])))),""))
)</f>
        <v/>
      </c>
      <c r="AJ748" s="192" t="str">
        <f>IF(TAB_ressource[[#This Row],[Import Ressource]]="","",MAX(AJ$1:AJ747)+1)</f>
        <v/>
      </c>
      <c r="AK748" s="193" t="str">
        <f>IFERROR(INDEX(TAB_ressource[Import Ressource],MATCH(ROW()-ROW($AK$1),TAB_ressource[ID Import ressources],0)),"")</f>
        <v/>
      </c>
      <c r="BD748" t="s">
        <v>2854</v>
      </c>
      <c r="BE748" t="s">
        <v>2855</v>
      </c>
      <c r="BF748" t="s">
        <v>2856</v>
      </c>
      <c r="BG748" t="s">
        <v>2854</v>
      </c>
    </row>
    <row r="749" spans="13:59" x14ac:dyDescent="0.25">
      <c r="M749" t="str">
        <f>_xlfn.IFNA(IF(VLOOKUP(TAB_Offres[[#This Row],[Reference]],TAB_Offres[[Reference]:[Request State]],COLUMNS(TAB_Offres[[Reference]:[Request State]]),FALSE)=D$6,TAB_Offres[[#This Row],[Reference]],""),"")</f>
        <v/>
      </c>
      <c r="N749" t="str">
        <f>_xlfn.IFNA(IF(VLOOKUP(TAB_Offres[[#This Row],[Reference]],TAB_Offres[[Reference]:[Has Expenses?]],COLUMNS(TAB_Offres[[Reference]:[Has Expenses?]]),FALSE)=J$2,TAB_Offres[[#This Row],[Reference]],""),"")</f>
        <v/>
      </c>
      <c r="O749" t="str">
        <f>IF(Tableau19[[#This Row],[EXPENSES_REF]]="","",MAX(O$1:O748)+1)</f>
        <v/>
      </c>
      <c r="P749" t="str">
        <f t="shared" si="24"/>
        <v/>
      </c>
      <c r="AI749" s="191" t="str">
        <f>IFERROR(_xlfn.SINGLE(
IF(_xlfn.SINGLE(INDEX(TAB_Offres[Ressource 1],ROWS(Params!AI$2:$AI749)))=0,NA(),
INDEX(TAB_Offres[Ressource 1],ROWS(Params!AI$2:$AI749)))),
IFERROR(_xlfn.SINGLE(IF(_xlfn.SINGLE(INDEX(#REF!,ROWS(Params!AI$2:$AI749)-COUNTA(TAB_Offres[Ressource 1])))=0,NA(),
INDEX(#REF!,ROWS(Params!AI$2:$AI749)-COUNTA(TAB_Offres[Ressource 1])))),
IFERROR(_xlfn.SINGLE(IF(_xlfn.SINGLE(INDEX(#REF!,ROWS(Params!AI$2:$AI749)-COUNTA(#REF!)-COUNTA(TAB_Offres[Ressource 1])))=0,NA(),
INDEX(#REF!,ROWS(Params!AI$2:$AI749)-COUNTA(#REF!)-COUNTA(TAB_Offres[Ressource 1])))),""))
)</f>
        <v/>
      </c>
      <c r="AJ749" s="192" t="str">
        <f>IF(TAB_ressource[[#This Row],[Import Ressource]]="","",MAX(AJ$1:AJ748)+1)</f>
        <v/>
      </c>
      <c r="AK749" s="193" t="str">
        <f>IFERROR(INDEX(TAB_ressource[Import Ressource],MATCH(ROW()-ROW($AK$1),TAB_ressource[ID Import ressources],0)),"")</f>
        <v/>
      </c>
      <c r="BD749" t="s">
        <v>2857</v>
      </c>
      <c r="BE749" t="s">
        <v>2858</v>
      </c>
      <c r="BF749" t="s">
        <v>2859</v>
      </c>
      <c r="BG749" t="s">
        <v>2857</v>
      </c>
    </row>
    <row r="750" spans="13:59" x14ac:dyDescent="0.25">
      <c r="M750" t="str">
        <f>_xlfn.IFNA(IF(VLOOKUP(TAB_Offres[[#This Row],[Reference]],TAB_Offres[[Reference]:[Request State]],COLUMNS(TAB_Offres[[Reference]:[Request State]]),FALSE)=D$6,TAB_Offres[[#This Row],[Reference]],""),"")</f>
        <v/>
      </c>
      <c r="N750" t="str">
        <f>_xlfn.IFNA(IF(VLOOKUP(TAB_Offres[[#This Row],[Reference]],TAB_Offres[[Reference]:[Has Expenses?]],COLUMNS(TAB_Offres[[Reference]:[Has Expenses?]]),FALSE)=J$2,TAB_Offres[[#This Row],[Reference]],""),"")</f>
        <v/>
      </c>
      <c r="O750" t="str">
        <f>IF(Tableau19[[#This Row],[EXPENSES_REF]]="","",MAX(O$1:O749)+1)</f>
        <v/>
      </c>
      <c r="P750" t="str">
        <f t="shared" si="24"/>
        <v/>
      </c>
      <c r="AI750" s="191" t="str">
        <f>IFERROR(_xlfn.SINGLE(
IF(_xlfn.SINGLE(INDEX(TAB_Offres[Ressource 1],ROWS(Params!AI$2:$AI750)))=0,NA(),
INDEX(TAB_Offres[Ressource 1],ROWS(Params!AI$2:$AI750)))),
IFERROR(_xlfn.SINGLE(IF(_xlfn.SINGLE(INDEX(#REF!,ROWS(Params!AI$2:$AI750)-COUNTA(TAB_Offres[Ressource 1])))=0,NA(),
INDEX(#REF!,ROWS(Params!AI$2:$AI750)-COUNTA(TAB_Offres[Ressource 1])))),
IFERROR(_xlfn.SINGLE(IF(_xlfn.SINGLE(INDEX(#REF!,ROWS(Params!AI$2:$AI750)-COUNTA(#REF!)-COUNTA(TAB_Offres[Ressource 1])))=0,NA(),
INDEX(#REF!,ROWS(Params!AI$2:$AI750)-COUNTA(#REF!)-COUNTA(TAB_Offres[Ressource 1])))),""))
)</f>
        <v/>
      </c>
      <c r="AJ750" s="192" t="str">
        <f>IF(TAB_ressource[[#This Row],[Import Ressource]]="","",MAX(AJ$1:AJ749)+1)</f>
        <v/>
      </c>
      <c r="AK750" s="193" t="str">
        <f>IFERROR(INDEX(TAB_ressource[Import Ressource],MATCH(ROW()-ROW($AK$1),TAB_ressource[ID Import ressources],0)),"")</f>
        <v/>
      </c>
      <c r="BD750" t="s">
        <v>2860</v>
      </c>
      <c r="BE750" t="s">
        <v>2861</v>
      </c>
      <c r="BF750" t="s">
        <v>2862</v>
      </c>
      <c r="BG750" t="s">
        <v>2860</v>
      </c>
    </row>
    <row r="751" spans="13:59" x14ac:dyDescent="0.25">
      <c r="M751" t="str">
        <f>_xlfn.IFNA(IF(VLOOKUP(TAB_Offres[[#This Row],[Reference]],TAB_Offres[[Reference]:[Request State]],COLUMNS(TAB_Offres[[Reference]:[Request State]]),FALSE)=D$6,TAB_Offres[[#This Row],[Reference]],""),"")</f>
        <v/>
      </c>
      <c r="N751" t="str">
        <f>_xlfn.IFNA(IF(VLOOKUP(TAB_Offres[[#This Row],[Reference]],TAB_Offres[[Reference]:[Has Expenses?]],COLUMNS(TAB_Offres[[Reference]:[Has Expenses?]]),FALSE)=J$2,TAB_Offres[[#This Row],[Reference]],""),"")</f>
        <v/>
      </c>
      <c r="O751" t="str">
        <f>IF(Tableau19[[#This Row],[EXPENSES_REF]]="","",MAX(O$1:O750)+1)</f>
        <v/>
      </c>
      <c r="P751" t="str">
        <f t="shared" si="24"/>
        <v/>
      </c>
      <c r="AI751" s="191" t="str">
        <f>IFERROR(_xlfn.SINGLE(
IF(_xlfn.SINGLE(INDEX(TAB_Offres[Ressource 1],ROWS(Params!AI$2:$AI751)))=0,NA(),
INDEX(TAB_Offres[Ressource 1],ROWS(Params!AI$2:$AI751)))),
IFERROR(_xlfn.SINGLE(IF(_xlfn.SINGLE(INDEX(#REF!,ROWS(Params!AI$2:$AI751)-COUNTA(TAB_Offres[Ressource 1])))=0,NA(),
INDEX(#REF!,ROWS(Params!AI$2:$AI751)-COUNTA(TAB_Offres[Ressource 1])))),
IFERROR(_xlfn.SINGLE(IF(_xlfn.SINGLE(INDEX(#REF!,ROWS(Params!AI$2:$AI751)-COUNTA(#REF!)-COUNTA(TAB_Offres[Ressource 1])))=0,NA(),
INDEX(#REF!,ROWS(Params!AI$2:$AI751)-COUNTA(#REF!)-COUNTA(TAB_Offres[Ressource 1])))),""))
)</f>
        <v/>
      </c>
      <c r="AJ751" s="192" t="str">
        <f>IF(TAB_ressource[[#This Row],[Import Ressource]]="","",MAX(AJ$1:AJ750)+1)</f>
        <v/>
      </c>
      <c r="AK751" s="193" t="str">
        <f>IFERROR(INDEX(TAB_ressource[Import Ressource],MATCH(ROW()-ROW($AK$1),TAB_ressource[ID Import ressources],0)),"")</f>
        <v/>
      </c>
      <c r="BD751" t="s">
        <v>2863</v>
      </c>
      <c r="BE751" t="s">
        <v>2864</v>
      </c>
      <c r="BF751" t="s">
        <v>2865</v>
      </c>
      <c r="BG751" t="s">
        <v>2863</v>
      </c>
    </row>
    <row r="752" spans="13:59" x14ac:dyDescent="0.25">
      <c r="M752" t="str">
        <f>_xlfn.IFNA(IF(VLOOKUP(TAB_Offres[[#This Row],[Reference]],TAB_Offres[[Reference]:[Request State]],COLUMNS(TAB_Offres[[Reference]:[Request State]]),FALSE)=D$6,TAB_Offres[[#This Row],[Reference]],""),"")</f>
        <v/>
      </c>
      <c r="N752" t="str">
        <f>_xlfn.IFNA(IF(VLOOKUP(TAB_Offres[[#This Row],[Reference]],TAB_Offres[[Reference]:[Has Expenses?]],COLUMNS(TAB_Offres[[Reference]:[Has Expenses?]]),FALSE)=J$2,TAB_Offres[[#This Row],[Reference]],""),"")</f>
        <v/>
      </c>
      <c r="O752" t="str">
        <f>IF(Tableau19[[#This Row],[EXPENSES_REF]]="","",MAX(O$1:O751)+1)</f>
        <v/>
      </c>
      <c r="P752" t="str">
        <f t="shared" si="24"/>
        <v/>
      </c>
      <c r="AI752" s="191" t="str">
        <f>IFERROR(_xlfn.SINGLE(
IF(_xlfn.SINGLE(INDEX(TAB_Offres[Ressource 1],ROWS(Params!AI$2:$AI752)))=0,NA(),
INDEX(TAB_Offres[Ressource 1],ROWS(Params!AI$2:$AI752)))),
IFERROR(_xlfn.SINGLE(IF(_xlfn.SINGLE(INDEX(#REF!,ROWS(Params!AI$2:$AI752)-COUNTA(TAB_Offres[Ressource 1])))=0,NA(),
INDEX(#REF!,ROWS(Params!AI$2:$AI752)-COUNTA(TAB_Offres[Ressource 1])))),
IFERROR(_xlfn.SINGLE(IF(_xlfn.SINGLE(INDEX(#REF!,ROWS(Params!AI$2:$AI752)-COUNTA(#REF!)-COUNTA(TAB_Offres[Ressource 1])))=0,NA(),
INDEX(#REF!,ROWS(Params!AI$2:$AI752)-COUNTA(#REF!)-COUNTA(TAB_Offres[Ressource 1])))),""))
)</f>
        <v/>
      </c>
      <c r="AJ752" s="192" t="str">
        <f>IF(TAB_ressource[[#This Row],[Import Ressource]]="","",MAX(AJ$1:AJ751)+1)</f>
        <v/>
      </c>
      <c r="AK752" s="193" t="str">
        <f>IFERROR(INDEX(TAB_ressource[Import Ressource],MATCH(ROW()-ROW($AK$1),TAB_ressource[ID Import ressources],0)),"")</f>
        <v/>
      </c>
      <c r="BD752" t="s">
        <v>2866</v>
      </c>
      <c r="BE752" t="s">
        <v>2867</v>
      </c>
      <c r="BF752" t="s">
        <v>2868</v>
      </c>
      <c r="BG752" t="s">
        <v>2866</v>
      </c>
    </row>
    <row r="753" spans="13:59" x14ac:dyDescent="0.25">
      <c r="M753" t="str">
        <f>_xlfn.IFNA(IF(VLOOKUP(TAB_Offres[[#This Row],[Reference]],TAB_Offres[[Reference]:[Request State]],COLUMNS(TAB_Offres[[Reference]:[Request State]]),FALSE)=D$6,TAB_Offres[[#This Row],[Reference]],""),"")</f>
        <v/>
      </c>
      <c r="N753" t="str">
        <f>_xlfn.IFNA(IF(VLOOKUP(TAB_Offres[[#This Row],[Reference]],TAB_Offres[[Reference]:[Has Expenses?]],COLUMNS(TAB_Offres[[Reference]:[Has Expenses?]]),FALSE)=J$2,TAB_Offres[[#This Row],[Reference]],""),"")</f>
        <v/>
      </c>
      <c r="O753" t="str">
        <f>IF(Tableau19[[#This Row],[EXPENSES_REF]]="","",MAX(O$1:O752)+1)</f>
        <v/>
      </c>
      <c r="P753" t="str">
        <f t="shared" si="24"/>
        <v/>
      </c>
      <c r="AI753" s="191" t="str">
        <f>IFERROR(_xlfn.SINGLE(
IF(_xlfn.SINGLE(INDEX(TAB_Offres[Ressource 1],ROWS(Params!AI$2:$AI753)))=0,NA(),
INDEX(TAB_Offres[Ressource 1],ROWS(Params!AI$2:$AI753)))),
IFERROR(_xlfn.SINGLE(IF(_xlfn.SINGLE(INDEX(#REF!,ROWS(Params!AI$2:$AI753)-COUNTA(TAB_Offres[Ressource 1])))=0,NA(),
INDEX(#REF!,ROWS(Params!AI$2:$AI753)-COUNTA(TAB_Offres[Ressource 1])))),
IFERROR(_xlfn.SINGLE(IF(_xlfn.SINGLE(INDEX(#REF!,ROWS(Params!AI$2:$AI753)-COUNTA(#REF!)-COUNTA(TAB_Offres[Ressource 1])))=0,NA(),
INDEX(#REF!,ROWS(Params!AI$2:$AI753)-COUNTA(#REF!)-COUNTA(TAB_Offres[Ressource 1])))),""))
)</f>
        <v/>
      </c>
      <c r="AJ753" s="192" t="str">
        <f>IF(TAB_ressource[[#This Row],[Import Ressource]]="","",MAX(AJ$1:AJ752)+1)</f>
        <v/>
      </c>
      <c r="AK753" s="193" t="str">
        <f>IFERROR(INDEX(TAB_ressource[Import Ressource],MATCH(ROW()-ROW($AK$1),TAB_ressource[ID Import ressources],0)),"")</f>
        <v/>
      </c>
      <c r="BD753" t="s">
        <v>2869</v>
      </c>
      <c r="BE753" t="s">
        <v>2870</v>
      </c>
      <c r="BF753" t="s">
        <v>2871</v>
      </c>
      <c r="BG753" t="s">
        <v>2869</v>
      </c>
    </row>
    <row r="754" spans="13:59" x14ac:dyDescent="0.25">
      <c r="M754" t="str">
        <f>_xlfn.IFNA(IF(VLOOKUP(TAB_Offres[[#This Row],[Reference]],TAB_Offres[[Reference]:[Request State]],COLUMNS(TAB_Offres[[Reference]:[Request State]]),FALSE)=D$6,TAB_Offres[[#This Row],[Reference]],""),"")</f>
        <v/>
      </c>
      <c r="N754" t="str">
        <f>_xlfn.IFNA(IF(VLOOKUP(TAB_Offres[[#This Row],[Reference]],TAB_Offres[[Reference]:[Has Expenses?]],COLUMNS(TAB_Offres[[Reference]:[Has Expenses?]]),FALSE)=J$2,TAB_Offres[[#This Row],[Reference]],""),"")</f>
        <v/>
      </c>
      <c r="O754" t="str">
        <f>IF(Tableau19[[#This Row],[EXPENSES_REF]]="","",MAX(O$1:O753)+1)</f>
        <v/>
      </c>
      <c r="P754" t="str">
        <f t="shared" si="24"/>
        <v/>
      </c>
      <c r="AI754" s="191" t="str">
        <f>IFERROR(_xlfn.SINGLE(
IF(_xlfn.SINGLE(INDEX(TAB_Offres[Ressource 1],ROWS(Params!AI$2:$AI754)))=0,NA(),
INDEX(TAB_Offres[Ressource 1],ROWS(Params!AI$2:$AI754)))),
IFERROR(_xlfn.SINGLE(IF(_xlfn.SINGLE(INDEX(#REF!,ROWS(Params!AI$2:$AI754)-COUNTA(TAB_Offres[Ressource 1])))=0,NA(),
INDEX(#REF!,ROWS(Params!AI$2:$AI754)-COUNTA(TAB_Offres[Ressource 1])))),
IFERROR(_xlfn.SINGLE(IF(_xlfn.SINGLE(INDEX(#REF!,ROWS(Params!AI$2:$AI754)-COUNTA(#REF!)-COUNTA(TAB_Offres[Ressource 1])))=0,NA(),
INDEX(#REF!,ROWS(Params!AI$2:$AI754)-COUNTA(#REF!)-COUNTA(TAB_Offres[Ressource 1])))),""))
)</f>
        <v/>
      </c>
      <c r="AJ754" s="192" t="str">
        <f>IF(TAB_ressource[[#This Row],[Import Ressource]]="","",MAX(AJ$1:AJ753)+1)</f>
        <v/>
      </c>
      <c r="AK754" s="193" t="str">
        <f>IFERROR(INDEX(TAB_ressource[Import Ressource],MATCH(ROW()-ROW($AK$1),TAB_ressource[ID Import ressources],0)),"")</f>
        <v/>
      </c>
      <c r="BD754" t="s">
        <v>2872</v>
      </c>
      <c r="BE754" t="s">
        <v>2873</v>
      </c>
      <c r="BF754" t="s">
        <v>2874</v>
      </c>
      <c r="BG754" t="s">
        <v>2872</v>
      </c>
    </row>
    <row r="755" spans="13:59" x14ac:dyDescent="0.25">
      <c r="M755" t="str">
        <f>_xlfn.IFNA(IF(VLOOKUP(TAB_Offres[[#This Row],[Reference]],TAB_Offres[[Reference]:[Request State]],COLUMNS(TAB_Offres[[Reference]:[Request State]]),FALSE)=D$6,TAB_Offres[[#This Row],[Reference]],""),"")</f>
        <v/>
      </c>
      <c r="N755" t="str">
        <f>_xlfn.IFNA(IF(VLOOKUP(TAB_Offres[[#This Row],[Reference]],TAB_Offres[[Reference]:[Has Expenses?]],COLUMNS(TAB_Offres[[Reference]:[Has Expenses?]]),FALSE)=J$2,TAB_Offres[[#This Row],[Reference]],""),"")</f>
        <v/>
      </c>
      <c r="O755" t="str">
        <f>IF(Tableau19[[#This Row],[EXPENSES_REF]]="","",MAX(O$1:O754)+1)</f>
        <v/>
      </c>
      <c r="P755" t="str">
        <f t="shared" si="24"/>
        <v/>
      </c>
      <c r="AI755" s="191" t="str">
        <f>IFERROR(_xlfn.SINGLE(
IF(_xlfn.SINGLE(INDEX(TAB_Offres[Ressource 1],ROWS(Params!AI$2:$AI755)))=0,NA(),
INDEX(TAB_Offres[Ressource 1],ROWS(Params!AI$2:$AI755)))),
IFERROR(_xlfn.SINGLE(IF(_xlfn.SINGLE(INDEX(#REF!,ROWS(Params!AI$2:$AI755)-COUNTA(TAB_Offres[Ressource 1])))=0,NA(),
INDEX(#REF!,ROWS(Params!AI$2:$AI755)-COUNTA(TAB_Offres[Ressource 1])))),
IFERROR(_xlfn.SINGLE(IF(_xlfn.SINGLE(INDEX(#REF!,ROWS(Params!AI$2:$AI755)-COUNTA(#REF!)-COUNTA(TAB_Offres[Ressource 1])))=0,NA(),
INDEX(#REF!,ROWS(Params!AI$2:$AI755)-COUNTA(#REF!)-COUNTA(TAB_Offres[Ressource 1])))),""))
)</f>
        <v/>
      </c>
      <c r="AJ755" s="192" t="str">
        <f>IF(TAB_ressource[[#This Row],[Import Ressource]]="","",MAX(AJ$1:AJ754)+1)</f>
        <v/>
      </c>
      <c r="AK755" s="193" t="str">
        <f>IFERROR(INDEX(TAB_ressource[Import Ressource],MATCH(ROW()-ROW($AK$1),TAB_ressource[ID Import ressources],0)),"")</f>
        <v/>
      </c>
      <c r="BD755" t="s">
        <v>2875</v>
      </c>
      <c r="BE755" t="s">
        <v>2876</v>
      </c>
      <c r="BF755" t="s">
        <v>2877</v>
      </c>
      <c r="BG755" t="s">
        <v>2875</v>
      </c>
    </row>
    <row r="756" spans="13:59" x14ac:dyDescent="0.25">
      <c r="M756" t="str">
        <f>_xlfn.IFNA(IF(VLOOKUP(TAB_Offres[[#This Row],[Reference]],TAB_Offres[[Reference]:[Request State]],COLUMNS(TAB_Offres[[Reference]:[Request State]]),FALSE)=D$6,TAB_Offres[[#This Row],[Reference]],""),"")</f>
        <v/>
      </c>
      <c r="N756" t="str">
        <f>_xlfn.IFNA(IF(VLOOKUP(TAB_Offres[[#This Row],[Reference]],TAB_Offres[[Reference]:[Has Expenses?]],COLUMNS(TAB_Offres[[Reference]:[Has Expenses?]]),FALSE)=J$2,TAB_Offres[[#This Row],[Reference]],""),"")</f>
        <v/>
      </c>
      <c r="O756" t="str">
        <f>IF(Tableau19[[#This Row],[EXPENSES_REF]]="","",MAX(O$1:O755)+1)</f>
        <v/>
      </c>
      <c r="P756" t="str">
        <f t="shared" si="24"/>
        <v/>
      </c>
      <c r="AI756" s="191" t="str">
        <f>IFERROR(_xlfn.SINGLE(
IF(_xlfn.SINGLE(INDEX(TAB_Offres[Ressource 1],ROWS(Params!AI$2:$AI756)))=0,NA(),
INDEX(TAB_Offres[Ressource 1],ROWS(Params!AI$2:$AI756)))),
IFERROR(_xlfn.SINGLE(IF(_xlfn.SINGLE(INDEX(#REF!,ROWS(Params!AI$2:$AI756)-COUNTA(TAB_Offres[Ressource 1])))=0,NA(),
INDEX(#REF!,ROWS(Params!AI$2:$AI756)-COUNTA(TAB_Offres[Ressource 1])))),
IFERROR(_xlfn.SINGLE(IF(_xlfn.SINGLE(INDEX(#REF!,ROWS(Params!AI$2:$AI756)-COUNTA(#REF!)-COUNTA(TAB_Offres[Ressource 1])))=0,NA(),
INDEX(#REF!,ROWS(Params!AI$2:$AI756)-COUNTA(#REF!)-COUNTA(TAB_Offres[Ressource 1])))),""))
)</f>
        <v/>
      </c>
      <c r="AJ756" s="192" t="str">
        <f>IF(TAB_ressource[[#This Row],[Import Ressource]]="","",MAX(AJ$1:AJ755)+1)</f>
        <v/>
      </c>
      <c r="AK756" s="193" t="str">
        <f>IFERROR(INDEX(TAB_ressource[Import Ressource],MATCH(ROW()-ROW($AK$1),TAB_ressource[ID Import ressources],0)),"")</f>
        <v/>
      </c>
      <c r="BD756" t="s">
        <v>2878</v>
      </c>
      <c r="BE756" t="s">
        <v>2879</v>
      </c>
      <c r="BF756" t="s">
        <v>2880</v>
      </c>
      <c r="BG756" t="s">
        <v>2878</v>
      </c>
    </row>
    <row r="757" spans="13:59" x14ac:dyDescent="0.25">
      <c r="M757" t="str">
        <f>_xlfn.IFNA(IF(VLOOKUP(TAB_Offres[[#This Row],[Reference]],TAB_Offres[[Reference]:[Request State]],COLUMNS(TAB_Offres[[Reference]:[Request State]]),FALSE)=D$6,TAB_Offres[[#This Row],[Reference]],""),"")</f>
        <v/>
      </c>
      <c r="N757" t="str">
        <f>_xlfn.IFNA(IF(VLOOKUP(TAB_Offres[[#This Row],[Reference]],TAB_Offres[[Reference]:[Has Expenses?]],COLUMNS(TAB_Offres[[Reference]:[Has Expenses?]]),FALSE)=J$2,TAB_Offres[[#This Row],[Reference]],""),"")</f>
        <v/>
      </c>
      <c r="O757" t="str">
        <f>IF(Tableau19[[#This Row],[EXPENSES_REF]]="","",MAX(O$1:O756)+1)</f>
        <v/>
      </c>
      <c r="P757" t="str">
        <f t="shared" si="24"/>
        <v/>
      </c>
      <c r="AI757" s="191" t="str">
        <f>IFERROR(_xlfn.SINGLE(
IF(_xlfn.SINGLE(INDEX(TAB_Offres[Ressource 1],ROWS(Params!AI$2:$AI757)))=0,NA(),
INDEX(TAB_Offres[Ressource 1],ROWS(Params!AI$2:$AI757)))),
IFERROR(_xlfn.SINGLE(IF(_xlfn.SINGLE(INDEX(#REF!,ROWS(Params!AI$2:$AI757)-COUNTA(TAB_Offres[Ressource 1])))=0,NA(),
INDEX(#REF!,ROWS(Params!AI$2:$AI757)-COUNTA(TAB_Offres[Ressource 1])))),
IFERROR(_xlfn.SINGLE(IF(_xlfn.SINGLE(INDEX(#REF!,ROWS(Params!AI$2:$AI757)-COUNTA(#REF!)-COUNTA(TAB_Offres[Ressource 1])))=0,NA(),
INDEX(#REF!,ROWS(Params!AI$2:$AI757)-COUNTA(#REF!)-COUNTA(TAB_Offres[Ressource 1])))),""))
)</f>
        <v/>
      </c>
      <c r="AJ757" s="192" t="str">
        <f>IF(TAB_ressource[[#This Row],[Import Ressource]]="","",MAX(AJ$1:AJ756)+1)</f>
        <v/>
      </c>
      <c r="AK757" s="193" t="str">
        <f>IFERROR(INDEX(TAB_ressource[Import Ressource],MATCH(ROW()-ROW($AK$1),TAB_ressource[ID Import ressources],0)),"")</f>
        <v/>
      </c>
      <c r="BD757" t="s">
        <v>2881</v>
      </c>
      <c r="BE757" t="s">
        <v>2882</v>
      </c>
      <c r="BF757" t="s">
        <v>2883</v>
      </c>
      <c r="BG757" t="s">
        <v>2881</v>
      </c>
    </row>
    <row r="758" spans="13:59" x14ac:dyDescent="0.25">
      <c r="M758" t="str">
        <f>_xlfn.IFNA(IF(VLOOKUP(TAB_Offres[[#This Row],[Reference]],TAB_Offres[[Reference]:[Request State]],COLUMNS(TAB_Offres[[Reference]:[Request State]]),FALSE)=D$6,TAB_Offres[[#This Row],[Reference]],""),"")</f>
        <v/>
      </c>
      <c r="N758" t="str">
        <f>_xlfn.IFNA(IF(VLOOKUP(TAB_Offres[[#This Row],[Reference]],TAB_Offres[[Reference]:[Has Expenses?]],COLUMNS(TAB_Offres[[Reference]:[Has Expenses?]]),FALSE)=J$2,TAB_Offres[[#This Row],[Reference]],""),"")</f>
        <v/>
      </c>
      <c r="O758" t="str">
        <f>IF(Tableau19[[#This Row],[EXPENSES_REF]]="","",MAX(O$1:O757)+1)</f>
        <v/>
      </c>
      <c r="P758" t="str">
        <f t="shared" si="24"/>
        <v/>
      </c>
      <c r="AI758" s="191" t="str">
        <f>IFERROR(_xlfn.SINGLE(
IF(_xlfn.SINGLE(INDEX(TAB_Offres[Ressource 1],ROWS(Params!AI$2:$AI758)))=0,NA(),
INDEX(TAB_Offres[Ressource 1],ROWS(Params!AI$2:$AI758)))),
IFERROR(_xlfn.SINGLE(IF(_xlfn.SINGLE(INDEX(#REF!,ROWS(Params!AI$2:$AI758)-COUNTA(TAB_Offres[Ressource 1])))=0,NA(),
INDEX(#REF!,ROWS(Params!AI$2:$AI758)-COUNTA(TAB_Offres[Ressource 1])))),
IFERROR(_xlfn.SINGLE(IF(_xlfn.SINGLE(INDEX(#REF!,ROWS(Params!AI$2:$AI758)-COUNTA(#REF!)-COUNTA(TAB_Offres[Ressource 1])))=0,NA(),
INDEX(#REF!,ROWS(Params!AI$2:$AI758)-COUNTA(#REF!)-COUNTA(TAB_Offres[Ressource 1])))),""))
)</f>
        <v/>
      </c>
      <c r="AJ758" s="192" t="str">
        <f>IF(TAB_ressource[[#This Row],[Import Ressource]]="","",MAX(AJ$1:AJ757)+1)</f>
        <v/>
      </c>
      <c r="AK758" s="193" t="str">
        <f>IFERROR(INDEX(TAB_ressource[Import Ressource],MATCH(ROW()-ROW($AK$1),TAB_ressource[ID Import ressources],0)),"")</f>
        <v/>
      </c>
      <c r="BD758" t="s">
        <v>2884</v>
      </c>
      <c r="BE758" t="s">
        <v>2885</v>
      </c>
      <c r="BF758" t="s">
        <v>2886</v>
      </c>
      <c r="BG758" t="s">
        <v>2884</v>
      </c>
    </row>
    <row r="759" spans="13:59" x14ac:dyDescent="0.25">
      <c r="M759" t="str">
        <f>_xlfn.IFNA(IF(VLOOKUP(TAB_Offres[[#This Row],[Reference]],TAB_Offres[[Reference]:[Request State]],COLUMNS(TAB_Offres[[Reference]:[Request State]]),FALSE)=D$6,TAB_Offres[[#This Row],[Reference]],""),"")</f>
        <v/>
      </c>
      <c r="N759" t="str">
        <f>_xlfn.IFNA(IF(VLOOKUP(TAB_Offres[[#This Row],[Reference]],TAB_Offres[[Reference]:[Has Expenses?]],COLUMNS(TAB_Offres[[Reference]:[Has Expenses?]]),FALSE)=J$2,TAB_Offres[[#This Row],[Reference]],""),"")</f>
        <v/>
      </c>
      <c r="O759" t="str">
        <f>IF(Tableau19[[#This Row],[EXPENSES_REF]]="","",MAX(O$1:O758)+1)</f>
        <v/>
      </c>
      <c r="P759" t="str">
        <f t="shared" si="24"/>
        <v/>
      </c>
      <c r="AI759" s="191" t="str">
        <f>IFERROR(_xlfn.SINGLE(
IF(_xlfn.SINGLE(INDEX(TAB_Offres[Ressource 1],ROWS(Params!AI$2:$AI759)))=0,NA(),
INDEX(TAB_Offres[Ressource 1],ROWS(Params!AI$2:$AI759)))),
IFERROR(_xlfn.SINGLE(IF(_xlfn.SINGLE(INDEX(#REF!,ROWS(Params!AI$2:$AI759)-COUNTA(TAB_Offres[Ressource 1])))=0,NA(),
INDEX(#REF!,ROWS(Params!AI$2:$AI759)-COUNTA(TAB_Offres[Ressource 1])))),
IFERROR(_xlfn.SINGLE(IF(_xlfn.SINGLE(INDEX(#REF!,ROWS(Params!AI$2:$AI759)-COUNTA(#REF!)-COUNTA(TAB_Offres[Ressource 1])))=0,NA(),
INDEX(#REF!,ROWS(Params!AI$2:$AI759)-COUNTA(#REF!)-COUNTA(TAB_Offres[Ressource 1])))),""))
)</f>
        <v/>
      </c>
      <c r="AJ759" s="192" t="str">
        <f>IF(TAB_ressource[[#This Row],[Import Ressource]]="","",MAX(AJ$1:AJ758)+1)</f>
        <v/>
      </c>
      <c r="AK759" s="193" t="str">
        <f>IFERROR(INDEX(TAB_ressource[Import Ressource],MATCH(ROW()-ROW($AK$1),TAB_ressource[ID Import ressources],0)),"")</f>
        <v/>
      </c>
      <c r="BD759" t="s">
        <v>2887</v>
      </c>
      <c r="BE759" t="s">
        <v>2888</v>
      </c>
      <c r="BF759" t="s">
        <v>2889</v>
      </c>
      <c r="BG759" t="s">
        <v>2887</v>
      </c>
    </row>
    <row r="760" spans="13:59" x14ac:dyDescent="0.25">
      <c r="M760" t="str">
        <f>_xlfn.IFNA(IF(VLOOKUP(TAB_Offres[[#This Row],[Reference]],TAB_Offres[[Reference]:[Request State]],COLUMNS(TAB_Offres[[Reference]:[Request State]]),FALSE)=D$6,TAB_Offres[[#This Row],[Reference]],""),"")</f>
        <v/>
      </c>
      <c r="N760" t="str">
        <f>_xlfn.IFNA(IF(VLOOKUP(TAB_Offres[[#This Row],[Reference]],TAB_Offres[[Reference]:[Has Expenses?]],COLUMNS(TAB_Offres[[Reference]:[Has Expenses?]]),FALSE)=J$2,TAB_Offres[[#This Row],[Reference]],""),"")</f>
        <v/>
      </c>
      <c r="O760" t="str">
        <f>IF(Tableau19[[#This Row],[EXPENSES_REF]]="","",MAX(O$1:O759)+1)</f>
        <v/>
      </c>
      <c r="P760" t="str">
        <f t="shared" si="24"/>
        <v/>
      </c>
      <c r="AI760" s="191" t="str">
        <f>IFERROR(_xlfn.SINGLE(
IF(_xlfn.SINGLE(INDEX(TAB_Offres[Ressource 1],ROWS(Params!AI$2:$AI760)))=0,NA(),
INDEX(TAB_Offres[Ressource 1],ROWS(Params!AI$2:$AI760)))),
IFERROR(_xlfn.SINGLE(IF(_xlfn.SINGLE(INDEX(#REF!,ROWS(Params!AI$2:$AI760)-COUNTA(TAB_Offres[Ressource 1])))=0,NA(),
INDEX(#REF!,ROWS(Params!AI$2:$AI760)-COUNTA(TAB_Offres[Ressource 1])))),
IFERROR(_xlfn.SINGLE(IF(_xlfn.SINGLE(INDEX(#REF!,ROWS(Params!AI$2:$AI760)-COUNTA(#REF!)-COUNTA(TAB_Offres[Ressource 1])))=0,NA(),
INDEX(#REF!,ROWS(Params!AI$2:$AI760)-COUNTA(#REF!)-COUNTA(TAB_Offres[Ressource 1])))),""))
)</f>
        <v/>
      </c>
      <c r="AJ760" s="192" t="str">
        <f>IF(TAB_ressource[[#This Row],[Import Ressource]]="","",MAX(AJ$1:AJ759)+1)</f>
        <v/>
      </c>
      <c r="AK760" s="193" t="str">
        <f>IFERROR(INDEX(TAB_ressource[Import Ressource],MATCH(ROW()-ROW($AK$1),TAB_ressource[ID Import ressources],0)),"")</f>
        <v/>
      </c>
      <c r="BD760" t="s">
        <v>2890</v>
      </c>
      <c r="BE760" t="s">
        <v>2891</v>
      </c>
      <c r="BF760" t="s">
        <v>2892</v>
      </c>
      <c r="BG760" t="s">
        <v>2890</v>
      </c>
    </row>
    <row r="761" spans="13:59" x14ac:dyDescent="0.25">
      <c r="M761" t="str">
        <f>_xlfn.IFNA(IF(VLOOKUP(TAB_Offres[[#This Row],[Reference]],TAB_Offres[[Reference]:[Request State]],COLUMNS(TAB_Offres[[Reference]:[Request State]]),FALSE)=D$6,TAB_Offres[[#This Row],[Reference]],""),"")</f>
        <v/>
      </c>
      <c r="N761" t="str">
        <f>_xlfn.IFNA(IF(VLOOKUP(TAB_Offres[[#This Row],[Reference]],TAB_Offres[[Reference]:[Has Expenses?]],COLUMNS(TAB_Offres[[Reference]:[Has Expenses?]]),FALSE)=J$2,TAB_Offres[[#This Row],[Reference]],""),"")</f>
        <v/>
      </c>
      <c r="O761" t="str">
        <f>IF(Tableau19[[#This Row],[EXPENSES_REF]]="","",MAX(O$1:O760)+1)</f>
        <v/>
      </c>
      <c r="P761" t="str">
        <f t="shared" si="24"/>
        <v/>
      </c>
      <c r="AI761" s="191" t="str">
        <f>IFERROR(_xlfn.SINGLE(
IF(_xlfn.SINGLE(INDEX(TAB_Offres[Ressource 1],ROWS(Params!AI$2:$AI761)))=0,NA(),
INDEX(TAB_Offres[Ressource 1],ROWS(Params!AI$2:$AI761)))),
IFERROR(_xlfn.SINGLE(IF(_xlfn.SINGLE(INDEX(#REF!,ROWS(Params!AI$2:$AI761)-COUNTA(TAB_Offres[Ressource 1])))=0,NA(),
INDEX(#REF!,ROWS(Params!AI$2:$AI761)-COUNTA(TAB_Offres[Ressource 1])))),
IFERROR(_xlfn.SINGLE(IF(_xlfn.SINGLE(INDEX(#REF!,ROWS(Params!AI$2:$AI761)-COUNTA(#REF!)-COUNTA(TAB_Offres[Ressource 1])))=0,NA(),
INDEX(#REF!,ROWS(Params!AI$2:$AI761)-COUNTA(#REF!)-COUNTA(TAB_Offres[Ressource 1])))),""))
)</f>
        <v/>
      </c>
      <c r="AJ761" s="192" t="str">
        <f>IF(TAB_ressource[[#This Row],[Import Ressource]]="","",MAX(AJ$1:AJ760)+1)</f>
        <v/>
      </c>
      <c r="AK761" s="193" t="str">
        <f>IFERROR(INDEX(TAB_ressource[Import Ressource],MATCH(ROW()-ROW($AK$1),TAB_ressource[ID Import ressources],0)),"")</f>
        <v/>
      </c>
      <c r="BD761" t="s">
        <v>2893</v>
      </c>
      <c r="BE761" t="s">
        <v>2894</v>
      </c>
      <c r="BF761" t="s">
        <v>2895</v>
      </c>
      <c r="BG761" t="s">
        <v>2893</v>
      </c>
    </row>
    <row r="762" spans="13:59" x14ac:dyDescent="0.25">
      <c r="M762" t="str">
        <f>_xlfn.IFNA(IF(VLOOKUP(TAB_Offres[[#This Row],[Reference]],TAB_Offres[[Reference]:[Request State]],COLUMNS(TAB_Offres[[Reference]:[Request State]]),FALSE)=D$6,TAB_Offres[[#This Row],[Reference]],""),"")</f>
        <v/>
      </c>
      <c r="N762" t="str">
        <f>_xlfn.IFNA(IF(VLOOKUP(TAB_Offres[[#This Row],[Reference]],TAB_Offres[[Reference]:[Has Expenses?]],COLUMNS(TAB_Offres[[Reference]:[Has Expenses?]]),FALSE)=J$2,TAB_Offres[[#This Row],[Reference]],""),"")</f>
        <v/>
      </c>
      <c r="O762" t="str">
        <f>IF(Tableau19[[#This Row],[EXPENSES_REF]]="","",MAX(O$1:O761)+1)</f>
        <v/>
      </c>
      <c r="P762" t="str">
        <f t="shared" si="24"/>
        <v/>
      </c>
      <c r="AI762" s="191" t="str">
        <f>IFERROR(_xlfn.SINGLE(
IF(_xlfn.SINGLE(INDEX(TAB_Offres[Ressource 1],ROWS(Params!AI$2:$AI762)))=0,NA(),
INDEX(TAB_Offres[Ressource 1],ROWS(Params!AI$2:$AI762)))),
IFERROR(_xlfn.SINGLE(IF(_xlfn.SINGLE(INDEX(#REF!,ROWS(Params!AI$2:$AI762)-COUNTA(TAB_Offres[Ressource 1])))=0,NA(),
INDEX(#REF!,ROWS(Params!AI$2:$AI762)-COUNTA(TAB_Offres[Ressource 1])))),
IFERROR(_xlfn.SINGLE(IF(_xlfn.SINGLE(INDEX(#REF!,ROWS(Params!AI$2:$AI762)-COUNTA(#REF!)-COUNTA(TAB_Offres[Ressource 1])))=0,NA(),
INDEX(#REF!,ROWS(Params!AI$2:$AI762)-COUNTA(#REF!)-COUNTA(TAB_Offres[Ressource 1])))),""))
)</f>
        <v/>
      </c>
      <c r="AJ762" s="192" t="str">
        <f>IF(TAB_ressource[[#This Row],[Import Ressource]]="","",MAX(AJ$1:AJ761)+1)</f>
        <v/>
      </c>
      <c r="AK762" s="193" t="str">
        <f>IFERROR(INDEX(TAB_ressource[Import Ressource],MATCH(ROW()-ROW($AK$1),TAB_ressource[ID Import ressources],0)),"")</f>
        <v/>
      </c>
      <c r="BD762" t="s">
        <v>2896</v>
      </c>
      <c r="BE762" t="s">
        <v>2897</v>
      </c>
      <c r="BF762" t="s">
        <v>2898</v>
      </c>
      <c r="BG762" t="s">
        <v>2896</v>
      </c>
    </row>
    <row r="763" spans="13:59" x14ac:dyDescent="0.25">
      <c r="M763" t="str">
        <f>_xlfn.IFNA(IF(VLOOKUP(TAB_Offres[[#This Row],[Reference]],TAB_Offres[[Reference]:[Request State]],COLUMNS(TAB_Offres[[Reference]:[Request State]]),FALSE)=D$6,TAB_Offres[[#This Row],[Reference]],""),"")</f>
        <v/>
      </c>
      <c r="N763" t="str">
        <f>_xlfn.IFNA(IF(VLOOKUP(TAB_Offres[[#This Row],[Reference]],TAB_Offres[[Reference]:[Has Expenses?]],COLUMNS(TAB_Offres[[Reference]:[Has Expenses?]]),FALSE)=J$2,TAB_Offres[[#This Row],[Reference]],""),"")</f>
        <v/>
      </c>
      <c r="O763" t="str">
        <f>IF(Tableau19[[#This Row],[EXPENSES_REF]]="","",MAX(O$1:O762)+1)</f>
        <v/>
      </c>
      <c r="P763" t="str">
        <f t="shared" si="24"/>
        <v/>
      </c>
      <c r="AI763" s="191" t="str">
        <f>IFERROR(_xlfn.SINGLE(
IF(_xlfn.SINGLE(INDEX(TAB_Offres[Ressource 1],ROWS(Params!AI$2:$AI763)))=0,NA(),
INDEX(TAB_Offres[Ressource 1],ROWS(Params!AI$2:$AI763)))),
IFERROR(_xlfn.SINGLE(IF(_xlfn.SINGLE(INDEX(#REF!,ROWS(Params!AI$2:$AI763)-COUNTA(TAB_Offres[Ressource 1])))=0,NA(),
INDEX(#REF!,ROWS(Params!AI$2:$AI763)-COUNTA(TAB_Offres[Ressource 1])))),
IFERROR(_xlfn.SINGLE(IF(_xlfn.SINGLE(INDEX(#REF!,ROWS(Params!AI$2:$AI763)-COUNTA(#REF!)-COUNTA(TAB_Offres[Ressource 1])))=0,NA(),
INDEX(#REF!,ROWS(Params!AI$2:$AI763)-COUNTA(#REF!)-COUNTA(TAB_Offres[Ressource 1])))),""))
)</f>
        <v/>
      </c>
      <c r="AJ763" s="192" t="str">
        <f>IF(TAB_ressource[[#This Row],[Import Ressource]]="","",MAX(AJ$1:AJ762)+1)</f>
        <v/>
      </c>
      <c r="AK763" s="193" t="str">
        <f>IFERROR(INDEX(TAB_ressource[Import Ressource],MATCH(ROW()-ROW($AK$1),TAB_ressource[ID Import ressources],0)),"")</f>
        <v/>
      </c>
      <c r="BD763" t="s">
        <v>2899</v>
      </c>
      <c r="BE763" t="s">
        <v>2900</v>
      </c>
      <c r="BF763" t="s">
        <v>2901</v>
      </c>
      <c r="BG763" t="s">
        <v>2899</v>
      </c>
    </row>
    <row r="764" spans="13:59" x14ac:dyDescent="0.25">
      <c r="M764" t="str">
        <f>_xlfn.IFNA(IF(VLOOKUP(TAB_Offres[[#This Row],[Reference]],TAB_Offres[[Reference]:[Request State]],COLUMNS(TAB_Offres[[Reference]:[Request State]]),FALSE)=D$6,TAB_Offres[[#This Row],[Reference]],""),"")</f>
        <v/>
      </c>
      <c r="N764" t="str">
        <f>_xlfn.IFNA(IF(VLOOKUP(TAB_Offres[[#This Row],[Reference]],TAB_Offres[[Reference]:[Has Expenses?]],COLUMNS(TAB_Offres[[Reference]:[Has Expenses?]]),FALSE)=J$2,TAB_Offres[[#This Row],[Reference]],""),"")</f>
        <v/>
      </c>
      <c r="O764" t="str">
        <f>IF(Tableau19[[#This Row],[EXPENSES_REF]]="","",MAX(O$1:O763)+1)</f>
        <v/>
      </c>
      <c r="P764" t="str">
        <f t="shared" si="24"/>
        <v/>
      </c>
      <c r="AI764" s="191" t="str">
        <f>IFERROR(_xlfn.SINGLE(
IF(_xlfn.SINGLE(INDEX(TAB_Offres[Ressource 1],ROWS(Params!AI$2:$AI764)))=0,NA(),
INDEX(TAB_Offres[Ressource 1],ROWS(Params!AI$2:$AI764)))),
IFERROR(_xlfn.SINGLE(IF(_xlfn.SINGLE(INDEX(#REF!,ROWS(Params!AI$2:$AI764)-COUNTA(TAB_Offres[Ressource 1])))=0,NA(),
INDEX(#REF!,ROWS(Params!AI$2:$AI764)-COUNTA(TAB_Offres[Ressource 1])))),
IFERROR(_xlfn.SINGLE(IF(_xlfn.SINGLE(INDEX(#REF!,ROWS(Params!AI$2:$AI764)-COUNTA(#REF!)-COUNTA(TAB_Offres[Ressource 1])))=0,NA(),
INDEX(#REF!,ROWS(Params!AI$2:$AI764)-COUNTA(#REF!)-COUNTA(TAB_Offres[Ressource 1])))),""))
)</f>
        <v/>
      </c>
      <c r="AJ764" s="192" t="str">
        <f>IF(TAB_ressource[[#This Row],[Import Ressource]]="","",MAX(AJ$1:AJ763)+1)</f>
        <v/>
      </c>
      <c r="AK764" s="193" t="str">
        <f>IFERROR(INDEX(TAB_ressource[Import Ressource],MATCH(ROW()-ROW($AK$1),TAB_ressource[ID Import ressources],0)),"")</f>
        <v/>
      </c>
      <c r="BE764" t="s">
        <v>2902</v>
      </c>
      <c r="BF764" t="s">
        <v>2903</v>
      </c>
      <c r="BG764" t="s">
        <v>617</v>
      </c>
    </row>
    <row r="765" spans="13:59" x14ac:dyDescent="0.25">
      <c r="M765" t="str">
        <f>_xlfn.IFNA(IF(VLOOKUP(TAB_Offres[[#This Row],[Reference]],TAB_Offres[[Reference]:[Request State]],COLUMNS(TAB_Offres[[Reference]:[Request State]]),FALSE)=D$6,TAB_Offres[[#This Row],[Reference]],""),"")</f>
        <v/>
      </c>
      <c r="N765" t="str">
        <f>_xlfn.IFNA(IF(VLOOKUP(TAB_Offres[[#This Row],[Reference]],TAB_Offres[[Reference]:[Has Expenses?]],COLUMNS(TAB_Offres[[Reference]:[Has Expenses?]]),FALSE)=J$2,TAB_Offres[[#This Row],[Reference]],""),"")</f>
        <v/>
      </c>
      <c r="O765" t="str">
        <f>IF(Tableau19[[#This Row],[EXPENSES_REF]]="","",MAX(O$1:O764)+1)</f>
        <v/>
      </c>
      <c r="P765" t="str">
        <f t="shared" si="24"/>
        <v/>
      </c>
      <c r="AI765" s="191" t="str">
        <f>IFERROR(_xlfn.SINGLE(
IF(_xlfn.SINGLE(INDEX(TAB_Offres[Ressource 1],ROWS(Params!AI$2:$AI765)))=0,NA(),
INDEX(TAB_Offres[Ressource 1],ROWS(Params!AI$2:$AI765)))),
IFERROR(_xlfn.SINGLE(IF(_xlfn.SINGLE(INDEX(#REF!,ROWS(Params!AI$2:$AI765)-COUNTA(TAB_Offres[Ressource 1])))=0,NA(),
INDEX(#REF!,ROWS(Params!AI$2:$AI765)-COUNTA(TAB_Offres[Ressource 1])))),
IFERROR(_xlfn.SINGLE(IF(_xlfn.SINGLE(INDEX(#REF!,ROWS(Params!AI$2:$AI765)-COUNTA(#REF!)-COUNTA(TAB_Offres[Ressource 1])))=0,NA(),
INDEX(#REF!,ROWS(Params!AI$2:$AI765)-COUNTA(#REF!)-COUNTA(TAB_Offres[Ressource 1])))),""))
)</f>
        <v/>
      </c>
      <c r="AJ765" s="192" t="str">
        <f>IF(TAB_ressource[[#This Row],[Import Ressource]]="","",MAX(AJ$1:AJ764)+1)</f>
        <v/>
      </c>
      <c r="AK765" s="193" t="str">
        <f>IFERROR(INDEX(TAB_ressource[Import Ressource],MATCH(ROW()-ROW($AK$1),TAB_ressource[ID Import ressources],0)),"")</f>
        <v/>
      </c>
      <c r="BE765" t="s">
        <v>2904</v>
      </c>
      <c r="BF765" t="s">
        <v>2905</v>
      </c>
      <c r="BG765" t="s">
        <v>620</v>
      </c>
    </row>
    <row r="766" spans="13:59" x14ac:dyDescent="0.25">
      <c r="M766" t="str">
        <f>_xlfn.IFNA(IF(VLOOKUP(TAB_Offres[[#This Row],[Reference]],TAB_Offres[[Reference]:[Request State]],COLUMNS(TAB_Offres[[Reference]:[Request State]]),FALSE)=D$6,TAB_Offres[[#This Row],[Reference]],""),"")</f>
        <v/>
      </c>
      <c r="N766" t="str">
        <f>_xlfn.IFNA(IF(VLOOKUP(TAB_Offres[[#This Row],[Reference]],TAB_Offres[[Reference]:[Has Expenses?]],COLUMNS(TAB_Offres[[Reference]:[Has Expenses?]]),FALSE)=J$2,TAB_Offres[[#This Row],[Reference]],""),"")</f>
        <v/>
      </c>
      <c r="O766" t="str">
        <f>IF(Tableau19[[#This Row],[EXPENSES_REF]]="","",MAX(O$1:O765)+1)</f>
        <v/>
      </c>
      <c r="P766" t="str">
        <f t="shared" si="24"/>
        <v/>
      </c>
      <c r="AI766" s="191" t="str">
        <f>IFERROR(_xlfn.SINGLE(
IF(_xlfn.SINGLE(INDEX(TAB_Offres[Ressource 1],ROWS(Params!AI$2:$AI766)))=0,NA(),
INDEX(TAB_Offres[Ressource 1],ROWS(Params!AI$2:$AI766)))),
IFERROR(_xlfn.SINGLE(IF(_xlfn.SINGLE(INDEX(#REF!,ROWS(Params!AI$2:$AI766)-COUNTA(TAB_Offres[Ressource 1])))=0,NA(),
INDEX(#REF!,ROWS(Params!AI$2:$AI766)-COUNTA(TAB_Offres[Ressource 1])))),
IFERROR(_xlfn.SINGLE(IF(_xlfn.SINGLE(INDEX(#REF!,ROWS(Params!AI$2:$AI766)-COUNTA(#REF!)-COUNTA(TAB_Offres[Ressource 1])))=0,NA(),
INDEX(#REF!,ROWS(Params!AI$2:$AI766)-COUNTA(#REF!)-COUNTA(TAB_Offres[Ressource 1])))),""))
)</f>
        <v/>
      </c>
      <c r="AJ766" s="192" t="str">
        <f>IF(TAB_ressource[[#This Row],[Import Ressource]]="","",MAX(AJ$1:AJ765)+1)</f>
        <v/>
      </c>
      <c r="AK766" s="193" t="str">
        <f>IFERROR(INDEX(TAB_ressource[Import Ressource],MATCH(ROW()-ROW($AK$1),TAB_ressource[ID Import ressources],0)),"")</f>
        <v/>
      </c>
      <c r="BE766" t="s">
        <v>2906</v>
      </c>
      <c r="BF766" t="s">
        <v>2907</v>
      </c>
      <c r="BG766" t="s">
        <v>623</v>
      </c>
    </row>
    <row r="767" spans="13:59" x14ac:dyDescent="0.25">
      <c r="M767" t="str">
        <f>_xlfn.IFNA(IF(VLOOKUP(TAB_Offres[[#This Row],[Reference]],TAB_Offres[[Reference]:[Request State]],COLUMNS(TAB_Offres[[Reference]:[Request State]]),FALSE)=D$6,TAB_Offres[[#This Row],[Reference]],""),"")</f>
        <v/>
      </c>
      <c r="N767" t="str">
        <f>_xlfn.IFNA(IF(VLOOKUP(TAB_Offres[[#This Row],[Reference]],TAB_Offres[[Reference]:[Has Expenses?]],COLUMNS(TAB_Offres[[Reference]:[Has Expenses?]]),FALSE)=J$2,TAB_Offres[[#This Row],[Reference]],""),"")</f>
        <v/>
      </c>
      <c r="O767" t="str">
        <f>IF(Tableau19[[#This Row],[EXPENSES_REF]]="","",MAX(O$1:O766)+1)</f>
        <v/>
      </c>
      <c r="P767" t="str">
        <f t="shared" si="24"/>
        <v/>
      </c>
      <c r="AI767" s="191" t="str">
        <f>IFERROR(_xlfn.SINGLE(
IF(_xlfn.SINGLE(INDEX(TAB_Offres[Ressource 1],ROWS(Params!AI$2:$AI767)))=0,NA(),
INDEX(TAB_Offres[Ressource 1],ROWS(Params!AI$2:$AI767)))),
IFERROR(_xlfn.SINGLE(IF(_xlfn.SINGLE(INDEX(#REF!,ROWS(Params!AI$2:$AI767)-COUNTA(TAB_Offres[Ressource 1])))=0,NA(),
INDEX(#REF!,ROWS(Params!AI$2:$AI767)-COUNTA(TAB_Offres[Ressource 1])))),
IFERROR(_xlfn.SINGLE(IF(_xlfn.SINGLE(INDEX(#REF!,ROWS(Params!AI$2:$AI767)-COUNTA(#REF!)-COUNTA(TAB_Offres[Ressource 1])))=0,NA(),
INDEX(#REF!,ROWS(Params!AI$2:$AI767)-COUNTA(#REF!)-COUNTA(TAB_Offres[Ressource 1])))),""))
)</f>
        <v/>
      </c>
      <c r="AJ767" s="192" t="str">
        <f>IF(TAB_ressource[[#This Row],[Import Ressource]]="","",MAX(AJ$1:AJ766)+1)</f>
        <v/>
      </c>
      <c r="AK767" s="193" t="str">
        <f>IFERROR(INDEX(TAB_ressource[Import Ressource],MATCH(ROW()-ROW($AK$1),TAB_ressource[ID Import ressources],0)),"")</f>
        <v/>
      </c>
      <c r="BE767" t="s">
        <v>2908</v>
      </c>
      <c r="BF767" t="s">
        <v>2909</v>
      </c>
      <c r="BG767" t="s">
        <v>626</v>
      </c>
    </row>
    <row r="768" spans="13:59" x14ac:dyDescent="0.25">
      <c r="M768" t="str">
        <f>_xlfn.IFNA(IF(VLOOKUP(TAB_Offres[[#This Row],[Reference]],TAB_Offres[[Reference]:[Request State]],COLUMNS(TAB_Offres[[Reference]:[Request State]]),FALSE)=D$6,TAB_Offres[[#This Row],[Reference]],""),"")</f>
        <v/>
      </c>
      <c r="N768" t="str">
        <f>_xlfn.IFNA(IF(VLOOKUP(TAB_Offres[[#This Row],[Reference]],TAB_Offres[[Reference]:[Has Expenses?]],COLUMNS(TAB_Offres[[Reference]:[Has Expenses?]]),FALSE)=J$2,TAB_Offres[[#This Row],[Reference]],""),"")</f>
        <v/>
      </c>
      <c r="O768" t="str">
        <f>IF(Tableau19[[#This Row],[EXPENSES_REF]]="","",MAX(O$1:O767)+1)</f>
        <v/>
      </c>
      <c r="P768" t="str">
        <f t="shared" si="24"/>
        <v/>
      </c>
      <c r="AI768" s="191" t="str">
        <f>IFERROR(_xlfn.SINGLE(
IF(_xlfn.SINGLE(INDEX(TAB_Offres[Ressource 1],ROWS(Params!AI$2:$AI768)))=0,NA(),
INDEX(TAB_Offres[Ressource 1],ROWS(Params!AI$2:$AI768)))),
IFERROR(_xlfn.SINGLE(IF(_xlfn.SINGLE(INDEX(#REF!,ROWS(Params!AI$2:$AI768)-COUNTA(TAB_Offres[Ressource 1])))=0,NA(),
INDEX(#REF!,ROWS(Params!AI$2:$AI768)-COUNTA(TAB_Offres[Ressource 1])))),
IFERROR(_xlfn.SINGLE(IF(_xlfn.SINGLE(INDEX(#REF!,ROWS(Params!AI$2:$AI768)-COUNTA(#REF!)-COUNTA(TAB_Offres[Ressource 1])))=0,NA(),
INDEX(#REF!,ROWS(Params!AI$2:$AI768)-COUNTA(#REF!)-COUNTA(TAB_Offres[Ressource 1])))),""))
)</f>
        <v/>
      </c>
      <c r="AJ768" s="192" t="str">
        <f>IF(TAB_ressource[[#This Row],[Import Ressource]]="","",MAX(AJ$1:AJ767)+1)</f>
        <v/>
      </c>
      <c r="AK768" s="193" t="str">
        <f>IFERROR(INDEX(TAB_ressource[Import Ressource],MATCH(ROW()-ROW($AK$1),TAB_ressource[ID Import ressources],0)),"")</f>
        <v/>
      </c>
      <c r="BE768" t="s">
        <v>2910</v>
      </c>
      <c r="BF768" t="s">
        <v>2911</v>
      </c>
      <c r="BG768" t="s">
        <v>629</v>
      </c>
    </row>
    <row r="769" spans="13:59" x14ac:dyDescent="0.25">
      <c r="M769" t="str">
        <f>_xlfn.IFNA(IF(VLOOKUP(TAB_Offres[[#This Row],[Reference]],TAB_Offres[[Reference]:[Request State]],COLUMNS(TAB_Offres[[Reference]:[Request State]]),FALSE)=D$6,TAB_Offres[[#This Row],[Reference]],""),"")</f>
        <v/>
      </c>
      <c r="N769" t="str">
        <f>_xlfn.IFNA(IF(VLOOKUP(TAB_Offres[[#This Row],[Reference]],TAB_Offres[[Reference]:[Has Expenses?]],COLUMNS(TAB_Offres[[Reference]:[Has Expenses?]]),FALSE)=J$2,TAB_Offres[[#This Row],[Reference]],""),"")</f>
        <v/>
      </c>
      <c r="O769" t="str">
        <f>IF(Tableau19[[#This Row],[EXPENSES_REF]]="","",MAX(O$1:O768)+1)</f>
        <v/>
      </c>
      <c r="P769" t="str">
        <f t="shared" si="24"/>
        <v/>
      </c>
      <c r="AI769" s="191" t="str">
        <f>IFERROR(_xlfn.SINGLE(
IF(_xlfn.SINGLE(INDEX(TAB_Offres[Ressource 1],ROWS(Params!AI$2:$AI769)))=0,NA(),
INDEX(TAB_Offres[Ressource 1],ROWS(Params!AI$2:$AI769)))),
IFERROR(_xlfn.SINGLE(IF(_xlfn.SINGLE(INDEX(#REF!,ROWS(Params!AI$2:$AI769)-COUNTA(TAB_Offres[Ressource 1])))=0,NA(),
INDEX(#REF!,ROWS(Params!AI$2:$AI769)-COUNTA(TAB_Offres[Ressource 1])))),
IFERROR(_xlfn.SINGLE(IF(_xlfn.SINGLE(INDEX(#REF!,ROWS(Params!AI$2:$AI769)-COUNTA(#REF!)-COUNTA(TAB_Offres[Ressource 1])))=0,NA(),
INDEX(#REF!,ROWS(Params!AI$2:$AI769)-COUNTA(#REF!)-COUNTA(TAB_Offres[Ressource 1])))),""))
)</f>
        <v/>
      </c>
      <c r="AJ769" s="192" t="str">
        <f>IF(TAB_ressource[[#This Row],[Import Ressource]]="","",MAX(AJ$1:AJ768)+1)</f>
        <v/>
      </c>
      <c r="AK769" s="193" t="str">
        <f>IFERROR(INDEX(TAB_ressource[Import Ressource],MATCH(ROW()-ROW($AK$1),TAB_ressource[ID Import ressources],0)),"")</f>
        <v/>
      </c>
      <c r="BE769" t="s">
        <v>2912</v>
      </c>
      <c r="BF769" t="s">
        <v>2913</v>
      </c>
      <c r="BG769" t="s">
        <v>632</v>
      </c>
    </row>
    <row r="770" spans="13:59" x14ac:dyDescent="0.25">
      <c r="M770" t="str">
        <f>_xlfn.IFNA(IF(VLOOKUP(TAB_Offres[[#This Row],[Reference]],TAB_Offres[[Reference]:[Request State]],COLUMNS(TAB_Offres[[Reference]:[Request State]]),FALSE)=D$6,TAB_Offres[[#This Row],[Reference]],""),"")</f>
        <v/>
      </c>
      <c r="N770" t="str">
        <f>_xlfn.IFNA(IF(VLOOKUP(TAB_Offres[[#This Row],[Reference]],TAB_Offres[[Reference]:[Has Expenses?]],COLUMNS(TAB_Offres[[Reference]:[Has Expenses?]]),FALSE)=J$2,TAB_Offres[[#This Row],[Reference]],""),"")</f>
        <v/>
      </c>
      <c r="O770" t="str">
        <f>IF(Tableau19[[#This Row],[EXPENSES_REF]]="","",MAX(O$1:O769)+1)</f>
        <v/>
      </c>
      <c r="P770" t="str">
        <f t="shared" ref="P770:P833" si="25">IFERROR(INDEX($N$2:$N$1001,MATCH(ROW()-ROW($P$1),$O$2:$O$1001,0)),"")</f>
        <v/>
      </c>
      <c r="AI770" s="191" t="str">
        <f>IFERROR(_xlfn.SINGLE(
IF(_xlfn.SINGLE(INDEX(TAB_Offres[Ressource 1],ROWS(Params!AI$2:$AI770)))=0,NA(),
INDEX(TAB_Offres[Ressource 1],ROWS(Params!AI$2:$AI770)))),
IFERROR(_xlfn.SINGLE(IF(_xlfn.SINGLE(INDEX(#REF!,ROWS(Params!AI$2:$AI770)-COUNTA(TAB_Offres[Ressource 1])))=0,NA(),
INDEX(#REF!,ROWS(Params!AI$2:$AI770)-COUNTA(TAB_Offres[Ressource 1])))),
IFERROR(_xlfn.SINGLE(IF(_xlfn.SINGLE(INDEX(#REF!,ROWS(Params!AI$2:$AI770)-COUNTA(#REF!)-COUNTA(TAB_Offres[Ressource 1])))=0,NA(),
INDEX(#REF!,ROWS(Params!AI$2:$AI770)-COUNTA(#REF!)-COUNTA(TAB_Offres[Ressource 1])))),""))
)</f>
        <v/>
      </c>
      <c r="AJ770" s="192" t="str">
        <f>IF(TAB_ressource[[#This Row],[Import Ressource]]="","",MAX(AJ$1:AJ769)+1)</f>
        <v/>
      </c>
      <c r="AK770" s="193" t="str">
        <f>IFERROR(INDEX(TAB_ressource[Import Ressource],MATCH(ROW()-ROW($AK$1),TAB_ressource[ID Import ressources],0)),"")</f>
        <v/>
      </c>
      <c r="BE770" t="s">
        <v>2914</v>
      </c>
      <c r="BF770" t="s">
        <v>2915</v>
      </c>
      <c r="BG770" t="s">
        <v>635</v>
      </c>
    </row>
    <row r="771" spans="13:59" x14ac:dyDescent="0.25">
      <c r="M771" t="str">
        <f>_xlfn.IFNA(IF(VLOOKUP(TAB_Offres[[#This Row],[Reference]],TAB_Offres[[Reference]:[Request State]],COLUMNS(TAB_Offres[[Reference]:[Request State]]),FALSE)=D$6,TAB_Offres[[#This Row],[Reference]],""),"")</f>
        <v/>
      </c>
      <c r="N771" t="str">
        <f>_xlfn.IFNA(IF(VLOOKUP(TAB_Offres[[#This Row],[Reference]],TAB_Offres[[Reference]:[Has Expenses?]],COLUMNS(TAB_Offres[[Reference]:[Has Expenses?]]),FALSE)=J$2,TAB_Offres[[#This Row],[Reference]],""),"")</f>
        <v/>
      </c>
      <c r="O771" t="str">
        <f>IF(Tableau19[[#This Row],[EXPENSES_REF]]="","",MAX(O$1:O770)+1)</f>
        <v/>
      </c>
      <c r="P771" t="str">
        <f t="shared" si="25"/>
        <v/>
      </c>
      <c r="AI771" s="191" t="str">
        <f>IFERROR(_xlfn.SINGLE(
IF(_xlfn.SINGLE(INDEX(TAB_Offres[Ressource 1],ROWS(Params!AI$2:$AI771)))=0,NA(),
INDEX(TAB_Offres[Ressource 1],ROWS(Params!AI$2:$AI771)))),
IFERROR(_xlfn.SINGLE(IF(_xlfn.SINGLE(INDEX(#REF!,ROWS(Params!AI$2:$AI771)-COUNTA(TAB_Offres[Ressource 1])))=0,NA(),
INDEX(#REF!,ROWS(Params!AI$2:$AI771)-COUNTA(TAB_Offres[Ressource 1])))),
IFERROR(_xlfn.SINGLE(IF(_xlfn.SINGLE(INDEX(#REF!,ROWS(Params!AI$2:$AI771)-COUNTA(#REF!)-COUNTA(TAB_Offres[Ressource 1])))=0,NA(),
INDEX(#REF!,ROWS(Params!AI$2:$AI771)-COUNTA(#REF!)-COUNTA(TAB_Offres[Ressource 1])))),""))
)</f>
        <v/>
      </c>
      <c r="AJ771" s="192" t="str">
        <f>IF(TAB_ressource[[#This Row],[Import Ressource]]="","",MAX(AJ$1:AJ770)+1)</f>
        <v/>
      </c>
      <c r="AK771" s="193" t="str">
        <f>IFERROR(INDEX(TAB_ressource[Import Ressource],MATCH(ROW()-ROW($AK$1),TAB_ressource[ID Import ressources],0)),"")</f>
        <v/>
      </c>
      <c r="BE771" t="s">
        <v>2916</v>
      </c>
      <c r="BF771" t="s">
        <v>2917</v>
      </c>
      <c r="BG771" t="s">
        <v>638</v>
      </c>
    </row>
    <row r="772" spans="13:59" x14ac:dyDescent="0.25">
      <c r="M772" t="str">
        <f>_xlfn.IFNA(IF(VLOOKUP(TAB_Offres[[#This Row],[Reference]],TAB_Offres[[Reference]:[Request State]],COLUMNS(TAB_Offres[[Reference]:[Request State]]),FALSE)=D$6,TAB_Offres[[#This Row],[Reference]],""),"")</f>
        <v/>
      </c>
      <c r="N772" t="str">
        <f>_xlfn.IFNA(IF(VLOOKUP(TAB_Offres[[#This Row],[Reference]],TAB_Offres[[Reference]:[Has Expenses?]],COLUMNS(TAB_Offres[[Reference]:[Has Expenses?]]),FALSE)=J$2,TAB_Offres[[#This Row],[Reference]],""),"")</f>
        <v/>
      </c>
      <c r="O772" t="str">
        <f>IF(Tableau19[[#This Row],[EXPENSES_REF]]="","",MAX(O$1:O771)+1)</f>
        <v/>
      </c>
      <c r="P772" t="str">
        <f t="shared" si="25"/>
        <v/>
      </c>
      <c r="AI772" s="191" t="str">
        <f>IFERROR(_xlfn.SINGLE(
IF(_xlfn.SINGLE(INDEX(TAB_Offres[Ressource 1],ROWS(Params!AI$2:$AI772)))=0,NA(),
INDEX(TAB_Offres[Ressource 1],ROWS(Params!AI$2:$AI772)))),
IFERROR(_xlfn.SINGLE(IF(_xlfn.SINGLE(INDEX(#REF!,ROWS(Params!AI$2:$AI772)-COUNTA(TAB_Offres[Ressource 1])))=0,NA(),
INDEX(#REF!,ROWS(Params!AI$2:$AI772)-COUNTA(TAB_Offres[Ressource 1])))),
IFERROR(_xlfn.SINGLE(IF(_xlfn.SINGLE(INDEX(#REF!,ROWS(Params!AI$2:$AI772)-COUNTA(#REF!)-COUNTA(TAB_Offres[Ressource 1])))=0,NA(),
INDEX(#REF!,ROWS(Params!AI$2:$AI772)-COUNTA(#REF!)-COUNTA(TAB_Offres[Ressource 1])))),""))
)</f>
        <v/>
      </c>
      <c r="AJ772" s="192" t="str">
        <f>IF(TAB_ressource[[#This Row],[Import Ressource]]="","",MAX(AJ$1:AJ771)+1)</f>
        <v/>
      </c>
      <c r="AK772" s="193" t="str">
        <f>IFERROR(INDEX(TAB_ressource[Import Ressource],MATCH(ROW()-ROW($AK$1),TAB_ressource[ID Import ressources],0)),"")</f>
        <v/>
      </c>
      <c r="BE772" t="s">
        <v>2918</v>
      </c>
      <c r="BF772" t="s">
        <v>2919</v>
      </c>
      <c r="BG772" t="s">
        <v>641</v>
      </c>
    </row>
    <row r="773" spans="13:59" x14ac:dyDescent="0.25">
      <c r="M773" t="str">
        <f>_xlfn.IFNA(IF(VLOOKUP(TAB_Offres[[#This Row],[Reference]],TAB_Offres[[Reference]:[Request State]],COLUMNS(TAB_Offres[[Reference]:[Request State]]),FALSE)=D$6,TAB_Offres[[#This Row],[Reference]],""),"")</f>
        <v/>
      </c>
      <c r="N773" t="str">
        <f>_xlfn.IFNA(IF(VLOOKUP(TAB_Offres[[#This Row],[Reference]],TAB_Offres[[Reference]:[Has Expenses?]],COLUMNS(TAB_Offres[[Reference]:[Has Expenses?]]),FALSE)=J$2,TAB_Offres[[#This Row],[Reference]],""),"")</f>
        <v/>
      </c>
      <c r="O773" t="str">
        <f>IF(Tableau19[[#This Row],[EXPENSES_REF]]="","",MAX(O$1:O772)+1)</f>
        <v/>
      </c>
      <c r="P773" t="str">
        <f t="shared" si="25"/>
        <v/>
      </c>
      <c r="AI773" s="191" t="str">
        <f>IFERROR(_xlfn.SINGLE(
IF(_xlfn.SINGLE(INDEX(TAB_Offres[Ressource 1],ROWS(Params!AI$2:$AI773)))=0,NA(),
INDEX(TAB_Offres[Ressource 1],ROWS(Params!AI$2:$AI773)))),
IFERROR(_xlfn.SINGLE(IF(_xlfn.SINGLE(INDEX(#REF!,ROWS(Params!AI$2:$AI773)-COUNTA(TAB_Offres[Ressource 1])))=0,NA(),
INDEX(#REF!,ROWS(Params!AI$2:$AI773)-COUNTA(TAB_Offres[Ressource 1])))),
IFERROR(_xlfn.SINGLE(IF(_xlfn.SINGLE(INDEX(#REF!,ROWS(Params!AI$2:$AI773)-COUNTA(#REF!)-COUNTA(TAB_Offres[Ressource 1])))=0,NA(),
INDEX(#REF!,ROWS(Params!AI$2:$AI773)-COUNTA(#REF!)-COUNTA(TAB_Offres[Ressource 1])))),""))
)</f>
        <v/>
      </c>
      <c r="AJ773" s="192" t="str">
        <f>IF(TAB_ressource[[#This Row],[Import Ressource]]="","",MAX(AJ$1:AJ772)+1)</f>
        <v/>
      </c>
      <c r="AK773" s="193" t="str">
        <f>IFERROR(INDEX(TAB_ressource[Import Ressource],MATCH(ROW()-ROW($AK$1),TAB_ressource[ID Import ressources],0)),"")</f>
        <v/>
      </c>
      <c r="BE773" t="s">
        <v>2920</v>
      </c>
      <c r="BF773" t="s">
        <v>2921</v>
      </c>
      <c r="BG773" t="s">
        <v>644</v>
      </c>
    </row>
    <row r="774" spans="13:59" x14ac:dyDescent="0.25">
      <c r="M774" t="str">
        <f>_xlfn.IFNA(IF(VLOOKUP(TAB_Offres[[#This Row],[Reference]],TAB_Offres[[Reference]:[Request State]],COLUMNS(TAB_Offres[[Reference]:[Request State]]),FALSE)=D$6,TAB_Offres[[#This Row],[Reference]],""),"")</f>
        <v/>
      </c>
      <c r="N774" t="str">
        <f>_xlfn.IFNA(IF(VLOOKUP(TAB_Offres[[#This Row],[Reference]],TAB_Offres[[Reference]:[Has Expenses?]],COLUMNS(TAB_Offres[[Reference]:[Has Expenses?]]),FALSE)=J$2,TAB_Offres[[#This Row],[Reference]],""),"")</f>
        <v/>
      </c>
      <c r="O774" t="str">
        <f>IF(Tableau19[[#This Row],[EXPENSES_REF]]="","",MAX(O$1:O773)+1)</f>
        <v/>
      </c>
      <c r="P774" t="str">
        <f t="shared" si="25"/>
        <v/>
      </c>
      <c r="AI774" s="191" t="str">
        <f>IFERROR(_xlfn.SINGLE(
IF(_xlfn.SINGLE(INDEX(TAB_Offres[Ressource 1],ROWS(Params!AI$2:$AI774)))=0,NA(),
INDEX(TAB_Offres[Ressource 1],ROWS(Params!AI$2:$AI774)))),
IFERROR(_xlfn.SINGLE(IF(_xlfn.SINGLE(INDEX(#REF!,ROWS(Params!AI$2:$AI774)-COUNTA(TAB_Offres[Ressource 1])))=0,NA(),
INDEX(#REF!,ROWS(Params!AI$2:$AI774)-COUNTA(TAB_Offres[Ressource 1])))),
IFERROR(_xlfn.SINGLE(IF(_xlfn.SINGLE(INDEX(#REF!,ROWS(Params!AI$2:$AI774)-COUNTA(#REF!)-COUNTA(TAB_Offres[Ressource 1])))=0,NA(),
INDEX(#REF!,ROWS(Params!AI$2:$AI774)-COUNTA(#REF!)-COUNTA(TAB_Offres[Ressource 1])))),""))
)</f>
        <v/>
      </c>
      <c r="AJ774" s="192" t="str">
        <f>IF(TAB_ressource[[#This Row],[Import Ressource]]="","",MAX(AJ$1:AJ773)+1)</f>
        <v/>
      </c>
      <c r="AK774" s="193" t="str">
        <f>IFERROR(INDEX(TAB_ressource[Import Ressource],MATCH(ROW()-ROW($AK$1),TAB_ressource[ID Import ressources],0)),"")</f>
        <v/>
      </c>
      <c r="BE774" t="s">
        <v>2922</v>
      </c>
      <c r="BF774" t="s">
        <v>2923</v>
      </c>
      <c r="BG774" t="s">
        <v>647</v>
      </c>
    </row>
    <row r="775" spans="13:59" x14ac:dyDescent="0.25">
      <c r="M775" t="str">
        <f>_xlfn.IFNA(IF(VLOOKUP(TAB_Offres[[#This Row],[Reference]],TAB_Offres[[Reference]:[Request State]],COLUMNS(TAB_Offres[[Reference]:[Request State]]),FALSE)=D$6,TAB_Offres[[#This Row],[Reference]],""),"")</f>
        <v/>
      </c>
      <c r="N775" t="str">
        <f>_xlfn.IFNA(IF(VLOOKUP(TAB_Offres[[#This Row],[Reference]],TAB_Offres[[Reference]:[Has Expenses?]],COLUMNS(TAB_Offres[[Reference]:[Has Expenses?]]),FALSE)=J$2,TAB_Offres[[#This Row],[Reference]],""),"")</f>
        <v/>
      </c>
      <c r="O775" t="str">
        <f>IF(Tableau19[[#This Row],[EXPENSES_REF]]="","",MAX(O$1:O774)+1)</f>
        <v/>
      </c>
      <c r="P775" t="str">
        <f t="shared" si="25"/>
        <v/>
      </c>
      <c r="AI775" s="191" t="str">
        <f>IFERROR(_xlfn.SINGLE(
IF(_xlfn.SINGLE(INDEX(TAB_Offres[Ressource 1],ROWS(Params!AI$2:$AI775)))=0,NA(),
INDEX(TAB_Offres[Ressource 1],ROWS(Params!AI$2:$AI775)))),
IFERROR(_xlfn.SINGLE(IF(_xlfn.SINGLE(INDEX(#REF!,ROWS(Params!AI$2:$AI775)-COUNTA(TAB_Offres[Ressource 1])))=0,NA(),
INDEX(#REF!,ROWS(Params!AI$2:$AI775)-COUNTA(TAB_Offres[Ressource 1])))),
IFERROR(_xlfn.SINGLE(IF(_xlfn.SINGLE(INDEX(#REF!,ROWS(Params!AI$2:$AI775)-COUNTA(#REF!)-COUNTA(TAB_Offres[Ressource 1])))=0,NA(),
INDEX(#REF!,ROWS(Params!AI$2:$AI775)-COUNTA(#REF!)-COUNTA(TAB_Offres[Ressource 1])))),""))
)</f>
        <v/>
      </c>
      <c r="AJ775" s="192" t="str">
        <f>IF(TAB_ressource[[#This Row],[Import Ressource]]="","",MAX(AJ$1:AJ774)+1)</f>
        <v/>
      </c>
      <c r="AK775" s="193" t="str">
        <f>IFERROR(INDEX(TAB_ressource[Import Ressource],MATCH(ROW()-ROW($AK$1),TAB_ressource[ID Import ressources],0)),"")</f>
        <v/>
      </c>
      <c r="BE775" t="s">
        <v>2924</v>
      </c>
      <c r="BF775" t="s">
        <v>2925</v>
      </c>
      <c r="BG775" t="s">
        <v>650</v>
      </c>
    </row>
    <row r="776" spans="13:59" x14ac:dyDescent="0.25">
      <c r="M776" t="str">
        <f>_xlfn.IFNA(IF(VLOOKUP(TAB_Offres[[#This Row],[Reference]],TAB_Offres[[Reference]:[Request State]],COLUMNS(TAB_Offres[[Reference]:[Request State]]),FALSE)=D$6,TAB_Offres[[#This Row],[Reference]],""),"")</f>
        <v/>
      </c>
      <c r="N776" t="str">
        <f>_xlfn.IFNA(IF(VLOOKUP(TAB_Offres[[#This Row],[Reference]],TAB_Offres[[Reference]:[Has Expenses?]],COLUMNS(TAB_Offres[[Reference]:[Has Expenses?]]),FALSE)=J$2,TAB_Offres[[#This Row],[Reference]],""),"")</f>
        <v/>
      </c>
      <c r="O776" t="str">
        <f>IF(Tableau19[[#This Row],[EXPENSES_REF]]="","",MAX(O$1:O775)+1)</f>
        <v/>
      </c>
      <c r="P776" t="str">
        <f t="shared" si="25"/>
        <v/>
      </c>
      <c r="AI776" s="191" t="str">
        <f>IFERROR(_xlfn.SINGLE(
IF(_xlfn.SINGLE(INDEX(TAB_Offres[Ressource 1],ROWS(Params!AI$2:$AI776)))=0,NA(),
INDEX(TAB_Offres[Ressource 1],ROWS(Params!AI$2:$AI776)))),
IFERROR(_xlfn.SINGLE(IF(_xlfn.SINGLE(INDEX(#REF!,ROWS(Params!AI$2:$AI776)-COUNTA(TAB_Offres[Ressource 1])))=0,NA(),
INDEX(#REF!,ROWS(Params!AI$2:$AI776)-COUNTA(TAB_Offres[Ressource 1])))),
IFERROR(_xlfn.SINGLE(IF(_xlfn.SINGLE(INDEX(#REF!,ROWS(Params!AI$2:$AI776)-COUNTA(#REF!)-COUNTA(TAB_Offres[Ressource 1])))=0,NA(),
INDEX(#REF!,ROWS(Params!AI$2:$AI776)-COUNTA(#REF!)-COUNTA(TAB_Offres[Ressource 1])))),""))
)</f>
        <v/>
      </c>
      <c r="AJ776" s="192" t="str">
        <f>IF(TAB_ressource[[#This Row],[Import Ressource]]="","",MAX(AJ$1:AJ775)+1)</f>
        <v/>
      </c>
      <c r="AK776" s="193" t="str">
        <f>IFERROR(INDEX(TAB_ressource[Import Ressource],MATCH(ROW()-ROW($AK$1),TAB_ressource[ID Import ressources],0)),"")</f>
        <v/>
      </c>
      <c r="BE776" t="s">
        <v>2926</v>
      </c>
      <c r="BF776" t="s">
        <v>2927</v>
      </c>
      <c r="BG776" t="s">
        <v>653</v>
      </c>
    </row>
    <row r="777" spans="13:59" x14ac:dyDescent="0.25">
      <c r="M777" t="str">
        <f>_xlfn.IFNA(IF(VLOOKUP(TAB_Offres[[#This Row],[Reference]],TAB_Offres[[Reference]:[Request State]],COLUMNS(TAB_Offres[[Reference]:[Request State]]),FALSE)=D$6,TAB_Offres[[#This Row],[Reference]],""),"")</f>
        <v/>
      </c>
      <c r="N777" t="str">
        <f>_xlfn.IFNA(IF(VLOOKUP(TAB_Offres[[#This Row],[Reference]],TAB_Offres[[Reference]:[Has Expenses?]],COLUMNS(TAB_Offres[[Reference]:[Has Expenses?]]),FALSE)=J$2,TAB_Offres[[#This Row],[Reference]],""),"")</f>
        <v/>
      </c>
      <c r="O777" t="str">
        <f>IF(Tableau19[[#This Row],[EXPENSES_REF]]="","",MAX(O$1:O776)+1)</f>
        <v/>
      </c>
      <c r="P777" t="str">
        <f t="shared" si="25"/>
        <v/>
      </c>
      <c r="AI777" s="191" t="str">
        <f>IFERROR(_xlfn.SINGLE(
IF(_xlfn.SINGLE(INDEX(TAB_Offres[Ressource 1],ROWS(Params!AI$2:$AI777)))=0,NA(),
INDEX(TAB_Offres[Ressource 1],ROWS(Params!AI$2:$AI777)))),
IFERROR(_xlfn.SINGLE(IF(_xlfn.SINGLE(INDEX(#REF!,ROWS(Params!AI$2:$AI777)-COUNTA(TAB_Offres[Ressource 1])))=0,NA(),
INDEX(#REF!,ROWS(Params!AI$2:$AI777)-COUNTA(TAB_Offres[Ressource 1])))),
IFERROR(_xlfn.SINGLE(IF(_xlfn.SINGLE(INDEX(#REF!,ROWS(Params!AI$2:$AI777)-COUNTA(#REF!)-COUNTA(TAB_Offres[Ressource 1])))=0,NA(),
INDEX(#REF!,ROWS(Params!AI$2:$AI777)-COUNTA(#REF!)-COUNTA(TAB_Offres[Ressource 1])))),""))
)</f>
        <v/>
      </c>
      <c r="AJ777" s="192" t="str">
        <f>IF(TAB_ressource[[#This Row],[Import Ressource]]="","",MAX(AJ$1:AJ776)+1)</f>
        <v/>
      </c>
      <c r="AK777" s="193" t="str">
        <f>IFERROR(INDEX(TAB_ressource[Import Ressource],MATCH(ROW()-ROW($AK$1),TAB_ressource[ID Import ressources],0)),"")</f>
        <v/>
      </c>
      <c r="BE777" t="s">
        <v>2928</v>
      </c>
      <c r="BF777" t="s">
        <v>2929</v>
      </c>
      <c r="BG777" t="s">
        <v>656</v>
      </c>
    </row>
    <row r="778" spans="13:59" x14ac:dyDescent="0.25">
      <c r="M778" t="str">
        <f>_xlfn.IFNA(IF(VLOOKUP(TAB_Offres[[#This Row],[Reference]],TAB_Offres[[Reference]:[Request State]],COLUMNS(TAB_Offres[[Reference]:[Request State]]),FALSE)=D$6,TAB_Offres[[#This Row],[Reference]],""),"")</f>
        <v/>
      </c>
      <c r="N778" t="str">
        <f>_xlfn.IFNA(IF(VLOOKUP(TAB_Offres[[#This Row],[Reference]],TAB_Offres[[Reference]:[Has Expenses?]],COLUMNS(TAB_Offres[[Reference]:[Has Expenses?]]),FALSE)=J$2,TAB_Offres[[#This Row],[Reference]],""),"")</f>
        <v/>
      </c>
      <c r="O778" t="str">
        <f>IF(Tableau19[[#This Row],[EXPENSES_REF]]="","",MAX(O$1:O777)+1)</f>
        <v/>
      </c>
      <c r="P778" t="str">
        <f t="shared" si="25"/>
        <v/>
      </c>
      <c r="AI778" s="191" t="str">
        <f>IFERROR(_xlfn.SINGLE(
IF(_xlfn.SINGLE(INDEX(TAB_Offres[Ressource 1],ROWS(Params!AI$2:$AI778)))=0,NA(),
INDEX(TAB_Offres[Ressource 1],ROWS(Params!AI$2:$AI778)))),
IFERROR(_xlfn.SINGLE(IF(_xlfn.SINGLE(INDEX(#REF!,ROWS(Params!AI$2:$AI778)-COUNTA(TAB_Offres[Ressource 1])))=0,NA(),
INDEX(#REF!,ROWS(Params!AI$2:$AI778)-COUNTA(TAB_Offres[Ressource 1])))),
IFERROR(_xlfn.SINGLE(IF(_xlfn.SINGLE(INDEX(#REF!,ROWS(Params!AI$2:$AI778)-COUNTA(#REF!)-COUNTA(TAB_Offres[Ressource 1])))=0,NA(),
INDEX(#REF!,ROWS(Params!AI$2:$AI778)-COUNTA(#REF!)-COUNTA(TAB_Offres[Ressource 1])))),""))
)</f>
        <v/>
      </c>
      <c r="AJ778" s="192" t="str">
        <f>IF(TAB_ressource[[#This Row],[Import Ressource]]="","",MAX(AJ$1:AJ777)+1)</f>
        <v/>
      </c>
      <c r="AK778" s="193" t="str">
        <f>IFERROR(INDEX(TAB_ressource[Import Ressource],MATCH(ROW()-ROW($AK$1),TAB_ressource[ID Import ressources],0)),"")</f>
        <v/>
      </c>
      <c r="BE778" t="s">
        <v>2930</v>
      </c>
      <c r="BF778" t="s">
        <v>2931</v>
      </c>
      <c r="BG778" t="s">
        <v>659</v>
      </c>
    </row>
    <row r="779" spans="13:59" x14ac:dyDescent="0.25">
      <c r="M779" t="str">
        <f>_xlfn.IFNA(IF(VLOOKUP(TAB_Offres[[#This Row],[Reference]],TAB_Offres[[Reference]:[Request State]],COLUMNS(TAB_Offres[[Reference]:[Request State]]),FALSE)=D$6,TAB_Offres[[#This Row],[Reference]],""),"")</f>
        <v/>
      </c>
      <c r="N779" t="str">
        <f>_xlfn.IFNA(IF(VLOOKUP(TAB_Offres[[#This Row],[Reference]],TAB_Offres[[Reference]:[Has Expenses?]],COLUMNS(TAB_Offres[[Reference]:[Has Expenses?]]),FALSE)=J$2,TAB_Offres[[#This Row],[Reference]],""),"")</f>
        <v/>
      </c>
      <c r="O779" t="str">
        <f>IF(Tableau19[[#This Row],[EXPENSES_REF]]="","",MAX(O$1:O778)+1)</f>
        <v/>
      </c>
      <c r="P779" t="str">
        <f t="shared" si="25"/>
        <v/>
      </c>
      <c r="AI779" s="191" t="str">
        <f>IFERROR(_xlfn.SINGLE(
IF(_xlfn.SINGLE(INDEX(TAB_Offres[Ressource 1],ROWS(Params!AI$2:$AI779)))=0,NA(),
INDEX(TAB_Offres[Ressource 1],ROWS(Params!AI$2:$AI779)))),
IFERROR(_xlfn.SINGLE(IF(_xlfn.SINGLE(INDEX(#REF!,ROWS(Params!AI$2:$AI779)-COUNTA(TAB_Offres[Ressource 1])))=0,NA(),
INDEX(#REF!,ROWS(Params!AI$2:$AI779)-COUNTA(TAB_Offres[Ressource 1])))),
IFERROR(_xlfn.SINGLE(IF(_xlfn.SINGLE(INDEX(#REF!,ROWS(Params!AI$2:$AI779)-COUNTA(#REF!)-COUNTA(TAB_Offres[Ressource 1])))=0,NA(),
INDEX(#REF!,ROWS(Params!AI$2:$AI779)-COUNTA(#REF!)-COUNTA(TAB_Offres[Ressource 1])))),""))
)</f>
        <v/>
      </c>
      <c r="AJ779" s="192" t="str">
        <f>IF(TAB_ressource[[#This Row],[Import Ressource]]="","",MAX(AJ$1:AJ778)+1)</f>
        <v/>
      </c>
      <c r="AK779" s="193" t="str">
        <f>IFERROR(INDEX(TAB_ressource[Import Ressource],MATCH(ROW()-ROW($AK$1),TAB_ressource[ID Import ressources],0)),"")</f>
        <v/>
      </c>
      <c r="BE779" t="s">
        <v>2932</v>
      </c>
      <c r="BF779" t="s">
        <v>2933</v>
      </c>
      <c r="BG779" t="s">
        <v>662</v>
      </c>
    </row>
    <row r="780" spans="13:59" x14ac:dyDescent="0.25">
      <c r="M780" t="str">
        <f>_xlfn.IFNA(IF(VLOOKUP(TAB_Offres[[#This Row],[Reference]],TAB_Offres[[Reference]:[Request State]],COLUMNS(TAB_Offres[[Reference]:[Request State]]),FALSE)=D$6,TAB_Offres[[#This Row],[Reference]],""),"")</f>
        <v/>
      </c>
      <c r="N780" t="str">
        <f>_xlfn.IFNA(IF(VLOOKUP(TAB_Offres[[#This Row],[Reference]],TAB_Offres[[Reference]:[Has Expenses?]],COLUMNS(TAB_Offres[[Reference]:[Has Expenses?]]),FALSE)=J$2,TAB_Offres[[#This Row],[Reference]],""),"")</f>
        <v/>
      </c>
      <c r="O780" t="str">
        <f>IF(Tableau19[[#This Row],[EXPENSES_REF]]="","",MAX(O$1:O779)+1)</f>
        <v/>
      </c>
      <c r="P780" t="str">
        <f t="shared" si="25"/>
        <v/>
      </c>
      <c r="AI780" s="191" t="str">
        <f>IFERROR(_xlfn.SINGLE(
IF(_xlfn.SINGLE(INDEX(TAB_Offres[Ressource 1],ROWS(Params!AI$2:$AI780)))=0,NA(),
INDEX(TAB_Offres[Ressource 1],ROWS(Params!AI$2:$AI780)))),
IFERROR(_xlfn.SINGLE(IF(_xlfn.SINGLE(INDEX(#REF!,ROWS(Params!AI$2:$AI780)-COUNTA(TAB_Offres[Ressource 1])))=0,NA(),
INDEX(#REF!,ROWS(Params!AI$2:$AI780)-COUNTA(TAB_Offres[Ressource 1])))),
IFERROR(_xlfn.SINGLE(IF(_xlfn.SINGLE(INDEX(#REF!,ROWS(Params!AI$2:$AI780)-COUNTA(#REF!)-COUNTA(TAB_Offres[Ressource 1])))=0,NA(),
INDEX(#REF!,ROWS(Params!AI$2:$AI780)-COUNTA(#REF!)-COUNTA(TAB_Offres[Ressource 1])))),""))
)</f>
        <v/>
      </c>
      <c r="AJ780" s="192" t="str">
        <f>IF(TAB_ressource[[#This Row],[Import Ressource]]="","",MAX(AJ$1:AJ779)+1)</f>
        <v/>
      </c>
      <c r="AK780" s="193" t="str">
        <f>IFERROR(INDEX(TAB_ressource[Import Ressource],MATCH(ROW()-ROW($AK$1),TAB_ressource[ID Import ressources],0)),"")</f>
        <v/>
      </c>
      <c r="BE780" t="s">
        <v>2934</v>
      </c>
      <c r="BF780" t="s">
        <v>2935</v>
      </c>
      <c r="BG780" t="s">
        <v>665</v>
      </c>
    </row>
    <row r="781" spans="13:59" x14ac:dyDescent="0.25">
      <c r="M781" t="str">
        <f>_xlfn.IFNA(IF(VLOOKUP(TAB_Offres[[#This Row],[Reference]],TAB_Offres[[Reference]:[Request State]],COLUMNS(TAB_Offres[[Reference]:[Request State]]),FALSE)=D$6,TAB_Offres[[#This Row],[Reference]],""),"")</f>
        <v/>
      </c>
      <c r="N781" t="str">
        <f>_xlfn.IFNA(IF(VLOOKUP(TAB_Offres[[#This Row],[Reference]],TAB_Offres[[Reference]:[Has Expenses?]],COLUMNS(TAB_Offres[[Reference]:[Has Expenses?]]),FALSE)=J$2,TAB_Offres[[#This Row],[Reference]],""),"")</f>
        <v/>
      </c>
      <c r="O781" t="str">
        <f>IF(Tableau19[[#This Row],[EXPENSES_REF]]="","",MAX(O$1:O780)+1)</f>
        <v/>
      </c>
      <c r="P781" t="str">
        <f t="shared" si="25"/>
        <v/>
      </c>
      <c r="AI781" s="191" t="str">
        <f>IFERROR(_xlfn.SINGLE(
IF(_xlfn.SINGLE(INDEX(TAB_Offres[Ressource 1],ROWS(Params!AI$2:$AI781)))=0,NA(),
INDEX(TAB_Offres[Ressource 1],ROWS(Params!AI$2:$AI781)))),
IFERROR(_xlfn.SINGLE(IF(_xlfn.SINGLE(INDEX(#REF!,ROWS(Params!AI$2:$AI781)-COUNTA(TAB_Offres[Ressource 1])))=0,NA(),
INDEX(#REF!,ROWS(Params!AI$2:$AI781)-COUNTA(TAB_Offres[Ressource 1])))),
IFERROR(_xlfn.SINGLE(IF(_xlfn.SINGLE(INDEX(#REF!,ROWS(Params!AI$2:$AI781)-COUNTA(#REF!)-COUNTA(TAB_Offres[Ressource 1])))=0,NA(),
INDEX(#REF!,ROWS(Params!AI$2:$AI781)-COUNTA(#REF!)-COUNTA(TAB_Offres[Ressource 1])))),""))
)</f>
        <v/>
      </c>
      <c r="AJ781" s="192" t="str">
        <f>IF(TAB_ressource[[#This Row],[Import Ressource]]="","",MAX(AJ$1:AJ780)+1)</f>
        <v/>
      </c>
      <c r="AK781" s="193" t="str">
        <f>IFERROR(INDEX(TAB_ressource[Import Ressource],MATCH(ROW()-ROW($AK$1),TAB_ressource[ID Import ressources],0)),"")</f>
        <v/>
      </c>
      <c r="BE781" t="s">
        <v>2936</v>
      </c>
      <c r="BF781" t="s">
        <v>2937</v>
      </c>
      <c r="BG781" t="s">
        <v>668</v>
      </c>
    </row>
    <row r="782" spans="13:59" x14ac:dyDescent="0.25">
      <c r="M782" t="str">
        <f>_xlfn.IFNA(IF(VLOOKUP(TAB_Offres[[#This Row],[Reference]],TAB_Offres[[Reference]:[Request State]],COLUMNS(TAB_Offres[[Reference]:[Request State]]),FALSE)=D$6,TAB_Offres[[#This Row],[Reference]],""),"")</f>
        <v/>
      </c>
      <c r="N782" t="str">
        <f>_xlfn.IFNA(IF(VLOOKUP(TAB_Offres[[#This Row],[Reference]],TAB_Offres[[Reference]:[Has Expenses?]],COLUMNS(TAB_Offres[[Reference]:[Has Expenses?]]),FALSE)=J$2,TAB_Offres[[#This Row],[Reference]],""),"")</f>
        <v/>
      </c>
      <c r="O782" t="str">
        <f>IF(Tableau19[[#This Row],[EXPENSES_REF]]="","",MAX(O$1:O781)+1)</f>
        <v/>
      </c>
      <c r="P782" t="str">
        <f t="shared" si="25"/>
        <v/>
      </c>
      <c r="AI782" s="191" t="str">
        <f>IFERROR(_xlfn.SINGLE(
IF(_xlfn.SINGLE(INDEX(TAB_Offres[Ressource 1],ROWS(Params!AI$2:$AI782)))=0,NA(),
INDEX(TAB_Offres[Ressource 1],ROWS(Params!AI$2:$AI782)))),
IFERROR(_xlfn.SINGLE(IF(_xlfn.SINGLE(INDEX(#REF!,ROWS(Params!AI$2:$AI782)-COUNTA(TAB_Offres[Ressource 1])))=0,NA(),
INDEX(#REF!,ROWS(Params!AI$2:$AI782)-COUNTA(TAB_Offres[Ressource 1])))),
IFERROR(_xlfn.SINGLE(IF(_xlfn.SINGLE(INDEX(#REF!,ROWS(Params!AI$2:$AI782)-COUNTA(#REF!)-COUNTA(TAB_Offres[Ressource 1])))=0,NA(),
INDEX(#REF!,ROWS(Params!AI$2:$AI782)-COUNTA(#REF!)-COUNTA(TAB_Offres[Ressource 1])))),""))
)</f>
        <v/>
      </c>
      <c r="AJ782" s="192" t="str">
        <f>IF(TAB_ressource[[#This Row],[Import Ressource]]="","",MAX(AJ$1:AJ781)+1)</f>
        <v/>
      </c>
      <c r="AK782" s="193" t="str">
        <f>IFERROR(INDEX(TAB_ressource[Import Ressource],MATCH(ROW()-ROW($AK$1),TAB_ressource[ID Import ressources],0)),"")</f>
        <v/>
      </c>
      <c r="BE782" t="s">
        <v>2938</v>
      </c>
      <c r="BF782" t="s">
        <v>2939</v>
      </c>
      <c r="BG782" t="s">
        <v>671</v>
      </c>
    </row>
    <row r="783" spans="13:59" x14ac:dyDescent="0.25">
      <c r="M783" t="str">
        <f>_xlfn.IFNA(IF(VLOOKUP(TAB_Offres[[#This Row],[Reference]],TAB_Offres[[Reference]:[Request State]],COLUMNS(TAB_Offres[[Reference]:[Request State]]),FALSE)=D$6,TAB_Offres[[#This Row],[Reference]],""),"")</f>
        <v/>
      </c>
      <c r="N783" t="str">
        <f>_xlfn.IFNA(IF(VLOOKUP(TAB_Offres[[#This Row],[Reference]],TAB_Offres[[Reference]:[Has Expenses?]],COLUMNS(TAB_Offres[[Reference]:[Has Expenses?]]),FALSE)=J$2,TAB_Offres[[#This Row],[Reference]],""),"")</f>
        <v/>
      </c>
      <c r="O783" t="str">
        <f>IF(Tableau19[[#This Row],[EXPENSES_REF]]="","",MAX(O$1:O782)+1)</f>
        <v/>
      </c>
      <c r="P783" t="str">
        <f t="shared" si="25"/>
        <v/>
      </c>
      <c r="AI783" s="191" t="str">
        <f>IFERROR(_xlfn.SINGLE(
IF(_xlfn.SINGLE(INDEX(TAB_Offres[Ressource 1],ROWS(Params!AI$2:$AI783)))=0,NA(),
INDEX(TAB_Offres[Ressource 1],ROWS(Params!AI$2:$AI783)))),
IFERROR(_xlfn.SINGLE(IF(_xlfn.SINGLE(INDEX(#REF!,ROWS(Params!AI$2:$AI783)-COUNTA(TAB_Offres[Ressource 1])))=0,NA(),
INDEX(#REF!,ROWS(Params!AI$2:$AI783)-COUNTA(TAB_Offres[Ressource 1])))),
IFERROR(_xlfn.SINGLE(IF(_xlfn.SINGLE(INDEX(#REF!,ROWS(Params!AI$2:$AI783)-COUNTA(#REF!)-COUNTA(TAB_Offres[Ressource 1])))=0,NA(),
INDEX(#REF!,ROWS(Params!AI$2:$AI783)-COUNTA(#REF!)-COUNTA(TAB_Offres[Ressource 1])))),""))
)</f>
        <v/>
      </c>
      <c r="AJ783" s="192" t="str">
        <f>IF(TAB_ressource[[#This Row],[Import Ressource]]="","",MAX(AJ$1:AJ782)+1)</f>
        <v/>
      </c>
      <c r="AK783" s="193" t="str">
        <f>IFERROR(INDEX(TAB_ressource[Import Ressource],MATCH(ROW()-ROW($AK$1),TAB_ressource[ID Import ressources],0)),"")</f>
        <v/>
      </c>
      <c r="BE783" t="s">
        <v>2940</v>
      </c>
      <c r="BF783" t="s">
        <v>2941</v>
      </c>
      <c r="BG783" t="s">
        <v>674</v>
      </c>
    </row>
    <row r="784" spans="13:59" x14ac:dyDescent="0.25">
      <c r="M784" t="str">
        <f>_xlfn.IFNA(IF(VLOOKUP(TAB_Offres[[#This Row],[Reference]],TAB_Offres[[Reference]:[Request State]],COLUMNS(TAB_Offres[[Reference]:[Request State]]),FALSE)=D$6,TAB_Offres[[#This Row],[Reference]],""),"")</f>
        <v/>
      </c>
      <c r="N784" t="str">
        <f>_xlfn.IFNA(IF(VLOOKUP(TAB_Offres[[#This Row],[Reference]],TAB_Offres[[Reference]:[Has Expenses?]],COLUMNS(TAB_Offres[[Reference]:[Has Expenses?]]),FALSE)=J$2,TAB_Offres[[#This Row],[Reference]],""),"")</f>
        <v/>
      </c>
      <c r="O784" t="str">
        <f>IF(Tableau19[[#This Row],[EXPENSES_REF]]="","",MAX(O$1:O783)+1)</f>
        <v/>
      </c>
      <c r="P784" t="str">
        <f t="shared" si="25"/>
        <v/>
      </c>
      <c r="AI784" s="191" t="str">
        <f>IFERROR(_xlfn.SINGLE(
IF(_xlfn.SINGLE(INDEX(TAB_Offres[Ressource 1],ROWS(Params!AI$2:$AI784)))=0,NA(),
INDEX(TAB_Offres[Ressource 1],ROWS(Params!AI$2:$AI784)))),
IFERROR(_xlfn.SINGLE(IF(_xlfn.SINGLE(INDEX(#REF!,ROWS(Params!AI$2:$AI784)-COUNTA(TAB_Offres[Ressource 1])))=0,NA(),
INDEX(#REF!,ROWS(Params!AI$2:$AI784)-COUNTA(TAB_Offres[Ressource 1])))),
IFERROR(_xlfn.SINGLE(IF(_xlfn.SINGLE(INDEX(#REF!,ROWS(Params!AI$2:$AI784)-COUNTA(#REF!)-COUNTA(TAB_Offres[Ressource 1])))=0,NA(),
INDEX(#REF!,ROWS(Params!AI$2:$AI784)-COUNTA(#REF!)-COUNTA(TAB_Offres[Ressource 1])))),""))
)</f>
        <v/>
      </c>
      <c r="AJ784" s="192" t="str">
        <f>IF(TAB_ressource[[#This Row],[Import Ressource]]="","",MAX(AJ$1:AJ783)+1)</f>
        <v/>
      </c>
      <c r="AK784" s="193" t="str">
        <f>IFERROR(INDEX(TAB_ressource[Import Ressource],MATCH(ROW()-ROW($AK$1),TAB_ressource[ID Import ressources],0)),"")</f>
        <v/>
      </c>
      <c r="BE784" t="s">
        <v>2942</v>
      </c>
      <c r="BF784" t="s">
        <v>2943</v>
      </c>
      <c r="BG784" t="s">
        <v>677</v>
      </c>
    </row>
    <row r="785" spans="13:59" x14ac:dyDescent="0.25">
      <c r="M785" t="str">
        <f>_xlfn.IFNA(IF(VLOOKUP(TAB_Offres[[#This Row],[Reference]],TAB_Offres[[Reference]:[Request State]],COLUMNS(TAB_Offres[[Reference]:[Request State]]),FALSE)=D$6,TAB_Offres[[#This Row],[Reference]],""),"")</f>
        <v/>
      </c>
      <c r="N785" t="str">
        <f>_xlfn.IFNA(IF(VLOOKUP(TAB_Offres[[#This Row],[Reference]],TAB_Offres[[Reference]:[Has Expenses?]],COLUMNS(TAB_Offres[[Reference]:[Has Expenses?]]),FALSE)=J$2,TAB_Offres[[#This Row],[Reference]],""),"")</f>
        <v/>
      </c>
      <c r="O785" t="str">
        <f>IF(Tableau19[[#This Row],[EXPENSES_REF]]="","",MAX(O$1:O784)+1)</f>
        <v/>
      </c>
      <c r="P785" t="str">
        <f t="shared" si="25"/>
        <v/>
      </c>
      <c r="AI785" s="191" t="str">
        <f>IFERROR(_xlfn.SINGLE(
IF(_xlfn.SINGLE(INDEX(TAB_Offres[Ressource 1],ROWS(Params!AI$2:$AI785)))=0,NA(),
INDEX(TAB_Offres[Ressource 1],ROWS(Params!AI$2:$AI785)))),
IFERROR(_xlfn.SINGLE(IF(_xlfn.SINGLE(INDEX(#REF!,ROWS(Params!AI$2:$AI785)-COUNTA(TAB_Offres[Ressource 1])))=0,NA(),
INDEX(#REF!,ROWS(Params!AI$2:$AI785)-COUNTA(TAB_Offres[Ressource 1])))),
IFERROR(_xlfn.SINGLE(IF(_xlfn.SINGLE(INDEX(#REF!,ROWS(Params!AI$2:$AI785)-COUNTA(#REF!)-COUNTA(TAB_Offres[Ressource 1])))=0,NA(),
INDEX(#REF!,ROWS(Params!AI$2:$AI785)-COUNTA(#REF!)-COUNTA(TAB_Offres[Ressource 1])))),""))
)</f>
        <v/>
      </c>
      <c r="AJ785" s="192" t="str">
        <f>IF(TAB_ressource[[#This Row],[Import Ressource]]="","",MAX(AJ$1:AJ784)+1)</f>
        <v/>
      </c>
      <c r="AK785" s="193" t="str">
        <f>IFERROR(INDEX(TAB_ressource[Import Ressource],MATCH(ROW()-ROW($AK$1),TAB_ressource[ID Import ressources],0)),"")</f>
        <v/>
      </c>
      <c r="BE785" t="s">
        <v>2944</v>
      </c>
      <c r="BF785" t="s">
        <v>2945</v>
      </c>
      <c r="BG785" t="s">
        <v>680</v>
      </c>
    </row>
    <row r="786" spans="13:59" x14ac:dyDescent="0.25">
      <c r="M786" t="str">
        <f>_xlfn.IFNA(IF(VLOOKUP(TAB_Offres[[#This Row],[Reference]],TAB_Offres[[Reference]:[Request State]],COLUMNS(TAB_Offres[[Reference]:[Request State]]),FALSE)=D$6,TAB_Offres[[#This Row],[Reference]],""),"")</f>
        <v/>
      </c>
      <c r="N786" t="str">
        <f>_xlfn.IFNA(IF(VLOOKUP(TAB_Offres[[#This Row],[Reference]],TAB_Offres[[Reference]:[Has Expenses?]],COLUMNS(TAB_Offres[[Reference]:[Has Expenses?]]),FALSE)=J$2,TAB_Offres[[#This Row],[Reference]],""),"")</f>
        <v/>
      </c>
      <c r="O786" t="str">
        <f>IF(Tableau19[[#This Row],[EXPENSES_REF]]="","",MAX(O$1:O785)+1)</f>
        <v/>
      </c>
      <c r="P786" t="str">
        <f t="shared" si="25"/>
        <v/>
      </c>
      <c r="AI786" s="191" t="str">
        <f>IFERROR(_xlfn.SINGLE(
IF(_xlfn.SINGLE(INDEX(TAB_Offres[Ressource 1],ROWS(Params!AI$2:$AI786)))=0,NA(),
INDEX(TAB_Offres[Ressource 1],ROWS(Params!AI$2:$AI786)))),
IFERROR(_xlfn.SINGLE(IF(_xlfn.SINGLE(INDEX(#REF!,ROWS(Params!AI$2:$AI786)-COUNTA(TAB_Offres[Ressource 1])))=0,NA(),
INDEX(#REF!,ROWS(Params!AI$2:$AI786)-COUNTA(TAB_Offres[Ressource 1])))),
IFERROR(_xlfn.SINGLE(IF(_xlfn.SINGLE(INDEX(#REF!,ROWS(Params!AI$2:$AI786)-COUNTA(#REF!)-COUNTA(TAB_Offres[Ressource 1])))=0,NA(),
INDEX(#REF!,ROWS(Params!AI$2:$AI786)-COUNTA(#REF!)-COUNTA(TAB_Offres[Ressource 1])))),""))
)</f>
        <v/>
      </c>
      <c r="AJ786" s="192" t="str">
        <f>IF(TAB_ressource[[#This Row],[Import Ressource]]="","",MAX(AJ$1:AJ785)+1)</f>
        <v/>
      </c>
      <c r="AK786" s="193" t="str">
        <f>IFERROR(INDEX(TAB_ressource[Import Ressource],MATCH(ROW()-ROW($AK$1),TAB_ressource[ID Import ressources],0)),"")</f>
        <v/>
      </c>
      <c r="BE786" t="s">
        <v>2946</v>
      </c>
      <c r="BF786" t="s">
        <v>2947</v>
      </c>
      <c r="BG786" t="s">
        <v>683</v>
      </c>
    </row>
    <row r="787" spans="13:59" x14ac:dyDescent="0.25">
      <c r="M787" t="str">
        <f>_xlfn.IFNA(IF(VLOOKUP(TAB_Offres[[#This Row],[Reference]],TAB_Offres[[Reference]:[Request State]],COLUMNS(TAB_Offres[[Reference]:[Request State]]),FALSE)=D$6,TAB_Offres[[#This Row],[Reference]],""),"")</f>
        <v/>
      </c>
      <c r="N787" t="str">
        <f>_xlfn.IFNA(IF(VLOOKUP(TAB_Offres[[#This Row],[Reference]],TAB_Offres[[Reference]:[Has Expenses?]],COLUMNS(TAB_Offres[[Reference]:[Has Expenses?]]),FALSE)=J$2,TAB_Offres[[#This Row],[Reference]],""),"")</f>
        <v/>
      </c>
      <c r="O787" t="str">
        <f>IF(Tableau19[[#This Row],[EXPENSES_REF]]="","",MAX(O$1:O786)+1)</f>
        <v/>
      </c>
      <c r="P787" t="str">
        <f t="shared" si="25"/>
        <v/>
      </c>
      <c r="AI787" s="191" t="str">
        <f>IFERROR(_xlfn.SINGLE(
IF(_xlfn.SINGLE(INDEX(TAB_Offres[Ressource 1],ROWS(Params!AI$2:$AI787)))=0,NA(),
INDEX(TAB_Offres[Ressource 1],ROWS(Params!AI$2:$AI787)))),
IFERROR(_xlfn.SINGLE(IF(_xlfn.SINGLE(INDEX(#REF!,ROWS(Params!AI$2:$AI787)-COUNTA(TAB_Offres[Ressource 1])))=0,NA(),
INDEX(#REF!,ROWS(Params!AI$2:$AI787)-COUNTA(TAB_Offres[Ressource 1])))),
IFERROR(_xlfn.SINGLE(IF(_xlfn.SINGLE(INDEX(#REF!,ROWS(Params!AI$2:$AI787)-COUNTA(#REF!)-COUNTA(TAB_Offres[Ressource 1])))=0,NA(),
INDEX(#REF!,ROWS(Params!AI$2:$AI787)-COUNTA(#REF!)-COUNTA(TAB_Offres[Ressource 1])))),""))
)</f>
        <v/>
      </c>
      <c r="AJ787" s="192" t="str">
        <f>IF(TAB_ressource[[#This Row],[Import Ressource]]="","",MAX(AJ$1:AJ786)+1)</f>
        <v/>
      </c>
      <c r="AK787" s="193" t="str">
        <f>IFERROR(INDEX(TAB_ressource[Import Ressource],MATCH(ROW()-ROW($AK$1),TAB_ressource[ID Import ressources],0)),"")</f>
        <v/>
      </c>
      <c r="BE787" t="s">
        <v>2948</v>
      </c>
      <c r="BF787" t="s">
        <v>2949</v>
      </c>
      <c r="BG787" t="s">
        <v>686</v>
      </c>
    </row>
    <row r="788" spans="13:59" x14ac:dyDescent="0.25">
      <c r="M788" t="str">
        <f>_xlfn.IFNA(IF(VLOOKUP(TAB_Offres[[#This Row],[Reference]],TAB_Offres[[Reference]:[Request State]],COLUMNS(TAB_Offres[[Reference]:[Request State]]),FALSE)=D$6,TAB_Offres[[#This Row],[Reference]],""),"")</f>
        <v/>
      </c>
      <c r="N788" t="str">
        <f>_xlfn.IFNA(IF(VLOOKUP(TAB_Offres[[#This Row],[Reference]],TAB_Offres[[Reference]:[Has Expenses?]],COLUMNS(TAB_Offres[[Reference]:[Has Expenses?]]),FALSE)=J$2,TAB_Offres[[#This Row],[Reference]],""),"")</f>
        <v/>
      </c>
      <c r="O788" t="str">
        <f>IF(Tableau19[[#This Row],[EXPENSES_REF]]="","",MAX(O$1:O787)+1)</f>
        <v/>
      </c>
      <c r="P788" t="str">
        <f t="shared" si="25"/>
        <v/>
      </c>
      <c r="AI788" s="191" t="str">
        <f>IFERROR(_xlfn.SINGLE(
IF(_xlfn.SINGLE(INDEX(TAB_Offres[Ressource 1],ROWS(Params!AI$2:$AI788)))=0,NA(),
INDEX(TAB_Offres[Ressource 1],ROWS(Params!AI$2:$AI788)))),
IFERROR(_xlfn.SINGLE(IF(_xlfn.SINGLE(INDEX(#REF!,ROWS(Params!AI$2:$AI788)-COUNTA(TAB_Offres[Ressource 1])))=0,NA(),
INDEX(#REF!,ROWS(Params!AI$2:$AI788)-COUNTA(TAB_Offres[Ressource 1])))),
IFERROR(_xlfn.SINGLE(IF(_xlfn.SINGLE(INDEX(#REF!,ROWS(Params!AI$2:$AI788)-COUNTA(#REF!)-COUNTA(TAB_Offres[Ressource 1])))=0,NA(),
INDEX(#REF!,ROWS(Params!AI$2:$AI788)-COUNTA(#REF!)-COUNTA(TAB_Offres[Ressource 1])))),""))
)</f>
        <v/>
      </c>
      <c r="AJ788" s="192" t="str">
        <f>IF(TAB_ressource[[#This Row],[Import Ressource]]="","",MAX(AJ$1:AJ787)+1)</f>
        <v/>
      </c>
      <c r="AK788" s="193" t="str">
        <f>IFERROR(INDEX(TAB_ressource[Import Ressource],MATCH(ROW()-ROW($AK$1),TAB_ressource[ID Import ressources],0)),"")</f>
        <v/>
      </c>
      <c r="BE788" t="s">
        <v>2950</v>
      </c>
      <c r="BF788" t="s">
        <v>2951</v>
      </c>
      <c r="BG788" t="s">
        <v>689</v>
      </c>
    </row>
    <row r="789" spans="13:59" x14ac:dyDescent="0.25">
      <c r="M789" t="str">
        <f>_xlfn.IFNA(IF(VLOOKUP(TAB_Offres[[#This Row],[Reference]],TAB_Offres[[Reference]:[Request State]],COLUMNS(TAB_Offres[[Reference]:[Request State]]),FALSE)=D$6,TAB_Offres[[#This Row],[Reference]],""),"")</f>
        <v/>
      </c>
      <c r="N789" t="str">
        <f>_xlfn.IFNA(IF(VLOOKUP(TAB_Offres[[#This Row],[Reference]],TAB_Offres[[Reference]:[Has Expenses?]],COLUMNS(TAB_Offres[[Reference]:[Has Expenses?]]),FALSE)=J$2,TAB_Offres[[#This Row],[Reference]],""),"")</f>
        <v/>
      </c>
      <c r="O789" t="str">
        <f>IF(Tableau19[[#This Row],[EXPENSES_REF]]="","",MAX(O$1:O788)+1)</f>
        <v/>
      </c>
      <c r="P789" t="str">
        <f t="shared" si="25"/>
        <v/>
      </c>
      <c r="AI789" s="191" t="str">
        <f>IFERROR(_xlfn.SINGLE(
IF(_xlfn.SINGLE(INDEX(TAB_Offres[Ressource 1],ROWS(Params!AI$2:$AI789)))=0,NA(),
INDEX(TAB_Offres[Ressource 1],ROWS(Params!AI$2:$AI789)))),
IFERROR(_xlfn.SINGLE(IF(_xlfn.SINGLE(INDEX(#REF!,ROWS(Params!AI$2:$AI789)-COUNTA(TAB_Offres[Ressource 1])))=0,NA(),
INDEX(#REF!,ROWS(Params!AI$2:$AI789)-COUNTA(TAB_Offres[Ressource 1])))),
IFERROR(_xlfn.SINGLE(IF(_xlfn.SINGLE(INDEX(#REF!,ROWS(Params!AI$2:$AI789)-COUNTA(#REF!)-COUNTA(TAB_Offres[Ressource 1])))=0,NA(),
INDEX(#REF!,ROWS(Params!AI$2:$AI789)-COUNTA(#REF!)-COUNTA(TAB_Offres[Ressource 1])))),""))
)</f>
        <v/>
      </c>
      <c r="AJ789" s="192" t="str">
        <f>IF(TAB_ressource[[#This Row],[Import Ressource]]="","",MAX(AJ$1:AJ788)+1)</f>
        <v/>
      </c>
      <c r="AK789" s="193" t="str">
        <f>IFERROR(INDEX(TAB_ressource[Import Ressource],MATCH(ROW()-ROW($AK$1),TAB_ressource[ID Import ressources],0)),"")</f>
        <v/>
      </c>
      <c r="BE789" t="s">
        <v>2952</v>
      </c>
      <c r="BF789" t="s">
        <v>2953</v>
      </c>
      <c r="BG789" t="s">
        <v>692</v>
      </c>
    </row>
    <row r="790" spans="13:59" x14ac:dyDescent="0.25">
      <c r="M790" t="str">
        <f>_xlfn.IFNA(IF(VLOOKUP(TAB_Offres[[#This Row],[Reference]],TAB_Offres[[Reference]:[Request State]],COLUMNS(TAB_Offres[[Reference]:[Request State]]),FALSE)=D$6,TAB_Offres[[#This Row],[Reference]],""),"")</f>
        <v/>
      </c>
      <c r="N790" t="str">
        <f>_xlfn.IFNA(IF(VLOOKUP(TAB_Offres[[#This Row],[Reference]],TAB_Offres[[Reference]:[Has Expenses?]],COLUMNS(TAB_Offres[[Reference]:[Has Expenses?]]),FALSE)=J$2,TAB_Offres[[#This Row],[Reference]],""),"")</f>
        <v/>
      </c>
      <c r="O790" t="str">
        <f>IF(Tableau19[[#This Row],[EXPENSES_REF]]="","",MAX(O$1:O789)+1)</f>
        <v/>
      </c>
      <c r="P790" t="str">
        <f t="shared" si="25"/>
        <v/>
      </c>
      <c r="AI790" s="191" t="str">
        <f>IFERROR(_xlfn.SINGLE(
IF(_xlfn.SINGLE(INDEX(TAB_Offres[Ressource 1],ROWS(Params!AI$2:$AI790)))=0,NA(),
INDEX(TAB_Offres[Ressource 1],ROWS(Params!AI$2:$AI790)))),
IFERROR(_xlfn.SINGLE(IF(_xlfn.SINGLE(INDEX(#REF!,ROWS(Params!AI$2:$AI790)-COUNTA(TAB_Offres[Ressource 1])))=0,NA(),
INDEX(#REF!,ROWS(Params!AI$2:$AI790)-COUNTA(TAB_Offres[Ressource 1])))),
IFERROR(_xlfn.SINGLE(IF(_xlfn.SINGLE(INDEX(#REF!,ROWS(Params!AI$2:$AI790)-COUNTA(#REF!)-COUNTA(TAB_Offres[Ressource 1])))=0,NA(),
INDEX(#REF!,ROWS(Params!AI$2:$AI790)-COUNTA(#REF!)-COUNTA(TAB_Offres[Ressource 1])))),""))
)</f>
        <v/>
      </c>
      <c r="AJ790" s="192" t="str">
        <f>IF(TAB_ressource[[#This Row],[Import Ressource]]="","",MAX(AJ$1:AJ789)+1)</f>
        <v/>
      </c>
      <c r="AK790" s="193" t="str">
        <f>IFERROR(INDEX(TAB_ressource[Import Ressource],MATCH(ROW()-ROW($AK$1),TAB_ressource[ID Import ressources],0)),"")</f>
        <v/>
      </c>
      <c r="BE790" t="s">
        <v>2954</v>
      </c>
      <c r="BF790" t="s">
        <v>2955</v>
      </c>
      <c r="BG790" t="s">
        <v>695</v>
      </c>
    </row>
    <row r="791" spans="13:59" x14ac:dyDescent="0.25">
      <c r="M791" t="str">
        <f>_xlfn.IFNA(IF(VLOOKUP(TAB_Offres[[#This Row],[Reference]],TAB_Offres[[Reference]:[Request State]],COLUMNS(TAB_Offres[[Reference]:[Request State]]),FALSE)=D$6,TAB_Offres[[#This Row],[Reference]],""),"")</f>
        <v/>
      </c>
      <c r="N791" t="str">
        <f>_xlfn.IFNA(IF(VLOOKUP(TAB_Offres[[#This Row],[Reference]],TAB_Offres[[Reference]:[Has Expenses?]],COLUMNS(TAB_Offres[[Reference]:[Has Expenses?]]),FALSE)=J$2,TAB_Offres[[#This Row],[Reference]],""),"")</f>
        <v/>
      </c>
      <c r="O791" t="str">
        <f>IF(Tableau19[[#This Row],[EXPENSES_REF]]="","",MAX(O$1:O790)+1)</f>
        <v/>
      </c>
      <c r="P791" t="str">
        <f t="shared" si="25"/>
        <v/>
      </c>
      <c r="AI791" s="191" t="str">
        <f>IFERROR(_xlfn.SINGLE(
IF(_xlfn.SINGLE(INDEX(TAB_Offres[Ressource 1],ROWS(Params!AI$2:$AI791)))=0,NA(),
INDEX(TAB_Offres[Ressource 1],ROWS(Params!AI$2:$AI791)))),
IFERROR(_xlfn.SINGLE(IF(_xlfn.SINGLE(INDEX(#REF!,ROWS(Params!AI$2:$AI791)-COUNTA(TAB_Offres[Ressource 1])))=0,NA(),
INDEX(#REF!,ROWS(Params!AI$2:$AI791)-COUNTA(TAB_Offres[Ressource 1])))),
IFERROR(_xlfn.SINGLE(IF(_xlfn.SINGLE(INDEX(#REF!,ROWS(Params!AI$2:$AI791)-COUNTA(#REF!)-COUNTA(TAB_Offres[Ressource 1])))=0,NA(),
INDEX(#REF!,ROWS(Params!AI$2:$AI791)-COUNTA(#REF!)-COUNTA(TAB_Offres[Ressource 1])))),""))
)</f>
        <v/>
      </c>
      <c r="AJ791" s="192" t="str">
        <f>IF(TAB_ressource[[#This Row],[Import Ressource]]="","",MAX(AJ$1:AJ790)+1)</f>
        <v/>
      </c>
      <c r="AK791" s="193" t="str">
        <f>IFERROR(INDEX(TAB_ressource[Import Ressource],MATCH(ROW()-ROW($AK$1),TAB_ressource[ID Import ressources],0)),"")</f>
        <v/>
      </c>
      <c r="BE791" t="s">
        <v>2956</v>
      </c>
      <c r="BF791" t="s">
        <v>2957</v>
      </c>
      <c r="BG791" t="s">
        <v>698</v>
      </c>
    </row>
    <row r="792" spans="13:59" x14ac:dyDescent="0.25">
      <c r="M792" t="str">
        <f>_xlfn.IFNA(IF(VLOOKUP(TAB_Offres[[#This Row],[Reference]],TAB_Offres[[Reference]:[Request State]],COLUMNS(TAB_Offres[[Reference]:[Request State]]),FALSE)=D$6,TAB_Offres[[#This Row],[Reference]],""),"")</f>
        <v/>
      </c>
      <c r="N792" t="str">
        <f>_xlfn.IFNA(IF(VLOOKUP(TAB_Offres[[#This Row],[Reference]],TAB_Offres[[Reference]:[Has Expenses?]],COLUMNS(TAB_Offres[[Reference]:[Has Expenses?]]),FALSE)=J$2,TAB_Offres[[#This Row],[Reference]],""),"")</f>
        <v/>
      </c>
      <c r="O792" t="str">
        <f>IF(Tableau19[[#This Row],[EXPENSES_REF]]="","",MAX(O$1:O791)+1)</f>
        <v/>
      </c>
      <c r="P792" t="str">
        <f t="shared" si="25"/>
        <v/>
      </c>
      <c r="AI792" s="191" t="str">
        <f>IFERROR(_xlfn.SINGLE(
IF(_xlfn.SINGLE(INDEX(TAB_Offres[Ressource 1],ROWS(Params!AI$2:$AI792)))=0,NA(),
INDEX(TAB_Offres[Ressource 1],ROWS(Params!AI$2:$AI792)))),
IFERROR(_xlfn.SINGLE(IF(_xlfn.SINGLE(INDEX(#REF!,ROWS(Params!AI$2:$AI792)-COUNTA(TAB_Offres[Ressource 1])))=0,NA(),
INDEX(#REF!,ROWS(Params!AI$2:$AI792)-COUNTA(TAB_Offres[Ressource 1])))),
IFERROR(_xlfn.SINGLE(IF(_xlfn.SINGLE(INDEX(#REF!,ROWS(Params!AI$2:$AI792)-COUNTA(#REF!)-COUNTA(TAB_Offres[Ressource 1])))=0,NA(),
INDEX(#REF!,ROWS(Params!AI$2:$AI792)-COUNTA(#REF!)-COUNTA(TAB_Offres[Ressource 1])))),""))
)</f>
        <v/>
      </c>
      <c r="AJ792" s="192" t="str">
        <f>IF(TAB_ressource[[#This Row],[Import Ressource]]="","",MAX(AJ$1:AJ791)+1)</f>
        <v/>
      </c>
      <c r="AK792" s="193" t="str">
        <f>IFERROR(INDEX(TAB_ressource[Import Ressource],MATCH(ROW()-ROW($AK$1),TAB_ressource[ID Import ressources],0)),"")</f>
        <v/>
      </c>
      <c r="BE792" t="s">
        <v>2958</v>
      </c>
      <c r="BF792" t="s">
        <v>2959</v>
      </c>
      <c r="BG792" t="s">
        <v>701</v>
      </c>
    </row>
    <row r="793" spans="13:59" x14ac:dyDescent="0.25">
      <c r="M793" t="str">
        <f>_xlfn.IFNA(IF(VLOOKUP(TAB_Offres[[#This Row],[Reference]],TAB_Offres[[Reference]:[Request State]],COLUMNS(TAB_Offres[[Reference]:[Request State]]),FALSE)=D$6,TAB_Offres[[#This Row],[Reference]],""),"")</f>
        <v/>
      </c>
      <c r="N793" t="str">
        <f>_xlfn.IFNA(IF(VLOOKUP(TAB_Offres[[#This Row],[Reference]],TAB_Offres[[Reference]:[Has Expenses?]],COLUMNS(TAB_Offres[[Reference]:[Has Expenses?]]),FALSE)=J$2,TAB_Offres[[#This Row],[Reference]],""),"")</f>
        <v/>
      </c>
      <c r="O793" t="str">
        <f>IF(Tableau19[[#This Row],[EXPENSES_REF]]="","",MAX(O$1:O792)+1)</f>
        <v/>
      </c>
      <c r="P793" t="str">
        <f t="shared" si="25"/>
        <v/>
      </c>
      <c r="AI793" s="191" t="str">
        <f>IFERROR(_xlfn.SINGLE(
IF(_xlfn.SINGLE(INDEX(TAB_Offres[Ressource 1],ROWS(Params!AI$2:$AI793)))=0,NA(),
INDEX(TAB_Offres[Ressource 1],ROWS(Params!AI$2:$AI793)))),
IFERROR(_xlfn.SINGLE(IF(_xlfn.SINGLE(INDEX(#REF!,ROWS(Params!AI$2:$AI793)-COUNTA(TAB_Offres[Ressource 1])))=0,NA(),
INDEX(#REF!,ROWS(Params!AI$2:$AI793)-COUNTA(TAB_Offres[Ressource 1])))),
IFERROR(_xlfn.SINGLE(IF(_xlfn.SINGLE(INDEX(#REF!,ROWS(Params!AI$2:$AI793)-COUNTA(#REF!)-COUNTA(TAB_Offres[Ressource 1])))=0,NA(),
INDEX(#REF!,ROWS(Params!AI$2:$AI793)-COUNTA(#REF!)-COUNTA(TAB_Offres[Ressource 1])))),""))
)</f>
        <v/>
      </c>
      <c r="AJ793" s="192" t="str">
        <f>IF(TAB_ressource[[#This Row],[Import Ressource]]="","",MAX(AJ$1:AJ792)+1)</f>
        <v/>
      </c>
      <c r="AK793" s="193" t="str">
        <f>IFERROR(INDEX(TAB_ressource[Import Ressource],MATCH(ROW()-ROW($AK$1),TAB_ressource[ID Import ressources],0)),"")</f>
        <v/>
      </c>
      <c r="BE793" t="s">
        <v>2960</v>
      </c>
      <c r="BF793" t="s">
        <v>2961</v>
      </c>
      <c r="BG793" t="s">
        <v>704</v>
      </c>
    </row>
    <row r="794" spans="13:59" x14ac:dyDescent="0.25">
      <c r="M794" t="str">
        <f>_xlfn.IFNA(IF(VLOOKUP(TAB_Offres[[#This Row],[Reference]],TAB_Offres[[Reference]:[Request State]],COLUMNS(TAB_Offres[[Reference]:[Request State]]),FALSE)=D$6,TAB_Offres[[#This Row],[Reference]],""),"")</f>
        <v/>
      </c>
      <c r="N794" t="str">
        <f>_xlfn.IFNA(IF(VLOOKUP(TAB_Offres[[#This Row],[Reference]],TAB_Offres[[Reference]:[Has Expenses?]],COLUMNS(TAB_Offres[[Reference]:[Has Expenses?]]),FALSE)=J$2,TAB_Offres[[#This Row],[Reference]],""),"")</f>
        <v/>
      </c>
      <c r="O794" t="str">
        <f>IF(Tableau19[[#This Row],[EXPENSES_REF]]="","",MAX(O$1:O793)+1)</f>
        <v/>
      </c>
      <c r="P794" t="str">
        <f t="shared" si="25"/>
        <v/>
      </c>
      <c r="AI794" s="191" t="str">
        <f>IFERROR(_xlfn.SINGLE(
IF(_xlfn.SINGLE(INDEX(TAB_Offres[Ressource 1],ROWS(Params!AI$2:$AI794)))=0,NA(),
INDEX(TAB_Offres[Ressource 1],ROWS(Params!AI$2:$AI794)))),
IFERROR(_xlfn.SINGLE(IF(_xlfn.SINGLE(INDEX(#REF!,ROWS(Params!AI$2:$AI794)-COUNTA(TAB_Offres[Ressource 1])))=0,NA(),
INDEX(#REF!,ROWS(Params!AI$2:$AI794)-COUNTA(TAB_Offres[Ressource 1])))),
IFERROR(_xlfn.SINGLE(IF(_xlfn.SINGLE(INDEX(#REF!,ROWS(Params!AI$2:$AI794)-COUNTA(#REF!)-COUNTA(TAB_Offres[Ressource 1])))=0,NA(),
INDEX(#REF!,ROWS(Params!AI$2:$AI794)-COUNTA(#REF!)-COUNTA(TAB_Offres[Ressource 1])))),""))
)</f>
        <v/>
      </c>
      <c r="AJ794" s="192" t="str">
        <f>IF(TAB_ressource[[#This Row],[Import Ressource]]="","",MAX(AJ$1:AJ793)+1)</f>
        <v/>
      </c>
      <c r="AK794" s="193" t="str">
        <f>IFERROR(INDEX(TAB_ressource[Import Ressource],MATCH(ROW()-ROW($AK$1),TAB_ressource[ID Import ressources],0)),"")</f>
        <v/>
      </c>
      <c r="BE794" t="s">
        <v>2962</v>
      </c>
      <c r="BF794" t="s">
        <v>2963</v>
      </c>
      <c r="BG794" t="s">
        <v>707</v>
      </c>
    </row>
    <row r="795" spans="13:59" x14ac:dyDescent="0.25">
      <c r="M795" t="str">
        <f>_xlfn.IFNA(IF(VLOOKUP(TAB_Offres[[#This Row],[Reference]],TAB_Offres[[Reference]:[Request State]],COLUMNS(TAB_Offres[[Reference]:[Request State]]),FALSE)=D$6,TAB_Offres[[#This Row],[Reference]],""),"")</f>
        <v/>
      </c>
      <c r="N795" t="str">
        <f>_xlfn.IFNA(IF(VLOOKUP(TAB_Offres[[#This Row],[Reference]],TAB_Offres[[Reference]:[Has Expenses?]],COLUMNS(TAB_Offres[[Reference]:[Has Expenses?]]),FALSE)=J$2,TAB_Offres[[#This Row],[Reference]],""),"")</f>
        <v/>
      </c>
      <c r="O795" t="str">
        <f>IF(Tableau19[[#This Row],[EXPENSES_REF]]="","",MAX(O$1:O794)+1)</f>
        <v/>
      </c>
      <c r="P795" t="str">
        <f t="shared" si="25"/>
        <v/>
      </c>
      <c r="AI795" s="191" t="str">
        <f>IFERROR(_xlfn.SINGLE(
IF(_xlfn.SINGLE(INDEX(TAB_Offres[Ressource 1],ROWS(Params!AI$2:$AI795)))=0,NA(),
INDEX(TAB_Offres[Ressource 1],ROWS(Params!AI$2:$AI795)))),
IFERROR(_xlfn.SINGLE(IF(_xlfn.SINGLE(INDEX(#REF!,ROWS(Params!AI$2:$AI795)-COUNTA(TAB_Offres[Ressource 1])))=0,NA(),
INDEX(#REF!,ROWS(Params!AI$2:$AI795)-COUNTA(TAB_Offres[Ressource 1])))),
IFERROR(_xlfn.SINGLE(IF(_xlfn.SINGLE(INDEX(#REF!,ROWS(Params!AI$2:$AI795)-COUNTA(#REF!)-COUNTA(TAB_Offres[Ressource 1])))=0,NA(),
INDEX(#REF!,ROWS(Params!AI$2:$AI795)-COUNTA(#REF!)-COUNTA(TAB_Offres[Ressource 1])))),""))
)</f>
        <v/>
      </c>
      <c r="AJ795" s="192" t="str">
        <f>IF(TAB_ressource[[#This Row],[Import Ressource]]="","",MAX(AJ$1:AJ794)+1)</f>
        <v/>
      </c>
      <c r="AK795" s="193" t="str">
        <f>IFERROR(INDEX(TAB_ressource[Import Ressource],MATCH(ROW()-ROW($AK$1),TAB_ressource[ID Import ressources],0)),"")</f>
        <v/>
      </c>
      <c r="BE795" t="s">
        <v>2964</v>
      </c>
      <c r="BF795" t="s">
        <v>2965</v>
      </c>
      <c r="BG795" t="s">
        <v>710</v>
      </c>
    </row>
    <row r="796" spans="13:59" x14ac:dyDescent="0.25">
      <c r="M796" t="str">
        <f>_xlfn.IFNA(IF(VLOOKUP(TAB_Offres[[#This Row],[Reference]],TAB_Offres[[Reference]:[Request State]],COLUMNS(TAB_Offres[[Reference]:[Request State]]),FALSE)=D$6,TAB_Offres[[#This Row],[Reference]],""),"")</f>
        <v/>
      </c>
      <c r="N796" t="str">
        <f>_xlfn.IFNA(IF(VLOOKUP(TAB_Offres[[#This Row],[Reference]],TAB_Offres[[Reference]:[Has Expenses?]],COLUMNS(TAB_Offres[[Reference]:[Has Expenses?]]),FALSE)=J$2,TAB_Offres[[#This Row],[Reference]],""),"")</f>
        <v/>
      </c>
      <c r="O796" t="str">
        <f>IF(Tableau19[[#This Row],[EXPENSES_REF]]="","",MAX(O$1:O795)+1)</f>
        <v/>
      </c>
      <c r="P796" t="str">
        <f t="shared" si="25"/>
        <v/>
      </c>
      <c r="AI796" s="191" t="str">
        <f>IFERROR(_xlfn.SINGLE(
IF(_xlfn.SINGLE(INDEX(TAB_Offres[Ressource 1],ROWS(Params!AI$2:$AI796)))=0,NA(),
INDEX(TAB_Offres[Ressource 1],ROWS(Params!AI$2:$AI796)))),
IFERROR(_xlfn.SINGLE(IF(_xlfn.SINGLE(INDEX(#REF!,ROWS(Params!AI$2:$AI796)-COUNTA(TAB_Offres[Ressource 1])))=0,NA(),
INDEX(#REF!,ROWS(Params!AI$2:$AI796)-COUNTA(TAB_Offres[Ressource 1])))),
IFERROR(_xlfn.SINGLE(IF(_xlfn.SINGLE(INDEX(#REF!,ROWS(Params!AI$2:$AI796)-COUNTA(#REF!)-COUNTA(TAB_Offres[Ressource 1])))=0,NA(),
INDEX(#REF!,ROWS(Params!AI$2:$AI796)-COUNTA(#REF!)-COUNTA(TAB_Offres[Ressource 1])))),""))
)</f>
        <v/>
      </c>
      <c r="AJ796" s="192" t="str">
        <f>IF(TAB_ressource[[#This Row],[Import Ressource]]="","",MAX(AJ$1:AJ795)+1)</f>
        <v/>
      </c>
      <c r="AK796" s="193" t="str">
        <f>IFERROR(INDEX(TAB_ressource[Import Ressource],MATCH(ROW()-ROW($AK$1),TAB_ressource[ID Import ressources],0)),"")</f>
        <v/>
      </c>
      <c r="BE796" t="s">
        <v>2966</v>
      </c>
      <c r="BF796" t="s">
        <v>2967</v>
      </c>
      <c r="BG796" t="s">
        <v>713</v>
      </c>
    </row>
    <row r="797" spans="13:59" x14ac:dyDescent="0.25">
      <c r="M797" t="str">
        <f>_xlfn.IFNA(IF(VLOOKUP(TAB_Offres[[#This Row],[Reference]],TAB_Offres[[Reference]:[Request State]],COLUMNS(TAB_Offres[[Reference]:[Request State]]),FALSE)=D$6,TAB_Offres[[#This Row],[Reference]],""),"")</f>
        <v/>
      </c>
      <c r="N797" t="str">
        <f>_xlfn.IFNA(IF(VLOOKUP(TAB_Offres[[#This Row],[Reference]],TAB_Offres[[Reference]:[Has Expenses?]],COLUMNS(TAB_Offres[[Reference]:[Has Expenses?]]),FALSE)=J$2,TAB_Offres[[#This Row],[Reference]],""),"")</f>
        <v/>
      </c>
      <c r="O797" t="str">
        <f>IF(Tableau19[[#This Row],[EXPENSES_REF]]="","",MAX(O$1:O796)+1)</f>
        <v/>
      </c>
      <c r="P797" t="str">
        <f t="shared" si="25"/>
        <v/>
      </c>
      <c r="AI797" s="191" t="str">
        <f>IFERROR(_xlfn.SINGLE(
IF(_xlfn.SINGLE(INDEX(TAB_Offres[Ressource 1],ROWS(Params!AI$2:$AI797)))=0,NA(),
INDEX(TAB_Offres[Ressource 1],ROWS(Params!AI$2:$AI797)))),
IFERROR(_xlfn.SINGLE(IF(_xlfn.SINGLE(INDEX(#REF!,ROWS(Params!AI$2:$AI797)-COUNTA(TAB_Offres[Ressource 1])))=0,NA(),
INDEX(#REF!,ROWS(Params!AI$2:$AI797)-COUNTA(TAB_Offres[Ressource 1])))),
IFERROR(_xlfn.SINGLE(IF(_xlfn.SINGLE(INDEX(#REF!,ROWS(Params!AI$2:$AI797)-COUNTA(#REF!)-COUNTA(TAB_Offres[Ressource 1])))=0,NA(),
INDEX(#REF!,ROWS(Params!AI$2:$AI797)-COUNTA(#REF!)-COUNTA(TAB_Offres[Ressource 1])))),""))
)</f>
        <v/>
      </c>
      <c r="AJ797" s="192" t="str">
        <f>IF(TAB_ressource[[#This Row],[Import Ressource]]="","",MAX(AJ$1:AJ796)+1)</f>
        <v/>
      </c>
      <c r="AK797" s="193" t="str">
        <f>IFERROR(INDEX(TAB_ressource[Import Ressource],MATCH(ROW()-ROW($AK$1),TAB_ressource[ID Import ressources],0)),"")</f>
        <v/>
      </c>
      <c r="BE797" t="s">
        <v>2968</v>
      </c>
      <c r="BF797" t="s">
        <v>2969</v>
      </c>
      <c r="BG797" t="s">
        <v>716</v>
      </c>
    </row>
    <row r="798" spans="13:59" x14ac:dyDescent="0.25">
      <c r="M798" t="str">
        <f>_xlfn.IFNA(IF(VLOOKUP(TAB_Offres[[#This Row],[Reference]],TAB_Offres[[Reference]:[Request State]],COLUMNS(TAB_Offres[[Reference]:[Request State]]),FALSE)=D$6,TAB_Offres[[#This Row],[Reference]],""),"")</f>
        <v/>
      </c>
      <c r="N798" t="str">
        <f>_xlfn.IFNA(IF(VLOOKUP(TAB_Offres[[#This Row],[Reference]],TAB_Offres[[Reference]:[Has Expenses?]],COLUMNS(TAB_Offres[[Reference]:[Has Expenses?]]),FALSE)=J$2,TAB_Offres[[#This Row],[Reference]],""),"")</f>
        <v/>
      </c>
      <c r="O798" t="str">
        <f>IF(Tableau19[[#This Row],[EXPENSES_REF]]="","",MAX(O$1:O797)+1)</f>
        <v/>
      </c>
      <c r="P798" t="str">
        <f t="shared" si="25"/>
        <v/>
      </c>
      <c r="AI798" s="191" t="str">
        <f>IFERROR(_xlfn.SINGLE(
IF(_xlfn.SINGLE(INDEX(TAB_Offres[Ressource 1],ROWS(Params!AI$2:$AI798)))=0,NA(),
INDEX(TAB_Offres[Ressource 1],ROWS(Params!AI$2:$AI798)))),
IFERROR(_xlfn.SINGLE(IF(_xlfn.SINGLE(INDEX(#REF!,ROWS(Params!AI$2:$AI798)-COUNTA(TAB_Offres[Ressource 1])))=0,NA(),
INDEX(#REF!,ROWS(Params!AI$2:$AI798)-COUNTA(TAB_Offres[Ressource 1])))),
IFERROR(_xlfn.SINGLE(IF(_xlfn.SINGLE(INDEX(#REF!,ROWS(Params!AI$2:$AI798)-COUNTA(#REF!)-COUNTA(TAB_Offres[Ressource 1])))=0,NA(),
INDEX(#REF!,ROWS(Params!AI$2:$AI798)-COUNTA(#REF!)-COUNTA(TAB_Offres[Ressource 1])))),""))
)</f>
        <v/>
      </c>
      <c r="AJ798" s="192" t="str">
        <f>IF(TAB_ressource[[#This Row],[Import Ressource]]="","",MAX(AJ$1:AJ797)+1)</f>
        <v/>
      </c>
      <c r="AK798" s="193" t="str">
        <f>IFERROR(INDEX(TAB_ressource[Import Ressource],MATCH(ROW()-ROW($AK$1),TAB_ressource[ID Import ressources],0)),"")</f>
        <v/>
      </c>
      <c r="BE798" t="s">
        <v>2970</v>
      </c>
      <c r="BF798" t="s">
        <v>2971</v>
      </c>
      <c r="BG798" t="s">
        <v>719</v>
      </c>
    </row>
    <row r="799" spans="13:59" x14ac:dyDescent="0.25">
      <c r="M799" t="str">
        <f>_xlfn.IFNA(IF(VLOOKUP(TAB_Offres[[#This Row],[Reference]],TAB_Offres[[Reference]:[Request State]],COLUMNS(TAB_Offres[[Reference]:[Request State]]),FALSE)=D$6,TAB_Offres[[#This Row],[Reference]],""),"")</f>
        <v/>
      </c>
      <c r="N799" t="str">
        <f>_xlfn.IFNA(IF(VLOOKUP(TAB_Offres[[#This Row],[Reference]],TAB_Offres[[Reference]:[Has Expenses?]],COLUMNS(TAB_Offres[[Reference]:[Has Expenses?]]),FALSE)=J$2,TAB_Offres[[#This Row],[Reference]],""),"")</f>
        <v/>
      </c>
      <c r="O799" t="str">
        <f>IF(Tableau19[[#This Row],[EXPENSES_REF]]="","",MAX(O$1:O798)+1)</f>
        <v/>
      </c>
      <c r="P799" t="str">
        <f t="shared" si="25"/>
        <v/>
      </c>
      <c r="AI799" s="191" t="str">
        <f>IFERROR(_xlfn.SINGLE(
IF(_xlfn.SINGLE(INDEX(TAB_Offres[Ressource 1],ROWS(Params!AI$2:$AI799)))=0,NA(),
INDEX(TAB_Offres[Ressource 1],ROWS(Params!AI$2:$AI799)))),
IFERROR(_xlfn.SINGLE(IF(_xlfn.SINGLE(INDEX(#REF!,ROWS(Params!AI$2:$AI799)-COUNTA(TAB_Offres[Ressource 1])))=0,NA(),
INDEX(#REF!,ROWS(Params!AI$2:$AI799)-COUNTA(TAB_Offres[Ressource 1])))),
IFERROR(_xlfn.SINGLE(IF(_xlfn.SINGLE(INDEX(#REF!,ROWS(Params!AI$2:$AI799)-COUNTA(#REF!)-COUNTA(TAB_Offres[Ressource 1])))=0,NA(),
INDEX(#REF!,ROWS(Params!AI$2:$AI799)-COUNTA(#REF!)-COUNTA(TAB_Offres[Ressource 1])))),""))
)</f>
        <v/>
      </c>
      <c r="AJ799" s="192" t="str">
        <f>IF(TAB_ressource[[#This Row],[Import Ressource]]="","",MAX(AJ$1:AJ798)+1)</f>
        <v/>
      </c>
      <c r="AK799" s="193" t="str">
        <f>IFERROR(INDEX(TAB_ressource[Import Ressource],MATCH(ROW()-ROW($AK$1),TAB_ressource[ID Import ressources],0)),"")</f>
        <v/>
      </c>
      <c r="BE799" t="s">
        <v>2972</v>
      </c>
      <c r="BF799" t="s">
        <v>2973</v>
      </c>
      <c r="BG799" t="s">
        <v>722</v>
      </c>
    </row>
    <row r="800" spans="13:59" x14ac:dyDescent="0.25">
      <c r="M800" t="str">
        <f>_xlfn.IFNA(IF(VLOOKUP(TAB_Offres[[#This Row],[Reference]],TAB_Offres[[Reference]:[Request State]],COLUMNS(TAB_Offres[[Reference]:[Request State]]),FALSE)=D$6,TAB_Offres[[#This Row],[Reference]],""),"")</f>
        <v/>
      </c>
      <c r="N800" t="str">
        <f>_xlfn.IFNA(IF(VLOOKUP(TAB_Offres[[#This Row],[Reference]],TAB_Offres[[Reference]:[Has Expenses?]],COLUMNS(TAB_Offres[[Reference]:[Has Expenses?]]),FALSE)=J$2,TAB_Offres[[#This Row],[Reference]],""),"")</f>
        <v/>
      </c>
      <c r="O800" t="str">
        <f>IF(Tableau19[[#This Row],[EXPENSES_REF]]="","",MAX(O$1:O799)+1)</f>
        <v/>
      </c>
      <c r="P800" t="str">
        <f t="shared" si="25"/>
        <v/>
      </c>
      <c r="AI800" s="191" t="str">
        <f>IFERROR(_xlfn.SINGLE(
IF(_xlfn.SINGLE(INDEX(TAB_Offres[Ressource 1],ROWS(Params!AI$2:$AI800)))=0,NA(),
INDEX(TAB_Offres[Ressource 1],ROWS(Params!AI$2:$AI800)))),
IFERROR(_xlfn.SINGLE(IF(_xlfn.SINGLE(INDEX(#REF!,ROWS(Params!AI$2:$AI800)-COUNTA(TAB_Offres[Ressource 1])))=0,NA(),
INDEX(#REF!,ROWS(Params!AI$2:$AI800)-COUNTA(TAB_Offres[Ressource 1])))),
IFERROR(_xlfn.SINGLE(IF(_xlfn.SINGLE(INDEX(#REF!,ROWS(Params!AI$2:$AI800)-COUNTA(#REF!)-COUNTA(TAB_Offres[Ressource 1])))=0,NA(),
INDEX(#REF!,ROWS(Params!AI$2:$AI800)-COUNTA(#REF!)-COUNTA(TAB_Offres[Ressource 1])))),""))
)</f>
        <v/>
      </c>
      <c r="AJ800" s="192" t="str">
        <f>IF(TAB_ressource[[#This Row],[Import Ressource]]="","",MAX(AJ$1:AJ799)+1)</f>
        <v/>
      </c>
      <c r="AK800" s="193" t="str">
        <f>IFERROR(INDEX(TAB_ressource[Import Ressource],MATCH(ROW()-ROW($AK$1),TAB_ressource[ID Import ressources],0)),"")</f>
        <v/>
      </c>
      <c r="BE800" t="s">
        <v>2974</v>
      </c>
      <c r="BF800" t="s">
        <v>2975</v>
      </c>
      <c r="BG800" t="s">
        <v>725</v>
      </c>
    </row>
    <row r="801" spans="13:59" x14ac:dyDescent="0.25">
      <c r="M801" t="str">
        <f>_xlfn.IFNA(IF(VLOOKUP(TAB_Offres[[#This Row],[Reference]],TAB_Offres[[Reference]:[Request State]],COLUMNS(TAB_Offres[[Reference]:[Request State]]),FALSE)=D$6,TAB_Offres[[#This Row],[Reference]],""),"")</f>
        <v/>
      </c>
      <c r="N801" t="str">
        <f>_xlfn.IFNA(IF(VLOOKUP(TAB_Offres[[#This Row],[Reference]],TAB_Offres[[Reference]:[Has Expenses?]],COLUMNS(TAB_Offres[[Reference]:[Has Expenses?]]),FALSE)=J$2,TAB_Offres[[#This Row],[Reference]],""),"")</f>
        <v/>
      </c>
      <c r="O801" t="str">
        <f>IF(Tableau19[[#This Row],[EXPENSES_REF]]="","",MAX(O$1:O800)+1)</f>
        <v/>
      </c>
      <c r="P801" t="str">
        <f t="shared" si="25"/>
        <v/>
      </c>
      <c r="AI801" s="191" t="str">
        <f>IFERROR(_xlfn.SINGLE(
IF(_xlfn.SINGLE(INDEX(TAB_Offres[Ressource 1],ROWS(Params!AI$2:$AI801)))=0,NA(),
INDEX(TAB_Offres[Ressource 1],ROWS(Params!AI$2:$AI801)))),
IFERROR(_xlfn.SINGLE(IF(_xlfn.SINGLE(INDEX(#REF!,ROWS(Params!AI$2:$AI801)-COUNTA(TAB_Offres[Ressource 1])))=0,NA(),
INDEX(#REF!,ROWS(Params!AI$2:$AI801)-COUNTA(TAB_Offres[Ressource 1])))),
IFERROR(_xlfn.SINGLE(IF(_xlfn.SINGLE(INDEX(#REF!,ROWS(Params!AI$2:$AI801)-COUNTA(#REF!)-COUNTA(TAB_Offres[Ressource 1])))=0,NA(),
INDEX(#REF!,ROWS(Params!AI$2:$AI801)-COUNTA(#REF!)-COUNTA(TAB_Offres[Ressource 1])))),""))
)</f>
        <v/>
      </c>
      <c r="AJ801" s="192" t="str">
        <f>IF(TAB_ressource[[#This Row],[Import Ressource]]="","",MAX(AJ$1:AJ800)+1)</f>
        <v/>
      </c>
      <c r="AK801" s="193" t="str">
        <f>IFERROR(INDEX(TAB_ressource[Import Ressource],MATCH(ROW()-ROW($AK$1),TAB_ressource[ID Import ressources],0)),"")</f>
        <v/>
      </c>
      <c r="BE801" t="s">
        <v>2976</v>
      </c>
      <c r="BF801" t="s">
        <v>2977</v>
      </c>
      <c r="BG801" t="s">
        <v>728</v>
      </c>
    </row>
    <row r="802" spans="13:59" x14ac:dyDescent="0.25">
      <c r="M802" t="str">
        <f>_xlfn.IFNA(IF(VLOOKUP(TAB_Offres[[#This Row],[Reference]],TAB_Offres[[Reference]:[Request State]],COLUMNS(TAB_Offres[[Reference]:[Request State]]),FALSE)=D$6,TAB_Offres[[#This Row],[Reference]],""),"")</f>
        <v/>
      </c>
      <c r="N802" t="str">
        <f>_xlfn.IFNA(IF(VLOOKUP(TAB_Offres[[#This Row],[Reference]],TAB_Offres[[Reference]:[Has Expenses?]],COLUMNS(TAB_Offres[[Reference]:[Has Expenses?]]),FALSE)=J$2,TAB_Offres[[#This Row],[Reference]],""),"")</f>
        <v/>
      </c>
      <c r="O802" t="str">
        <f>IF(Tableau19[[#This Row],[EXPENSES_REF]]="","",MAX(O$1:O801)+1)</f>
        <v/>
      </c>
      <c r="P802" t="str">
        <f t="shared" si="25"/>
        <v/>
      </c>
      <c r="AI802" s="191" t="str">
        <f>IFERROR(_xlfn.SINGLE(
IF(_xlfn.SINGLE(INDEX(TAB_Offres[Ressource 1],ROWS(Params!AI$2:$AI802)))=0,NA(),
INDEX(TAB_Offres[Ressource 1],ROWS(Params!AI$2:$AI802)))),
IFERROR(_xlfn.SINGLE(IF(_xlfn.SINGLE(INDEX(#REF!,ROWS(Params!AI$2:$AI802)-COUNTA(TAB_Offres[Ressource 1])))=0,NA(),
INDEX(#REF!,ROWS(Params!AI$2:$AI802)-COUNTA(TAB_Offres[Ressource 1])))),
IFERROR(_xlfn.SINGLE(IF(_xlfn.SINGLE(INDEX(#REF!,ROWS(Params!AI$2:$AI802)-COUNTA(#REF!)-COUNTA(TAB_Offres[Ressource 1])))=0,NA(),
INDEX(#REF!,ROWS(Params!AI$2:$AI802)-COUNTA(#REF!)-COUNTA(TAB_Offres[Ressource 1])))),""))
)</f>
        <v/>
      </c>
      <c r="AJ802" s="192" t="str">
        <f>IF(TAB_ressource[[#This Row],[Import Ressource]]="","",MAX(AJ$1:AJ801)+1)</f>
        <v/>
      </c>
      <c r="AK802" s="193" t="str">
        <f>IFERROR(INDEX(TAB_ressource[Import Ressource],MATCH(ROW()-ROW($AK$1),TAB_ressource[ID Import ressources],0)),"")</f>
        <v/>
      </c>
      <c r="BE802" t="s">
        <v>2978</v>
      </c>
      <c r="BF802" t="s">
        <v>2979</v>
      </c>
      <c r="BG802" t="s">
        <v>731</v>
      </c>
    </row>
    <row r="803" spans="13:59" x14ac:dyDescent="0.25">
      <c r="M803" t="str">
        <f>_xlfn.IFNA(IF(VLOOKUP(TAB_Offres[[#This Row],[Reference]],TAB_Offres[[Reference]:[Request State]],COLUMNS(TAB_Offres[[Reference]:[Request State]]),FALSE)=D$6,TAB_Offres[[#This Row],[Reference]],""),"")</f>
        <v/>
      </c>
      <c r="N803" t="str">
        <f>_xlfn.IFNA(IF(VLOOKUP(TAB_Offres[[#This Row],[Reference]],TAB_Offres[[Reference]:[Has Expenses?]],COLUMNS(TAB_Offres[[Reference]:[Has Expenses?]]),FALSE)=J$2,TAB_Offres[[#This Row],[Reference]],""),"")</f>
        <v/>
      </c>
      <c r="O803" t="str">
        <f>IF(Tableau19[[#This Row],[EXPENSES_REF]]="","",MAX(O$1:O802)+1)</f>
        <v/>
      </c>
      <c r="P803" t="str">
        <f t="shared" si="25"/>
        <v/>
      </c>
      <c r="AI803" s="191" t="str">
        <f>IFERROR(_xlfn.SINGLE(
IF(_xlfn.SINGLE(INDEX(TAB_Offres[Ressource 1],ROWS(Params!AI$2:$AI803)))=0,NA(),
INDEX(TAB_Offres[Ressource 1],ROWS(Params!AI$2:$AI803)))),
IFERROR(_xlfn.SINGLE(IF(_xlfn.SINGLE(INDEX(#REF!,ROWS(Params!AI$2:$AI803)-COUNTA(TAB_Offres[Ressource 1])))=0,NA(),
INDEX(#REF!,ROWS(Params!AI$2:$AI803)-COUNTA(TAB_Offres[Ressource 1])))),
IFERROR(_xlfn.SINGLE(IF(_xlfn.SINGLE(INDEX(#REF!,ROWS(Params!AI$2:$AI803)-COUNTA(#REF!)-COUNTA(TAB_Offres[Ressource 1])))=0,NA(),
INDEX(#REF!,ROWS(Params!AI$2:$AI803)-COUNTA(#REF!)-COUNTA(TAB_Offres[Ressource 1])))),""))
)</f>
        <v/>
      </c>
      <c r="AJ803" s="192" t="str">
        <f>IF(TAB_ressource[[#This Row],[Import Ressource]]="","",MAX(AJ$1:AJ802)+1)</f>
        <v/>
      </c>
      <c r="AK803" s="193" t="str">
        <f>IFERROR(INDEX(TAB_ressource[Import Ressource],MATCH(ROW()-ROW($AK$1),TAB_ressource[ID Import ressources],0)),"")</f>
        <v/>
      </c>
      <c r="BE803" t="s">
        <v>2980</v>
      </c>
      <c r="BF803" t="s">
        <v>2981</v>
      </c>
      <c r="BG803" t="s">
        <v>734</v>
      </c>
    </row>
    <row r="804" spans="13:59" x14ac:dyDescent="0.25">
      <c r="M804" t="str">
        <f>_xlfn.IFNA(IF(VLOOKUP(TAB_Offres[[#This Row],[Reference]],TAB_Offres[[Reference]:[Request State]],COLUMNS(TAB_Offres[[Reference]:[Request State]]),FALSE)=D$6,TAB_Offres[[#This Row],[Reference]],""),"")</f>
        <v/>
      </c>
      <c r="N804" t="str">
        <f>_xlfn.IFNA(IF(VLOOKUP(TAB_Offres[[#This Row],[Reference]],TAB_Offres[[Reference]:[Has Expenses?]],COLUMNS(TAB_Offres[[Reference]:[Has Expenses?]]),FALSE)=J$2,TAB_Offres[[#This Row],[Reference]],""),"")</f>
        <v/>
      </c>
      <c r="O804" t="str">
        <f>IF(Tableau19[[#This Row],[EXPENSES_REF]]="","",MAX(O$1:O803)+1)</f>
        <v/>
      </c>
      <c r="P804" t="str">
        <f t="shared" si="25"/>
        <v/>
      </c>
      <c r="AI804" s="191" t="str">
        <f>IFERROR(_xlfn.SINGLE(
IF(_xlfn.SINGLE(INDEX(TAB_Offres[Ressource 1],ROWS(Params!AI$2:$AI804)))=0,NA(),
INDEX(TAB_Offres[Ressource 1],ROWS(Params!AI$2:$AI804)))),
IFERROR(_xlfn.SINGLE(IF(_xlfn.SINGLE(INDEX(#REF!,ROWS(Params!AI$2:$AI804)-COUNTA(TAB_Offres[Ressource 1])))=0,NA(),
INDEX(#REF!,ROWS(Params!AI$2:$AI804)-COUNTA(TAB_Offres[Ressource 1])))),
IFERROR(_xlfn.SINGLE(IF(_xlfn.SINGLE(INDEX(#REF!,ROWS(Params!AI$2:$AI804)-COUNTA(#REF!)-COUNTA(TAB_Offres[Ressource 1])))=0,NA(),
INDEX(#REF!,ROWS(Params!AI$2:$AI804)-COUNTA(#REF!)-COUNTA(TAB_Offres[Ressource 1])))),""))
)</f>
        <v/>
      </c>
      <c r="AJ804" s="192" t="str">
        <f>IF(TAB_ressource[[#This Row],[Import Ressource]]="","",MAX(AJ$1:AJ803)+1)</f>
        <v/>
      </c>
      <c r="AK804" s="193" t="str">
        <f>IFERROR(INDEX(TAB_ressource[Import Ressource],MATCH(ROW()-ROW($AK$1),TAB_ressource[ID Import ressources],0)),"")</f>
        <v/>
      </c>
      <c r="BE804" t="s">
        <v>2982</v>
      </c>
      <c r="BF804" t="s">
        <v>2983</v>
      </c>
      <c r="BG804" t="s">
        <v>737</v>
      </c>
    </row>
    <row r="805" spans="13:59" x14ac:dyDescent="0.25">
      <c r="M805" t="str">
        <f>_xlfn.IFNA(IF(VLOOKUP(TAB_Offres[[#This Row],[Reference]],TAB_Offres[[Reference]:[Request State]],COLUMNS(TAB_Offres[[Reference]:[Request State]]),FALSE)=D$6,TAB_Offres[[#This Row],[Reference]],""),"")</f>
        <v/>
      </c>
      <c r="N805" t="str">
        <f>_xlfn.IFNA(IF(VLOOKUP(TAB_Offres[[#This Row],[Reference]],TAB_Offres[[Reference]:[Has Expenses?]],COLUMNS(TAB_Offres[[Reference]:[Has Expenses?]]),FALSE)=J$2,TAB_Offres[[#This Row],[Reference]],""),"")</f>
        <v/>
      </c>
      <c r="O805" t="str">
        <f>IF(Tableau19[[#This Row],[EXPENSES_REF]]="","",MAX(O$1:O804)+1)</f>
        <v/>
      </c>
      <c r="P805" t="str">
        <f t="shared" si="25"/>
        <v/>
      </c>
      <c r="AI805" s="191" t="str">
        <f>IFERROR(_xlfn.SINGLE(
IF(_xlfn.SINGLE(INDEX(TAB_Offres[Ressource 1],ROWS(Params!AI$2:$AI805)))=0,NA(),
INDEX(TAB_Offres[Ressource 1],ROWS(Params!AI$2:$AI805)))),
IFERROR(_xlfn.SINGLE(IF(_xlfn.SINGLE(INDEX(#REF!,ROWS(Params!AI$2:$AI805)-COUNTA(TAB_Offres[Ressource 1])))=0,NA(),
INDEX(#REF!,ROWS(Params!AI$2:$AI805)-COUNTA(TAB_Offres[Ressource 1])))),
IFERROR(_xlfn.SINGLE(IF(_xlfn.SINGLE(INDEX(#REF!,ROWS(Params!AI$2:$AI805)-COUNTA(#REF!)-COUNTA(TAB_Offres[Ressource 1])))=0,NA(),
INDEX(#REF!,ROWS(Params!AI$2:$AI805)-COUNTA(#REF!)-COUNTA(TAB_Offres[Ressource 1])))),""))
)</f>
        <v/>
      </c>
      <c r="AJ805" s="192" t="str">
        <f>IF(TAB_ressource[[#This Row],[Import Ressource]]="","",MAX(AJ$1:AJ804)+1)</f>
        <v/>
      </c>
      <c r="AK805" s="193" t="str">
        <f>IFERROR(INDEX(TAB_ressource[Import Ressource],MATCH(ROW()-ROW($AK$1),TAB_ressource[ID Import ressources],0)),"")</f>
        <v/>
      </c>
      <c r="BE805" t="s">
        <v>2984</v>
      </c>
      <c r="BF805" t="s">
        <v>2985</v>
      </c>
      <c r="BG805" t="s">
        <v>740</v>
      </c>
    </row>
    <row r="806" spans="13:59" x14ac:dyDescent="0.25">
      <c r="M806" t="str">
        <f>_xlfn.IFNA(IF(VLOOKUP(TAB_Offres[[#This Row],[Reference]],TAB_Offres[[Reference]:[Request State]],COLUMNS(TAB_Offres[[Reference]:[Request State]]),FALSE)=D$6,TAB_Offres[[#This Row],[Reference]],""),"")</f>
        <v/>
      </c>
      <c r="N806" t="str">
        <f>_xlfn.IFNA(IF(VLOOKUP(TAB_Offres[[#This Row],[Reference]],TAB_Offres[[Reference]:[Has Expenses?]],COLUMNS(TAB_Offres[[Reference]:[Has Expenses?]]),FALSE)=J$2,TAB_Offres[[#This Row],[Reference]],""),"")</f>
        <v/>
      </c>
      <c r="O806" t="str">
        <f>IF(Tableau19[[#This Row],[EXPENSES_REF]]="","",MAX(O$1:O805)+1)</f>
        <v/>
      </c>
      <c r="P806" t="str">
        <f t="shared" si="25"/>
        <v/>
      </c>
      <c r="AI806" s="191" t="str">
        <f>IFERROR(_xlfn.SINGLE(
IF(_xlfn.SINGLE(INDEX(TAB_Offres[Ressource 1],ROWS(Params!AI$2:$AI806)))=0,NA(),
INDEX(TAB_Offres[Ressource 1],ROWS(Params!AI$2:$AI806)))),
IFERROR(_xlfn.SINGLE(IF(_xlfn.SINGLE(INDEX(#REF!,ROWS(Params!AI$2:$AI806)-COUNTA(TAB_Offres[Ressource 1])))=0,NA(),
INDEX(#REF!,ROWS(Params!AI$2:$AI806)-COUNTA(TAB_Offres[Ressource 1])))),
IFERROR(_xlfn.SINGLE(IF(_xlfn.SINGLE(INDEX(#REF!,ROWS(Params!AI$2:$AI806)-COUNTA(#REF!)-COUNTA(TAB_Offres[Ressource 1])))=0,NA(),
INDEX(#REF!,ROWS(Params!AI$2:$AI806)-COUNTA(#REF!)-COUNTA(TAB_Offres[Ressource 1])))),""))
)</f>
        <v/>
      </c>
      <c r="AJ806" s="192" t="str">
        <f>IF(TAB_ressource[[#This Row],[Import Ressource]]="","",MAX(AJ$1:AJ805)+1)</f>
        <v/>
      </c>
      <c r="AK806" s="193" t="str">
        <f>IFERROR(INDEX(TAB_ressource[Import Ressource],MATCH(ROW()-ROW($AK$1),TAB_ressource[ID Import ressources],0)),"")</f>
        <v/>
      </c>
      <c r="BE806" t="s">
        <v>2986</v>
      </c>
      <c r="BF806" t="s">
        <v>2987</v>
      </c>
      <c r="BG806" t="s">
        <v>743</v>
      </c>
    </row>
    <row r="807" spans="13:59" x14ac:dyDescent="0.25">
      <c r="M807" t="str">
        <f>_xlfn.IFNA(IF(VLOOKUP(TAB_Offres[[#This Row],[Reference]],TAB_Offres[[Reference]:[Request State]],COLUMNS(TAB_Offres[[Reference]:[Request State]]),FALSE)=D$6,TAB_Offres[[#This Row],[Reference]],""),"")</f>
        <v/>
      </c>
      <c r="N807" t="str">
        <f>_xlfn.IFNA(IF(VLOOKUP(TAB_Offres[[#This Row],[Reference]],TAB_Offres[[Reference]:[Has Expenses?]],COLUMNS(TAB_Offres[[Reference]:[Has Expenses?]]),FALSE)=J$2,TAB_Offres[[#This Row],[Reference]],""),"")</f>
        <v/>
      </c>
      <c r="O807" t="str">
        <f>IF(Tableau19[[#This Row],[EXPENSES_REF]]="","",MAX(O$1:O806)+1)</f>
        <v/>
      </c>
      <c r="P807" t="str">
        <f t="shared" si="25"/>
        <v/>
      </c>
      <c r="AI807" s="191" t="str">
        <f>IFERROR(_xlfn.SINGLE(
IF(_xlfn.SINGLE(INDEX(TAB_Offres[Ressource 1],ROWS(Params!AI$2:$AI807)))=0,NA(),
INDEX(TAB_Offres[Ressource 1],ROWS(Params!AI$2:$AI807)))),
IFERROR(_xlfn.SINGLE(IF(_xlfn.SINGLE(INDEX(#REF!,ROWS(Params!AI$2:$AI807)-COUNTA(TAB_Offres[Ressource 1])))=0,NA(),
INDEX(#REF!,ROWS(Params!AI$2:$AI807)-COUNTA(TAB_Offres[Ressource 1])))),
IFERROR(_xlfn.SINGLE(IF(_xlfn.SINGLE(INDEX(#REF!,ROWS(Params!AI$2:$AI807)-COUNTA(#REF!)-COUNTA(TAB_Offres[Ressource 1])))=0,NA(),
INDEX(#REF!,ROWS(Params!AI$2:$AI807)-COUNTA(#REF!)-COUNTA(TAB_Offres[Ressource 1])))),""))
)</f>
        <v/>
      </c>
      <c r="AJ807" s="192" t="str">
        <f>IF(TAB_ressource[[#This Row],[Import Ressource]]="","",MAX(AJ$1:AJ806)+1)</f>
        <v/>
      </c>
      <c r="AK807" s="193" t="str">
        <f>IFERROR(INDEX(TAB_ressource[Import Ressource],MATCH(ROW()-ROW($AK$1),TAB_ressource[ID Import ressources],0)),"")</f>
        <v/>
      </c>
      <c r="BE807" t="s">
        <v>2988</v>
      </c>
      <c r="BF807" t="s">
        <v>2989</v>
      </c>
      <c r="BG807" t="s">
        <v>746</v>
      </c>
    </row>
    <row r="808" spans="13:59" x14ac:dyDescent="0.25">
      <c r="M808" t="str">
        <f>_xlfn.IFNA(IF(VLOOKUP(TAB_Offres[[#This Row],[Reference]],TAB_Offres[[Reference]:[Request State]],COLUMNS(TAB_Offres[[Reference]:[Request State]]),FALSE)=D$6,TAB_Offres[[#This Row],[Reference]],""),"")</f>
        <v/>
      </c>
      <c r="N808" t="str">
        <f>_xlfn.IFNA(IF(VLOOKUP(TAB_Offres[[#This Row],[Reference]],TAB_Offres[[Reference]:[Has Expenses?]],COLUMNS(TAB_Offres[[Reference]:[Has Expenses?]]),FALSE)=J$2,TAB_Offres[[#This Row],[Reference]],""),"")</f>
        <v/>
      </c>
      <c r="O808" t="str">
        <f>IF(Tableau19[[#This Row],[EXPENSES_REF]]="","",MAX(O$1:O807)+1)</f>
        <v/>
      </c>
      <c r="P808" t="str">
        <f t="shared" si="25"/>
        <v/>
      </c>
      <c r="AI808" s="191" t="str">
        <f>IFERROR(_xlfn.SINGLE(
IF(_xlfn.SINGLE(INDEX(TAB_Offres[Ressource 1],ROWS(Params!AI$2:$AI808)))=0,NA(),
INDEX(TAB_Offres[Ressource 1],ROWS(Params!AI$2:$AI808)))),
IFERROR(_xlfn.SINGLE(IF(_xlfn.SINGLE(INDEX(#REF!,ROWS(Params!AI$2:$AI808)-COUNTA(TAB_Offres[Ressource 1])))=0,NA(),
INDEX(#REF!,ROWS(Params!AI$2:$AI808)-COUNTA(TAB_Offres[Ressource 1])))),
IFERROR(_xlfn.SINGLE(IF(_xlfn.SINGLE(INDEX(#REF!,ROWS(Params!AI$2:$AI808)-COUNTA(#REF!)-COUNTA(TAB_Offres[Ressource 1])))=0,NA(),
INDEX(#REF!,ROWS(Params!AI$2:$AI808)-COUNTA(#REF!)-COUNTA(TAB_Offres[Ressource 1])))),""))
)</f>
        <v/>
      </c>
      <c r="AJ808" s="192" t="str">
        <f>IF(TAB_ressource[[#This Row],[Import Ressource]]="","",MAX(AJ$1:AJ807)+1)</f>
        <v/>
      </c>
      <c r="AK808" s="193" t="str">
        <f>IFERROR(INDEX(TAB_ressource[Import Ressource],MATCH(ROW()-ROW($AK$1),TAB_ressource[ID Import ressources],0)),"")</f>
        <v/>
      </c>
      <c r="BE808" t="s">
        <v>2990</v>
      </c>
      <c r="BF808" t="s">
        <v>2991</v>
      </c>
      <c r="BG808" t="s">
        <v>749</v>
      </c>
    </row>
    <row r="809" spans="13:59" x14ac:dyDescent="0.25">
      <c r="M809" t="str">
        <f>_xlfn.IFNA(IF(VLOOKUP(TAB_Offres[[#This Row],[Reference]],TAB_Offres[[Reference]:[Request State]],COLUMNS(TAB_Offres[[Reference]:[Request State]]),FALSE)=D$6,TAB_Offres[[#This Row],[Reference]],""),"")</f>
        <v/>
      </c>
      <c r="N809" t="str">
        <f>_xlfn.IFNA(IF(VLOOKUP(TAB_Offres[[#This Row],[Reference]],TAB_Offres[[Reference]:[Has Expenses?]],COLUMNS(TAB_Offres[[Reference]:[Has Expenses?]]),FALSE)=J$2,TAB_Offres[[#This Row],[Reference]],""),"")</f>
        <v/>
      </c>
      <c r="O809" t="str">
        <f>IF(Tableau19[[#This Row],[EXPENSES_REF]]="","",MAX(O$1:O808)+1)</f>
        <v/>
      </c>
      <c r="P809" t="str">
        <f t="shared" si="25"/>
        <v/>
      </c>
      <c r="AI809" s="191" t="str">
        <f>IFERROR(_xlfn.SINGLE(
IF(_xlfn.SINGLE(INDEX(TAB_Offres[Ressource 1],ROWS(Params!AI$2:$AI809)))=0,NA(),
INDEX(TAB_Offres[Ressource 1],ROWS(Params!AI$2:$AI809)))),
IFERROR(_xlfn.SINGLE(IF(_xlfn.SINGLE(INDEX(#REF!,ROWS(Params!AI$2:$AI809)-COUNTA(TAB_Offres[Ressource 1])))=0,NA(),
INDEX(#REF!,ROWS(Params!AI$2:$AI809)-COUNTA(TAB_Offres[Ressource 1])))),
IFERROR(_xlfn.SINGLE(IF(_xlfn.SINGLE(INDEX(#REF!,ROWS(Params!AI$2:$AI809)-COUNTA(#REF!)-COUNTA(TAB_Offres[Ressource 1])))=0,NA(),
INDEX(#REF!,ROWS(Params!AI$2:$AI809)-COUNTA(#REF!)-COUNTA(TAB_Offres[Ressource 1])))),""))
)</f>
        <v/>
      </c>
      <c r="AJ809" s="192" t="str">
        <f>IF(TAB_ressource[[#This Row],[Import Ressource]]="","",MAX(AJ$1:AJ808)+1)</f>
        <v/>
      </c>
      <c r="AK809" s="193" t="str">
        <f>IFERROR(INDEX(TAB_ressource[Import Ressource],MATCH(ROW()-ROW($AK$1),TAB_ressource[ID Import ressources],0)),"")</f>
        <v/>
      </c>
      <c r="BE809" t="s">
        <v>2992</v>
      </c>
      <c r="BF809" t="s">
        <v>2993</v>
      </c>
      <c r="BG809" t="s">
        <v>752</v>
      </c>
    </row>
    <row r="810" spans="13:59" x14ac:dyDescent="0.25">
      <c r="M810" t="str">
        <f>_xlfn.IFNA(IF(VLOOKUP(TAB_Offres[[#This Row],[Reference]],TAB_Offres[[Reference]:[Request State]],COLUMNS(TAB_Offres[[Reference]:[Request State]]),FALSE)=D$6,TAB_Offres[[#This Row],[Reference]],""),"")</f>
        <v/>
      </c>
      <c r="N810" t="str">
        <f>_xlfn.IFNA(IF(VLOOKUP(TAB_Offres[[#This Row],[Reference]],TAB_Offres[[Reference]:[Has Expenses?]],COLUMNS(TAB_Offres[[Reference]:[Has Expenses?]]),FALSE)=J$2,TAB_Offres[[#This Row],[Reference]],""),"")</f>
        <v/>
      </c>
      <c r="O810" t="str">
        <f>IF(Tableau19[[#This Row],[EXPENSES_REF]]="","",MAX(O$1:O809)+1)</f>
        <v/>
      </c>
      <c r="P810" t="str">
        <f t="shared" si="25"/>
        <v/>
      </c>
      <c r="AI810" s="191" t="str">
        <f>IFERROR(_xlfn.SINGLE(
IF(_xlfn.SINGLE(INDEX(TAB_Offres[Ressource 1],ROWS(Params!AI$2:$AI810)))=0,NA(),
INDEX(TAB_Offres[Ressource 1],ROWS(Params!AI$2:$AI810)))),
IFERROR(_xlfn.SINGLE(IF(_xlfn.SINGLE(INDEX(#REF!,ROWS(Params!AI$2:$AI810)-COUNTA(TAB_Offres[Ressource 1])))=0,NA(),
INDEX(#REF!,ROWS(Params!AI$2:$AI810)-COUNTA(TAB_Offres[Ressource 1])))),
IFERROR(_xlfn.SINGLE(IF(_xlfn.SINGLE(INDEX(#REF!,ROWS(Params!AI$2:$AI810)-COUNTA(#REF!)-COUNTA(TAB_Offres[Ressource 1])))=0,NA(),
INDEX(#REF!,ROWS(Params!AI$2:$AI810)-COUNTA(#REF!)-COUNTA(TAB_Offres[Ressource 1])))),""))
)</f>
        <v/>
      </c>
      <c r="AJ810" s="192" t="str">
        <f>IF(TAB_ressource[[#This Row],[Import Ressource]]="","",MAX(AJ$1:AJ809)+1)</f>
        <v/>
      </c>
      <c r="AK810" s="193" t="str">
        <f>IFERROR(INDEX(TAB_ressource[Import Ressource],MATCH(ROW()-ROW($AK$1),TAB_ressource[ID Import ressources],0)),"")</f>
        <v/>
      </c>
      <c r="BE810" t="s">
        <v>2994</v>
      </c>
      <c r="BF810" t="s">
        <v>2995</v>
      </c>
      <c r="BG810" t="s">
        <v>755</v>
      </c>
    </row>
    <row r="811" spans="13:59" x14ac:dyDescent="0.25">
      <c r="M811" t="str">
        <f>_xlfn.IFNA(IF(VLOOKUP(TAB_Offres[[#This Row],[Reference]],TAB_Offres[[Reference]:[Request State]],COLUMNS(TAB_Offres[[Reference]:[Request State]]),FALSE)=D$6,TAB_Offres[[#This Row],[Reference]],""),"")</f>
        <v/>
      </c>
      <c r="N811" t="str">
        <f>_xlfn.IFNA(IF(VLOOKUP(TAB_Offres[[#This Row],[Reference]],TAB_Offres[[Reference]:[Has Expenses?]],COLUMNS(TAB_Offres[[Reference]:[Has Expenses?]]),FALSE)=J$2,TAB_Offres[[#This Row],[Reference]],""),"")</f>
        <v/>
      </c>
      <c r="O811" t="str">
        <f>IF(Tableau19[[#This Row],[EXPENSES_REF]]="","",MAX(O$1:O810)+1)</f>
        <v/>
      </c>
      <c r="P811" t="str">
        <f t="shared" si="25"/>
        <v/>
      </c>
      <c r="AI811" s="191" t="str">
        <f>IFERROR(_xlfn.SINGLE(
IF(_xlfn.SINGLE(INDEX(TAB_Offres[Ressource 1],ROWS(Params!AI$2:$AI811)))=0,NA(),
INDEX(TAB_Offres[Ressource 1],ROWS(Params!AI$2:$AI811)))),
IFERROR(_xlfn.SINGLE(IF(_xlfn.SINGLE(INDEX(#REF!,ROWS(Params!AI$2:$AI811)-COUNTA(TAB_Offres[Ressource 1])))=0,NA(),
INDEX(#REF!,ROWS(Params!AI$2:$AI811)-COUNTA(TAB_Offres[Ressource 1])))),
IFERROR(_xlfn.SINGLE(IF(_xlfn.SINGLE(INDEX(#REF!,ROWS(Params!AI$2:$AI811)-COUNTA(#REF!)-COUNTA(TAB_Offres[Ressource 1])))=0,NA(),
INDEX(#REF!,ROWS(Params!AI$2:$AI811)-COUNTA(#REF!)-COUNTA(TAB_Offres[Ressource 1])))),""))
)</f>
        <v/>
      </c>
      <c r="AJ811" s="192" t="str">
        <f>IF(TAB_ressource[[#This Row],[Import Ressource]]="","",MAX(AJ$1:AJ810)+1)</f>
        <v/>
      </c>
      <c r="AK811" s="193" t="str">
        <f>IFERROR(INDEX(TAB_ressource[Import Ressource],MATCH(ROW()-ROW($AK$1),TAB_ressource[ID Import ressources],0)),"")</f>
        <v/>
      </c>
      <c r="BE811" t="s">
        <v>2996</v>
      </c>
      <c r="BF811" t="s">
        <v>2997</v>
      </c>
      <c r="BG811" t="s">
        <v>758</v>
      </c>
    </row>
    <row r="812" spans="13:59" x14ac:dyDescent="0.25">
      <c r="M812" t="str">
        <f>_xlfn.IFNA(IF(VLOOKUP(TAB_Offres[[#This Row],[Reference]],TAB_Offres[[Reference]:[Request State]],COLUMNS(TAB_Offres[[Reference]:[Request State]]),FALSE)=D$6,TAB_Offres[[#This Row],[Reference]],""),"")</f>
        <v/>
      </c>
      <c r="N812" t="str">
        <f>_xlfn.IFNA(IF(VLOOKUP(TAB_Offres[[#This Row],[Reference]],TAB_Offres[[Reference]:[Has Expenses?]],COLUMNS(TAB_Offres[[Reference]:[Has Expenses?]]),FALSE)=J$2,TAB_Offres[[#This Row],[Reference]],""),"")</f>
        <v/>
      </c>
      <c r="O812" t="str">
        <f>IF(Tableau19[[#This Row],[EXPENSES_REF]]="","",MAX(O$1:O811)+1)</f>
        <v/>
      </c>
      <c r="P812" t="str">
        <f t="shared" si="25"/>
        <v/>
      </c>
      <c r="AI812" s="191" t="str">
        <f>IFERROR(_xlfn.SINGLE(
IF(_xlfn.SINGLE(INDEX(TAB_Offres[Ressource 1],ROWS(Params!AI$2:$AI812)))=0,NA(),
INDEX(TAB_Offres[Ressource 1],ROWS(Params!AI$2:$AI812)))),
IFERROR(_xlfn.SINGLE(IF(_xlfn.SINGLE(INDEX(#REF!,ROWS(Params!AI$2:$AI812)-COUNTA(TAB_Offres[Ressource 1])))=0,NA(),
INDEX(#REF!,ROWS(Params!AI$2:$AI812)-COUNTA(TAB_Offres[Ressource 1])))),
IFERROR(_xlfn.SINGLE(IF(_xlfn.SINGLE(INDEX(#REF!,ROWS(Params!AI$2:$AI812)-COUNTA(#REF!)-COUNTA(TAB_Offres[Ressource 1])))=0,NA(),
INDEX(#REF!,ROWS(Params!AI$2:$AI812)-COUNTA(#REF!)-COUNTA(TAB_Offres[Ressource 1])))),""))
)</f>
        <v/>
      </c>
      <c r="AJ812" s="192" t="str">
        <f>IF(TAB_ressource[[#This Row],[Import Ressource]]="","",MAX(AJ$1:AJ811)+1)</f>
        <v/>
      </c>
      <c r="AK812" s="193" t="str">
        <f>IFERROR(INDEX(TAB_ressource[Import Ressource],MATCH(ROW()-ROW($AK$1),TAB_ressource[ID Import ressources],0)),"")</f>
        <v/>
      </c>
      <c r="BE812" t="s">
        <v>2998</v>
      </c>
      <c r="BF812" t="s">
        <v>2999</v>
      </c>
      <c r="BG812" t="s">
        <v>761</v>
      </c>
    </row>
    <row r="813" spans="13:59" x14ac:dyDescent="0.25">
      <c r="M813" t="str">
        <f>_xlfn.IFNA(IF(VLOOKUP(TAB_Offres[[#This Row],[Reference]],TAB_Offres[[Reference]:[Request State]],COLUMNS(TAB_Offres[[Reference]:[Request State]]),FALSE)=D$6,TAB_Offres[[#This Row],[Reference]],""),"")</f>
        <v/>
      </c>
      <c r="N813" t="str">
        <f>_xlfn.IFNA(IF(VLOOKUP(TAB_Offres[[#This Row],[Reference]],TAB_Offres[[Reference]:[Has Expenses?]],COLUMNS(TAB_Offres[[Reference]:[Has Expenses?]]),FALSE)=J$2,TAB_Offres[[#This Row],[Reference]],""),"")</f>
        <v/>
      </c>
      <c r="O813" t="str">
        <f>IF(Tableau19[[#This Row],[EXPENSES_REF]]="","",MAX(O$1:O812)+1)</f>
        <v/>
      </c>
      <c r="P813" t="str">
        <f t="shared" si="25"/>
        <v/>
      </c>
      <c r="AI813" s="191" t="str">
        <f>IFERROR(_xlfn.SINGLE(
IF(_xlfn.SINGLE(INDEX(TAB_Offres[Ressource 1],ROWS(Params!AI$2:$AI813)))=0,NA(),
INDEX(TAB_Offres[Ressource 1],ROWS(Params!AI$2:$AI813)))),
IFERROR(_xlfn.SINGLE(IF(_xlfn.SINGLE(INDEX(#REF!,ROWS(Params!AI$2:$AI813)-COUNTA(TAB_Offres[Ressource 1])))=0,NA(),
INDEX(#REF!,ROWS(Params!AI$2:$AI813)-COUNTA(TAB_Offres[Ressource 1])))),
IFERROR(_xlfn.SINGLE(IF(_xlfn.SINGLE(INDEX(#REF!,ROWS(Params!AI$2:$AI813)-COUNTA(#REF!)-COUNTA(TAB_Offres[Ressource 1])))=0,NA(),
INDEX(#REF!,ROWS(Params!AI$2:$AI813)-COUNTA(#REF!)-COUNTA(TAB_Offres[Ressource 1])))),""))
)</f>
        <v/>
      </c>
      <c r="AJ813" s="192" t="str">
        <f>IF(TAB_ressource[[#This Row],[Import Ressource]]="","",MAX(AJ$1:AJ812)+1)</f>
        <v/>
      </c>
      <c r="AK813" s="193" t="str">
        <f>IFERROR(INDEX(TAB_ressource[Import Ressource],MATCH(ROW()-ROW($AK$1),TAB_ressource[ID Import ressources],0)),"")</f>
        <v/>
      </c>
      <c r="BE813" t="s">
        <v>3000</v>
      </c>
      <c r="BF813" t="s">
        <v>3001</v>
      </c>
      <c r="BG813" t="s">
        <v>764</v>
      </c>
    </row>
    <row r="814" spans="13:59" x14ac:dyDescent="0.25">
      <c r="M814" t="str">
        <f>_xlfn.IFNA(IF(VLOOKUP(TAB_Offres[[#This Row],[Reference]],TAB_Offres[[Reference]:[Request State]],COLUMNS(TAB_Offres[[Reference]:[Request State]]),FALSE)=D$6,TAB_Offres[[#This Row],[Reference]],""),"")</f>
        <v/>
      </c>
      <c r="N814" t="str">
        <f>_xlfn.IFNA(IF(VLOOKUP(TAB_Offres[[#This Row],[Reference]],TAB_Offres[[Reference]:[Has Expenses?]],COLUMNS(TAB_Offres[[Reference]:[Has Expenses?]]),FALSE)=J$2,TAB_Offres[[#This Row],[Reference]],""),"")</f>
        <v/>
      </c>
      <c r="O814" t="str">
        <f>IF(Tableau19[[#This Row],[EXPENSES_REF]]="","",MAX(O$1:O813)+1)</f>
        <v/>
      </c>
      <c r="P814" t="str">
        <f t="shared" si="25"/>
        <v/>
      </c>
      <c r="AI814" s="191" t="str">
        <f>IFERROR(_xlfn.SINGLE(
IF(_xlfn.SINGLE(INDEX(TAB_Offres[Ressource 1],ROWS(Params!AI$2:$AI814)))=0,NA(),
INDEX(TAB_Offres[Ressource 1],ROWS(Params!AI$2:$AI814)))),
IFERROR(_xlfn.SINGLE(IF(_xlfn.SINGLE(INDEX(#REF!,ROWS(Params!AI$2:$AI814)-COUNTA(TAB_Offres[Ressource 1])))=0,NA(),
INDEX(#REF!,ROWS(Params!AI$2:$AI814)-COUNTA(TAB_Offres[Ressource 1])))),
IFERROR(_xlfn.SINGLE(IF(_xlfn.SINGLE(INDEX(#REF!,ROWS(Params!AI$2:$AI814)-COUNTA(#REF!)-COUNTA(TAB_Offres[Ressource 1])))=0,NA(),
INDEX(#REF!,ROWS(Params!AI$2:$AI814)-COUNTA(#REF!)-COUNTA(TAB_Offres[Ressource 1])))),""))
)</f>
        <v/>
      </c>
      <c r="AJ814" s="192" t="str">
        <f>IF(TAB_ressource[[#This Row],[Import Ressource]]="","",MAX(AJ$1:AJ813)+1)</f>
        <v/>
      </c>
      <c r="AK814" s="193" t="str">
        <f>IFERROR(INDEX(TAB_ressource[Import Ressource],MATCH(ROW()-ROW($AK$1),TAB_ressource[ID Import ressources],0)),"")</f>
        <v/>
      </c>
      <c r="BE814" t="s">
        <v>3002</v>
      </c>
      <c r="BF814" t="s">
        <v>3003</v>
      </c>
      <c r="BG814" t="s">
        <v>767</v>
      </c>
    </row>
    <row r="815" spans="13:59" x14ac:dyDescent="0.25">
      <c r="M815" t="str">
        <f>_xlfn.IFNA(IF(VLOOKUP(TAB_Offres[[#This Row],[Reference]],TAB_Offres[[Reference]:[Request State]],COLUMNS(TAB_Offres[[Reference]:[Request State]]),FALSE)=D$6,TAB_Offres[[#This Row],[Reference]],""),"")</f>
        <v/>
      </c>
      <c r="N815" t="str">
        <f>_xlfn.IFNA(IF(VLOOKUP(TAB_Offres[[#This Row],[Reference]],TAB_Offres[[Reference]:[Has Expenses?]],COLUMNS(TAB_Offres[[Reference]:[Has Expenses?]]),FALSE)=J$2,TAB_Offres[[#This Row],[Reference]],""),"")</f>
        <v/>
      </c>
      <c r="O815" t="str">
        <f>IF(Tableau19[[#This Row],[EXPENSES_REF]]="","",MAX(O$1:O814)+1)</f>
        <v/>
      </c>
      <c r="P815" t="str">
        <f t="shared" si="25"/>
        <v/>
      </c>
      <c r="AI815" s="191" t="str">
        <f>IFERROR(_xlfn.SINGLE(
IF(_xlfn.SINGLE(INDEX(TAB_Offres[Ressource 1],ROWS(Params!AI$2:$AI815)))=0,NA(),
INDEX(TAB_Offres[Ressource 1],ROWS(Params!AI$2:$AI815)))),
IFERROR(_xlfn.SINGLE(IF(_xlfn.SINGLE(INDEX(#REF!,ROWS(Params!AI$2:$AI815)-COUNTA(TAB_Offres[Ressource 1])))=0,NA(),
INDEX(#REF!,ROWS(Params!AI$2:$AI815)-COUNTA(TAB_Offres[Ressource 1])))),
IFERROR(_xlfn.SINGLE(IF(_xlfn.SINGLE(INDEX(#REF!,ROWS(Params!AI$2:$AI815)-COUNTA(#REF!)-COUNTA(TAB_Offres[Ressource 1])))=0,NA(),
INDEX(#REF!,ROWS(Params!AI$2:$AI815)-COUNTA(#REF!)-COUNTA(TAB_Offres[Ressource 1])))),""))
)</f>
        <v/>
      </c>
      <c r="AJ815" s="192" t="str">
        <f>IF(TAB_ressource[[#This Row],[Import Ressource]]="","",MAX(AJ$1:AJ814)+1)</f>
        <v/>
      </c>
      <c r="AK815" s="193" t="str">
        <f>IFERROR(INDEX(TAB_ressource[Import Ressource],MATCH(ROW()-ROW($AK$1),TAB_ressource[ID Import ressources],0)),"")</f>
        <v/>
      </c>
      <c r="BE815" t="s">
        <v>3004</v>
      </c>
      <c r="BF815" t="s">
        <v>3005</v>
      </c>
      <c r="BG815" t="s">
        <v>770</v>
      </c>
    </row>
    <row r="816" spans="13:59" x14ac:dyDescent="0.25">
      <c r="M816" t="str">
        <f>_xlfn.IFNA(IF(VLOOKUP(TAB_Offres[[#This Row],[Reference]],TAB_Offres[[Reference]:[Request State]],COLUMNS(TAB_Offres[[Reference]:[Request State]]),FALSE)=D$6,TAB_Offres[[#This Row],[Reference]],""),"")</f>
        <v/>
      </c>
      <c r="N816" t="str">
        <f>_xlfn.IFNA(IF(VLOOKUP(TAB_Offres[[#This Row],[Reference]],TAB_Offres[[Reference]:[Has Expenses?]],COLUMNS(TAB_Offres[[Reference]:[Has Expenses?]]),FALSE)=J$2,TAB_Offres[[#This Row],[Reference]],""),"")</f>
        <v/>
      </c>
      <c r="O816" t="str">
        <f>IF(Tableau19[[#This Row],[EXPENSES_REF]]="","",MAX(O$1:O815)+1)</f>
        <v/>
      </c>
      <c r="P816" t="str">
        <f t="shared" si="25"/>
        <v/>
      </c>
      <c r="AI816" s="191" t="str">
        <f>IFERROR(_xlfn.SINGLE(
IF(_xlfn.SINGLE(INDEX(TAB_Offres[Ressource 1],ROWS(Params!AI$2:$AI816)))=0,NA(),
INDEX(TAB_Offres[Ressource 1],ROWS(Params!AI$2:$AI816)))),
IFERROR(_xlfn.SINGLE(IF(_xlfn.SINGLE(INDEX(#REF!,ROWS(Params!AI$2:$AI816)-COUNTA(TAB_Offres[Ressource 1])))=0,NA(),
INDEX(#REF!,ROWS(Params!AI$2:$AI816)-COUNTA(TAB_Offres[Ressource 1])))),
IFERROR(_xlfn.SINGLE(IF(_xlfn.SINGLE(INDEX(#REF!,ROWS(Params!AI$2:$AI816)-COUNTA(#REF!)-COUNTA(TAB_Offres[Ressource 1])))=0,NA(),
INDEX(#REF!,ROWS(Params!AI$2:$AI816)-COUNTA(#REF!)-COUNTA(TAB_Offres[Ressource 1])))),""))
)</f>
        <v/>
      </c>
      <c r="AJ816" s="192" t="str">
        <f>IF(TAB_ressource[[#This Row],[Import Ressource]]="","",MAX(AJ$1:AJ815)+1)</f>
        <v/>
      </c>
      <c r="AK816" s="193" t="str">
        <f>IFERROR(INDEX(TAB_ressource[Import Ressource],MATCH(ROW()-ROW($AK$1),TAB_ressource[ID Import ressources],0)),"")</f>
        <v/>
      </c>
      <c r="BE816" t="s">
        <v>3006</v>
      </c>
      <c r="BF816" t="s">
        <v>3007</v>
      </c>
      <c r="BG816" t="s">
        <v>773</v>
      </c>
    </row>
    <row r="817" spans="13:59" x14ac:dyDescent="0.25">
      <c r="M817" t="str">
        <f>_xlfn.IFNA(IF(VLOOKUP(TAB_Offres[[#This Row],[Reference]],TAB_Offres[[Reference]:[Request State]],COLUMNS(TAB_Offres[[Reference]:[Request State]]),FALSE)=D$6,TAB_Offres[[#This Row],[Reference]],""),"")</f>
        <v/>
      </c>
      <c r="N817" t="str">
        <f>_xlfn.IFNA(IF(VLOOKUP(TAB_Offres[[#This Row],[Reference]],TAB_Offres[[Reference]:[Has Expenses?]],COLUMNS(TAB_Offres[[Reference]:[Has Expenses?]]),FALSE)=J$2,TAB_Offres[[#This Row],[Reference]],""),"")</f>
        <v/>
      </c>
      <c r="O817" t="str">
        <f>IF(Tableau19[[#This Row],[EXPENSES_REF]]="","",MAX(O$1:O816)+1)</f>
        <v/>
      </c>
      <c r="P817" t="str">
        <f t="shared" si="25"/>
        <v/>
      </c>
      <c r="AI817" s="191" t="str">
        <f>IFERROR(_xlfn.SINGLE(
IF(_xlfn.SINGLE(INDEX(TAB_Offres[Ressource 1],ROWS(Params!AI$2:$AI817)))=0,NA(),
INDEX(TAB_Offres[Ressource 1],ROWS(Params!AI$2:$AI817)))),
IFERROR(_xlfn.SINGLE(IF(_xlfn.SINGLE(INDEX(#REF!,ROWS(Params!AI$2:$AI817)-COUNTA(TAB_Offres[Ressource 1])))=0,NA(),
INDEX(#REF!,ROWS(Params!AI$2:$AI817)-COUNTA(TAB_Offres[Ressource 1])))),
IFERROR(_xlfn.SINGLE(IF(_xlfn.SINGLE(INDEX(#REF!,ROWS(Params!AI$2:$AI817)-COUNTA(#REF!)-COUNTA(TAB_Offres[Ressource 1])))=0,NA(),
INDEX(#REF!,ROWS(Params!AI$2:$AI817)-COUNTA(#REF!)-COUNTA(TAB_Offres[Ressource 1])))),""))
)</f>
        <v/>
      </c>
      <c r="AJ817" s="192" t="str">
        <f>IF(TAB_ressource[[#This Row],[Import Ressource]]="","",MAX(AJ$1:AJ816)+1)</f>
        <v/>
      </c>
      <c r="AK817" s="193" t="str">
        <f>IFERROR(INDEX(TAB_ressource[Import Ressource],MATCH(ROW()-ROW($AK$1),TAB_ressource[ID Import ressources],0)),"")</f>
        <v/>
      </c>
      <c r="BE817" t="s">
        <v>3008</v>
      </c>
      <c r="BF817" t="s">
        <v>3009</v>
      </c>
      <c r="BG817" t="s">
        <v>776</v>
      </c>
    </row>
    <row r="818" spans="13:59" x14ac:dyDescent="0.25">
      <c r="M818" t="str">
        <f>_xlfn.IFNA(IF(VLOOKUP(TAB_Offres[[#This Row],[Reference]],TAB_Offres[[Reference]:[Request State]],COLUMNS(TAB_Offres[[Reference]:[Request State]]),FALSE)=D$6,TAB_Offres[[#This Row],[Reference]],""),"")</f>
        <v/>
      </c>
      <c r="N818" t="str">
        <f>_xlfn.IFNA(IF(VLOOKUP(TAB_Offres[[#This Row],[Reference]],TAB_Offres[[Reference]:[Has Expenses?]],COLUMNS(TAB_Offres[[Reference]:[Has Expenses?]]),FALSE)=J$2,TAB_Offres[[#This Row],[Reference]],""),"")</f>
        <v/>
      </c>
      <c r="O818" t="str">
        <f>IF(Tableau19[[#This Row],[EXPENSES_REF]]="","",MAX(O$1:O817)+1)</f>
        <v/>
      </c>
      <c r="P818" t="str">
        <f t="shared" si="25"/>
        <v/>
      </c>
      <c r="AI818" s="191" t="str">
        <f>IFERROR(_xlfn.SINGLE(
IF(_xlfn.SINGLE(INDEX(TAB_Offres[Ressource 1],ROWS(Params!AI$2:$AI818)))=0,NA(),
INDEX(TAB_Offres[Ressource 1],ROWS(Params!AI$2:$AI818)))),
IFERROR(_xlfn.SINGLE(IF(_xlfn.SINGLE(INDEX(#REF!,ROWS(Params!AI$2:$AI818)-COUNTA(TAB_Offres[Ressource 1])))=0,NA(),
INDEX(#REF!,ROWS(Params!AI$2:$AI818)-COUNTA(TAB_Offres[Ressource 1])))),
IFERROR(_xlfn.SINGLE(IF(_xlfn.SINGLE(INDEX(#REF!,ROWS(Params!AI$2:$AI818)-COUNTA(#REF!)-COUNTA(TAB_Offres[Ressource 1])))=0,NA(),
INDEX(#REF!,ROWS(Params!AI$2:$AI818)-COUNTA(#REF!)-COUNTA(TAB_Offres[Ressource 1])))),""))
)</f>
        <v/>
      </c>
      <c r="AJ818" s="192" t="str">
        <f>IF(TAB_ressource[[#This Row],[Import Ressource]]="","",MAX(AJ$1:AJ817)+1)</f>
        <v/>
      </c>
      <c r="AK818" s="193" t="str">
        <f>IFERROR(INDEX(TAB_ressource[Import Ressource],MATCH(ROW()-ROW($AK$1),TAB_ressource[ID Import ressources],0)),"")</f>
        <v/>
      </c>
      <c r="BE818" t="s">
        <v>3010</v>
      </c>
      <c r="BF818" t="s">
        <v>3011</v>
      </c>
      <c r="BG818" t="s">
        <v>779</v>
      </c>
    </row>
    <row r="819" spans="13:59" x14ac:dyDescent="0.25">
      <c r="M819" t="str">
        <f>_xlfn.IFNA(IF(VLOOKUP(TAB_Offres[[#This Row],[Reference]],TAB_Offres[[Reference]:[Request State]],COLUMNS(TAB_Offres[[Reference]:[Request State]]),FALSE)=D$6,TAB_Offres[[#This Row],[Reference]],""),"")</f>
        <v/>
      </c>
      <c r="N819" t="str">
        <f>_xlfn.IFNA(IF(VLOOKUP(TAB_Offres[[#This Row],[Reference]],TAB_Offres[[Reference]:[Has Expenses?]],COLUMNS(TAB_Offres[[Reference]:[Has Expenses?]]),FALSE)=J$2,TAB_Offres[[#This Row],[Reference]],""),"")</f>
        <v/>
      </c>
      <c r="O819" t="str">
        <f>IF(Tableau19[[#This Row],[EXPENSES_REF]]="","",MAX(O$1:O818)+1)</f>
        <v/>
      </c>
      <c r="P819" t="str">
        <f t="shared" si="25"/>
        <v/>
      </c>
      <c r="AI819" s="191" t="str">
        <f>IFERROR(_xlfn.SINGLE(
IF(_xlfn.SINGLE(INDEX(TAB_Offres[Ressource 1],ROWS(Params!AI$2:$AI819)))=0,NA(),
INDEX(TAB_Offres[Ressource 1],ROWS(Params!AI$2:$AI819)))),
IFERROR(_xlfn.SINGLE(IF(_xlfn.SINGLE(INDEX(#REF!,ROWS(Params!AI$2:$AI819)-COUNTA(TAB_Offres[Ressource 1])))=0,NA(),
INDEX(#REF!,ROWS(Params!AI$2:$AI819)-COUNTA(TAB_Offres[Ressource 1])))),
IFERROR(_xlfn.SINGLE(IF(_xlfn.SINGLE(INDEX(#REF!,ROWS(Params!AI$2:$AI819)-COUNTA(#REF!)-COUNTA(TAB_Offres[Ressource 1])))=0,NA(),
INDEX(#REF!,ROWS(Params!AI$2:$AI819)-COUNTA(#REF!)-COUNTA(TAB_Offres[Ressource 1])))),""))
)</f>
        <v/>
      </c>
      <c r="AJ819" s="192" t="str">
        <f>IF(TAB_ressource[[#This Row],[Import Ressource]]="","",MAX(AJ$1:AJ818)+1)</f>
        <v/>
      </c>
      <c r="AK819" s="193" t="str">
        <f>IFERROR(INDEX(TAB_ressource[Import Ressource],MATCH(ROW()-ROW($AK$1),TAB_ressource[ID Import ressources],0)),"")</f>
        <v/>
      </c>
      <c r="BE819" t="s">
        <v>3012</v>
      </c>
      <c r="BF819" t="s">
        <v>3013</v>
      </c>
      <c r="BG819" t="s">
        <v>782</v>
      </c>
    </row>
    <row r="820" spans="13:59" x14ac:dyDescent="0.25">
      <c r="M820" t="str">
        <f>_xlfn.IFNA(IF(VLOOKUP(TAB_Offres[[#This Row],[Reference]],TAB_Offres[[Reference]:[Request State]],COLUMNS(TAB_Offres[[Reference]:[Request State]]),FALSE)=D$6,TAB_Offres[[#This Row],[Reference]],""),"")</f>
        <v/>
      </c>
      <c r="N820" t="str">
        <f>_xlfn.IFNA(IF(VLOOKUP(TAB_Offres[[#This Row],[Reference]],TAB_Offres[[Reference]:[Has Expenses?]],COLUMNS(TAB_Offres[[Reference]:[Has Expenses?]]),FALSE)=J$2,TAB_Offres[[#This Row],[Reference]],""),"")</f>
        <v/>
      </c>
      <c r="O820" t="str">
        <f>IF(Tableau19[[#This Row],[EXPENSES_REF]]="","",MAX(O$1:O819)+1)</f>
        <v/>
      </c>
      <c r="P820" t="str">
        <f t="shared" si="25"/>
        <v/>
      </c>
      <c r="AI820" s="191" t="str">
        <f>IFERROR(_xlfn.SINGLE(
IF(_xlfn.SINGLE(INDEX(TAB_Offres[Ressource 1],ROWS(Params!AI$2:$AI820)))=0,NA(),
INDEX(TAB_Offres[Ressource 1],ROWS(Params!AI$2:$AI820)))),
IFERROR(_xlfn.SINGLE(IF(_xlfn.SINGLE(INDEX(#REF!,ROWS(Params!AI$2:$AI820)-COUNTA(TAB_Offres[Ressource 1])))=0,NA(),
INDEX(#REF!,ROWS(Params!AI$2:$AI820)-COUNTA(TAB_Offres[Ressource 1])))),
IFERROR(_xlfn.SINGLE(IF(_xlfn.SINGLE(INDEX(#REF!,ROWS(Params!AI$2:$AI820)-COUNTA(#REF!)-COUNTA(TAB_Offres[Ressource 1])))=0,NA(),
INDEX(#REF!,ROWS(Params!AI$2:$AI820)-COUNTA(#REF!)-COUNTA(TAB_Offres[Ressource 1])))),""))
)</f>
        <v/>
      </c>
      <c r="AJ820" s="192" t="str">
        <f>IF(TAB_ressource[[#This Row],[Import Ressource]]="","",MAX(AJ$1:AJ819)+1)</f>
        <v/>
      </c>
      <c r="AK820" s="193" t="str">
        <f>IFERROR(INDEX(TAB_ressource[Import Ressource],MATCH(ROW()-ROW($AK$1),TAB_ressource[ID Import ressources],0)),"")</f>
        <v/>
      </c>
      <c r="BE820" t="s">
        <v>3014</v>
      </c>
      <c r="BF820" t="s">
        <v>3015</v>
      </c>
      <c r="BG820" t="s">
        <v>785</v>
      </c>
    </row>
    <row r="821" spans="13:59" x14ac:dyDescent="0.25">
      <c r="M821" t="str">
        <f>_xlfn.IFNA(IF(VLOOKUP(TAB_Offres[[#This Row],[Reference]],TAB_Offres[[Reference]:[Request State]],COLUMNS(TAB_Offres[[Reference]:[Request State]]),FALSE)=D$6,TAB_Offres[[#This Row],[Reference]],""),"")</f>
        <v/>
      </c>
      <c r="N821" t="str">
        <f>_xlfn.IFNA(IF(VLOOKUP(TAB_Offres[[#This Row],[Reference]],TAB_Offres[[Reference]:[Has Expenses?]],COLUMNS(TAB_Offres[[Reference]:[Has Expenses?]]),FALSE)=J$2,TAB_Offres[[#This Row],[Reference]],""),"")</f>
        <v/>
      </c>
      <c r="O821" t="str">
        <f>IF(Tableau19[[#This Row],[EXPENSES_REF]]="","",MAX(O$1:O820)+1)</f>
        <v/>
      </c>
      <c r="P821" t="str">
        <f t="shared" si="25"/>
        <v/>
      </c>
      <c r="AI821" s="191" t="str">
        <f>IFERROR(_xlfn.SINGLE(
IF(_xlfn.SINGLE(INDEX(TAB_Offres[Ressource 1],ROWS(Params!AI$2:$AI821)))=0,NA(),
INDEX(TAB_Offres[Ressource 1],ROWS(Params!AI$2:$AI821)))),
IFERROR(_xlfn.SINGLE(IF(_xlfn.SINGLE(INDEX(#REF!,ROWS(Params!AI$2:$AI821)-COUNTA(TAB_Offres[Ressource 1])))=0,NA(),
INDEX(#REF!,ROWS(Params!AI$2:$AI821)-COUNTA(TAB_Offres[Ressource 1])))),
IFERROR(_xlfn.SINGLE(IF(_xlfn.SINGLE(INDEX(#REF!,ROWS(Params!AI$2:$AI821)-COUNTA(#REF!)-COUNTA(TAB_Offres[Ressource 1])))=0,NA(),
INDEX(#REF!,ROWS(Params!AI$2:$AI821)-COUNTA(#REF!)-COUNTA(TAB_Offres[Ressource 1])))),""))
)</f>
        <v/>
      </c>
      <c r="AJ821" s="192" t="str">
        <f>IF(TAB_ressource[[#This Row],[Import Ressource]]="","",MAX(AJ$1:AJ820)+1)</f>
        <v/>
      </c>
      <c r="AK821" s="193" t="str">
        <f>IFERROR(INDEX(TAB_ressource[Import Ressource],MATCH(ROW()-ROW($AK$1),TAB_ressource[ID Import ressources],0)),"")</f>
        <v/>
      </c>
      <c r="BE821" t="s">
        <v>3016</v>
      </c>
      <c r="BF821" t="s">
        <v>3017</v>
      </c>
      <c r="BG821" t="s">
        <v>788</v>
      </c>
    </row>
    <row r="822" spans="13:59" x14ac:dyDescent="0.25">
      <c r="M822" t="str">
        <f>_xlfn.IFNA(IF(VLOOKUP(TAB_Offres[[#This Row],[Reference]],TAB_Offres[[Reference]:[Request State]],COLUMNS(TAB_Offres[[Reference]:[Request State]]),FALSE)=D$6,TAB_Offres[[#This Row],[Reference]],""),"")</f>
        <v/>
      </c>
      <c r="N822" t="str">
        <f>_xlfn.IFNA(IF(VLOOKUP(TAB_Offres[[#This Row],[Reference]],TAB_Offres[[Reference]:[Has Expenses?]],COLUMNS(TAB_Offres[[Reference]:[Has Expenses?]]),FALSE)=J$2,TAB_Offres[[#This Row],[Reference]],""),"")</f>
        <v/>
      </c>
      <c r="O822" t="str">
        <f>IF(Tableau19[[#This Row],[EXPENSES_REF]]="","",MAX(O$1:O821)+1)</f>
        <v/>
      </c>
      <c r="P822" t="str">
        <f t="shared" si="25"/>
        <v/>
      </c>
      <c r="AI822" s="191" t="str">
        <f>IFERROR(_xlfn.SINGLE(
IF(_xlfn.SINGLE(INDEX(TAB_Offres[Ressource 1],ROWS(Params!AI$2:$AI822)))=0,NA(),
INDEX(TAB_Offres[Ressource 1],ROWS(Params!AI$2:$AI822)))),
IFERROR(_xlfn.SINGLE(IF(_xlfn.SINGLE(INDEX(#REF!,ROWS(Params!AI$2:$AI822)-COUNTA(TAB_Offres[Ressource 1])))=0,NA(),
INDEX(#REF!,ROWS(Params!AI$2:$AI822)-COUNTA(TAB_Offres[Ressource 1])))),
IFERROR(_xlfn.SINGLE(IF(_xlfn.SINGLE(INDEX(#REF!,ROWS(Params!AI$2:$AI822)-COUNTA(#REF!)-COUNTA(TAB_Offres[Ressource 1])))=0,NA(),
INDEX(#REF!,ROWS(Params!AI$2:$AI822)-COUNTA(#REF!)-COUNTA(TAB_Offres[Ressource 1])))),""))
)</f>
        <v/>
      </c>
      <c r="AJ822" s="192" t="str">
        <f>IF(TAB_ressource[[#This Row],[Import Ressource]]="","",MAX(AJ$1:AJ821)+1)</f>
        <v/>
      </c>
      <c r="AK822" s="193" t="str">
        <f>IFERROR(INDEX(TAB_ressource[Import Ressource],MATCH(ROW()-ROW($AK$1),TAB_ressource[ID Import ressources],0)),"")</f>
        <v/>
      </c>
      <c r="BE822" t="s">
        <v>3018</v>
      </c>
      <c r="BF822" t="s">
        <v>3019</v>
      </c>
      <c r="BG822" t="s">
        <v>791</v>
      </c>
    </row>
    <row r="823" spans="13:59" x14ac:dyDescent="0.25">
      <c r="M823" t="str">
        <f>_xlfn.IFNA(IF(VLOOKUP(TAB_Offres[[#This Row],[Reference]],TAB_Offres[[Reference]:[Request State]],COLUMNS(TAB_Offres[[Reference]:[Request State]]),FALSE)=D$6,TAB_Offres[[#This Row],[Reference]],""),"")</f>
        <v/>
      </c>
      <c r="N823" t="str">
        <f>_xlfn.IFNA(IF(VLOOKUP(TAB_Offres[[#This Row],[Reference]],TAB_Offres[[Reference]:[Has Expenses?]],COLUMNS(TAB_Offres[[Reference]:[Has Expenses?]]),FALSE)=J$2,TAB_Offres[[#This Row],[Reference]],""),"")</f>
        <v/>
      </c>
      <c r="O823" t="str">
        <f>IF(Tableau19[[#This Row],[EXPENSES_REF]]="","",MAX(O$1:O822)+1)</f>
        <v/>
      </c>
      <c r="P823" t="str">
        <f t="shared" si="25"/>
        <v/>
      </c>
      <c r="AI823" s="191" t="str">
        <f>IFERROR(_xlfn.SINGLE(
IF(_xlfn.SINGLE(INDEX(TAB_Offres[Ressource 1],ROWS(Params!AI$2:$AI823)))=0,NA(),
INDEX(TAB_Offres[Ressource 1],ROWS(Params!AI$2:$AI823)))),
IFERROR(_xlfn.SINGLE(IF(_xlfn.SINGLE(INDEX(#REF!,ROWS(Params!AI$2:$AI823)-COUNTA(TAB_Offres[Ressource 1])))=0,NA(),
INDEX(#REF!,ROWS(Params!AI$2:$AI823)-COUNTA(TAB_Offres[Ressource 1])))),
IFERROR(_xlfn.SINGLE(IF(_xlfn.SINGLE(INDEX(#REF!,ROWS(Params!AI$2:$AI823)-COUNTA(#REF!)-COUNTA(TAB_Offres[Ressource 1])))=0,NA(),
INDEX(#REF!,ROWS(Params!AI$2:$AI823)-COUNTA(#REF!)-COUNTA(TAB_Offres[Ressource 1])))),""))
)</f>
        <v/>
      </c>
      <c r="AJ823" s="192" t="str">
        <f>IF(TAB_ressource[[#This Row],[Import Ressource]]="","",MAX(AJ$1:AJ822)+1)</f>
        <v/>
      </c>
      <c r="AK823" s="193" t="str">
        <f>IFERROR(INDEX(TAB_ressource[Import Ressource],MATCH(ROW()-ROW($AK$1),TAB_ressource[ID Import ressources],0)),"")</f>
        <v/>
      </c>
      <c r="BE823" t="s">
        <v>3020</v>
      </c>
      <c r="BF823" t="s">
        <v>3021</v>
      </c>
      <c r="BG823" t="s">
        <v>794</v>
      </c>
    </row>
    <row r="824" spans="13:59" x14ac:dyDescent="0.25">
      <c r="M824" t="str">
        <f>_xlfn.IFNA(IF(VLOOKUP(TAB_Offres[[#This Row],[Reference]],TAB_Offres[[Reference]:[Request State]],COLUMNS(TAB_Offres[[Reference]:[Request State]]),FALSE)=D$6,TAB_Offres[[#This Row],[Reference]],""),"")</f>
        <v/>
      </c>
      <c r="N824" t="str">
        <f>_xlfn.IFNA(IF(VLOOKUP(TAB_Offres[[#This Row],[Reference]],TAB_Offres[[Reference]:[Has Expenses?]],COLUMNS(TAB_Offres[[Reference]:[Has Expenses?]]),FALSE)=J$2,TAB_Offres[[#This Row],[Reference]],""),"")</f>
        <v/>
      </c>
      <c r="O824" t="str">
        <f>IF(Tableau19[[#This Row],[EXPENSES_REF]]="","",MAX(O$1:O823)+1)</f>
        <v/>
      </c>
      <c r="P824" t="str">
        <f t="shared" si="25"/>
        <v/>
      </c>
      <c r="AI824" s="191" t="str">
        <f>IFERROR(_xlfn.SINGLE(
IF(_xlfn.SINGLE(INDEX(TAB_Offres[Ressource 1],ROWS(Params!AI$2:$AI824)))=0,NA(),
INDEX(TAB_Offres[Ressource 1],ROWS(Params!AI$2:$AI824)))),
IFERROR(_xlfn.SINGLE(IF(_xlfn.SINGLE(INDEX(#REF!,ROWS(Params!AI$2:$AI824)-COUNTA(TAB_Offres[Ressource 1])))=0,NA(),
INDEX(#REF!,ROWS(Params!AI$2:$AI824)-COUNTA(TAB_Offres[Ressource 1])))),
IFERROR(_xlfn.SINGLE(IF(_xlfn.SINGLE(INDEX(#REF!,ROWS(Params!AI$2:$AI824)-COUNTA(#REF!)-COUNTA(TAB_Offres[Ressource 1])))=0,NA(),
INDEX(#REF!,ROWS(Params!AI$2:$AI824)-COUNTA(#REF!)-COUNTA(TAB_Offres[Ressource 1])))),""))
)</f>
        <v/>
      </c>
      <c r="AJ824" s="192" t="str">
        <f>IF(TAB_ressource[[#This Row],[Import Ressource]]="","",MAX(AJ$1:AJ823)+1)</f>
        <v/>
      </c>
      <c r="AK824" s="193" t="str">
        <f>IFERROR(INDEX(TAB_ressource[Import Ressource],MATCH(ROW()-ROW($AK$1),TAB_ressource[ID Import ressources],0)),"")</f>
        <v/>
      </c>
      <c r="BE824" t="s">
        <v>3022</v>
      </c>
      <c r="BF824" t="s">
        <v>3023</v>
      </c>
      <c r="BG824" t="s">
        <v>797</v>
      </c>
    </row>
    <row r="825" spans="13:59" x14ac:dyDescent="0.25">
      <c r="M825" t="str">
        <f>_xlfn.IFNA(IF(VLOOKUP(TAB_Offres[[#This Row],[Reference]],TAB_Offres[[Reference]:[Request State]],COLUMNS(TAB_Offres[[Reference]:[Request State]]),FALSE)=D$6,TAB_Offres[[#This Row],[Reference]],""),"")</f>
        <v/>
      </c>
      <c r="N825" t="str">
        <f>_xlfn.IFNA(IF(VLOOKUP(TAB_Offres[[#This Row],[Reference]],TAB_Offres[[Reference]:[Has Expenses?]],COLUMNS(TAB_Offres[[Reference]:[Has Expenses?]]),FALSE)=J$2,TAB_Offres[[#This Row],[Reference]],""),"")</f>
        <v/>
      </c>
      <c r="O825" t="str">
        <f>IF(Tableau19[[#This Row],[EXPENSES_REF]]="","",MAX(O$1:O824)+1)</f>
        <v/>
      </c>
      <c r="P825" t="str">
        <f t="shared" si="25"/>
        <v/>
      </c>
      <c r="AI825" s="191" t="str">
        <f>IFERROR(_xlfn.SINGLE(
IF(_xlfn.SINGLE(INDEX(TAB_Offres[Ressource 1],ROWS(Params!AI$2:$AI825)))=0,NA(),
INDEX(TAB_Offres[Ressource 1],ROWS(Params!AI$2:$AI825)))),
IFERROR(_xlfn.SINGLE(IF(_xlfn.SINGLE(INDEX(#REF!,ROWS(Params!AI$2:$AI825)-COUNTA(TAB_Offres[Ressource 1])))=0,NA(),
INDEX(#REF!,ROWS(Params!AI$2:$AI825)-COUNTA(TAB_Offres[Ressource 1])))),
IFERROR(_xlfn.SINGLE(IF(_xlfn.SINGLE(INDEX(#REF!,ROWS(Params!AI$2:$AI825)-COUNTA(#REF!)-COUNTA(TAB_Offres[Ressource 1])))=0,NA(),
INDEX(#REF!,ROWS(Params!AI$2:$AI825)-COUNTA(#REF!)-COUNTA(TAB_Offres[Ressource 1])))),""))
)</f>
        <v/>
      </c>
      <c r="AJ825" s="192" t="str">
        <f>IF(TAB_ressource[[#This Row],[Import Ressource]]="","",MAX(AJ$1:AJ824)+1)</f>
        <v/>
      </c>
      <c r="AK825" s="193" t="str">
        <f>IFERROR(INDEX(TAB_ressource[Import Ressource],MATCH(ROW()-ROW($AK$1),TAB_ressource[ID Import ressources],0)),"")</f>
        <v/>
      </c>
      <c r="BE825" t="s">
        <v>3024</v>
      </c>
      <c r="BF825" t="s">
        <v>3025</v>
      </c>
      <c r="BG825" t="s">
        <v>800</v>
      </c>
    </row>
    <row r="826" spans="13:59" x14ac:dyDescent="0.25">
      <c r="M826" t="str">
        <f>_xlfn.IFNA(IF(VLOOKUP(TAB_Offres[[#This Row],[Reference]],TAB_Offres[[Reference]:[Request State]],COLUMNS(TAB_Offres[[Reference]:[Request State]]),FALSE)=D$6,TAB_Offres[[#This Row],[Reference]],""),"")</f>
        <v/>
      </c>
      <c r="N826" t="str">
        <f>_xlfn.IFNA(IF(VLOOKUP(TAB_Offres[[#This Row],[Reference]],TAB_Offres[[Reference]:[Has Expenses?]],COLUMNS(TAB_Offres[[Reference]:[Has Expenses?]]),FALSE)=J$2,TAB_Offres[[#This Row],[Reference]],""),"")</f>
        <v/>
      </c>
      <c r="O826" t="str">
        <f>IF(Tableau19[[#This Row],[EXPENSES_REF]]="","",MAX(O$1:O825)+1)</f>
        <v/>
      </c>
      <c r="P826" t="str">
        <f t="shared" si="25"/>
        <v/>
      </c>
      <c r="AI826" s="191" t="str">
        <f>IFERROR(_xlfn.SINGLE(
IF(_xlfn.SINGLE(INDEX(TAB_Offres[Ressource 1],ROWS(Params!AI$2:$AI826)))=0,NA(),
INDEX(TAB_Offres[Ressource 1],ROWS(Params!AI$2:$AI826)))),
IFERROR(_xlfn.SINGLE(IF(_xlfn.SINGLE(INDEX(#REF!,ROWS(Params!AI$2:$AI826)-COUNTA(TAB_Offres[Ressource 1])))=0,NA(),
INDEX(#REF!,ROWS(Params!AI$2:$AI826)-COUNTA(TAB_Offres[Ressource 1])))),
IFERROR(_xlfn.SINGLE(IF(_xlfn.SINGLE(INDEX(#REF!,ROWS(Params!AI$2:$AI826)-COUNTA(#REF!)-COUNTA(TAB_Offres[Ressource 1])))=0,NA(),
INDEX(#REF!,ROWS(Params!AI$2:$AI826)-COUNTA(#REF!)-COUNTA(TAB_Offres[Ressource 1])))),""))
)</f>
        <v/>
      </c>
      <c r="AJ826" s="192" t="str">
        <f>IF(TAB_ressource[[#This Row],[Import Ressource]]="","",MAX(AJ$1:AJ825)+1)</f>
        <v/>
      </c>
      <c r="AK826" s="193" t="str">
        <f>IFERROR(INDEX(TAB_ressource[Import Ressource],MATCH(ROW()-ROW($AK$1),TAB_ressource[ID Import ressources],0)),"")</f>
        <v/>
      </c>
      <c r="BE826" t="s">
        <v>3026</v>
      </c>
      <c r="BF826" t="s">
        <v>3027</v>
      </c>
      <c r="BG826" t="s">
        <v>803</v>
      </c>
    </row>
    <row r="827" spans="13:59" x14ac:dyDescent="0.25">
      <c r="M827" t="str">
        <f>_xlfn.IFNA(IF(VLOOKUP(TAB_Offres[[#This Row],[Reference]],TAB_Offres[[Reference]:[Request State]],COLUMNS(TAB_Offres[[Reference]:[Request State]]),FALSE)=D$6,TAB_Offres[[#This Row],[Reference]],""),"")</f>
        <v/>
      </c>
      <c r="N827" t="str">
        <f>_xlfn.IFNA(IF(VLOOKUP(TAB_Offres[[#This Row],[Reference]],TAB_Offres[[Reference]:[Has Expenses?]],COLUMNS(TAB_Offres[[Reference]:[Has Expenses?]]),FALSE)=J$2,TAB_Offres[[#This Row],[Reference]],""),"")</f>
        <v/>
      </c>
      <c r="O827" t="str">
        <f>IF(Tableau19[[#This Row],[EXPENSES_REF]]="","",MAX(O$1:O826)+1)</f>
        <v/>
      </c>
      <c r="P827" t="str">
        <f t="shared" si="25"/>
        <v/>
      </c>
      <c r="AI827" s="191" t="str">
        <f>IFERROR(_xlfn.SINGLE(
IF(_xlfn.SINGLE(INDEX(TAB_Offres[Ressource 1],ROWS(Params!AI$2:$AI827)))=0,NA(),
INDEX(TAB_Offres[Ressource 1],ROWS(Params!AI$2:$AI827)))),
IFERROR(_xlfn.SINGLE(IF(_xlfn.SINGLE(INDEX(#REF!,ROWS(Params!AI$2:$AI827)-COUNTA(TAB_Offres[Ressource 1])))=0,NA(),
INDEX(#REF!,ROWS(Params!AI$2:$AI827)-COUNTA(TAB_Offres[Ressource 1])))),
IFERROR(_xlfn.SINGLE(IF(_xlfn.SINGLE(INDEX(#REF!,ROWS(Params!AI$2:$AI827)-COUNTA(#REF!)-COUNTA(TAB_Offres[Ressource 1])))=0,NA(),
INDEX(#REF!,ROWS(Params!AI$2:$AI827)-COUNTA(#REF!)-COUNTA(TAB_Offres[Ressource 1])))),""))
)</f>
        <v/>
      </c>
      <c r="AJ827" s="192" t="str">
        <f>IF(TAB_ressource[[#This Row],[Import Ressource]]="","",MAX(AJ$1:AJ826)+1)</f>
        <v/>
      </c>
      <c r="AK827" s="193" t="str">
        <f>IFERROR(INDEX(TAB_ressource[Import Ressource],MATCH(ROW()-ROW($AK$1),TAB_ressource[ID Import ressources],0)),"")</f>
        <v/>
      </c>
      <c r="BE827" t="s">
        <v>3028</v>
      </c>
      <c r="BF827" t="s">
        <v>3029</v>
      </c>
      <c r="BG827" t="s">
        <v>806</v>
      </c>
    </row>
    <row r="828" spans="13:59" x14ac:dyDescent="0.25">
      <c r="M828" t="str">
        <f>_xlfn.IFNA(IF(VLOOKUP(TAB_Offres[[#This Row],[Reference]],TAB_Offres[[Reference]:[Request State]],COLUMNS(TAB_Offres[[Reference]:[Request State]]),FALSE)=D$6,TAB_Offres[[#This Row],[Reference]],""),"")</f>
        <v/>
      </c>
      <c r="N828" t="str">
        <f>_xlfn.IFNA(IF(VLOOKUP(TAB_Offres[[#This Row],[Reference]],TAB_Offres[[Reference]:[Has Expenses?]],COLUMNS(TAB_Offres[[Reference]:[Has Expenses?]]),FALSE)=J$2,TAB_Offres[[#This Row],[Reference]],""),"")</f>
        <v/>
      </c>
      <c r="O828" t="str">
        <f>IF(Tableau19[[#This Row],[EXPENSES_REF]]="","",MAX(O$1:O827)+1)</f>
        <v/>
      </c>
      <c r="P828" t="str">
        <f t="shared" si="25"/>
        <v/>
      </c>
      <c r="AI828" s="191" t="str">
        <f>IFERROR(_xlfn.SINGLE(
IF(_xlfn.SINGLE(INDEX(TAB_Offres[Ressource 1],ROWS(Params!AI$2:$AI828)))=0,NA(),
INDEX(TAB_Offres[Ressource 1],ROWS(Params!AI$2:$AI828)))),
IFERROR(_xlfn.SINGLE(IF(_xlfn.SINGLE(INDEX(#REF!,ROWS(Params!AI$2:$AI828)-COUNTA(TAB_Offres[Ressource 1])))=0,NA(),
INDEX(#REF!,ROWS(Params!AI$2:$AI828)-COUNTA(TAB_Offres[Ressource 1])))),
IFERROR(_xlfn.SINGLE(IF(_xlfn.SINGLE(INDEX(#REF!,ROWS(Params!AI$2:$AI828)-COUNTA(#REF!)-COUNTA(TAB_Offres[Ressource 1])))=0,NA(),
INDEX(#REF!,ROWS(Params!AI$2:$AI828)-COUNTA(#REF!)-COUNTA(TAB_Offres[Ressource 1])))),""))
)</f>
        <v/>
      </c>
      <c r="AJ828" s="192" t="str">
        <f>IF(TAB_ressource[[#This Row],[Import Ressource]]="","",MAX(AJ$1:AJ827)+1)</f>
        <v/>
      </c>
      <c r="AK828" s="193" t="str">
        <f>IFERROR(INDEX(TAB_ressource[Import Ressource],MATCH(ROW()-ROW($AK$1),TAB_ressource[ID Import ressources],0)),"")</f>
        <v/>
      </c>
      <c r="BE828" t="s">
        <v>3030</v>
      </c>
      <c r="BF828" t="s">
        <v>3031</v>
      </c>
      <c r="BG828" t="s">
        <v>809</v>
      </c>
    </row>
    <row r="829" spans="13:59" x14ac:dyDescent="0.25">
      <c r="M829" t="str">
        <f>_xlfn.IFNA(IF(VLOOKUP(TAB_Offres[[#This Row],[Reference]],TAB_Offres[[Reference]:[Request State]],COLUMNS(TAB_Offres[[Reference]:[Request State]]),FALSE)=D$6,TAB_Offres[[#This Row],[Reference]],""),"")</f>
        <v/>
      </c>
      <c r="N829" t="str">
        <f>_xlfn.IFNA(IF(VLOOKUP(TAB_Offres[[#This Row],[Reference]],TAB_Offres[[Reference]:[Has Expenses?]],COLUMNS(TAB_Offres[[Reference]:[Has Expenses?]]),FALSE)=J$2,TAB_Offres[[#This Row],[Reference]],""),"")</f>
        <v/>
      </c>
      <c r="O829" t="str">
        <f>IF(Tableau19[[#This Row],[EXPENSES_REF]]="","",MAX(O$1:O828)+1)</f>
        <v/>
      </c>
      <c r="P829" t="str">
        <f t="shared" si="25"/>
        <v/>
      </c>
      <c r="AI829" s="191" t="str">
        <f>IFERROR(_xlfn.SINGLE(
IF(_xlfn.SINGLE(INDEX(TAB_Offres[Ressource 1],ROWS(Params!AI$2:$AI829)))=0,NA(),
INDEX(TAB_Offres[Ressource 1],ROWS(Params!AI$2:$AI829)))),
IFERROR(_xlfn.SINGLE(IF(_xlfn.SINGLE(INDEX(#REF!,ROWS(Params!AI$2:$AI829)-COUNTA(TAB_Offres[Ressource 1])))=0,NA(),
INDEX(#REF!,ROWS(Params!AI$2:$AI829)-COUNTA(TAB_Offres[Ressource 1])))),
IFERROR(_xlfn.SINGLE(IF(_xlfn.SINGLE(INDEX(#REF!,ROWS(Params!AI$2:$AI829)-COUNTA(#REF!)-COUNTA(TAB_Offres[Ressource 1])))=0,NA(),
INDEX(#REF!,ROWS(Params!AI$2:$AI829)-COUNTA(#REF!)-COUNTA(TAB_Offres[Ressource 1])))),""))
)</f>
        <v/>
      </c>
      <c r="AJ829" s="192" t="str">
        <f>IF(TAB_ressource[[#This Row],[Import Ressource]]="","",MAX(AJ$1:AJ828)+1)</f>
        <v/>
      </c>
      <c r="AK829" s="193" t="str">
        <f>IFERROR(INDEX(TAB_ressource[Import Ressource],MATCH(ROW()-ROW($AK$1),TAB_ressource[ID Import ressources],0)),"")</f>
        <v/>
      </c>
      <c r="BE829" t="s">
        <v>3032</v>
      </c>
      <c r="BF829" t="s">
        <v>3033</v>
      </c>
      <c r="BG829" t="s">
        <v>812</v>
      </c>
    </row>
    <row r="830" spans="13:59" x14ac:dyDescent="0.25">
      <c r="M830" t="str">
        <f>_xlfn.IFNA(IF(VLOOKUP(TAB_Offres[[#This Row],[Reference]],TAB_Offres[[Reference]:[Request State]],COLUMNS(TAB_Offres[[Reference]:[Request State]]),FALSE)=D$6,TAB_Offres[[#This Row],[Reference]],""),"")</f>
        <v/>
      </c>
      <c r="N830" t="str">
        <f>_xlfn.IFNA(IF(VLOOKUP(TAB_Offres[[#This Row],[Reference]],TAB_Offres[[Reference]:[Has Expenses?]],COLUMNS(TAB_Offres[[Reference]:[Has Expenses?]]),FALSE)=J$2,TAB_Offres[[#This Row],[Reference]],""),"")</f>
        <v/>
      </c>
      <c r="O830" t="str">
        <f>IF(Tableau19[[#This Row],[EXPENSES_REF]]="","",MAX(O$1:O829)+1)</f>
        <v/>
      </c>
      <c r="P830" t="str">
        <f t="shared" si="25"/>
        <v/>
      </c>
      <c r="AI830" s="191" t="str">
        <f>IFERROR(_xlfn.SINGLE(
IF(_xlfn.SINGLE(INDEX(TAB_Offres[Ressource 1],ROWS(Params!AI$2:$AI830)))=0,NA(),
INDEX(TAB_Offres[Ressource 1],ROWS(Params!AI$2:$AI830)))),
IFERROR(_xlfn.SINGLE(IF(_xlfn.SINGLE(INDEX(#REF!,ROWS(Params!AI$2:$AI830)-COUNTA(TAB_Offres[Ressource 1])))=0,NA(),
INDEX(#REF!,ROWS(Params!AI$2:$AI830)-COUNTA(TAB_Offres[Ressource 1])))),
IFERROR(_xlfn.SINGLE(IF(_xlfn.SINGLE(INDEX(#REF!,ROWS(Params!AI$2:$AI830)-COUNTA(#REF!)-COUNTA(TAB_Offres[Ressource 1])))=0,NA(),
INDEX(#REF!,ROWS(Params!AI$2:$AI830)-COUNTA(#REF!)-COUNTA(TAB_Offres[Ressource 1])))),""))
)</f>
        <v/>
      </c>
      <c r="AJ830" s="192" t="str">
        <f>IF(TAB_ressource[[#This Row],[Import Ressource]]="","",MAX(AJ$1:AJ829)+1)</f>
        <v/>
      </c>
      <c r="AK830" s="193" t="str">
        <f>IFERROR(INDEX(TAB_ressource[Import Ressource],MATCH(ROW()-ROW($AK$1),TAB_ressource[ID Import ressources],0)),"")</f>
        <v/>
      </c>
      <c r="BE830" t="s">
        <v>3034</v>
      </c>
      <c r="BF830" t="s">
        <v>3035</v>
      </c>
      <c r="BG830" t="s">
        <v>815</v>
      </c>
    </row>
    <row r="831" spans="13:59" x14ac:dyDescent="0.25">
      <c r="M831" t="str">
        <f>_xlfn.IFNA(IF(VLOOKUP(TAB_Offres[[#This Row],[Reference]],TAB_Offres[[Reference]:[Request State]],COLUMNS(TAB_Offres[[Reference]:[Request State]]),FALSE)=D$6,TAB_Offres[[#This Row],[Reference]],""),"")</f>
        <v/>
      </c>
      <c r="N831" t="str">
        <f>_xlfn.IFNA(IF(VLOOKUP(TAB_Offres[[#This Row],[Reference]],TAB_Offres[[Reference]:[Has Expenses?]],COLUMNS(TAB_Offres[[Reference]:[Has Expenses?]]),FALSE)=J$2,TAB_Offres[[#This Row],[Reference]],""),"")</f>
        <v/>
      </c>
      <c r="O831" t="str">
        <f>IF(Tableau19[[#This Row],[EXPENSES_REF]]="","",MAX(O$1:O830)+1)</f>
        <v/>
      </c>
      <c r="P831" t="str">
        <f t="shared" si="25"/>
        <v/>
      </c>
      <c r="AI831" s="191" t="str">
        <f>IFERROR(_xlfn.SINGLE(
IF(_xlfn.SINGLE(INDEX(TAB_Offres[Ressource 1],ROWS(Params!AI$2:$AI831)))=0,NA(),
INDEX(TAB_Offres[Ressource 1],ROWS(Params!AI$2:$AI831)))),
IFERROR(_xlfn.SINGLE(IF(_xlfn.SINGLE(INDEX(#REF!,ROWS(Params!AI$2:$AI831)-COUNTA(TAB_Offres[Ressource 1])))=0,NA(),
INDEX(#REF!,ROWS(Params!AI$2:$AI831)-COUNTA(TAB_Offres[Ressource 1])))),
IFERROR(_xlfn.SINGLE(IF(_xlfn.SINGLE(INDEX(#REF!,ROWS(Params!AI$2:$AI831)-COUNTA(#REF!)-COUNTA(TAB_Offres[Ressource 1])))=0,NA(),
INDEX(#REF!,ROWS(Params!AI$2:$AI831)-COUNTA(#REF!)-COUNTA(TAB_Offres[Ressource 1])))),""))
)</f>
        <v/>
      </c>
      <c r="AJ831" s="192" t="str">
        <f>IF(TAB_ressource[[#This Row],[Import Ressource]]="","",MAX(AJ$1:AJ830)+1)</f>
        <v/>
      </c>
      <c r="AK831" s="193" t="str">
        <f>IFERROR(INDEX(TAB_ressource[Import Ressource],MATCH(ROW()-ROW($AK$1),TAB_ressource[ID Import ressources],0)),"")</f>
        <v/>
      </c>
      <c r="BE831" t="s">
        <v>3036</v>
      </c>
      <c r="BF831" t="s">
        <v>3037</v>
      </c>
      <c r="BG831" t="s">
        <v>818</v>
      </c>
    </row>
    <row r="832" spans="13:59" x14ac:dyDescent="0.25">
      <c r="M832" t="str">
        <f>_xlfn.IFNA(IF(VLOOKUP(TAB_Offres[[#This Row],[Reference]],TAB_Offres[[Reference]:[Request State]],COLUMNS(TAB_Offres[[Reference]:[Request State]]),FALSE)=D$6,TAB_Offres[[#This Row],[Reference]],""),"")</f>
        <v/>
      </c>
      <c r="N832" t="str">
        <f>_xlfn.IFNA(IF(VLOOKUP(TAB_Offres[[#This Row],[Reference]],TAB_Offres[[Reference]:[Has Expenses?]],COLUMNS(TAB_Offres[[Reference]:[Has Expenses?]]),FALSE)=J$2,TAB_Offres[[#This Row],[Reference]],""),"")</f>
        <v/>
      </c>
      <c r="O832" t="str">
        <f>IF(Tableau19[[#This Row],[EXPENSES_REF]]="","",MAX(O$1:O831)+1)</f>
        <v/>
      </c>
      <c r="P832" t="str">
        <f t="shared" si="25"/>
        <v/>
      </c>
      <c r="AI832" s="191" t="str">
        <f>IFERROR(_xlfn.SINGLE(
IF(_xlfn.SINGLE(INDEX(TAB_Offres[Ressource 1],ROWS(Params!AI$2:$AI832)))=0,NA(),
INDEX(TAB_Offres[Ressource 1],ROWS(Params!AI$2:$AI832)))),
IFERROR(_xlfn.SINGLE(IF(_xlfn.SINGLE(INDEX(#REF!,ROWS(Params!AI$2:$AI832)-COUNTA(TAB_Offres[Ressource 1])))=0,NA(),
INDEX(#REF!,ROWS(Params!AI$2:$AI832)-COUNTA(TAB_Offres[Ressource 1])))),
IFERROR(_xlfn.SINGLE(IF(_xlfn.SINGLE(INDEX(#REF!,ROWS(Params!AI$2:$AI832)-COUNTA(#REF!)-COUNTA(TAB_Offres[Ressource 1])))=0,NA(),
INDEX(#REF!,ROWS(Params!AI$2:$AI832)-COUNTA(#REF!)-COUNTA(TAB_Offres[Ressource 1])))),""))
)</f>
        <v/>
      </c>
      <c r="AJ832" s="192" t="str">
        <f>IF(TAB_ressource[[#This Row],[Import Ressource]]="","",MAX(AJ$1:AJ831)+1)</f>
        <v/>
      </c>
      <c r="AK832" s="193" t="str">
        <f>IFERROR(INDEX(TAB_ressource[Import Ressource],MATCH(ROW()-ROW($AK$1),TAB_ressource[ID Import ressources],0)),"")</f>
        <v/>
      </c>
      <c r="BE832" t="s">
        <v>3038</v>
      </c>
      <c r="BF832" t="s">
        <v>3039</v>
      </c>
      <c r="BG832" t="s">
        <v>821</v>
      </c>
    </row>
    <row r="833" spans="13:59" x14ac:dyDescent="0.25">
      <c r="M833" t="str">
        <f>_xlfn.IFNA(IF(VLOOKUP(TAB_Offres[[#This Row],[Reference]],TAB_Offres[[Reference]:[Request State]],COLUMNS(TAB_Offres[[Reference]:[Request State]]),FALSE)=D$6,TAB_Offres[[#This Row],[Reference]],""),"")</f>
        <v/>
      </c>
      <c r="N833" t="str">
        <f>_xlfn.IFNA(IF(VLOOKUP(TAB_Offres[[#This Row],[Reference]],TAB_Offres[[Reference]:[Has Expenses?]],COLUMNS(TAB_Offres[[Reference]:[Has Expenses?]]),FALSE)=J$2,TAB_Offres[[#This Row],[Reference]],""),"")</f>
        <v/>
      </c>
      <c r="O833" t="str">
        <f>IF(Tableau19[[#This Row],[EXPENSES_REF]]="","",MAX(O$1:O832)+1)</f>
        <v/>
      </c>
      <c r="P833" t="str">
        <f t="shared" si="25"/>
        <v/>
      </c>
      <c r="AI833" s="191" t="str">
        <f>IFERROR(_xlfn.SINGLE(
IF(_xlfn.SINGLE(INDEX(TAB_Offres[Ressource 1],ROWS(Params!AI$2:$AI833)))=0,NA(),
INDEX(TAB_Offres[Ressource 1],ROWS(Params!AI$2:$AI833)))),
IFERROR(_xlfn.SINGLE(IF(_xlfn.SINGLE(INDEX(#REF!,ROWS(Params!AI$2:$AI833)-COUNTA(TAB_Offres[Ressource 1])))=0,NA(),
INDEX(#REF!,ROWS(Params!AI$2:$AI833)-COUNTA(TAB_Offres[Ressource 1])))),
IFERROR(_xlfn.SINGLE(IF(_xlfn.SINGLE(INDEX(#REF!,ROWS(Params!AI$2:$AI833)-COUNTA(#REF!)-COUNTA(TAB_Offres[Ressource 1])))=0,NA(),
INDEX(#REF!,ROWS(Params!AI$2:$AI833)-COUNTA(#REF!)-COUNTA(TAB_Offres[Ressource 1])))),""))
)</f>
        <v/>
      </c>
      <c r="AJ833" s="192" t="str">
        <f>IF(TAB_ressource[[#This Row],[Import Ressource]]="","",MAX(AJ$1:AJ832)+1)</f>
        <v/>
      </c>
      <c r="AK833" s="193" t="str">
        <f>IFERROR(INDEX(TAB_ressource[Import Ressource],MATCH(ROW()-ROW($AK$1),TAB_ressource[ID Import ressources],0)),"")</f>
        <v/>
      </c>
      <c r="BE833" t="s">
        <v>3040</v>
      </c>
      <c r="BF833" t="s">
        <v>3041</v>
      </c>
      <c r="BG833" t="s">
        <v>824</v>
      </c>
    </row>
    <row r="834" spans="13:59" x14ac:dyDescent="0.25">
      <c r="M834" t="str">
        <f>_xlfn.IFNA(IF(VLOOKUP(TAB_Offres[[#This Row],[Reference]],TAB_Offres[[Reference]:[Request State]],COLUMNS(TAB_Offres[[Reference]:[Request State]]),FALSE)=D$6,TAB_Offres[[#This Row],[Reference]],""),"")</f>
        <v/>
      </c>
      <c r="N834" t="str">
        <f>_xlfn.IFNA(IF(VLOOKUP(TAB_Offres[[#This Row],[Reference]],TAB_Offres[[Reference]:[Has Expenses?]],COLUMNS(TAB_Offres[[Reference]:[Has Expenses?]]),FALSE)=J$2,TAB_Offres[[#This Row],[Reference]],""),"")</f>
        <v/>
      </c>
      <c r="O834" t="str">
        <f>IF(Tableau19[[#This Row],[EXPENSES_REF]]="","",MAX(O$1:O833)+1)</f>
        <v/>
      </c>
      <c r="P834" t="str">
        <f t="shared" ref="P834:P897" si="26">IFERROR(INDEX($N$2:$N$1001,MATCH(ROW()-ROW($P$1),$O$2:$O$1001,0)),"")</f>
        <v/>
      </c>
      <c r="AI834" s="191" t="str">
        <f>IFERROR(_xlfn.SINGLE(
IF(_xlfn.SINGLE(INDEX(TAB_Offres[Ressource 1],ROWS(Params!AI$2:$AI834)))=0,NA(),
INDEX(TAB_Offres[Ressource 1],ROWS(Params!AI$2:$AI834)))),
IFERROR(_xlfn.SINGLE(IF(_xlfn.SINGLE(INDEX(#REF!,ROWS(Params!AI$2:$AI834)-COUNTA(TAB_Offres[Ressource 1])))=0,NA(),
INDEX(#REF!,ROWS(Params!AI$2:$AI834)-COUNTA(TAB_Offres[Ressource 1])))),
IFERROR(_xlfn.SINGLE(IF(_xlfn.SINGLE(INDEX(#REF!,ROWS(Params!AI$2:$AI834)-COUNTA(#REF!)-COUNTA(TAB_Offres[Ressource 1])))=0,NA(),
INDEX(#REF!,ROWS(Params!AI$2:$AI834)-COUNTA(#REF!)-COUNTA(TAB_Offres[Ressource 1])))),""))
)</f>
        <v/>
      </c>
      <c r="AJ834" s="192" t="str">
        <f>IF(TAB_ressource[[#This Row],[Import Ressource]]="","",MAX(AJ$1:AJ833)+1)</f>
        <v/>
      </c>
      <c r="AK834" s="193" t="str">
        <f>IFERROR(INDEX(TAB_ressource[Import Ressource],MATCH(ROW()-ROW($AK$1),TAB_ressource[ID Import ressources],0)),"")</f>
        <v/>
      </c>
      <c r="BE834" t="s">
        <v>3042</v>
      </c>
      <c r="BF834" t="s">
        <v>3043</v>
      </c>
      <c r="BG834" t="s">
        <v>827</v>
      </c>
    </row>
    <row r="835" spans="13:59" x14ac:dyDescent="0.25">
      <c r="M835" t="str">
        <f>_xlfn.IFNA(IF(VLOOKUP(TAB_Offres[[#This Row],[Reference]],TAB_Offres[[Reference]:[Request State]],COLUMNS(TAB_Offres[[Reference]:[Request State]]),FALSE)=D$6,TAB_Offres[[#This Row],[Reference]],""),"")</f>
        <v/>
      </c>
      <c r="N835" t="str">
        <f>_xlfn.IFNA(IF(VLOOKUP(TAB_Offres[[#This Row],[Reference]],TAB_Offres[[Reference]:[Has Expenses?]],COLUMNS(TAB_Offres[[Reference]:[Has Expenses?]]),FALSE)=J$2,TAB_Offres[[#This Row],[Reference]],""),"")</f>
        <v/>
      </c>
      <c r="O835" t="str">
        <f>IF(Tableau19[[#This Row],[EXPENSES_REF]]="","",MAX(O$1:O834)+1)</f>
        <v/>
      </c>
      <c r="P835" t="str">
        <f t="shared" si="26"/>
        <v/>
      </c>
      <c r="AI835" s="191" t="str">
        <f>IFERROR(_xlfn.SINGLE(
IF(_xlfn.SINGLE(INDEX(TAB_Offres[Ressource 1],ROWS(Params!AI$2:$AI835)))=0,NA(),
INDEX(TAB_Offres[Ressource 1],ROWS(Params!AI$2:$AI835)))),
IFERROR(_xlfn.SINGLE(IF(_xlfn.SINGLE(INDEX(#REF!,ROWS(Params!AI$2:$AI835)-COUNTA(TAB_Offres[Ressource 1])))=0,NA(),
INDEX(#REF!,ROWS(Params!AI$2:$AI835)-COUNTA(TAB_Offres[Ressource 1])))),
IFERROR(_xlfn.SINGLE(IF(_xlfn.SINGLE(INDEX(#REF!,ROWS(Params!AI$2:$AI835)-COUNTA(#REF!)-COUNTA(TAB_Offres[Ressource 1])))=0,NA(),
INDEX(#REF!,ROWS(Params!AI$2:$AI835)-COUNTA(#REF!)-COUNTA(TAB_Offres[Ressource 1])))),""))
)</f>
        <v/>
      </c>
      <c r="AJ835" s="192" t="str">
        <f>IF(TAB_ressource[[#This Row],[Import Ressource]]="","",MAX(AJ$1:AJ834)+1)</f>
        <v/>
      </c>
      <c r="AK835" s="193" t="str">
        <f>IFERROR(INDEX(TAB_ressource[Import Ressource],MATCH(ROW()-ROW($AK$1),TAB_ressource[ID Import ressources],0)),"")</f>
        <v/>
      </c>
      <c r="BE835" t="s">
        <v>3044</v>
      </c>
      <c r="BF835" t="s">
        <v>3045</v>
      </c>
      <c r="BG835" t="s">
        <v>830</v>
      </c>
    </row>
    <row r="836" spans="13:59" x14ac:dyDescent="0.25">
      <c r="M836" t="str">
        <f>_xlfn.IFNA(IF(VLOOKUP(TAB_Offres[[#This Row],[Reference]],TAB_Offres[[Reference]:[Request State]],COLUMNS(TAB_Offres[[Reference]:[Request State]]),FALSE)=D$6,TAB_Offres[[#This Row],[Reference]],""),"")</f>
        <v/>
      </c>
      <c r="N836" t="str">
        <f>_xlfn.IFNA(IF(VLOOKUP(TAB_Offres[[#This Row],[Reference]],TAB_Offres[[Reference]:[Has Expenses?]],COLUMNS(TAB_Offres[[Reference]:[Has Expenses?]]),FALSE)=J$2,TAB_Offres[[#This Row],[Reference]],""),"")</f>
        <v/>
      </c>
      <c r="O836" t="str">
        <f>IF(Tableau19[[#This Row],[EXPENSES_REF]]="","",MAX(O$1:O835)+1)</f>
        <v/>
      </c>
      <c r="P836" t="str">
        <f t="shared" si="26"/>
        <v/>
      </c>
      <c r="AI836" s="191" t="str">
        <f>IFERROR(_xlfn.SINGLE(
IF(_xlfn.SINGLE(INDEX(TAB_Offres[Ressource 1],ROWS(Params!AI$2:$AI836)))=0,NA(),
INDEX(TAB_Offres[Ressource 1],ROWS(Params!AI$2:$AI836)))),
IFERROR(_xlfn.SINGLE(IF(_xlfn.SINGLE(INDEX(#REF!,ROWS(Params!AI$2:$AI836)-COUNTA(TAB_Offres[Ressource 1])))=0,NA(),
INDEX(#REF!,ROWS(Params!AI$2:$AI836)-COUNTA(TAB_Offres[Ressource 1])))),
IFERROR(_xlfn.SINGLE(IF(_xlfn.SINGLE(INDEX(#REF!,ROWS(Params!AI$2:$AI836)-COUNTA(#REF!)-COUNTA(TAB_Offres[Ressource 1])))=0,NA(),
INDEX(#REF!,ROWS(Params!AI$2:$AI836)-COUNTA(#REF!)-COUNTA(TAB_Offres[Ressource 1])))),""))
)</f>
        <v/>
      </c>
      <c r="AJ836" s="192" t="str">
        <f>IF(TAB_ressource[[#This Row],[Import Ressource]]="","",MAX(AJ$1:AJ835)+1)</f>
        <v/>
      </c>
      <c r="AK836" s="193" t="str">
        <f>IFERROR(INDEX(TAB_ressource[Import Ressource],MATCH(ROW()-ROW($AK$1),TAB_ressource[ID Import ressources],0)),"")</f>
        <v/>
      </c>
      <c r="BE836" t="s">
        <v>3046</v>
      </c>
      <c r="BF836" t="s">
        <v>3047</v>
      </c>
      <c r="BG836" t="s">
        <v>833</v>
      </c>
    </row>
    <row r="837" spans="13:59" x14ac:dyDescent="0.25">
      <c r="M837" t="str">
        <f>_xlfn.IFNA(IF(VLOOKUP(TAB_Offres[[#This Row],[Reference]],TAB_Offres[[Reference]:[Request State]],COLUMNS(TAB_Offres[[Reference]:[Request State]]),FALSE)=D$6,TAB_Offres[[#This Row],[Reference]],""),"")</f>
        <v/>
      </c>
      <c r="N837" t="str">
        <f>_xlfn.IFNA(IF(VLOOKUP(TAB_Offres[[#This Row],[Reference]],TAB_Offres[[Reference]:[Has Expenses?]],COLUMNS(TAB_Offres[[Reference]:[Has Expenses?]]),FALSE)=J$2,TAB_Offres[[#This Row],[Reference]],""),"")</f>
        <v/>
      </c>
      <c r="O837" t="str">
        <f>IF(Tableau19[[#This Row],[EXPENSES_REF]]="","",MAX(O$1:O836)+1)</f>
        <v/>
      </c>
      <c r="P837" t="str">
        <f t="shared" si="26"/>
        <v/>
      </c>
      <c r="AI837" s="191" t="str">
        <f>IFERROR(_xlfn.SINGLE(
IF(_xlfn.SINGLE(INDEX(TAB_Offres[Ressource 1],ROWS(Params!AI$2:$AI837)))=0,NA(),
INDEX(TAB_Offres[Ressource 1],ROWS(Params!AI$2:$AI837)))),
IFERROR(_xlfn.SINGLE(IF(_xlfn.SINGLE(INDEX(#REF!,ROWS(Params!AI$2:$AI837)-COUNTA(TAB_Offres[Ressource 1])))=0,NA(),
INDEX(#REF!,ROWS(Params!AI$2:$AI837)-COUNTA(TAB_Offres[Ressource 1])))),
IFERROR(_xlfn.SINGLE(IF(_xlfn.SINGLE(INDEX(#REF!,ROWS(Params!AI$2:$AI837)-COUNTA(#REF!)-COUNTA(TAB_Offres[Ressource 1])))=0,NA(),
INDEX(#REF!,ROWS(Params!AI$2:$AI837)-COUNTA(#REF!)-COUNTA(TAB_Offres[Ressource 1])))),""))
)</f>
        <v/>
      </c>
      <c r="AJ837" s="192" t="str">
        <f>IF(TAB_ressource[[#This Row],[Import Ressource]]="","",MAX(AJ$1:AJ836)+1)</f>
        <v/>
      </c>
      <c r="AK837" s="193" t="str">
        <f>IFERROR(INDEX(TAB_ressource[Import Ressource],MATCH(ROW()-ROW($AK$1),TAB_ressource[ID Import ressources],0)),"")</f>
        <v/>
      </c>
      <c r="BE837" t="s">
        <v>3048</v>
      </c>
      <c r="BF837" t="s">
        <v>3049</v>
      </c>
      <c r="BG837" t="s">
        <v>836</v>
      </c>
    </row>
    <row r="838" spans="13:59" x14ac:dyDescent="0.25">
      <c r="M838" t="str">
        <f>_xlfn.IFNA(IF(VLOOKUP(TAB_Offres[[#This Row],[Reference]],TAB_Offres[[Reference]:[Request State]],COLUMNS(TAB_Offres[[Reference]:[Request State]]),FALSE)=D$6,TAB_Offres[[#This Row],[Reference]],""),"")</f>
        <v/>
      </c>
      <c r="N838" t="str">
        <f>_xlfn.IFNA(IF(VLOOKUP(TAB_Offres[[#This Row],[Reference]],TAB_Offres[[Reference]:[Has Expenses?]],COLUMNS(TAB_Offres[[Reference]:[Has Expenses?]]),FALSE)=J$2,TAB_Offres[[#This Row],[Reference]],""),"")</f>
        <v/>
      </c>
      <c r="O838" t="str">
        <f>IF(Tableau19[[#This Row],[EXPENSES_REF]]="","",MAX(O$1:O837)+1)</f>
        <v/>
      </c>
      <c r="P838" t="str">
        <f t="shared" si="26"/>
        <v/>
      </c>
      <c r="AI838" s="191" t="str">
        <f>IFERROR(_xlfn.SINGLE(
IF(_xlfn.SINGLE(INDEX(TAB_Offres[Ressource 1],ROWS(Params!AI$2:$AI838)))=0,NA(),
INDEX(TAB_Offres[Ressource 1],ROWS(Params!AI$2:$AI838)))),
IFERROR(_xlfn.SINGLE(IF(_xlfn.SINGLE(INDEX(#REF!,ROWS(Params!AI$2:$AI838)-COUNTA(TAB_Offres[Ressource 1])))=0,NA(),
INDEX(#REF!,ROWS(Params!AI$2:$AI838)-COUNTA(TAB_Offres[Ressource 1])))),
IFERROR(_xlfn.SINGLE(IF(_xlfn.SINGLE(INDEX(#REF!,ROWS(Params!AI$2:$AI838)-COUNTA(#REF!)-COUNTA(TAB_Offres[Ressource 1])))=0,NA(),
INDEX(#REF!,ROWS(Params!AI$2:$AI838)-COUNTA(#REF!)-COUNTA(TAB_Offres[Ressource 1])))),""))
)</f>
        <v/>
      </c>
      <c r="AJ838" s="192" t="str">
        <f>IF(TAB_ressource[[#This Row],[Import Ressource]]="","",MAX(AJ$1:AJ837)+1)</f>
        <v/>
      </c>
      <c r="AK838" s="193" t="str">
        <f>IFERROR(INDEX(TAB_ressource[Import Ressource],MATCH(ROW()-ROW($AK$1),TAB_ressource[ID Import ressources],0)),"")</f>
        <v/>
      </c>
      <c r="BE838" t="s">
        <v>3050</v>
      </c>
      <c r="BF838" t="s">
        <v>3051</v>
      </c>
      <c r="BG838" t="s">
        <v>839</v>
      </c>
    </row>
    <row r="839" spans="13:59" x14ac:dyDescent="0.25">
      <c r="M839" t="str">
        <f>_xlfn.IFNA(IF(VLOOKUP(TAB_Offres[[#This Row],[Reference]],TAB_Offres[[Reference]:[Request State]],COLUMNS(TAB_Offres[[Reference]:[Request State]]),FALSE)=D$6,TAB_Offres[[#This Row],[Reference]],""),"")</f>
        <v/>
      </c>
      <c r="N839" t="str">
        <f>_xlfn.IFNA(IF(VLOOKUP(TAB_Offres[[#This Row],[Reference]],TAB_Offres[[Reference]:[Has Expenses?]],COLUMNS(TAB_Offres[[Reference]:[Has Expenses?]]),FALSE)=J$2,TAB_Offres[[#This Row],[Reference]],""),"")</f>
        <v/>
      </c>
      <c r="O839" t="str">
        <f>IF(Tableau19[[#This Row],[EXPENSES_REF]]="","",MAX(O$1:O838)+1)</f>
        <v/>
      </c>
      <c r="P839" t="str">
        <f t="shared" si="26"/>
        <v/>
      </c>
      <c r="AI839" s="191" t="str">
        <f>IFERROR(_xlfn.SINGLE(
IF(_xlfn.SINGLE(INDEX(TAB_Offres[Ressource 1],ROWS(Params!AI$2:$AI839)))=0,NA(),
INDEX(TAB_Offres[Ressource 1],ROWS(Params!AI$2:$AI839)))),
IFERROR(_xlfn.SINGLE(IF(_xlfn.SINGLE(INDEX(#REF!,ROWS(Params!AI$2:$AI839)-COUNTA(TAB_Offres[Ressource 1])))=0,NA(),
INDEX(#REF!,ROWS(Params!AI$2:$AI839)-COUNTA(TAB_Offres[Ressource 1])))),
IFERROR(_xlfn.SINGLE(IF(_xlfn.SINGLE(INDEX(#REF!,ROWS(Params!AI$2:$AI839)-COUNTA(#REF!)-COUNTA(TAB_Offres[Ressource 1])))=0,NA(),
INDEX(#REF!,ROWS(Params!AI$2:$AI839)-COUNTA(#REF!)-COUNTA(TAB_Offres[Ressource 1])))),""))
)</f>
        <v/>
      </c>
      <c r="AJ839" s="192" t="str">
        <f>IF(TAB_ressource[[#This Row],[Import Ressource]]="","",MAX(AJ$1:AJ838)+1)</f>
        <v/>
      </c>
      <c r="AK839" s="193" t="str">
        <f>IFERROR(INDEX(TAB_ressource[Import Ressource],MATCH(ROW()-ROW($AK$1),TAB_ressource[ID Import ressources],0)),"")</f>
        <v/>
      </c>
      <c r="BE839" t="s">
        <v>3052</v>
      </c>
      <c r="BF839" t="s">
        <v>3053</v>
      </c>
      <c r="BG839" t="s">
        <v>842</v>
      </c>
    </row>
    <row r="840" spans="13:59" x14ac:dyDescent="0.25">
      <c r="M840" t="str">
        <f>_xlfn.IFNA(IF(VLOOKUP(TAB_Offres[[#This Row],[Reference]],TAB_Offres[[Reference]:[Request State]],COLUMNS(TAB_Offres[[Reference]:[Request State]]),FALSE)=D$6,TAB_Offres[[#This Row],[Reference]],""),"")</f>
        <v/>
      </c>
      <c r="N840" t="str">
        <f>_xlfn.IFNA(IF(VLOOKUP(TAB_Offres[[#This Row],[Reference]],TAB_Offres[[Reference]:[Has Expenses?]],COLUMNS(TAB_Offres[[Reference]:[Has Expenses?]]),FALSE)=J$2,TAB_Offres[[#This Row],[Reference]],""),"")</f>
        <v/>
      </c>
      <c r="O840" t="str">
        <f>IF(Tableau19[[#This Row],[EXPENSES_REF]]="","",MAX(O$1:O839)+1)</f>
        <v/>
      </c>
      <c r="P840" t="str">
        <f t="shared" si="26"/>
        <v/>
      </c>
      <c r="AI840" s="191" t="str">
        <f>IFERROR(_xlfn.SINGLE(
IF(_xlfn.SINGLE(INDEX(TAB_Offres[Ressource 1],ROWS(Params!AI$2:$AI840)))=0,NA(),
INDEX(TAB_Offres[Ressource 1],ROWS(Params!AI$2:$AI840)))),
IFERROR(_xlfn.SINGLE(IF(_xlfn.SINGLE(INDEX(#REF!,ROWS(Params!AI$2:$AI840)-COUNTA(TAB_Offres[Ressource 1])))=0,NA(),
INDEX(#REF!,ROWS(Params!AI$2:$AI840)-COUNTA(TAB_Offres[Ressource 1])))),
IFERROR(_xlfn.SINGLE(IF(_xlfn.SINGLE(INDEX(#REF!,ROWS(Params!AI$2:$AI840)-COUNTA(#REF!)-COUNTA(TAB_Offres[Ressource 1])))=0,NA(),
INDEX(#REF!,ROWS(Params!AI$2:$AI840)-COUNTA(#REF!)-COUNTA(TAB_Offres[Ressource 1])))),""))
)</f>
        <v/>
      </c>
      <c r="AJ840" s="192" t="str">
        <f>IF(TAB_ressource[[#This Row],[Import Ressource]]="","",MAX(AJ$1:AJ839)+1)</f>
        <v/>
      </c>
      <c r="AK840" s="193" t="str">
        <f>IFERROR(INDEX(TAB_ressource[Import Ressource],MATCH(ROW()-ROW($AK$1),TAB_ressource[ID Import ressources],0)),"")</f>
        <v/>
      </c>
      <c r="BE840" t="s">
        <v>3054</v>
      </c>
      <c r="BF840" t="s">
        <v>3055</v>
      </c>
      <c r="BG840" t="s">
        <v>845</v>
      </c>
    </row>
    <row r="841" spans="13:59" x14ac:dyDescent="0.25">
      <c r="M841" t="str">
        <f>_xlfn.IFNA(IF(VLOOKUP(TAB_Offres[[#This Row],[Reference]],TAB_Offres[[Reference]:[Request State]],COLUMNS(TAB_Offres[[Reference]:[Request State]]),FALSE)=D$6,TAB_Offres[[#This Row],[Reference]],""),"")</f>
        <v/>
      </c>
      <c r="N841" t="str">
        <f>_xlfn.IFNA(IF(VLOOKUP(TAB_Offres[[#This Row],[Reference]],TAB_Offres[[Reference]:[Has Expenses?]],COLUMNS(TAB_Offres[[Reference]:[Has Expenses?]]),FALSE)=J$2,TAB_Offres[[#This Row],[Reference]],""),"")</f>
        <v/>
      </c>
      <c r="O841" t="str">
        <f>IF(Tableau19[[#This Row],[EXPENSES_REF]]="","",MAX(O$1:O840)+1)</f>
        <v/>
      </c>
      <c r="P841" t="str">
        <f t="shared" si="26"/>
        <v/>
      </c>
      <c r="AI841" s="191" t="str">
        <f>IFERROR(_xlfn.SINGLE(
IF(_xlfn.SINGLE(INDEX(TAB_Offres[Ressource 1],ROWS(Params!AI$2:$AI841)))=0,NA(),
INDEX(TAB_Offres[Ressource 1],ROWS(Params!AI$2:$AI841)))),
IFERROR(_xlfn.SINGLE(IF(_xlfn.SINGLE(INDEX(#REF!,ROWS(Params!AI$2:$AI841)-COUNTA(TAB_Offres[Ressource 1])))=0,NA(),
INDEX(#REF!,ROWS(Params!AI$2:$AI841)-COUNTA(TAB_Offres[Ressource 1])))),
IFERROR(_xlfn.SINGLE(IF(_xlfn.SINGLE(INDEX(#REF!,ROWS(Params!AI$2:$AI841)-COUNTA(#REF!)-COUNTA(TAB_Offres[Ressource 1])))=0,NA(),
INDEX(#REF!,ROWS(Params!AI$2:$AI841)-COUNTA(#REF!)-COUNTA(TAB_Offres[Ressource 1])))),""))
)</f>
        <v/>
      </c>
      <c r="AJ841" s="192" t="str">
        <f>IF(TAB_ressource[[#This Row],[Import Ressource]]="","",MAX(AJ$1:AJ840)+1)</f>
        <v/>
      </c>
      <c r="AK841" s="193" t="str">
        <f>IFERROR(INDEX(TAB_ressource[Import Ressource],MATCH(ROW()-ROW($AK$1),TAB_ressource[ID Import ressources],0)),"")</f>
        <v/>
      </c>
      <c r="BE841" t="s">
        <v>3056</v>
      </c>
      <c r="BF841" t="s">
        <v>3057</v>
      </c>
      <c r="BG841" t="s">
        <v>848</v>
      </c>
    </row>
    <row r="842" spans="13:59" x14ac:dyDescent="0.25">
      <c r="M842" t="str">
        <f>_xlfn.IFNA(IF(VLOOKUP(TAB_Offres[[#This Row],[Reference]],TAB_Offres[[Reference]:[Request State]],COLUMNS(TAB_Offres[[Reference]:[Request State]]),FALSE)=D$6,TAB_Offres[[#This Row],[Reference]],""),"")</f>
        <v/>
      </c>
      <c r="N842" t="str">
        <f>_xlfn.IFNA(IF(VLOOKUP(TAB_Offres[[#This Row],[Reference]],TAB_Offres[[Reference]:[Has Expenses?]],COLUMNS(TAB_Offres[[Reference]:[Has Expenses?]]),FALSE)=J$2,TAB_Offres[[#This Row],[Reference]],""),"")</f>
        <v/>
      </c>
      <c r="O842" t="str">
        <f>IF(Tableau19[[#This Row],[EXPENSES_REF]]="","",MAX(O$1:O841)+1)</f>
        <v/>
      </c>
      <c r="P842" t="str">
        <f t="shared" si="26"/>
        <v/>
      </c>
      <c r="AI842" s="191" t="str">
        <f>IFERROR(_xlfn.SINGLE(
IF(_xlfn.SINGLE(INDEX(TAB_Offres[Ressource 1],ROWS(Params!AI$2:$AI842)))=0,NA(),
INDEX(TAB_Offres[Ressource 1],ROWS(Params!AI$2:$AI842)))),
IFERROR(_xlfn.SINGLE(IF(_xlfn.SINGLE(INDEX(#REF!,ROWS(Params!AI$2:$AI842)-COUNTA(TAB_Offres[Ressource 1])))=0,NA(),
INDEX(#REF!,ROWS(Params!AI$2:$AI842)-COUNTA(TAB_Offres[Ressource 1])))),
IFERROR(_xlfn.SINGLE(IF(_xlfn.SINGLE(INDEX(#REF!,ROWS(Params!AI$2:$AI842)-COUNTA(#REF!)-COUNTA(TAB_Offres[Ressource 1])))=0,NA(),
INDEX(#REF!,ROWS(Params!AI$2:$AI842)-COUNTA(#REF!)-COUNTA(TAB_Offres[Ressource 1])))),""))
)</f>
        <v/>
      </c>
      <c r="AJ842" s="192" t="str">
        <f>IF(TAB_ressource[[#This Row],[Import Ressource]]="","",MAX(AJ$1:AJ841)+1)</f>
        <v/>
      </c>
      <c r="AK842" s="193" t="str">
        <f>IFERROR(INDEX(TAB_ressource[Import Ressource],MATCH(ROW()-ROW($AK$1),TAB_ressource[ID Import ressources],0)),"")</f>
        <v/>
      </c>
      <c r="BE842" t="s">
        <v>3058</v>
      </c>
      <c r="BF842" t="s">
        <v>3059</v>
      </c>
      <c r="BG842" t="s">
        <v>851</v>
      </c>
    </row>
    <row r="843" spans="13:59" x14ac:dyDescent="0.25">
      <c r="M843" t="str">
        <f>_xlfn.IFNA(IF(VLOOKUP(TAB_Offres[[#This Row],[Reference]],TAB_Offres[[Reference]:[Request State]],COLUMNS(TAB_Offres[[Reference]:[Request State]]),FALSE)=D$6,TAB_Offres[[#This Row],[Reference]],""),"")</f>
        <v/>
      </c>
      <c r="N843" t="str">
        <f>_xlfn.IFNA(IF(VLOOKUP(TAB_Offres[[#This Row],[Reference]],TAB_Offres[[Reference]:[Has Expenses?]],COLUMNS(TAB_Offres[[Reference]:[Has Expenses?]]),FALSE)=J$2,TAB_Offres[[#This Row],[Reference]],""),"")</f>
        <v/>
      </c>
      <c r="O843" t="str">
        <f>IF(Tableau19[[#This Row],[EXPENSES_REF]]="","",MAX(O$1:O842)+1)</f>
        <v/>
      </c>
      <c r="P843" t="str">
        <f t="shared" si="26"/>
        <v/>
      </c>
      <c r="AI843" s="191" t="str">
        <f>IFERROR(_xlfn.SINGLE(
IF(_xlfn.SINGLE(INDEX(TAB_Offres[Ressource 1],ROWS(Params!AI$2:$AI843)))=0,NA(),
INDEX(TAB_Offres[Ressource 1],ROWS(Params!AI$2:$AI843)))),
IFERROR(_xlfn.SINGLE(IF(_xlfn.SINGLE(INDEX(#REF!,ROWS(Params!AI$2:$AI843)-COUNTA(TAB_Offres[Ressource 1])))=0,NA(),
INDEX(#REF!,ROWS(Params!AI$2:$AI843)-COUNTA(TAB_Offres[Ressource 1])))),
IFERROR(_xlfn.SINGLE(IF(_xlfn.SINGLE(INDEX(#REF!,ROWS(Params!AI$2:$AI843)-COUNTA(#REF!)-COUNTA(TAB_Offres[Ressource 1])))=0,NA(),
INDEX(#REF!,ROWS(Params!AI$2:$AI843)-COUNTA(#REF!)-COUNTA(TAB_Offres[Ressource 1])))),""))
)</f>
        <v/>
      </c>
      <c r="AJ843" s="192" t="str">
        <f>IF(TAB_ressource[[#This Row],[Import Ressource]]="","",MAX(AJ$1:AJ842)+1)</f>
        <v/>
      </c>
      <c r="AK843" s="193" t="str">
        <f>IFERROR(INDEX(TAB_ressource[Import Ressource],MATCH(ROW()-ROW($AK$1),TAB_ressource[ID Import ressources],0)),"")</f>
        <v/>
      </c>
      <c r="BE843" t="s">
        <v>3060</v>
      </c>
      <c r="BF843" t="s">
        <v>3061</v>
      </c>
      <c r="BG843" t="s">
        <v>854</v>
      </c>
    </row>
    <row r="844" spans="13:59" x14ac:dyDescent="0.25">
      <c r="M844" t="str">
        <f>_xlfn.IFNA(IF(VLOOKUP(TAB_Offres[[#This Row],[Reference]],TAB_Offres[[Reference]:[Request State]],COLUMNS(TAB_Offres[[Reference]:[Request State]]),FALSE)=D$6,TAB_Offres[[#This Row],[Reference]],""),"")</f>
        <v/>
      </c>
      <c r="N844" t="str">
        <f>_xlfn.IFNA(IF(VLOOKUP(TAB_Offres[[#This Row],[Reference]],TAB_Offres[[Reference]:[Has Expenses?]],COLUMNS(TAB_Offres[[Reference]:[Has Expenses?]]),FALSE)=J$2,TAB_Offres[[#This Row],[Reference]],""),"")</f>
        <v/>
      </c>
      <c r="O844" t="str">
        <f>IF(Tableau19[[#This Row],[EXPENSES_REF]]="","",MAX(O$1:O843)+1)</f>
        <v/>
      </c>
      <c r="P844" t="str">
        <f t="shared" si="26"/>
        <v/>
      </c>
      <c r="AI844" s="191" t="str">
        <f>IFERROR(_xlfn.SINGLE(
IF(_xlfn.SINGLE(INDEX(TAB_Offres[Ressource 1],ROWS(Params!AI$2:$AI844)))=0,NA(),
INDEX(TAB_Offres[Ressource 1],ROWS(Params!AI$2:$AI844)))),
IFERROR(_xlfn.SINGLE(IF(_xlfn.SINGLE(INDEX(#REF!,ROWS(Params!AI$2:$AI844)-COUNTA(TAB_Offres[Ressource 1])))=0,NA(),
INDEX(#REF!,ROWS(Params!AI$2:$AI844)-COUNTA(TAB_Offres[Ressource 1])))),
IFERROR(_xlfn.SINGLE(IF(_xlfn.SINGLE(INDEX(#REF!,ROWS(Params!AI$2:$AI844)-COUNTA(#REF!)-COUNTA(TAB_Offres[Ressource 1])))=0,NA(),
INDEX(#REF!,ROWS(Params!AI$2:$AI844)-COUNTA(#REF!)-COUNTA(TAB_Offres[Ressource 1])))),""))
)</f>
        <v/>
      </c>
      <c r="AJ844" s="192" t="str">
        <f>IF(TAB_ressource[[#This Row],[Import Ressource]]="","",MAX(AJ$1:AJ843)+1)</f>
        <v/>
      </c>
      <c r="AK844" s="193" t="str">
        <f>IFERROR(INDEX(TAB_ressource[Import Ressource],MATCH(ROW()-ROW($AK$1),TAB_ressource[ID Import ressources],0)),"")</f>
        <v/>
      </c>
      <c r="BE844" t="s">
        <v>3062</v>
      </c>
      <c r="BF844" t="s">
        <v>3063</v>
      </c>
      <c r="BG844" t="s">
        <v>857</v>
      </c>
    </row>
    <row r="845" spans="13:59" x14ac:dyDescent="0.25">
      <c r="M845" t="str">
        <f>_xlfn.IFNA(IF(VLOOKUP(TAB_Offres[[#This Row],[Reference]],TAB_Offres[[Reference]:[Request State]],COLUMNS(TAB_Offres[[Reference]:[Request State]]),FALSE)=D$6,TAB_Offres[[#This Row],[Reference]],""),"")</f>
        <v/>
      </c>
      <c r="N845" t="str">
        <f>_xlfn.IFNA(IF(VLOOKUP(TAB_Offres[[#This Row],[Reference]],TAB_Offres[[Reference]:[Has Expenses?]],COLUMNS(TAB_Offres[[Reference]:[Has Expenses?]]),FALSE)=J$2,TAB_Offres[[#This Row],[Reference]],""),"")</f>
        <v/>
      </c>
      <c r="O845" t="str">
        <f>IF(Tableau19[[#This Row],[EXPENSES_REF]]="","",MAX(O$1:O844)+1)</f>
        <v/>
      </c>
      <c r="P845" t="str">
        <f t="shared" si="26"/>
        <v/>
      </c>
      <c r="AI845" s="191" t="str">
        <f>IFERROR(_xlfn.SINGLE(
IF(_xlfn.SINGLE(INDEX(TAB_Offres[Ressource 1],ROWS(Params!AI$2:$AI845)))=0,NA(),
INDEX(TAB_Offres[Ressource 1],ROWS(Params!AI$2:$AI845)))),
IFERROR(_xlfn.SINGLE(IF(_xlfn.SINGLE(INDEX(#REF!,ROWS(Params!AI$2:$AI845)-COUNTA(TAB_Offres[Ressource 1])))=0,NA(),
INDEX(#REF!,ROWS(Params!AI$2:$AI845)-COUNTA(TAB_Offres[Ressource 1])))),
IFERROR(_xlfn.SINGLE(IF(_xlfn.SINGLE(INDEX(#REF!,ROWS(Params!AI$2:$AI845)-COUNTA(#REF!)-COUNTA(TAB_Offres[Ressource 1])))=0,NA(),
INDEX(#REF!,ROWS(Params!AI$2:$AI845)-COUNTA(#REF!)-COUNTA(TAB_Offres[Ressource 1])))),""))
)</f>
        <v/>
      </c>
      <c r="AJ845" s="192" t="str">
        <f>IF(TAB_ressource[[#This Row],[Import Ressource]]="","",MAX(AJ$1:AJ844)+1)</f>
        <v/>
      </c>
      <c r="AK845" s="193" t="str">
        <f>IFERROR(INDEX(TAB_ressource[Import Ressource],MATCH(ROW()-ROW($AK$1),TAB_ressource[ID Import ressources],0)),"")</f>
        <v/>
      </c>
      <c r="BE845" t="s">
        <v>3064</v>
      </c>
      <c r="BF845" t="s">
        <v>3065</v>
      </c>
      <c r="BG845" t="s">
        <v>860</v>
      </c>
    </row>
    <row r="846" spans="13:59" x14ac:dyDescent="0.25">
      <c r="M846" t="str">
        <f>_xlfn.IFNA(IF(VLOOKUP(TAB_Offres[[#This Row],[Reference]],TAB_Offres[[Reference]:[Request State]],COLUMNS(TAB_Offres[[Reference]:[Request State]]),FALSE)=D$6,TAB_Offres[[#This Row],[Reference]],""),"")</f>
        <v/>
      </c>
      <c r="N846" t="str">
        <f>_xlfn.IFNA(IF(VLOOKUP(TAB_Offres[[#This Row],[Reference]],TAB_Offres[[Reference]:[Has Expenses?]],COLUMNS(TAB_Offres[[Reference]:[Has Expenses?]]),FALSE)=J$2,TAB_Offres[[#This Row],[Reference]],""),"")</f>
        <v/>
      </c>
      <c r="O846" t="str">
        <f>IF(Tableau19[[#This Row],[EXPENSES_REF]]="","",MAX(O$1:O845)+1)</f>
        <v/>
      </c>
      <c r="P846" t="str">
        <f t="shared" si="26"/>
        <v/>
      </c>
      <c r="AI846" s="191" t="str">
        <f>IFERROR(_xlfn.SINGLE(
IF(_xlfn.SINGLE(INDEX(TAB_Offres[Ressource 1],ROWS(Params!AI$2:$AI846)))=0,NA(),
INDEX(TAB_Offres[Ressource 1],ROWS(Params!AI$2:$AI846)))),
IFERROR(_xlfn.SINGLE(IF(_xlfn.SINGLE(INDEX(#REF!,ROWS(Params!AI$2:$AI846)-COUNTA(TAB_Offres[Ressource 1])))=0,NA(),
INDEX(#REF!,ROWS(Params!AI$2:$AI846)-COUNTA(TAB_Offres[Ressource 1])))),
IFERROR(_xlfn.SINGLE(IF(_xlfn.SINGLE(INDEX(#REF!,ROWS(Params!AI$2:$AI846)-COUNTA(#REF!)-COUNTA(TAB_Offres[Ressource 1])))=0,NA(),
INDEX(#REF!,ROWS(Params!AI$2:$AI846)-COUNTA(#REF!)-COUNTA(TAB_Offres[Ressource 1])))),""))
)</f>
        <v/>
      </c>
      <c r="AJ846" s="192" t="str">
        <f>IF(TAB_ressource[[#This Row],[Import Ressource]]="","",MAX(AJ$1:AJ845)+1)</f>
        <v/>
      </c>
      <c r="AK846" s="193" t="str">
        <f>IFERROR(INDEX(TAB_ressource[Import Ressource],MATCH(ROW()-ROW($AK$1),TAB_ressource[ID Import ressources],0)),"")</f>
        <v/>
      </c>
      <c r="BE846" t="s">
        <v>3066</v>
      </c>
      <c r="BF846" t="s">
        <v>3067</v>
      </c>
      <c r="BG846" t="s">
        <v>863</v>
      </c>
    </row>
    <row r="847" spans="13:59" x14ac:dyDescent="0.25">
      <c r="M847" t="str">
        <f>_xlfn.IFNA(IF(VLOOKUP(TAB_Offres[[#This Row],[Reference]],TAB_Offres[[Reference]:[Request State]],COLUMNS(TAB_Offres[[Reference]:[Request State]]),FALSE)=D$6,TAB_Offres[[#This Row],[Reference]],""),"")</f>
        <v/>
      </c>
      <c r="N847" t="str">
        <f>_xlfn.IFNA(IF(VLOOKUP(TAB_Offres[[#This Row],[Reference]],TAB_Offres[[Reference]:[Has Expenses?]],COLUMNS(TAB_Offres[[Reference]:[Has Expenses?]]),FALSE)=J$2,TAB_Offres[[#This Row],[Reference]],""),"")</f>
        <v/>
      </c>
      <c r="O847" t="str">
        <f>IF(Tableau19[[#This Row],[EXPENSES_REF]]="","",MAX(O$1:O846)+1)</f>
        <v/>
      </c>
      <c r="P847" t="str">
        <f t="shared" si="26"/>
        <v/>
      </c>
      <c r="AI847" s="191" t="str">
        <f>IFERROR(_xlfn.SINGLE(
IF(_xlfn.SINGLE(INDEX(TAB_Offres[Ressource 1],ROWS(Params!AI$2:$AI847)))=0,NA(),
INDEX(TAB_Offres[Ressource 1],ROWS(Params!AI$2:$AI847)))),
IFERROR(_xlfn.SINGLE(IF(_xlfn.SINGLE(INDEX(#REF!,ROWS(Params!AI$2:$AI847)-COUNTA(TAB_Offres[Ressource 1])))=0,NA(),
INDEX(#REF!,ROWS(Params!AI$2:$AI847)-COUNTA(TAB_Offres[Ressource 1])))),
IFERROR(_xlfn.SINGLE(IF(_xlfn.SINGLE(INDEX(#REF!,ROWS(Params!AI$2:$AI847)-COUNTA(#REF!)-COUNTA(TAB_Offres[Ressource 1])))=0,NA(),
INDEX(#REF!,ROWS(Params!AI$2:$AI847)-COUNTA(#REF!)-COUNTA(TAB_Offres[Ressource 1])))),""))
)</f>
        <v/>
      </c>
      <c r="AJ847" s="192" t="str">
        <f>IF(TAB_ressource[[#This Row],[Import Ressource]]="","",MAX(AJ$1:AJ846)+1)</f>
        <v/>
      </c>
      <c r="AK847" s="193" t="str">
        <f>IFERROR(INDEX(TAB_ressource[Import Ressource],MATCH(ROW()-ROW($AK$1),TAB_ressource[ID Import ressources],0)),"")</f>
        <v/>
      </c>
      <c r="BE847" t="s">
        <v>3068</v>
      </c>
      <c r="BF847" t="s">
        <v>3069</v>
      </c>
      <c r="BG847" t="s">
        <v>866</v>
      </c>
    </row>
    <row r="848" spans="13:59" x14ac:dyDescent="0.25">
      <c r="M848" t="str">
        <f>_xlfn.IFNA(IF(VLOOKUP(TAB_Offres[[#This Row],[Reference]],TAB_Offres[[Reference]:[Request State]],COLUMNS(TAB_Offres[[Reference]:[Request State]]),FALSE)=D$6,TAB_Offres[[#This Row],[Reference]],""),"")</f>
        <v/>
      </c>
      <c r="N848" t="str">
        <f>_xlfn.IFNA(IF(VLOOKUP(TAB_Offres[[#This Row],[Reference]],TAB_Offres[[Reference]:[Has Expenses?]],COLUMNS(TAB_Offres[[Reference]:[Has Expenses?]]),FALSE)=J$2,TAB_Offres[[#This Row],[Reference]],""),"")</f>
        <v/>
      </c>
      <c r="O848" t="str">
        <f>IF(Tableau19[[#This Row],[EXPENSES_REF]]="","",MAX(O$1:O847)+1)</f>
        <v/>
      </c>
      <c r="P848" t="str">
        <f t="shared" si="26"/>
        <v/>
      </c>
      <c r="AI848" s="191" t="str">
        <f>IFERROR(_xlfn.SINGLE(
IF(_xlfn.SINGLE(INDEX(TAB_Offres[Ressource 1],ROWS(Params!AI$2:$AI848)))=0,NA(),
INDEX(TAB_Offres[Ressource 1],ROWS(Params!AI$2:$AI848)))),
IFERROR(_xlfn.SINGLE(IF(_xlfn.SINGLE(INDEX(#REF!,ROWS(Params!AI$2:$AI848)-COUNTA(TAB_Offres[Ressource 1])))=0,NA(),
INDEX(#REF!,ROWS(Params!AI$2:$AI848)-COUNTA(TAB_Offres[Ressource 1])))),
IFERROR(_xlfn.SINGLE(IF(_xlfn.SINGLE(INDEX(#REF!,ROWS(Params!AI$2:$AI848)-COUNTA(#REF!)-COUNTA(TAB_Offres[Ressource 1])))=0,NA(),
INDEX(#REF!,ROWS(Params!AI$2:$AI848)-COUNTA(#REF!)-COUNTA(TAB_Offres[Ressource 1])))),""))
)</f>
        <v/>
      </c>
      <c r="AJ848" s="192" t="str">
        <f>IF(TAB_ressource[[#This Row],[Import Ressource]]="","",MAX(AJ$1:AJ847)+1)</f>
        <v/>
      </c>
      <c r="AK848" s="193" t="str">
        <f>IFERROR(INDEX(TAB_ressource[Import Ressource],MATCH(ROW()-ROW($AK$1),TAB_ressource[ID Import ressources],0)),"")</f>
        <v/>
      </c>
      <c r="BE848" t="s">
        <v>3070</v>
      </c>
      <c r="BF848" t="s">
        <v>3071</v>
      </c>
      <c r="BG848" t="s">
        <v>869</v>
      </c>
    </row>
    <row r="849" spans="13:59" x14ac:dyDescent="0.25">
      <c r="M849" t="str">
        <f>_xlfn.IFNA(IF(VLOOKUP(TAB_Offres[[#This Row],[Reference]],TAB_Offres[[Reference]:[Request State]],COLUMNS(TAB_Offres[[Reference]:[Request State]]),FALSE)=D$6,TAB_Offres[[#This Row],[Reference]],""),"")</f>
        <v/>
      </c>
      <c r="N849" t="str">
        <f>_xlfn.IFNA(IF(VLOOKUP(TAB_Offres[[#This Row],[Reference]],TAB_Offres[[Reference]:[Has Expenses?]],COLUMNS(TAB_Offres[[Reference]:[Has Expenses?]]),FALSE)=J$2,TAB_Offres[[#This Row],[Reference]],""),"")</f>
        <v/>
      </c>
      <c r="O849" t="str">
        <f>IF(Tableau19[[#This Row],[EXPENSES_REF]]="","",MAX(O$1:O848)+1)</f>
        <v/>
      </c>
      <c r="P849" t="str">
        <f t="shared" si="26"/>
        <v/>
      </c>
      <c r="AI849" s="191" t="str">
        <f>IFERROR(_xlfn.SINGLE(
IF(_xlfn.SINGLE(INDEX(TAB_Offres[Ressource 1],ROWS(Params!AI$2:$AI849)))=0,NA(),
INDEX(TAB_Offres[Ressource 1],ROWS(Params!AI$2:$AI849)))),
IFERROR(_xlfn.SINGLE(IF(_xlfn.SINGLE(INDEX(#REF!,ROWS(Params!AI$2:$AI849)-COUNTA(TAB_Offres[Ressource 1])))=0,NA(),
INDEX(#REF!,ROWS(Params!AI$2:$AI849)-COUNTA(TAB_Offres[Ressource 1])))),
IFERROR(_xlfn.SINGLE(IF(_xlfn.SINGLE(INDEX(#REF!,ROWS(Params!AI$2:$AI849)-COUNTA(#REF!)-COUNTA(TAB_Offres[Ressource 1])))=0,NA(),
INDEX(#REF!,ROWS(Params!AI$2:$AI849)-COUNTA(#REF!)-COUNTA(TAB_Offres[Ressource 1])))),""))
)</f>
        <v/>
      </c>
      <c r="AJ849" s="192" t="str">
        <f>IF(TAB_ressource[[#This Row],[Import Ressource]]="","",MAX(AJ$1:AJ848)+1)</f>
        <v/>
      </c>
      <c r="AK849" s="193" t="str">
        <f>IFERROR(INDEX(TAB_ressource[Import Ressource],MATCH(ROW()-ROW($AK$1),TAB_ressource[ID Import ressources],0)),"")</f>
        <v/>
      </c>
      <c r="BE849" t="s">
        <v>3072</v>
      </c>
      <c r="BF849" t="s">
        <v>3073</v>
      </c>
      <c r="BG849" t="s">
        <v>872</v>
      </c>
    </row>
    <row r="850" spans="13:59" x14ac:dyDescent="0.25">
      <c r="M850" t="str">
        <f>_xlfn.IFNA(IF(VLOOKUP(TAB_Offres[[#This Row],[Reference]],TAB_Offres[[Reference]:[Request State]],COLUMNS(TAB_Offres[[Reference]:[Request State]]),FALSE)=D$6,TAB_Offres[[#This Row],[Reference]],""),"")</f>
        <v/>
      </c>
      <c r="N850" t="str">
        <f>_xlfn.IFNA(IF(VLOOKUP(TAB_Offres[[#This Row],[Reference]],TAB_Offres[[Reference]:[Has Expenses?]],COLUMNS(TAB_Offres[[Reference]:[Has Expenses?]]),FALSE)=J$2,TAB_Offres[[#This Row],[Reference]],""),"")</f>
        <v/>
      </c>
      <c r="O850" t="str">
        <f>IF(Tableau19[[#This Row],[EXPENSES_REF]]="","",MAX(O$1:O849)+1)</f>
        <v/>
      </c>
      <c r="P850" t="str">
        <f t="shared" si="26"/>
        <v/>
      </c>
      <c r="AI850" s="191" t="str">
        <f>IFERROR(_xlfn.SINGLE(
IF(_xlfn.SINGLE(INDEX(TAB_Offres[Ressource 1],ROWS(Params!AI$2:$AI850)))=0,NA(),
INDEX(TAB_Offres[Ressource 1],ROWS(Params!AI$2:$AI850)))),
IFERROR(_xlfn.SINGLE(IF(_xlfn.SINGLE(INDEX(#REF!,ROWS(Params!AI$2:$AI850)-COUNTA(TAB_Offres[Ressource 1])))=0,NA(),
INDEX(#REF!,ROWS(Params!AI$2:$AI850)-COUNTA(TAB_Offres[Ressource 1])))),
IFERROR(_xlfn.SINGLE(IF(_xlfn.SINGLE(INDEX(#REF!,ROWS(Params!AI$2:$AI850)-COUNTA(#REF!)-COUNTA(TAB_Offres[Ressource 1])))=0,NA(),
INDEX(#REF!,ROWS(Params!AI$2:$AI850)-COUNTA(#REF!)-COUNTA(TAB_Offres[Ressource 1])))),""))
)</f>
        <v/>
      </c>
      <c r="AJ850" s="192" t="str">
        <f>IF(TAB_ressource[[#This Row],[Import Ressource]]="","",MAX(AJ$1:AJ849)+1)</f>
        <v/>
      </c>
      <c r="AK850" s="193" t="str">
        <f>IFERROR(INDEX(TAB_ressource[Import Ressource],MATCH(ROW()-ROW($AK$1),TAB_ressource[ID Import ressources],0)),"")</f>
        <v/>
      </c>
      <c r="BE850" t="s">
        <v>3074</v>
      </c>
      <c r="BF850" t="s">
        <v>3075</v>
      </c>
      <c r="BG850" t="s">
        <v>875</v>
      </c>
    </row>
    <row r="851" spans="13:59" x14ac:dyDescent="0.25">
      <c r="M851" t="str">
        <f>_xlfn.IFNA(IF(VLOOKUP(TAB_Offres[[#This Row],[Reference]],TAB_Offres[[Reference]:[Request State]],COLUMNS(TAB_Offres[[Reference]:[Request State]]),FALSE)=D$6,TAB_Offres[[#This Row],[Reference]],""),"")</f>
        <v/>
      </c>
      <c r="N851" t="str">
        <f>_xlfn.IFNA(IF(VLOOKUP(TAB_Offres[[#This Row],[Reference]],TAB_Offres[[Reference]:[Has Expenses?]],COLUMNS(TAB_Offres[[Reference]:[Has Expenses?]]),FALSE)=J$2,TAB_Offres[[#This Row],[Reference]],""),"")</f>
        <v/>
      </c>
      <c r="O851" t="str">
        <f>IF(Tableau19[[#This Row],[EXPENSES_REF]]="","",MAX(O$1:O850)+1)</f>
        <v/>
      </c>
      <c r="P851" t="str">
        <f t="shared" si="26"/>
        <v/>
      </c>
      <c r="AI851" s="191" t="str">
        <f>IFERROR(_xlfn.SINGLE(
IF(_xlfn.SINGLE(INDEX(TAB_Offres[Ressource 1],ROWS(Params!AI$2:$AI851)))=0,NA(),
INDEX(TAB_Offres[Ressource 1],ROWS(Params!AI$2:$AI851)))),
IFERROR(_xlfn.SINGLE(IF(_xlfn.SINGLE(INDEX(#REF!,ROWS(Params!AI$2:$AI851)-COUNTA(TAB_Offres[Ressource 1])))=0,NA(),
INDEX(#REF!,ROWS(Params!AI$2:$AI851)-COUNTA(TAB_Offres[Ressource 1])))),
IFERROR(_xlfn.SINGLE(IF(_xlfn.SINGLE(INDEX(#REF!,ROWS(Params!AI$2:$AI851)-COUNTA(#REF!)-COUNTA(TAB_Offres[Ressource 1])))=0,NA(),
INDEX(#REF!,ROWS(Params!AI$2:$AI851)-COUNTA(#REF!)-COUNTA(TAB_Offres[Ressource 1])))),""))
)</f>
        <v/>
      </c>
      <c r="AJ851" s="192" t="str">
        <f>IF(TAB_ressource[[#This Row],[Import Ressource]]="","",MAX(AJ$1:AJ850)+1)</f>
        <v/>
      </c>
      <c r="AK851" s="193" t="str">
        <f>IFERROR(INDEX(TAB_ressource[Import Ressource],MATCH(ROW()-ROW($AK$1),TAB_ressource[ID Import ressources],0)),"")</f>
        <v/>
      </c>
      <c r="BE851" t="s">
        <v>3076</v>
      </c>
      <c r="BF851" t="s">
        <v>3077</v>
      </c>
      <c r="BG851" t="s">
        <v>878</v>
      </c>
    </row>
    <row r="852" spans="13:59" x14ac:dyDescent="0.25">
      <c r="M852" t="str">
        <f>_xlfn.IFNA(IF(VLOOKUP(TAB_Offres[[#This Row],[Reference]],TAB_Offres[[Reference]:[Request State]],COLUMNS(TAB_Offres[[Reference]:[Request State]]),FALSE)=D$6,TAB_Offres[[#This Row],[Reference]],""),"")</f>
        <v/>
      </c>
      <c r="N852" t="str">
        <f>_xlfn.IFNA(IF(VLOOKUP(TAB_Offres[[#This Row],[Reference]],TAB_Offres[[Reference]:[Has Expenses?]],COLUMNS(TAB_Offres[[Reference]:[Has Expenses?]]),FALSE)=J$2,TAB_Offres[[#This Row],[Reference]],""),"")</f>
        <v/>
      </c>
      <c r="O852" t="str">
        <f>IF(Tableau19[[#This Row],[EXPENSES_REF]]="","",MAX(O$1:O851)+1)</f>
        <v/>
      </c>
      <c r="P852" t="str">
        <f t="shared" si="26"/>
        <v/>
      </c>
      <c r="AI852" s="191" t="str">
        <f>IFERROR(_xlfn.SINGLE(
IF(_xlfn.SINGLE(INDEX(TAB_Offres[Ressource 1],ROWS(Params!AI$2:$AI852)))=0,NA(),
INDEX(TAB_Offres[Ressource 1],ROWS(Params!AI$2:$AI852)))),
IFERROR(_xlfn.SINGLE(IF(_xlfn.SINGLE(INDEX(#REF!,ROWS(Params!AI$2:$AI852)-COUNTA(TAB_Offres[Ressource 1])))=0,NA(),
INDEX(#REF!,ROWS(Params!AI$2:$AI852)-COUNTA(TAB_Offres[Ressource 1])))),
IFERROR(_xlfn.SINGLE(IF(_xlfn.SINGLE(INDEX(#REF!,ROWS(Params!AI$2:$AI852)-COUNTA(#REF!)-COUNTA(TAB_Offres[Ressource 1])))=0,NA(),
INDEX(#REF!,ROWS(Params!AI$2:$AI852)-COUNTA(#REF!)-COUNTA(TAB_Offres[Ressource 1])))),""))
)</f>
        <v/>
      </c>
      <c r="AJ852" s="192" t="str">
        <f>IF(TAB_ressource[[#This Row],[Import Ressource]]="","",MAX(AJ$1:AJ851)+1)</f>
        <v/>
      </c>
      <c r="AK852" s="193" t="str">
        <f>IFERROR(INDEX(TAB_ressource[Import Ressource],MATCH(ROW()-ROW($AK$1),TAB_ressource[ID Import ressources],0)),"")</f>
        <v/>
      </c>
      <c r="BE852" t="s">
        <v>3078</v>
      </c>
      <c r="BF852" t="s">
        <v>3079</v>
      </c>
      <c r="BG852" t="s">
        <v>881</v>
      </c>
    </row>
    <row r="853" spans="13:59" x14ac:dyDescent="0.25">
      <c r="M853" t="str">
        <f>_xlfn.IFNA(IF(VLOOKUP(TAB_Offres[[#This Row],[Reference]],TAB_Offres[[Reference]:[Request State]],COLUMNS(TAB_Offres[[Reference]:[Request State]]),FALSE)=D$6,TAB_Offres[[#This Row],[Reference]],""),"")</f>
        <v/>
      </c>
      <c r="N853" t="str">
        <f>_xlfn.IFNA(IF(VLOOKUP(TAB_Offres[[#This Row],[Reference]],TAB_Offres[[Reference]:[Has Expenses?]],COLUMNS(TAB_Offres[[Reference]:[Has Expenses?]]),FALSE)=J$2,TAB_Offres[[#This Row],[Reference]],""),"")</f>
        <v/>
      </c>
      <c r="O853" t="str">
        <f>IF(Tableau19[[#This Row],[EXPENSES_REF]]="","",MAX(O$1:O852)+1)</f>
        <v/>
      </c>
      <c r="P853" t="str">
        <f t="shared" si="26"/>
        <v/>
      </c>
      <c r="AI853" s="191" t="str">
        <f>IFERROR(_xlfn.SINGLE(
IF(_xlfn.SINGLE(INDEX(TAB_Offres[Ressource 1],ROWS(Params!AI$2:$AI853)))=0,NA(),
INDEX(TAB_Offres[Ressource 1],ROWS(Params!AI$2:$AI853)))),
IFERROR(_xlfn.SINGLE(IF(_xlfn.SINGLE(INDEX(#REF!,ROWS(Params!AI$2:$AI853)-COUNTA(TAB_Offres[Ressource 1])))=0,NA(),
INDEX(#REF!,ROWS(Params!AI$2:$AI853)-COUNTA(TAB_Offres[Ressource 1])))),
IFERROR(_xlfn.SINGLE(IF(_xlfn.SINGLE(INDEX(#REF!,ROWS(Params!AI$2:$AI853)-COUNTA(#REF!)-COUNTA(TAB_Offres[Ressource 1])))=0,NA(),
INDEX(#REF!,ROWS(Params!AI$2:$AI853)-COUNTA(#REF!)-COUNTA(TAB_Offres[Ressource 1])))),""))
)</f>
        <v/>
      </c>
      <c r="AJ853" s="192" t="str">
        <f>IF(TAB_ressource[[#This Row],[Import Ressource]]="","",MAX(AJ$1:AJ852)+1)</f>
        <v/>
      </c>
      <c r="AK853" s="193" t="str">
        <f>IFERROR(INDEX(TAB_ressource[Import Ressource],MATCH(ROW()-ROW($AK$1),TAB_ressource[ID Import ressources],0)),"")</f>
        <v/>
      </c>
      <c r="BE853" t="s">
        <v>3080</v>
      </c>
      <c r="BF853" t="s">
        <v>3081</v>
      </c>
      <c r="BG853" t="s">
        <v>884</v>
      </c>
    </row>
    <row r="854" spans="13:59" x14ac:dyDescent="0.25">
      <c r="M854" t="str">
        <f>_xlfn.IFNA(IF(VLOOKUP(TAB_Offres[[#This Row],[Reference]],TAB_Offres[[Reference]:[Request State]],COLUMNS(TAB_Offres[[Reference]:[Request State]]),FALSE)=D$6,TAB_Offres[[#This Row],[Reference]],""),"")</f>
        <v/>
      </c>
      <c r="N854" t="str">
        <f>_xlfn.IFNA(IF(VLOOKUP(TAB_Offres[[#This Row],[Reference]],TAB_Offres[[Reference]:[Has Expenses?]],COLUMNS(TAB_Offres[[Reference]:[Has Expenses?]]),FALSE)=J$2,TAB_Offres[[#This Row],[Reference]],""),"")</f>
        <v/>
      </c>
      <c r="O854" t="str">
        <f>IF(Tableau19[[#This Row],[EXPENSES_REF]]="","",MAX(O$1:O853)+1)</f>
        <v/>
      </c>
      <c r="P854" t="str">
        <f t="shared" si="26"/>
        <v/>
      </c>
      <c r="AI854" s="191" t="str">
        <f>IFERROR(_xlfn.SINGLE(
IF(_xlfn.SINGLE(INDEX(TAB_Offres[Ressource 1],ROWS(Params!AI$2:$AI854)))=0,NA(),
INDEX(TAB_Offres[Ressource 1],ROWS(Params!AI$2:$AI854)))),
IFERROR(_xlfn.SINGLE(IF(_xlfn.SINGLE(INDEX(#REF!,ROWS(Params!AI$2:$AI854)-COUNTA(TAB_Offres[Ressource 1])))=0,NA(),
INDEX(#REF!,ROWS(Params!AI$2:$AI854)-COUNTA(TAB_Offres[Ressource 1])))),
IFERROR(_xlfn.SINGLE(IF(_xlfn.SINGLE(INDEX(#REF!,ROWS(Params!AI$2:$AI854)-COUNTA(#REF!)-COUNTA(TAB_Offres[Ressource 1])))=0,NA(),
INDEX(#REF!,ROWS(Params!AI$2:$AI854)-COUNTA(#REF!)-COUNTA(TAB_Offres[Ressource 1])))),""))
)</f>
        <v/>
      </c>
      <c r="AJ854" s="192" t="str">
        <f>IF(TAB_ressource[[#This Row],[Import Ressource]]="","",MAX(AJ$1:AJ853)+1)</f>
        <v/>
      </c>
      <c r="AK854" s="193" t="str">
        <f>IFERROR(INDEX(TAB_ressource[Import Ressource],MATCH(ROW()-ROW($AK$1),TAB_ressource[ID Import ressources],0)),"")</f>
        <v/>
      </c>
      <c r="BE854" t="s">
        <v>3082</v>
      </c>
      <c r="BF854" t="s">
        <v>3083</v>
      </c>
      <c r="BG854" t="s">
        <v>887</v>
      </c>
    </row>
    <row r="855" spans="13:59" x14ac:dyDescent="0.25">
      <c r="M855" t="str">
        <f>_xlfn.IFNA(IF(VLOOKUP(TAB_Offres[[#This Row],[Reference]],TAB_Offres[[Reference]:[Request State]],COLUMNS(TAB_Offres[[Reference]:[Request State]]),FALSE)=D$6,TAB_Offres[[#This Row],[Reference]],""),"")</f>
        <v/>
      </c>
      <c r="N855" t="str">
        <f>_xlfn.IFNA(IF(VLOOKUP(TAB_Offres[[#This Row],[Reference]],TAB_Offres[[Reference]:[Has Expenses?]],COLUMNS(TAB_Offres[[Reference]:[Has Expenses?]]),FALSE)=J$2,TAB_Offres[[#This Row],[Reference]],""),"")</f>
        <v/>
      </c>
      <c r="O855" t="str">
        <f>IF(Tableau19[[#This Row],[EXPENSES_REF]]="","",MAX(O$1:O854)+1)</f>
        <v/>
      </c>
      <c r="P855" t="str">
        <f t="shared" si="26"/>
        <v/>
      </c>
      <c r="AI855" s="191" t="str">
        <f>IFERROR(_xlfn.SINGLE(
IF(_xlfn.SINGLE(INDEX(TAB_Offres[Ressource 1],ROWS(Params!AI$2:$AI855)))=0,NA(),
INDEX(TAB_Offres[Ressource 1],ROWS(Params!AI$2:$AI855)))),
IFERROR(_xlfn.SINGLE(IF(_xlfn.SINGLE(INDEX(#REF!,ROWS(Params!AI$2:$AI855)-COUNTA(TAB_Offres[Ressource 1])))=0,NA(),
INDEX(#REF!,ROWS(Params!AI$2:$AI855)-COUNTA(TAB_Offres[Ressource 1])))),
IFERROR(_xlfn.SINGLE(IF(_xlfn.SINGLE(INDEX(#REF!,ROWS(Params!AI$2:$AI855)-COUNTA(#REF!)-COUNTA(TAB_Offres[Ressource 1])))=0,NA(),
INDEX(#REF!,ROWS(Params!AI$2:$AI855)-COUNTA(#REF!)-COUNTA(TAB_Offres[Ressource 1])))),""))
)</f>
        <v/>
      </c>
      <c r="AJ855" s="192" t="str">
        <f>IF(TAB_ressource[[#This Row],[Import Ressource]]="","",MAX(AJ$1:AJ854)+1)</f>
        <v/>
      </c>
      <c r="AK855" s="193" t="str">
        <f>IFERROR(INDEX(TAB_ressource[Import Ressource],MATCH(ROW()-ROW($AK$1),TAB_ressource[ID Import ressources],0)),"")</f>
        <v/>
      </c>
      <c r="BE855" t="s">
        <v>3084</v>
      </c>
      <c r="BF855" t="s">
        <v>3085</v>
      </c>
      <c r="BG855" t="s">
        <v>890</v>
      </c>
    </row>
    <row r="856" spans="13:59" x14ac:dyDescent="0.25">
      <c r="M856" t="str">
        <f>_xlfn.IFNA(IF(VLOOKUP(TAB_Offres[[#This Row],[Reference]],TAB_Offres[[Reference]:[Request State]],COLUMNS(TAB_Offres[[Reference]:[Request State]]),FALSE)=D$6,TAB_Offres[[#This Row],[Reference]],""),"")</f>
        <v/>
      </c>
      <c r="N856" t="str">
        <f>_xlfn.IFNA(IF(VLOOKUP(TAB_Offres[[#This Row],[Reference]],TAB_Offres[[Reference]:[Has Expenses?]],COLUMNS(TAB_Offres[[Reference]:[Has Expenses?]]),FALSE)=J$2,TAB_Offres[[#This Row],[Reference]],""),"")</f>
        <v/>
      </c>
      <c r="O856" t="str">
        <f>IF(Tableau19[[#This Row],[EXPENSES_REF]]="","",MAX(O$1:O855)+1)</f>
        <v/>
      </c>
      <c r="P856" t="str">
        <f t="shared" si="26"/>
        <v/>
      </c>
      <c r="AI856" s="191" t="str">
        <f>IFERROR(_xlfn.SINGLE(
IF(_xlfn.SINGLE(INDEX(TAB_Offres[Ressource 1],ROWS(Params!AI$2:$AI856)))=0,NA(),
INDEX(TAB_Offres[Ressource 1],ROWS(Params!AI$2:$AI856)))),
IFERROR(_xlfn.SINGLE(IF(_xlfn.SINGLE(INDEX(#REF!,ROWS(Params!AI$2:$AI856)-COUNTA(TAB_Offres[Ressource 1])))=0,NA(),
INDEX(#REF!,ROWS(Params!AI$2:$AI856)-COUNTA(TAB_Offres[Ressource 1])))),
IFERROR(_xlfn.SINGLE(IF(_xlfn.SINGLE(INDEX(#REF!,ROWS(Params!AI$2:$AI856)-COUNTA(#REF!)-COUNTA(TAB_Offres[Ressource 1])))=0,NA(),
INDEX(#REF!,ROWS(Params!AI$2:$AI856)-COUNTA(#REF!)-COUNTA(TAB_Offres[Ressource 1])))),""))
)</f>
        <v/>
      </c>
      <c r="AJ856" s="192" t="str">
        <f>IF(TAB_ressource[[#This Row],[Import Ressource]]="","",MAX(AJ$1:AJ855)+1)</f>
        <v/>
      </c>
      <c r="AK856" s="193" t="str">
        <f>IFERROR(INDEX(TAB_ressource[Import Ressource],MATCH(ROW()-ROW($AK$1),TAB_ressource[ID Import ressources],0)),"")</f>
        <v/>
      </c>
      <c r="BE856" t="s">
        <v>3086</v>
      </c>
      <c r="BF856" t="s">
        <v>3087</v>
      </c>
      <c r="BG856" t="s">
        <v>893</v>
      </c>
    </row>
    <row r="857" spans="13:59" x14ac:dyDescent="0.25">
      <c r="M857" t="str">
        <f>_xlfn.IFNA(IF(VLOOKUP(TAB_Offres[[#This Row],[Reference]],TAB_Offres[[Reference]:[Request State]],COLUMNS(TAB_Offres[[Reference]:[Request State]]),FALSE)=D$6,TAB_Offres[[#This Row],[Reference]],""),"")</f>
        <v/>
      </c>
      <c r="N857" t="str">
        <f>_xlfn.IFNA(IF(VLOOKUP(TAB_Offres[[#This Row],[Reference]],TAB_Offres[[Reference]:[Has Expenses?]],COLUMNS(TAB_Offres[[Reference]:[Has Expenses?]]),FALSE)=J$2,TAB_Offres[[#This Row],[Reference]],""),"")</f>
        <v/>
      </c>
      <c r="O857" t="str">
        <f>IF(Tableau19[[#This Row],[EXPENSES_REF]]="","",MAX(O$1:O856)+1)</f>
        <v/>
      </c>
      <c r="P857" t="str">
        <f t="shared" si="26"/>
        <v/>
      </c>
      <c r="AI857" s="191" t="str">
        <f>IFERROR(_xlfn.SINGLE(
IF(_xlfn.SINGLE(INDEX(TAB_Offres[Ressource 1],ROWS(Params!AI$2:$AI857)))=0,NA(),
INDEX(TAB_Offres[Ressource 1],ROWS(Params!AI$2:$AI857)))),
IFERROR(_xlfn.SINGLE(IF(_xlfn.SINGLE(INDEX(#REF!,ROWS(Params!AI$2:$AI857)-COUNTA(TAB_Offres[Ressource 1])))=0,NA(),
INDEX(#REF!,ROWS(Params!AI$2:$AI857)-COUNTA(TAB_Offres[Ressource 1])))),
IFERROR(_xlfn.SINGLE(IF(_xlfn.SINGLE(INDEX(#REF!,ROWS(Params!AI$2:$AI857)-COUNTA(#REF!)-COUNTA(TAB_Offres[Ressource 1])))=0,NA(),
INDEX(#REF!,ROWS(Params!AI$2:$AI857)-COUNTA(#REF!)-COUNTA(TAB_Offres[Ressource 1])))),""))
)</f>
        <v/>
      </c>
      <c r="AJ857" s="192" t="str">
        <f>IF(TAB_ressource[[#This Row],[Import Ressource]]="","",MAX(AJ$1:AJ856)+1)</f>
        <v/>
      </c>
      <c r="AK857" s="193" t="str">
        <f>IFERROR(INDEX(TAB_ressource[Import Ressource],MATCH(ROW()-ROW($AK$1),TAB_ressource[ID Import ressources],0)),"")</f>
        <v/>
      </c>
      <c r="BE857" t="s">
        <v>3088</v>
      </c>
      <c r="BF857" t="s">
        <v>3089</v>
      </c>
      <c r="BG857" t="s">
        <v>896</v>
      </c>
    </row>
    <row r="858" spans="13:59" x14ac:dyDescent="0.25">
      <c r="M858" t="str">
        <f>_xlfn.IFNA(IF(VLOOKUP(TAB_Offres[[#This Row],[Reference]],TAB_Offres[[Reference]:[Request State]],COLUMNS(TAB_Offres[[Reference]:[Request State]]),FALSE)=D$6,TAB_Offres[[#This Row],[Reference]],""),"")</f>
        <v/>
      </c>
      <c r="N858" t="str">
        <f>_xlfn.IFNA(IF(VLOOKUP(TAB_Offres[[#This Row],[Reference]],TAB_Offres[[Reference]:[Has Expenses?]],COLUMNS(TAB_Offres[[Reference]:[Has Expenses?]]),FALSE)=J$2,TAB_Offres[[#This Row],[Reference]],""),"")</f>
        <v/>
      </c>
      <c r="O858" t="str">
        <f>IF(Tableau19[[#This Row],[EXPENSES_REF]]="","",MAX(O$1:O857)+1)</f>
        <v/>
      </c>
      <c r="P858" t="str">
        <f t="shared" si="26"/>
        <v/>
      </c>
      <c r="AI858" s="191" t="str">
        <f>IFERROR(_xlfn.SINGLE(
IF(_xlfn.SINGLE(INDEX(TAB_Offres[Ressource 1],ROWS(Params!AI$2:$AI858)))=0,NA(),
INDEX(TAB_Offres[Ressource 1],ROWS(Params!AI$2:$AI858)))),
IFERROR(_xlfn.SINGLE(IF(_xlfn.SINGLE(INDEX(#REF!,ROWS(Params!AI$2:$AI858)-COUNTA(TAB_Offres[Ressource 1])))=0,NA(),
INDEX(#REF!,ROWS(Params!AI$2:$AI858)-COUNTA(TAB_Offres[Ressource 1])))),
IFERROR(_xlfn.SINGLE(IF(_xlfn.SINGLE(INDEX(#REF!,ROWS(Params!AI$2:$AI858)-COUNTA(#REF!)-COUNTA(TAB_Offres[Ressource 1])))=0,NA(),
INDEX(#REF!,ROWS(Params!AI$2:$AI858)-COUNTA(#REF!)-COUNTA(TAB_Offres[Ressource 1])))),""))
)</f>
        <v/>
      </c>
      <c r="AJ858" s="192" t="str">
        <f>IF(TAB_ressource[[#This Row],[Import Ressource]]="","",MAX(AJ$1:AJ857)+1)</f>
        <v/>
      </c>
      <c r="AK858" s="193" t="str">
        <f>IFERROR(INDEX(TAB_ressource[Import Ressource],MATCH(ROW()-ROW($AK$1),TAB_ressource[ID Import ressources],0)),"")</f>
        <v/>
      </c>
      <c r="BE858" t="s">
        <v>3090</v>
      </c>
      <c r="BF858" t="s">
        <v>3091</v>
      </c>
      <c r="BG858" t="s">
        <v>899</v>
      </c>
    </row>
    <row r="859" spans="13:59" x14ac:dyDescent="0.25">
      <c r="M859" t="str">
        <f>_xlfn.IFNA(IF(VLOOKUP(TAB_Offres[[#This Row],[Reference]],TAB_Offres[[Reference]:[Request State]],COLUMNS(TAB_Offres[[Reference]:[Request State]]),FALSE)=D$6,TAB_Offres[[#This Row],[Reference]],""),"")</f>
        <v/>
      </c>
      <c r="N859" t="str">
        <f>_xlfn.IFNA(IF(VLOOKUP(TAB_Offres[[#This Row],[Reference]],TAB_Offres[[Reference]:[Has Expenses?]],COLUMNS(TAB_Offres[[Reference]:[Has Expenses?]]),FALSE)=J$2,TAB_Offres[[#This Row],[Reference]],""),"")</f>
        <v/>
      </c>
      <c r="O859" t="str">
        <f>IF(Tableau19[[#This Row],[EXPENSES_REF]]="","",MAX(O$1:O858)+1)</f>
        <v/>
      </c>
      <c r="P859" t="str">
        <f t="shared" si="26"/>
        <v/>
      </c>
      <c r="AI859" s="191" t="str">
        <f>IFERROR(_xlfn.SINGLE(
IF(_xlfn.SINGLE(INDEX(TAB_Offres[Ressource 1],ROWS(Params!AI$2:$AI859)))=0,NA(),
INDEX(TAB_Offres[Ressource 1],ROWS(Params!AI$2:$AI859)))),
IFERROR(_xlfn.SINGLE(IF(_xlfn.SINGLE(INDEX(#REF!,ROWS(Params!AI$2:$AI859)-COUNTA(TAB_Offres[Ressource 1])))=0,NA(),
INDEX(#REF!,ROWS(Params!AI$2:$AI859)-COUNTA(TAB_Offres[Ressource 1])))),
IFERROR(_xlfn.SINGLE(IF(_xlfn.SINGLE(INDEX(#REF!,ROWS(Params!AI$2:$AI859)-COUNTA(#REF!)-COUNTA(TAB_Offres[Ressource 1])))=0,NA(),
INDEX(#REF!,ROWS(Params!AI$2:$AI859)-COUNTA(#REF!)-COUNTA(TAB_Offres[Ressource 1])))),""))
)</f>
        <v/>
      </c>
      <c r="AJ859" s="192" t="str">
        <f>IF(TAB_ressource[[#This Row],[Import Ressource]]="","",MAX(AJ$1:AJ858)+1)</f>
        <v/>
      </c>
      <c r="AK859" s="193" t="str">
        <f>IFERROR(INDEX(TAB_ressource[Import Ressource],MATCH(ROW()-ROW($AK$1),TAB_ressource[ID Import ressources],0)),"")</f>
        <v/>
      </c>
      <c r="BE859" t="s">
        <v>3092</v>
      </c>
      <c r="BF859" t="s">
        <v>3093</v>
      </c>
      <c r="BG859" t="s">
        <v>902</v>
      </c>
    </row>
    <row r="860" spans="13:59" x14ac:dyDescent="0.25">
      <c r="M860" t="str">
        <f>_xlfn.IFNA(IF(VLOOKUP(TAB_Offres[[#This Row],[Reference]],TAB_Offres[[Reference]:[Request State]],COLUMNS(TAB_Offres[[Reference]:[Request State]]),FALSE)=D$6,TAB_Offres[[#This Row],[Reference]],""),"")</f>
        <v/>
      </c>
      <c r="N860" t="str">
        <f>_xlfn.IFNA(IF(VLOOKUP(TAB_Offres[[#This Row],[Reference]],TAB_Offres[[Reference]:[Has Expenses?]],COLUMNS(TAB_Offres[[Reference]:[Has Expenses?]]),FALSE)=J$2,TAB_Offres[[#This Row],[Reference]],""),"")</f>
        <v/>
      </c>
      <c r="O860" t="str">
        <f>IF(Tableau19[[#This Row],[EXPENSES_REF]]="","",MAX(O$1:O859)+1)</f>
        <v/>
      </c>
      <c r="P860" t="str">
        <f t="shared" si="26"/>
        <v/>
      </c>
      <c r="AI860" s="191" t="str">
        <f>IFERROR(_xlfn.SINGLE(
IF(_xlfn.SINGLE(INDEX(TAB_Offres[Ressource 1],ROWS(Params!AI$2:$AI860)))=0,NA(),
INDEX(TAB_Offres[Ressource 1],ROWS(Params!AI$2:$AI860)))),
IFERROR(_xlfn.SINGLE(IF(_xlfn.SINGLE(INDEX(#REF!,ROWS(Params!AI$2:$AI860)-COUNTA(TAB_Offres[Ressource 1])))=0,NA(),
INDEX(#REF!,ROWS(Params!AI$2:$AI860)-COUNTA(TAB_Offres[Ressource 1])))),
IFERROR(_xlfn.SINGLE(IF(_xlfn.SINGLE(INDEX(#REF!,ROWS(Params!AI$2:$AI860)-COUNTA(#REF!)-COUNTA(TAB_Offres[Ressource 1])))=0,NA(),
INDEX(#REF!,ROWS(Params!AI$2:$AI860)-COUNTA(#REF!)-COUNTA(TAB_Offres[Ressource 1])))),""))
)</f>
        <v/>
      </c>
      <c r="AJ860" s="192" t="str">
        <f>IF(TAB_ressource[[#This Row],[Import Ressource]]="","",MAX(AJ$1:AJ859)+1)</f>
        <v/>
      </c>
      <c r="AK860" s="193" t="str">
        <f>IFERROR(INDEX(TAB_ressource[Import Ressource],MATCH(ROW()-ROW($AK$1),TAB_ressource[ID Import ressources],0)),"")</f>
        <v/>
      </c>
      <c r="BE860" t="s">
        <v>3094</v>
      </c>
      <c r="BF860" t="s">
        <v>3095</v>
      </c>
      <c r="BG860" t="s">
        <v>905</v>
      </c>
    </row>
    <row r="861" spans="13:59" x14ac:dyDescent="0.25">
      <c r="M861" t="str">
        <f>_xlfn.IFNA(IF(VLOOKUP(TAB_Offres[[#This Row],[Reference]],TAB_Offres[[Reference]:[Request State]],COLUMNS(TAB_Offres[[Reference]:[Request State]]),FALSE)=D$6,TAB_Offres[[#This Row],[Reference]],""),"")</f>
        <v/>
      </c>
      <c r="N861" t="str">
        <f>_xlfn.IFNA(IF(VLOOKUP(TAB_Offres[[#This Row],[Reference]],TAB_Offres[[Reference]:[Has Expenses?]],COLUMNS(TAB_Offres[[Reference]:[Has Expenses?]]),FALSE)=J$2,TAB_Offres[[#This Row],[Reference]],""),"")</f>
        <v/>
      </c>
      <c r="O861" t="str">
        <f>IF(Tableau19[[#This Row],[EXPENSES_REF]]="","",MAX(O$1:O860)+1)</f>
        <v/>
      </c>
      <c r="P861" t="str">
        <f t="shared" si="26"/>
        <v/>
      </c>
      <c r="AI861" s="191" t="str">
        <f>IFERROR(_xlfn.SINGLE(
IF(_xlfn.SINGLE(INDEX(TAB_Offres[Ressource 1],ROWS(Params!AI$2:$AI861)))=0,NA(),
INDEX(TAB_Offres[Ressource 1],ROWS(Params!AI$2:$AI861)))),
IFERROR(_xlfn.SINGLE(IF(_xlfn.SINGLE(INDEX(#REF!,ROWS(Params!AI$2:$AI861)-COUNTA(TAB_Offres[Ressource 1])))=0,NA(),
INDEX(#REF!,ROWS(Params!AI$2:$AI861)-COUNTA(TAB_Offres[Ressource 1])))),
IFERROR(_xlfn.SINGLE(IF(_xlfn.SINGLE(INDEX(#REF!,ROWS(Params!AI$2:$AI861)-COUNTA(#REF!)-COUNTA(TAB_Offres[Ressource 1])))=0,NA(),
INDEX(#REF!,ROWS(Params!AI$2:$AI861)-COUNTA(#REF!)-COUNTA(TAB_Offres[Ressource 1])))),""))
)</f>
        <v/>
      </c>
      <c r="AJ861" s="192" t="str">
        <f>IF(TAB_ressource[[#This Row],[Import Ressource]]="","",MAX(AJ$1:AJ860)+1)</f>
        <v/>
      </c>
      <c r="AK861" s="193" t="str">
        <f>IFERROR(INDEX(TAB_ressource[Import Ressource],MATCH(ROW()-ROW($AK$1),TAB_ressource[ID Import ressources],0)),"")</f>
        <v/>
      </c>
      <c r="BE861" t="s">
        <v>3096</v>
      </c>
      <c r="BF861" t="s">
        <v>3097</v>
      </c>
      <c r="BG861" t="s">
        <v>908</v>
      </c>
    </row>
    <row r="862" spans="13:59" x14ac:dyDescent="0.25">
      <c r="M862" t="str">
        <f>_xlfn.IFNA(IF(VLOOKUP(TAB_Offres[[#This Row],[Reference]],TAB_Offres[[Reference]:[Request State]],COLUMNS(TAB_Offres[[Reference]:[Request State]]),FALSE)=D$6,TAB_Offres[[#This Row],[Reference]],""),"")</f>
        <v/>
      </c>
      <c r="N862" t="str">
        <f>_xlfn.IFNA(IF(VLOOKUP(TAB_Offres[[#This Row],[Reference]],TAB_Offres[[Reference]:[Has Expenses?]],COLUMNS(TAB_Offres[[Reference]:[Has Expenses?]]),FALSE)=J$2,TAB_Offres[[#This Row],[Reference]],""),"")</f>
        <v/>
      </c>
      <c r="O862" t="str">
        <f>IF(Tableau19[[#This Row],[EXPENSES_REF]]="","",MAX(O$1:O861)+1)</f>
        <v/>
      </c>
      <c r="P862" t="str">
        <f t="shared" si="26"/>
        <v/>
      </c>
      <c r="AI862" s="191" t="str">
        <f>IFERROR(_xlfn.SINGLE(
IF(_xlfn.SINGLE(INDEX(TAB_Offres[Ressource 1],ROWS(Params!AI$2:$AI862)))=0,NA(),
INDEX(TAB_Offres[Ressource 1],ROWS(Params!AI$2:$AI862)))),
IFERROR(_xlfn.SINGLE(IF(_xlfn.SINGLE(INDEX(#REF!,ROWS(Params!AI$2:$AI862)-COUNTA(TAB_Offres[Ressource 1])))=0,NA(),
INDEX(#REF!,ROWS(Params!AI$2:$AI862)-COUNTA(TAB_Offres[Ressource 1])))),
IFERROR(_xlfn.SINGLE(IF(_xlfn.SINGLE(INDEX(#REF!,ROWS(Params!AI$2:$AI862)-COUNTA(#REF!)-COUNTA(TAB_Offres[Ressource 1])))=0,NA(),
INDEX(#REF!,ROWS(Params!AI$2:$AI862)-COUNTA(#REF!)-COUNTA(TAB_Offres[Ressource 1])))),""))
)</f>
        <v/>
      </c>
      <c r="AJ862" s="192" t="str">
        <f>IF(TAB_ressource[[#This Row],[Import Ressource]]="","",MAX(AJ$1:AJ861)+1)</f>
        <v/>
      </c>
      <c r="AK862" s="193" t="str">
        <f>IFERROR(INDEX(TAB_ressource[Import Ressource],MATCH(ROW()-ROW($AK$1),TAB_ressource[ID Import ressources],0)),"")</f>
        <v/>
      </c>
      <c r="BE862" t="s">
        <v>3098</v>
      </c>
      <c r="BF862" t="s">
        <v>3099</v>
      </c>
      <c r="BG862" t="s">
        <v>911</v>
      </c>
    </row>
    <row r="863" spans="13:59" x14ac:dyDescent="0.25">
      <c r="M863" t="str">
        <f>_xlfn.IFNA(IF(VLOOKUP(TAB_Offres[[#This Row],[Reference]],TAB_Offres[[Reference]:[Request State]],COLUMNS(TAB_Offres[[Reference]:[Request State]]),FALSE)=D$6,TAB_Offres[[#This Row],[Reference]],""),"")</f>
        <v/>
      </c>
      <c r="N863" t="str">
        <f>_xlfn.IFNA(IF(VLOOKUP(TAB_Offres[[#This Row],[Reference]],TAB_Offres[[Reference]:[Has Expenses?]],COLUMNS(TAB_Offres[[Reference]:[Has Expenses?]]),FALSE)=J$2,TAB_Offres[[#This Row],[Reference]],""),"")</f>
        <v/>
      </c>
      <c r="O863" t="str">
        <f>IF(Tableau19[[#This Row],[EXPENSES_REF]]="","",MAX(O$1:O862)+1)</f>
        <v/>
      </c>
      <c r="P863" t="str">
        <f t="shared" si="26"/>
        <v/>
      </c>
      <c r="AI863" s="191" t="str">
        <f>IFERROR(_xlfn.SINGLE(
IF(_xlfn.SINGLE(INDEX(TAB_Offres[Ressource 1],ROWS(Params!AI$2:$AI863)))=0,NA(),
INDEX(TAB_Offres[Ressource 1],ROWS(Params!AI$2:$AI863)))),
IFERROR(_xlfn.SINGLE(IF(_xlfn.SINGLE(INDEX(#REF!,ROWS(Params!AI$2:$AI863)-COUNTA(TAB_Offres[Ressource 1])))=0,NA(),
INDEX(#REF!,ROWS(Params!AI$2:$AI863)-COUNTA(TAB_Offres[Ressource 1])))),
IFERROR(_xlfn.SINGLE(IF(_xlfn.SINGLE(INDEX(#REF!,ROWS(Params!AI$2:$AI863)-COUNTA(#REF!)-COUNTA(TAB_Offres[Ressource 1])))=0,NA(),
INDEX(#REF!,ROWS(Params!AI$2:$AI863)-COUNTA(#REF!)-COUNTA(TAB_Offres[Ressource 1])))),""))
)</f>
        <v/>
      </c>
      <c r="AJ863" s="192" t="str">
        <f>IF(TAB_ressource[[#This Row],[Import Ressource]]="","",MAX(AJ$1:AJ862)+1)</f>
        <v/>
      </c>
      <c r="AK863" s="193" t="str">
        <f>IFERROR(INDEX(TAB_ressource[Import Ressource],MATCH(ROW()-ROW($AK$1),TAB_ressource[ID Import ressources],0)),"")</f>
        <v/>
      </c>
      <c r="BE863" t="s">
        <v>3100</v>
      </c>
      <c r="BF863" t="s">
        <v>3101</v>
      </c>
      <c r="BG863" t="s">
        <v>914</v>
      </c>
    </row>
    <row r="864" spans="13:59" x14ac:dyDescent="0.25">
      <c r="M864" t="str">
        <f>_xlfn.IFNA(IF(VLOOKUP(TAB_Offres[[#This Row],[Reference]],TAB_Offres[[Reference]:[Request State]],COLUMNS(TAB_Offres[[Reference]:[Request State]]),FALSE)=D$6,TAB_Offres[[#This Row],[Reference]],""),"")</f>
        <v/>
      </c>
      <c r="N864" t="str">
        <f>_xlfn.IFNA(IF(VLOOKUP(TAB_Offres[[#This Row],[Reference]],TAB_Offres[[Reference]:[Has Expenses?]],COLUMNS(TAB_Offres[[Reference]:[Has Expenses?]]),FALSE)=J$2,TAB_Offres[[#This Row],[Reference]],""),"")</f>
        <v/>
      </c>
      <c r="O864" t="str">
        <f>IF(Tableau19[[#This Row],[EXPENSES_REF]]="","",MAX(O$1:O863)+1)</f>
        <v/>
      </c>
      <c r="P864" t="str">
        <f t="shared" si="26"/>
        <v/>
      </c>
      <c r="AI864" s="191" t="str">
        <f>IFERROR(_xlfn.SINGLE(
IF(_xlfn.SINGLE(INDEX(TAB_Offres[Ressource 1],ROWS(Params!AI$2:$AI864)))=0,NA(),
INDEX(TAB_Offres[Ressource 1],ROWS(Params!AI$2:$AI864)))),
IFERROR(_xlfn.SINGLE(IF(_xlfn.SINGLE(INDEX(#REF!,ROWS(Params!AI$2:$AI864)-COUNTA(TAB_Offres[Ressource 1])))=0,NA(),
INDEX(#REF!,ROWS(Params!AI$2:$AI864)-COUNTA(TAB_Offres[Ressource 1])))),
IFERROR(_xlfn.SINGLE(IF(_xlfn.SINGLE(INDEX(#REF!,ROWS(Params!AI$2:$AI864)-COUNTA(#REF!)-COUNTA(TAB_Offres[Ressource 1])))=0,NA(),
INDEX(#REF!,ROWS(Params!AI$2:$AI864)-COUNTA(#REF!)-COUNTA(TAB_Offres[Ressource 1])))),""))
)</f>
        <v/>
      </c>
      <c r="AJ864" s="192" t="str">
        <f>IF(TAB_ressource[[#This Row],[Import Ressource]]="","",MAX(AJ$1:AJ863)+1)</f>
        <v/>
      </c>
      <c r="AK864" s="193" t="str">
        <f>IFERROR(INDEX(TAB_ressource[Import Ressource],MATCH(ROW()-ROW($AK$1),TAB_ressource[ID Import ressources],0)),"")</f>
        <v/>
      </c>
      <c r="BE864" t="s">
        <v>3102</v>
      </c>
      <c r="BF864" t="s">
        <v>3103</v>
      </c>
      <c r="BG864" t="s">
        <v>917</v>
      </c>
    </row>
    <row r="865" spans="13:59" x14ac:dyDescent="0.25">
      <c r="M865" t="str">
        <f>_xlfn.IFNA(IF(VLOOKUP(TAB_Offres[[#This Row],[Reference]],TAB_Offres[[Reference]:[Request State]],COLUMNS(TAB_Offres[[Reference]:[Request State]]),FALSE)=D$6,TAB_Offres[[#This Row],[Reference]],""),"")</f>
        <v/>
      </c>
      <c r="N865" t="str">
        <f>_xlfn.IFNA(IF(VLOOKUP(TAB_Offres[[#This Row],[Reference]],TAB_Offres[[Reference]:[Has Expenses?]],COLUMNS(TAB_Offres[[Reference]:[Has Expenses?]]),FALSE)=J$2,TAB_Offres[[#This Row],[Reference]],""),"")</f>
        <v/>
      </c>
      <c r="O865" t="str">
        <f>IF(Tableau19[[#This Row],[EXPENSES_REF]]="","",MAX(O$1:O864)+1)</f>
        <v/>
      </c>
      <c r="P865" t="str">
        <f t="shared" si="26"/>
        <v/>
      </c>
      <c r="AI865" s="191" t="str">
        <f>IFERROR(_xlfn.SINGLE(
IF(_xlfn.SINGLE(INDEX(TAB_Offres[Ressource 1],ROWS(Params!AI$2:$AI865)))=0,NA(),
INDEX(TAB_Offres[Ressource 1],ROWS(Params!AI$2:$AI865)))),
IFERROR(_xlfn.SINGLE(IF(_xlfn.SINGLE(INDEX(#REF!,ROWS(Params!AI$2:$AI865)-COUNTA(TAB_Offres[Ressource 1])))=0,NA(),
INDEX(#REF!,ROWS(Params!AI$2:$AI865)-COUNTA(TAB_Offres[Ressource 1])))),
IFERROR(_xlfn.SINGLE(IF(_xlfn.SINGLE(INDEX(#REF!,ROWS(Params!AI$2:$AI865)-COUNTA(#REF!)-COUNTA(TAB_Offres[Ressource 1])))=0,NA(),
INDEX(#REF!,ROWS(Params!AI$2:$AI865)-COUNTA(#REF!)-COUNTA(TAB_Offres[Ressource 1])))),""))
)</f>
        <v/>
      </c>
      <c r="AJ865" s="192" t="str">
        <f>IF(TAB_ressource[[#This Row],[Import Ressource]]="","",MAX(AJ$1:AJ864)+1)</f>
        <v/>
      </c>
      <c r="AK865" s="193" t="str">
        <f>IFERROR(INDEX(TAB_ressource[Import Ressource],MATCH(ROW()-ROW($AK$1),TAB_ressource[ID Import ressources],0)),"")</f>
        <v/>
      </c>
      <c r="BE865" t="s">
        <v>3104</v>
      </c>
      <c r="BF865" t="s">
        <v>3105</v>
      </c>
      <c r="BG865" t="s">
        <v>920</v>
      </c>
    </row>
    <row r="866" spans="13:59" x14ac:dyDescent="0.25">
      <c r="M866" t="str">
        <f>_xlfn.IFNA(IF(VLOOKUP(TAB_Offres[[#This Row],[Reference]],TAB_Offres[[Reference]:[Request State]],COLUMNS(TAB_Offres[[Reference]:[Request State]]),FALSE)=D$6,TAB_Offres[[#This Row],[Reference]],""),"")</f>
        <v/>
      </c>
      <c r="N866" t="str">
        <f>_xlfn.IFNA(IF(VLOOKUP(TAB_Offres[[#This Row],[Reference]],TAB_Offres[[Reference]:[Has Expenses?]],COLUMNS(TAB_Offres[[Reference]:[Has Expenses?]]),FALSE)=J$2,TAB_Offres[[#This Row],[Reference]],""),"")</f>
        <v/>
      </c>
      <c r="O866" t="str">
        <f>IF(Tableau19[[#This Row],[EXPENSES_REF]]="","",MAX(O$1:O865)+1)</f>
        <v/>
      </c>
      <c r="P866" t="str">
        <f t="shared" si="26"/>
        <v/>
      </c>
      <c r="AI866" s="191" t="str">
        <f>IFERROR(_xlfn.SINGLE(
IF(_xlfn.SINGLE(INDEX(TAB_Offres[Ressource 1],ROWS(Params!AI$2:$AI866)))=0,NA(),
INDEX(TAB_Offres[Ressource 1],ROWS(Params!AI$2:$AI866)))),
IFERROR(_xlfn.SINGLE(IF(_xlfn.SINGLE(INDEX(#REF!,ROWS(Params!AI$2:$AI866)-COUNTA(TAB_Offres[Ressource 1])))=0,NA(),
INDEX(#REF!,ROWS(Params!AI$2:$AI866)-COUNTA(TAB_Offres[Ressource 1])))),
IFERROR(_xlfn.SINGLE(IF(_xlfn.SINGLE(INDEX(#REF!,ROWS(Params!AI$2:$AI866)-COUNTA(#REF!)-COUNTA(TAB_Offres[Ressource 1])))=0,NA(),
INDEX(#REF!,ROWS(Params!AI$2:$AI866)-COUNTA(#REF!)-COUNTA(TAB_Offres[Ressource 1])))),""))
)</f>
        <v/>
      </c>
      <c r="AJ866" s="192" t="str">
        <f>IF(TAB_ressource[[#This Row],[Import Ressource]]="","",MAX(AJ$1:AJ865)+1)</f>
        <v/>
      </c>
      <c r="AK866" s="193" t="str">
        <f>IFERROR(INDEX(TAB_ressource[Import Ressource],MATCH(ROW()-ROW($AK$1),TAB_ressource[ID Import ressources],0)),"")</f>
        <v/>
      </c>
      <c r="BE866" t="s">
        <v>3106</v>
      </c>
      <c r="BF866" t="s">
        <v>3107</v>
      </c>
      <c r="BG866" t="s">
        <v>923</v>
      </c>
    </row>
    <row r="867" spans="13:59" x14ac:dyDescent="0.25">
      <c r="M867" t="str">
        <f>_xlfn.IFNA(IF(VLOOKUP(TAB_Offres[[#This Row],[Reference]],TAB_Offres[[Reference]:[Request State]],COLUMNS(TAB_Offres[[Reference]:[Request State]]),FALSE)=D$6,TAB_Offres[[#This Row],[Reference]],""),"")</f>
        <v/>
      </c>
      <c r="N867" t="str">
        <f>_xlfn.IFNA(IF(VLOOKUP(TAB_Offres[[#This Row],[Reference]],TAB_Offres[[Reference]:[Has Expenses?]],COLUMNS(TAB_Offres[[Reference]:[Has Expenses?]]),FALSE)=J$2,TAB_Offres[[#This Row],[Reference]],""),"")</f>
        <v/>
      </c>
      <c r="O867" t="str">
        <f>IF(Tableau19[[#This Row],[EXPENSES_REF]]="","",MAX(O$1:O866)+1)</f>
        <v/>
      </c>
      <c r="P867" t="str">
        <f t="shared" si="26"/>
        <v/>
      </c>
      <c r="AI867" s="191" t="str">
        <f>IFERROR(_xlfn.SINGLE(
IF(_xlfn.SINGLE(INDEX(TAB_Offres[Ressource 1],ROWS(Params!AI$2:$AI867)))=0,NA(),
INDEX(TAB_Offres[Ressource 1],ROWS(Params!AI$2:$AI867)))),
IFERROR(_xlfn.SINGLE(IF(_xlfn.SINGLE(INDEX(#REF!,ROWS(Params!AI$2:$AI867)-COUNTA(TAB_Offres[Ressource 1])))=0,NA(),
INDEX(#REF!,ROWS(Params!AI$2:$AI867)-COUNTA(TAB_Offres[Ressource 1])))),
IFERROR(_xlfn.SINGLE(IF(_xlfn.SINGLE(INDEX(#REF!,ROWS(Params!AI$2:$AI867)-COUNTA(#REF!)-COUNTA(TAB_Offres[Ressource 1])))=0,NA(),
INDEX(#REF!,ROWS(Params!AI$2:$AI867)-COUNTA(#REF!)-COUNTA(TAB_Offres[Ressource 1])))),""))
)</f>
        <v/>
      </c>
      <c r="AJ867" s="192" t="str">
        <f>IF(TAB_ressource[[#This Row],[Import Ressource]]="","",MAX(AJ$1:AJ866)+1)</f>
        <v/>
      </c>
      <c r="AK867" s="193" t="str">
        <f>IFERROR(INDEX(TAB_ressource[Import Ressource],MATCH(ROW()-ROW($AK$1),TAB_ressource[ID Import ressources],0)),"")</f>
        <v/>
      </c>
      <c r="BE867" t="s">
        <v>3108</v>
      </c>
      <c r="BF867" t="s">
        <v>3109</v>
      </c>
      <c r="BG867" t="s">
        <v>926</v>
      </c>
    </row>
    <row r="868" spans="13:59" x14ac:dyDescent="0.25">
      <c r="M868" t="str">
        <f>_xlfn.IFNA(IF(VLOOKUP(TAB_Offres[[#This Row],[Reference]],TAB_Offres[[Reference]:[Request State]],COLUMNS(TAB_Offres[[Reference]:[Request State]]),FALSE)=D$6,TAB_Offres[[#This Row],[Reference]],""),"")</f>
        <v/>
      </c>
      <c r="N868" t="str">
        <f>_xlfn.IFNA(IF(VLOOKUP(TAB_Offres[[#This Row],[Reference]],TAB_Offres[[Reference]:[Has Expenses?]],COLUMNS(TAB_Offres[[Reference]:[Has Expenses?]]),FALSE)=J$2,TAB_Offres[[#This Row],[Reference]],""),"")</f>
        <v/>
      </c>
      <c r="O868" t="str">
        <f>IF(Tableau19[[#This Row],[EXPENSES_REF]]="","",MAX(O$1:O867)+1)</f>
        <v/>
      </c>
      <c r="P868" t="str">
        <f t="shared" si="26"/>
        <v/>
      </c>
      <c r="AI868" s="191" t="str">
        <f>IFERROR(_xlfn.SINGLE(
IF(_xlfn.SINGLE(INDEX(TAB_Offres[Ressource 1],ROWS(Params!AI$2:$AI868)))=0,NA(),
INDEX(TAB_Offres[Ressource 1],ROWS(Params!AI$2:$AI868)))),
IFERROR(_xlfn.SINGLE(IF(_xlfn.SINGLE(INDEX(#REF!,ROWS(Params!AI$2:$AI868)-COUNTA(TAB_Offres[Ressource 1])))=0,NA(),
INDEX(#REF!,ROWS(Params!AI$2:$AI868)-COUNTA(TAB_Offres[Ressource 1])))),
IFERROR(_xlfn.SINGLE(IF(_xlfn.SINGLE(INDEX(#REF!,ROWS(Params!AI$2:$AI868)-COUNTA(#REF!)-COUNTA(TAB_Offres[Ressource 1])))=0,NA(),
INDEX(#REF!,ROWS(Params!AI$2:$AI868)-COUNTA(#REF!)-COUNTA(TAB_Offres[Ressource 1])))),""))
)</f>
        <v/>
      </c>
      <c r="AJ868" s="192" t="str">
        <f>IF(TAB_ressource[[#This Row],[Import Ressource]]="","",MAX(AJ$1:AJ867)+1)</f>
        <v/>
      </c>
      <c r="AK868" s="193" t="str">
        <f>IFERROR(INDEX(TAB_ressource[Import Ressource],MATCH(ROW()-ROW($AK$1),TAB_ressource[ID Import ressources],0)),"")</f>
        <v/>
      </c>
      <c r="BE868" t="s">
        <v>3110</v>
      </c>
      <c r="BF868" t="s">
        <v>3111</v>
      </c>
      <c r="BG868" t="s">
        <v>929</v>
      </c>
    </row>
    <row r="869" spans="13:59" x14ac:dyDescent="0.25">
      <c r="M869" t="str">
        <f>_xlfn.IFNA(IF(VLOOKUP(TAB_Offres[[#This Row],[Reference]],TAB_Offres[[Reference]:[Request State]],COLUMNS(TAB_Offres[[Reference]:[Request State]]),FALSE)=D$6,TAB_Offres[[#This Row],[Reference]],""),"")</f>
        <v/>
      </c>
      <c r="N869" t="str">
        <f>_xlfn.IFNA(IF(VLOOKUP(TAB_Offres[[#This Row],[Reference]],TAB_Offres[[Reference]:[Has Expenses?]],COLUMNS(TAB_Offres[[Reference]:[Has Expenses?]]),FALSE)=J$2,TAB_Offres[[#This Row],[Reference]],""),"")</f>
        <v/>
      </c>
      <c r="O869" t="str">
        <f>IF(Tableau19[[#This Row],[EXPENSES_REF]]="","",MAX(O$1:O868)+1)</f>
        <v/>
      </c>
      <c r="P869" t="str">
        <f t="shared" si="26"/>
        <v/>
      </c>
      <c r="AI869" s="191" t="str">
        <f>IFERROR(_xlfn.SINGLE(
IF(_xlfn.SINGLE(INDEX(TAB_Offres[Ressource 1],ROWS(Params!AI$2:$AI869)))=0,NA(),
INDEX(TAB_Offres[Ressource 1],ROWS(Params!AI$2:$AI869)))),
IFERROR(_xlfn.SINGLE(IF(_xlfn.SINGLE(INDEX(#REF!,ROWS(Params!AI$2:$AI869)-COUNTA(TAB_Offres[Ressource 1])))=0,NA(),
INDEX(#REF!,ROWS(Params!AI$2:$AI869)-COUNTA(TAB_Offres[Ressource 1])))),
IFERROR(_xlfn.SINGLE(IF(_xlfn.SINGLE(INDEX(#REF!,ROWS(Params!AI$2:$AI869)-COUNTA(#REF!)-COUNTA(TAB_Offres[Ressource 1])))=0,NA(),
INDEX(#REF!,ROWS(Params!AI$2:$AI869)-COUNTA(#REF!)-COUNTA(TAB_Offres[Ressource 1])))),""))
)</f>
        <v/>
      </c>
      <c r="AJ869" s="192" t="str">
        <f>IF(TAB_ressource[[#This Row],[Import Ressource]]="","",MAX(AJ$1:AJ868)+1)</f>
        <v/>
      </c>
      <c r="AK869" s="193" t="str">
        <f>IFERROR(INDEX(TAB_ressource[Import Ressource],MATCH(ROW()-ROW($AK$1),TAB_ressource[ID Import ressources],0)),"")</f>
        <v/>
      </c>
      <c r="BE869" t="s">
        <v>3112</v>
      </c>
      <c r="BF869" t="s">
        <v>3113</v>
      </c>
      <c r="BG869" t="s">
        <v>932</v>
      </c>
    </row>
    <row r="870" spans="13:59" x14ac:dyDescent="0.25">
      <c r="M870" t="str">
        <f>_xlfn.IFNA(IF(VLOOKUP(TAB_Offres[[#This Row],[Reference]],TAB_Offres[[Reference]:[Request State]],COLUMNS(TAB_Offres[[Reference]:[Request State]]),FALSE)=D$6,TAB_Offres[[#This Row],[Reference]],""),"")</f>
        <v/>
      </c>
      <c r="N870" t="str">
        <f>_xlfn.IFNA(IF(VLOOKUP(TAB_Offres[[#This Row],[Reference]],TAB_Offres[[Reference]:[Has Expenses?]],COLUMNS(TAB_Offres[[Reference]:[Has Expenses?]]),FALSE)=J$2,TAB_Offres[[#This Row],[Reference]],""),"")</f>
        <v/>
      </c>
      <c r="O870" t="str">
        <f>IF(Tableau19[[#This Row],[EXPENSES_REF]]="","",MAX(O$1:O869)+1)</f>
        <v/>
      </c>
      <c r="P870" t="str">
        <f t="shared" si="26"/>
        <v/>
      </c>
      <c r="AI870" s="191" t="str">
        <f>IFERROR(_xlfn.SINGLE(
IF(_xlfn.SINGLE(INDEX(TAB_Offres[Ressource 1],ROWS(Params!AI$2:$AI870)))=0,NA(),
INDEX(TAB_Offres[Ressource 1],ROWS(Params!AI$2:$AI870)))),
IFERROR(_xlfn.SINGLE(IF(_xlfn.SINGLE(INDEX(#REF!,ROWS(Params!AI$2:$AI870)-COUNTA(TAB_Offres[Ressource 1])))=0,NA(),
INDEX(#REF!,ROWS(Params!AI$2:$AI870)-COUNTA(TAB_Offres[Ressource 1])))),
IFERROR(_xlfn.SINGLE(IF(_xlfn.SINGLE(INDEX(#REF!,ROWS(Params!AI$2:$AI870)-COUNTA(#REF!)-COUNTA(TAB_Offres[Ressource 1])))=0,NA(),
INDEX(#REF!,ROWS(Params!AI$2:$AI870)-COUNTA(#REF!)-COUNTA(TAB_Offres[Ressource 1])))),""))
)</f>
        <v/>
      </c>
      <c r="AJ870" s="192" t="str">
        <f>IF(TAB_ressource[[#This Row],[Import Ressource]]="","",MAX(AJ$1:AJ869)+1)</f>
        <v/>
      </c>
      <c r="AK870" s="193" t="str">
        <f>IFERROR(INDEX(TAB_ressource[Import Ressource],MATCH(ROW()-ROW($AK$1),TAB_ressource[ID Import ressources],0)),"")</f>
        <v/>
      </c>
      <c r="BE870" t="s">
        <v>3114</v>
      </c>
      <c r="BF870" t="s">
        <v>3115</v>
      </c>
      <c r="BG870" t="s">
        <v>935</v>
      </c>
    </row>
    <row r="871" spans="13:59" x14ac:dyDescent="0.25">
      <c r="M871" t="str">
        <f>_xlfn.IFNA(IF(VLOOKUP(TAB_Offres[[#This Row],[Reference]],TAB_Offres[[Reference]:[Request State]],COLUMNS(TAB_Offres[[Reference]:[Request State]]),FALSE)=D$6,TAB_Offres[[#This Row],[Reference]],""),"")</f>
        <v/>
      </c>
      <c r="N871" t="str">
        <f>_xlfn.IFNA(IF(VLOOKUP(TAB_Offres[[#This Row],[Reference]],TAB_Offres[[Reference]:[Has Expenses?]],COLUMNS(TAB_Offres[[Reference]:[Has Expenses?]]),FALSE)=J$2,TAB_Offres[[#This Row],[Reference]],""),"")</f>
        <v/>
      </c>
      <c r="O871" t="str">
        <f>IF(Tableau19[[#This Row],[EXPENSES_REF]]="","",MAX(O$1:O870)+1)</f>
        <v/>
      </c>
      <c r="P871" t="str">
        <f t="shared" si="26"/>
        <v/>
      </c>
      <c r="AI871" s="191" t="str">
        <f>IFERROR(_xlfn.SINGLE(
IF(_xlfn.SINGLE(INDEX(TAB_Offres[Ressource 1],ROWS(Params!AI$2:$AI871)))=0,NA(),
INDEX(TAB_Offres[Ressource 1],ROWS(Params!AI$2:$AI871)))),
IFERROR(_xlfn.SINGLE(IF(_xlfn.SINGLE(INDEX(#REF!,ROWS(Params!AI$2:$AI871)-COUNTA(TAB_Offres[Ressource 1])))=0,NA(),
INDEX(#REF!,ROWS(Params!AI$2:$AI871)-COUNTA(TAB_Offres[Ressource 1])))),
IFERROR(_xlfn.SINGLE(IF(_xlfn.SINGLE(INDEX(#REF!,ROWS(Params!AI$2:$AI871)-COUNTA(#REF!)-COUNTA(TAB_Offres[Ressource 1])))=0,NA(),
INDEX(#REF!,ROWS(Params!AI$2:$AI871)-COUNTA(#REF!)-COUNTA(TAB_Offres[Ressource 1])))),""))
)</f>
        <v/>
      </c>
      <c r="AJ871" s="192" t="str">
        <f>IF(TAB_ressource[[#This Row],[Import Ressource]]="","",MAX(AJ$1:AJ870)+1)</f>
        <v/>
      </c>
      <c r="AK871" s="193" t="str">
        <f>IFERROR(INDEX(TAB_ressource[Import Ressource],MATCH(ROW()-ROW($AK$1),TAB_ressource[ID Import ressources],0)),"")</f>
        <v/>
      </c>
      <c r="BE871" t="s">
        <v>3116</v>
      </c>
      <c r="BF871" t="s">
        <v>3117</v>
      </c>
      <c r="BG871" t="s">
        <v>938</v>
      </c>
    </row>
    <row r="872" spans="13:59" x14ac:dyDescent="0.25">
      <c r="M872" t="str">
        <f>_xlfn.IFNA(IF(VLOOKUP(TAB_Offres[[#This Row],[Reference]],TAB_Offres[[Reference]:[Request State]],COLUMNS(TAB_Offres[[Reference]:[Request State]]),FALSE)=D$6,TAB_Offres[[#This Row],[Reference]],""),"")</f>
        <v/>
      </c>
      <c r="N872" t="str">
        <f>_xlfn.IFNA(IF(VLOOKUP(TAB_Offres[[#This Row],[Reference]],TAB_Offres[[Reference]:[Has Expenses?]],COLUMNS(TAB_Offres[[Reference]:[Has Expenses?]]),FALSE)=J$2,TAB_Offres[[#This Row],[Reference]],""),"")</f>
        <v/>
      </c>
      <c r="O872" t="str">
        <f>IF(Tableau19[[#This Row],[EXPENSES_REF]]="","",MAX(O$1:O871)+1)</f>
        <v/>
      </c>
      <c r="P872" t="str">
        <f t="shared" si="26"/>
        <v/>
      </c>
      <c r="AI872" s="191" t="str">
        <f>IFERROR(_xlfn.SINGLE(
IF(_xlfn.SINGLE(INDEX(TAB_Offres[Ressource 1],ROWS(Params!AI$2:$AI872)))=0,NA(),
INDEX(TAB_Offres[Ressource 1],ROWS(Params!AI$2:$AI872)))),
IFERROR(_xlfn.SINGLE(IF(_xlfn.SINGLE(INDEX(#REF!,ROWS(Params!AI$2:$AI872)-COUNTA(TAB_Offres[Ressource 1])))=0,NA(),
INDEX(#REF!,ROWS(Params!AI$2:$AI872)-COUNTA(TAB_Offres[Ressource 1])))),
IFERROR(_xlfn.SINGLE(IF(_xlfn.SINGLE(INDEX(#REF!,ROWS(Params!AI$2:$AI872)-COUNTA(#REF!)-COUNTA(TAB_Offres[Ressource 1])))=0,NA(),
INDEX(#REF!,ROWS(Params!AI$2:$AI872)-COUNTA(#REF!)-COUNTA(TAB_Offres[Ressource 1])))),""))
)</f>
        <v/>
      </c>
      <c r="AJ872" s="192" t="str">
        <f>IF(TAB_ressource[[#This Row],[Import Ressource]]="","",MAX(AJ$1:AJ871)+1)</f>
        <v/>
      </c>
      <c r="AK872" s="193" t="str">
        <f>IFERROR(INDEX(TAB_ressource[Import Ressource],MATCH(ROW()-ROW($AK$1),TAB_ressource[ID Import ressources],0)),"")</f>
        <v/>
      </c>
      <c r="BE872" t="s">
        <v>3118</v>
      </c>
      <c r="BF872" t="s">
        <v>3119</v>
      </c>
      <c r="BG872" t="s">
        <v>941</v>
      </c>
    </row>
    <row r="873" spans="13:59" x14ac:dyDescent="0.25">
      <c r="M873" t="str">
        <f>_xlfn.IFNA(IF(VLOOKUP(TAB_Offres[[#This Row],[Reference]],TAB_Offres[[Reference]:[Request State]],COLUMNS(TAB_Offres[[Reference]:[Request State]]),FALSE)=D$6,TAB_Offres[[#This Row],[Reference]],""),"")</f>
        <v/>
      </c>
      <c r="N873" t="str">
        <f>_xlfn.IFNA(IF(VLOOKUP(TAB_Offres[[#This Row],[Reference]],TAB_Offres[[Reference]:[Has Expenses?]],COLUMNS(TAB_Offres[[Reference]:[Has Expenses?]]),FALSE)=J$2,TAB_Offres[[#This Row],[Reference]],""),"")</f>
        <v/>
      </c>
      <c r="O873" t="str">
        <f>IF(Tableau19[[#This Row],[EXPENSES_REF]]="","",MAX(O$1:O872)+1)</f>
        <v/>
      </c>
      <c r="P873" t="str">
        <f t="shared" si="26"/>
        <v/>
      </c>
      <c r="AI873" s="191" t="str">
        <f>IFERROR(_xlfn.SINGLE(
IF(_xlfn.SINGLE(INDEX(TAB_Offres[Ressource 1],ROWS(Params!AI$2:$AI873)))=0,NA(),
INDEX(TAB_Offres[Ressource 1],ROWS(Params!AI$2:$AI873)))),
IFERROR(_xlfn.SINGLE(IF(_xlfn.SINGLE(INDEX(#REF!,ROWS(Params!AI$2:$AI873)-COUNTA(TAB_Offres[Ressource 1])))=0,NA(),
INDEX(#REF!,ROWS(Params!AI$2:$AI873)-COUNTA(TAB_Offres[Ressource 1])))),
IFERROR(_xlfn.SINGLE(IF(_xlfn.SINGLE(INDEX(#REF!,ROWS(Params!AI$2:$AI873)-COUNTA(#REF!)-COUNTA(TAB_Offres[Ressource 1])))=0,NA(),
INDEX(#REF!,ROWS(Params!AI$2:$AI873)-COUNTA(#REF!)-COUNTA(TAB_Offres[Ressource 1])))),""))
)</f>
        <v/>
      </c>
      <c r="AJ873" s="192" t="str">
        <f>IF(TAB_ressource[[#This Row],[Import Ressource]]="","",MAX(AJ$1:AJ872)+1)</f>
        <v/>
      </c>
      <c r="AK873" s="193" t="str">
        <f>IFERROR(INDEX(TAB_ressource[Import Ressource],MATCH(ROW()-ROW($AK$1),TAB_ressource[ID Import ressources],0)),"")</f>
        <v/>
      </c>
      <c r="BE873" t="s">
        <v>3120</v>
      </c>
      <c r="BF873" t="s">
        <v>3121</v>
      </c>
      <c r="BG873" t="s">
        <v>944</v>
      </c>
    </row>
    <row r="874" spans="13:59" x14ac:dyDescent="0.25">
      <c r="M874" t="str">
        <f>_xlfn.IFNA(IF(VLOOKUP(TAB_Offres[[#This Row],[Reference]],TAB_Offres[[Reference]:[Request State]],COLUMNS(TAB_Offres[[Reference]:[Request State]]),FALSE)=D$6,TAB_Offres[[#This Row],[Reference]],""),"")</f>
        <v/>
      </c>
      <c r="N874" t="str">
        <f>_xlfn.IFNA(IF(VLOOKUP(TAB_Offres[[#This Row],[Reference]],TAB_Offres[[Reference]:[Has Expenses?]],COLUMNS(TAB_Offres[[Reference]:[Has Expenses?]]),FALSE)=J$2,TAB_Offres[[#This Row],[Reference]],""),"")</f>
        <v/>
      </c>
      <c r="O874" t="str">
        <f>IF(Tableau19[[#This Row],[EXPENSES_REF]]="","",MAX(O$1:O873)+1)</f>
        <v/>
      </c>
      <c r="P874" t="str">
        <f t="shared" si="26"/>
        <v/>
      </c>
      <c r="AI874" s="191" t="str">
        <f>IFERROR(_xlfn.SINGLE(
IF(_xlfn.SINGLE(INDEX(TAB_Offres[Ressource 1],ROWS(Params!AI$2:$AI874)))=0,NA(),
INDEX(TAB_Offres[Ressource 1],ROWS(Params!AI$2:$AI874)))),
IFERROR(_xlfn.SINGLE(IF(_xlfn.SINGLE(INDEX(#REF!,ROWS(Params!AI$2:$AI874)-COUNTA(TAB_Offres[Ressource 1])))=0,NA(),
INDEX(#REF!,ROWS(Params!AI$2:$AI874)-COUNTA(TAB_Offres[Ressource 1])))),
IFERROR(_xlfn.SINGLE(IF(_xlfn.SINGLE(INDEX(#REF!,ROWS(Params!AI$2:$AI874)-COUNTA(#REF!)-COUNTA(TAB_Offres[Ressource 1])))=0,NA(),
INDEX(#REF!,ROWS(Params!AI$2:$AI874)-COUNTA(#REF!)-COUNTA(TAB_Offres[Ressource 1])))),""))
)</f>
        <v/>
      </c>
      <c r="AJ874" s="192" t="str">
        <f>IF(TAB_ressource[[#This Row],[Import Ressource]]="","",MAX(AJ$1:AJ873)+1)</f>
        <v/>
      </c>
      <c r="AK874" s="193" t="str">
        <f>IFERROR(INDEX(TAB_ressource[Import Ressource],MATCH(ROW()-ROW($AK$1),TAB_ressource[ID Import ressources],0)),"")</f>
        <v/>
      </c>
      <c r="BE874" t="s">
        <v>3122</v>
      </c>
      <c r="BF874" t="s">
        <v>3123</v>
      </c>
      <c r="BG874" t="s">
        <v>947</v>
      </c>
    </row>
    <row r="875" spans="13:59" x14ac:dyDescent="0.25">
      <c r="M875" t="str">
        <f>_xlfn.IFNA(IF(VLOOKUP(TAB_Offres[[#This Row],[Reference]],TAB_Offres[[Reference]:[Request State]],COLUMNS(TAB_Offres[[Reference]:[Request State]]),FALSE)=D$6,TAB_Offres[[#This Row],[Reference]],""),"")</f>
        <v/>
      </c>
      <c r="N875" t="str">
        <f>_xlfn.IFNA(IF(VLOOKUP(TAB_Offres[[#This Row],[Reference]],TAB_Offres[[Reference]:[Has Expenses?]],COLUMNS(TAB_Offres[[Reference]:[Has Expenses?]]),FALSE)=J$2,TAB_Offres[[#This Row],[Reference]],""),"")</f>
        <v/>
      </c>
      <c r="O875" t="str">
        <f>IF(Tableau19[[#This Row],[EXPENSES_REF]]="","",MAX(O$1:O874)+1)</f>
        <v/>
      </c>
      <c r="P875" t="str">
        <f t="shared" si="26"/>
        <v/>
      </c>
      <c r="AI875" s="191" t="str">
        <f>IFERROR(_xlfn.SINGLE(
IF(_xlfn.SINGLE(INDEX(TAB_Offres[Ressource 1],ROWS(Params!AI$2:$AI875)))=0,NA(),
INDEX(TAB_Offres[Ressource 1],ROWS(Params!AI$2:$AI875)))),
IFERROR(_xlfn.SINGLE(IF(_xlfn.SINGLE(INDEX(#REF!,ROWS(Params!AI$2:$AI875)-COUNTA(TAB_Offres[Ressource 1])))=0,NA(),
INDEX(#REF!,ROWS(Params!AI$2:$AI875)-COUNTA(TAB_Offres[Ressource 1])))),
IFERROR(_xlfn.SINGLE(IF(_xlfn.SINGLE(INDEX(#REF!,ROWS(Params!AI$2:$AI875)-COUNTA(#REF!)-COUNTA(TAB_Offres[Ressource 1])))=0,NA(),
INDEX(#REF!,ROWS(Params!AI$2:$AI875)-COUNTA(#REF!)-COUNTA(TAB_Offres[Ressource 1])))),""))
)</f>
        <v/>
      </c>
      <c r="AJ875" s="192" t="str">
        <f>IF(TAB_ressource[[#This Row],[Import Ressource]]="","",MAX(AJ$1:AJ874)+1)</f>
        <v/>
      </c>
      <c r="AK875" s="193" t="str">
        <f>IFERROR(INDEX(TAB_ressource[Import Ressource],MATCH(ROW()-ROW($AK$1),TAB_ressource[ID Import ressources],0)),"")</f>
        <v/>
      </c>
      <c r="BE875" t="s">
        <v>3124</v>
      </c>
      <c r="BF875" t="s">
        <v>3125</v>
      </c>
      <c r="BG875" t="s">
        <v>950</v>
      </c>
    </row>
    <row r="876" spans="13:59" x14ac:dyDescent="0.25">
      <c r="M876" t="str">
        <f>_xlfn.IFNA(IF(VLOOKUP(TAB_Offres[[#This Row],[Reference]],TAB_Offres[[Reference]:[Request State]],COLUMNS(TAB_Offres[[Reference]:[Request State]]),FALSE)=D$6,TAB_Offres[[#This Row],[Reference]],""),"")</f>
        <v/>
      </c>
      <c r="N876" t="str">
        <f>_xlfn.IFNA(IF(VLOOKUP(TAB_Offres[[#This Row],[Reference]],TAB_Offres[[Reference]:[Has Expenses?]],COLUMNS(TAB_Offres[[Reference]:[Has Expenses?]]),FALSE)=J$2,TAB_Offres[[#This Row],[Reference]],""),"")</f>
        <v/>
      </c>
      <c r="O876" t="str">
        <f>IF(Tableau19[[#This Row],[EXPENSES_REF]]="","",MAX(O$1:O875)+1)</f>
        <v/>
      </c>
      <c r="P876" t="str">
        <f t="shared" si="26"/>
        <v/>
      </c>
      <c r="AI876" s="191" t="str">
        <f>IFERROR(_xlfn.SINGLE(
IF(_xlfn.SINGLE(INDEX(TAB_Offres[Ressource 1],ROWS(Params!AI$2:$AI876)))=0,NA(),
INDEX(TAB_Offres[Ressource 1],ROWS(Params!AI$2:$AI876)))),
IFERROR(_xlfn.SINGLE(IF(_xlfn.SINGLE(INDEX(#REF!,ROWS(Params!AI$2:$AI876)-COUNTA(TAB_Offres[Ressource 1])))=0,NA(),
INDEX(#REF!,ROWS(Params!AI$2:$AI876)-COUNTA(TAB_Offres[Ressource 1])))),
IFERROR(_xlfn.SINGLE(IF(_xlfn.SINGLE(INDEX(#REF!,ROWS(Params!AI$2:$AI876)-COUNTA(#REF!)-COUNTA(TAB_Offres[Ressource 1])))=0,NA(),
INDEX(#REF!,ROWS(Params!AI$2:$AI876)-COUNTA(#REF!)-COUNTA(TAB_Offres[Ressource 1])))),""))
)</f>
        <v/>
      </c>
      <c r="AJ876" s="192" t="str">
        <f>IF(TAB_ressource[[#This Row],[Import Ressource]]="","",MAX(AJ$1:AJ875)+1)</f>
        <v/>
      </c>
      <c r="AK876" s="193" t="str">
        <f>IFERROR(INDEX(TAB_ressource[Import Ressource],MATCH(ROW()-ROW($AK$1),TAB_ressource[ID Import ressources],0)),"")</f>
        <v/>
      </c>
      <c r="BE876" t="s">
        <v>3126</v>
      </c>
      <c r="BF876" t="s">
        <v>3127</v>
      </c>
      <c r="BG876" t="s">
        <v>953</v>
      </c>
    </row>
    <row r="877" spans="13:59" x14ac:dyDescent="0.25">
      <c r="M877" t="str">
        <f>_xlfn.IFNA(IF(VLOOKUP(TAB_Offres[[#This Row],[Reference]],TAB_Offres[[Reference]:[Request State]],COLUMNS(TAB_Offres[[Reference]:[Request State]]),FALSE)=D$6,TAB_Offres[[#This Row],[Reference]],""),"")</f>
        <v/>
      </c>
      <c r="N877" t="str">
        <f>_xlfn.IFNA(IF(VLOOKUP(TAB_Offres[[#This Row],[Reference]],TAB_Offres[[Reference]:[Has Expenses?]],COLUMNS(TAB_Offres[[Reference]:[Has Expenses?]]),FALSE)=J$2,TAB_Offres[[#This Row],[Reference]],""),"")</f>
        <v/>
      </c>
      <c r="O877" t="str">
        <f>IF(Tableau19[[#This Row],[EXPENSES_REF]]="","",MAX(O$1:O876)+1)</f>
        <v/>
      </c>
      <c r="P877" t="str">
        <f t="shared" si="26"/>
        <v/>
      </c>
      <c r="AI877" s="191" t="str">
        <f>IFERROR(_xlfn.SINGLE(
IF(_xlfn.SINGLE(INDEX(TAB_Offres[Ressource 1],ROWS(Params!AI$2:$AI877)))=0,NA(),
INDEX(TAB_Offres[Ressource 1],ROWS(Params!AI$2:$AI877)))),
IFERROR(_xlfn.SINGLE(IF(_xlfn.SINGLE(INDEX(#REF!,ROWS(Params!AI$2:$AI877)-COUNTA(TAB_Offres[Ressource 1])))=0,NA(),
INDEX(#REF!,ROWS(Params!AI$2:$AI877)-COUNTA(TAB_Offres[Ressource 1])))),
IFERROR(_xlfn.SINGLE(IF(_xlfn.SINGLE(INDEX(#REF!,ROWS(Params!AI$2:$AI877)-COUNTA(#REF!)-COUNTA(TAB_Offres[Ressource 1])))=0,NA(),
INDEX(#REF!,ROWS(Params!AI$2:$AI877)-COUNTA(#REF!)-COUNTA(TAB_Offres[Ressource 1])))),""))
)</f>
        <v/>
      </c>
      <c r="AJ877" s="192" t="str">
        <f>IF(TAB_ressource[[#This Row],[Import Ressource]]="","",MAX(AJ$1:AJ876)+1)</f>
        <v/>
      </c>
      <c r="AK877" s="193" t="str">
        <f>IFERROR(INDEX(TAB_ressource[Import Ressource],MATCH(ROW()-ROW($AK$1),TAB_ressource[ID Import ressources],0)),"")</f>
        <v/>
      </c>
      <c r="BE877" t="s">
        <v>3128</v>
      </c>
      <c r="BF877" t="s">
        <v>3129</v>
      </c>
      <c r="BG877" t="s">
        <v>956</v>
      </c>
    </row>
    <row r="878" spans="13:59" x14ac:dyDescent="0.25">
      <c r="M878" t="str">
        <f>_xlfn.IFNA(IF(VLOOKUP(TAB_Offres[[#This Row],[Reference]],TAB_Offres[[Reference]:[Request State]],COLUMNS(TAB_Offres[[Reference]:[Request State]]),FALSE)=D$6,TAB_Offres[[#This Row],[Reference]],""),"")</f>
        <v/>
      </c>
      <c r="N878" t="str">
        <f>_xlfn.IFNA(IF(VLOOKUP(TAB_Offres[[#This Row],[Reference]],TAB_Offres[[Reference]:[Has Expenses?]],COLUMNS(TAB_Offres[[Reference]:[Has Expenses?]]),FALSE)=J$2,TAB_Offres[[#This Row],[Reference]],""),"")</f>
        <v/>
      </c>
      <c r="O878" t="str">
        <f>IF(Tableau19[[#This Row],[EXPENSES_REF]]="","",MAX(O$1:O877)+1)</f>
        <v/>
      </c>
      <c r="P878" t="str">
        <f t="shared" si="26"/>
        <v/>
      </c>
      <c r="AI878" s="191" t="str">
        <f>IFERROR(_xlfn.SINGLE(
IF(_xlfn.SINGLE(INDEX(TAB_Offres[Ressource 1],ROWS(Params!AI$2:$AI878)))=0,NA(),
INDEX(TAB_Offres[Ressource 1],ROWS(Params!AI$2:$AI878)))),
IFERROR(_xlfn.SINGLE(IF(_xlfn.SINGLE(INDEX(#REF!,ROWS(Params!AI$2:$AI878)-COUNTA(TAB_Offres[Ressource 1])))=0,NA(),
INDEX(#REF!,ROWS(Params!AI$2:$AI878)-COUNTA(TAB_Offres[Ressource 1])))),
IFERROR(_xlfn.SINGLE(IF(_xlfn.SINGLE(INDEX(#REF!,ROWS(Params!AI$2:$AI878)-COUNTA(#REF!)-COUNTA(TAB_Offres[Ressource 1])))=0,NA(),
INDEX(#REF!,ROWS(Params!AI$2:$AI878)-COUNTA(#REF!)-COUNTA(TAB_Offres[Ressource 1])))),""))
)</f>
        <v/>
      </c>
      <c r="AJ878" s="192" t="str">
        <f>IF(TAB_ressource[[#This Row],[Import Ressource]]="","",MAX(AJ$1:AJ877)+1)</f>
        <v/>
      </c>
      <c r="AK878" s="193" t="str">
        <f>IFERROR(INDEX(TAB_ressource[Import Ressource],MATCH(ROW()-ROW($AK$1),TAB_ressource[ID Import ressources],0)),"")</f>
        <v/>
      </c>
      <c r="BE878" t="s">
        <v>3130</v>
      </c>
      <c r="BF878" t="s">
        <v>3131</v>
      </c>
      <c r="BG878" t="s">
        <v>959</v>
      </c>
    </row>
    <row r="879" spans="13:59" x14ac:dyDescent="0.25">
      <c r="M879" t="str">
        <f>_xlfn.IFNA(IF(VLOOKUP(TAB_Offres[[#This Row],[Reference]],TAB_Offres[[Reference]:[Request State]],COLUMNS(TAB_Offres[[Reference]:[Request State]]),FALSE)=D$6,TAB_Offres[[#This Row],[Reference]],""),"")</f>
        <v/>
      </c>
      <c r="N879" t="str">
        <f>_xlfn.IFNA(IF(VLOOKUP(TAB_Offres[[#This Row],[Reference]],TAB_Offres[[Reference]:[Has Expenses?]],COLUMNS(TAB_Offres[[Reference]:[Has Expenses?]]),FALSE)=J$2,TAB_Offres[[#This Row],[Reference]],""),"")</f>
        <v/>
      </c>
      <c r="O879" t="str">
        <f>IF(Tableau19[[#This Row],[EXPENSES_REF]]="","",MAX(O$1:O878)+1)</f>
        <v/>
      </c>
      <c r="P879" t="str">
        <f t="shared" si="26"/>
        <v/>
      </c>
      <c r="AI879" s="191" t="str">
        <f>IFERROR(_xlfn.SINGLE(
IF(_xlfn.SINGLE(INDEX(TAB_Offres[Ressource 1],ROWS(Params!AI$2:$AI879)))=0,NA(),
INDEX(TAB_Offres[Ressource 1],ROWS(Params!AI$2:$AI879)))),
IFERROR(_xlfn.SINGLE(IF(_xlfn.SINGLE(INDEX(#REF!,ROWS(Params!AI$2:$AI879)-COUNTA(TAB_Offres[Ressource 1])))=0,NA(),
INDEX(#REF!,ROWS(Params!AI$2:$AI879)-COUNTA(TAB_Offres[Ressource 1])))),
IFERROR(_xlfn.SINGLE(IF(_xlfn.SINGLE(INDEX(#REF!,ROWS(Params!AI$2:$AI879)-COUNTA(#REF!)-COUNTA(TAB_Offres[Ressource 1])))=0,NA(),
INDEX(#REF!,ROWS(Params!AI$2:$AI879)-COUNTA(#REF!)-COUNTA(TAB_Offres[Ressource 1])))),""))
)</f>
        <v/>
      </c>
      <c r="AJ879" s="192" t="str">
        <f>IF(TAB_ressource[[#This Row],[Import Ressource]]="","",MAX(AJ$1:AJ878)+1)</f>
        <v/>
      </c>
      <c r="AK879" s="193" t="str">
        <f>IFERROR(INDEX(TAB_ressource[Import Ressource],MATCH(ROW()-ROW($AK$1),TAB_ressource[ID Import ressources],0)),"")</f>
        <v/>
      </c>
      <c r="BE879" t="s">
        <v>3132</v>
      </c>
      <c r="BF879" t="s">
        <v>3133</v>
      </c>
      <c r="BG879" t="s">
        <v>962</v>
      </c>
    </row>
    <row r="880" spans="13:59" x14ac:dyDescent="0.25">
      <c r="M880" t="str">
        <f>_xlfn.IFNA(IF(VLOOKUP(TAB_Offres[[#This Row],[Reference]],TAB_Offres[[Reference]:[Request State]],COLUMNS(TAB_Offres[[Reference]:[Request State]]),FALSE)=D$6,TAB_Offres[[#This Row],[Reference]],""),"")</f>
        <v/>
      </c>
      <c r="N880" t="str">
        <f>_xlfn.IFNA(IF(VLOOKUP(TAB_Offres[[#This Row],[Reference]],TAB_Offres[[Reference]:[Has Expenses?]],COLUMNS(TAB_Offres[[Reference]:[Has Expenses?]]),FALSE)=J$2,TAB_Offres[[#This Row],[Reference]],""),"")</f>
        <v/>
      </c>
      <c r="O880" t="str">
        <f>IF(Tableau19[[#This Row],[EXPENSES_REF]]="","",MAX(O$1:O879)+1)</f>
        <v/>
      </c>
      <c r="P880" t="str">
        <f t="shared" si="26"/>
        <v/>
      </c>
      <c r="AI880" s="191" t="str">
        <f>IFERROR(_xlfn.SINGLE(
IF(_xlfn.SINGLE(INDEX(TAB_Offres[Ressource 1],ROWS(Params!AI$2:$AI880)))=0,NA(),
INDEX(TAB_Offres[Ressource 1],ROWS(Params!AI$2:$AI880)))),
IFERROR(_xlfn.SINGLE(IF(_xlfn.SINGLE(INDEX(#REF!,ROWS(Params!AI$2:$AI880)-COUNTA(TAB_Offres[Ressource 1])))=0,NA(),
INDEX(#REF!,ROWS(Params!AI$2:$AI880)-COUNTA(TAB_Offres[Ressource 1])))),
IFERROR(_xlfn.SINGLE(IF(_xlfn.SINGLE(INDEX(#REF!,ROWS(Params!AI$2:$AI880)-COUNTA(#REF!)-COUNTA(TAB_Offres[Ressource 1])))=0,NA(),
INDEX(#REF!,ROWS(Params!AI$2:$AI880)-COUNTA(#REF!)-COUNTA(TAB_Offres[Ressource 1])))),""))
)</f>
        <v/>
      </c>
      <c r="AJ880" s="192" t="str">
        <f>IF(TAB_ressource[[#This Row],[Import Ressource]]="","",MAX(AJ$1:AJ879)+1)</f>
        <v/>
      </c>
      <c r="AK880" s="193" t="str">
        <f>IFERROR(INDEX(TAB_ressource[Import Ressource],MATCH(ROW()-ROW($AK$1),TAB_ressource[ID Import ressources],0)),"")</f>
        <v/>
      </c>
      <c r="BE880" t="s">
        <v>3134</v>
      </c>
      <c r="BF880" t="s">
        <v>3135</v>
      </c>
      <c r="BG880" t="s">
        <v>965</v>
      </c>
    </row>
    <row r="881" spans="13:59" x14ac:dyDescent="0.25">
      <c r="M881" t="str">
        <f>_xlfn.IFNA(IF(VLOOKUP(TAB_Offres[[#This Row],[Reference]],TAB_Offres[[Reference]:[Request State]],COLUMNS(TAB_Offres[[Reference]:[Request State]]),FALSE)=D$6,TAB_Offres[[#This Row],[Reference]],""),"")</f>
        <v/>
      </c>
      <c r="N881" t="str">
        <f>_xlfn.IFNA(IF(VLOOKUP(TAB_Offres[[#This Row],[Reference]],TAB_Offres[[Reference]:[Has Expenses?]],COLUMNS(TAB_Offres[[Reference]:[Has Expenses?]]),FALSE)=J$2,TAB_Offres[[#This Row],[Reference]],""),"")</f>
        <v/>
      </c>
      <c r="O881" t="str">
        <f>IF(Tableau19[[#This Row],[EXPENSES_REF]]="","",MAX(O$1:O880)+1)</f>
        <v/>
      </c>
      <c r="P881" t="str">
        <f t="shared" si="26"/>
        <v/>
      </c>
      <c r="AI881" s="191" t="str">
        <f>IFERROR(_xlfn.SINGLE(
IF(_xlfn.SINGLE(INDEX(TAB_Offres[Ressource 1],ROWS(Params!AI$2:$AI881)))=0,NA(),
INDEX(TAB_Offres[Ressource 1],ROWS(Params!AI$2:$AI881)))),
IFERROR(_xlfn.SINGLE(IF(_xlfn.SINGLE(INDEX(#REF!,ROWS(Params!AI$2:$AI881)-COUNTA(TAB_Offres[Ressource 1])))=0,NA(),
INDEX(#REF!,ROWS(Params!AI$2:$AI881)-COUNTA(TAB_Offres[Ressource 1])))),
IFERROR(_xlfn.SINGLE(IF(_xlfn.SINGLE(INDEX(#REF!,ROWS(Params!AI$2:$AI881)-COUNTA(#REF!)-COUNTA(TAB_Offres[Ressource 1])))=0,NA(),
INDEX(#REF!,ROWS(Params!AI$2:$AI881)-COUNTA(#REF!)-COUNTA(TAB_Offres[Ressource 1])))),""))
)</f>
        <v/>
      </c>
      <c r="AJ881" s="192" t="str">
        <f>IF(TAB_ressource[[#This Row],[Import Ressource]]="","",MAX(AJ$1:AJ880)+1)</f>
        <v/>
      </c>
      <c r="AK881" s="193" t="str">
        <f>IFERROR(INDEX(TAB_ressource[Import Ressource],MATCH(ROW()-ROW($AK$1),TAB_ressource[ID Import ressources],0)),"")</f>
        <v/>
      </c>
      <c r="BE881" t="s">
        <v>3136</v>
      </c>
      <c r="BF881" t="s">
        <v>3137</v>
      </c>
      <c r="BG881" t="s">
        <v>968</v>
      </c>
    </row>
    <row r="882" spans="13:59" x14ac:dyDescent="0.25">
      <c r="M882" t="str">
        <f>_xlfn.IFNA(IF(VLOOKUP(TAB_Offres[[#This Row],[Reference]],TAB_Offres[[Reference]:[Request State]],COLUMNS(TAB_Offres[[Reference]:[Request State]]),FALSE)=D$6,TAB_Offres[[#This Row],[Reference]],""),"")</f>
        <v/>
      </c>
      <c r="N882" t="str">
        <f>_xlfn.IFNA(IF(VLOOKUP(TAB_Offres[[#This Row],[Reference]],TAB_Offres[[Reference]:[Has Expenses?]],COLUMNS(TAB_Offres[[Reference]:[Has Expenses?]]),FALSE)=J$2,TAB_Offres[[#This Row],[Reference]],""),"")</f>
        <v/>
      </c>
      <c r="O882" t="str">
        <f>IF(Tableau19[[#This Row],[EXPENSES_REF]]="","",MAX(O$1:O881)+1)</f>
        <v/>
      </c>
      <c r="P882" t="str">
        <f t="shared" si="26"/>
        <v/>
      </c>
      <c r="AI882" s="191" t="str">
        <f>IFERROR(_xlfn.SINGLE(
IF(_xlfn.SINGLE(INDEX(TAB_Offres[Ressource 1],ROWS(Params!AI$2:$AI882)))=0,NA(),
INDEX(TAB_Offres[Ressource 1],ROWS(Params!AI$2:$AI882)))),
IFERROR(_xlfn.SINGLE(IF(_xlfn.SINGLE(INDEX(#REF!,ROWS(Params!AI$2:$AI882)-COUNTA(TAB_Offres[Ressource 1])))=0,NA(),
INDEX(#REF!,ROWS(Params!AI$2:$AI882)-COUNTA(TAB_Offres[Ressource 1])))),
IFERROR(_xlfn.SINGLE(IF(_xlfn.SINGLE(INDEX(#REF!,ROWS(Params!AI$2:$AI882)-COUNTA(#REF!)-COUNTA(TAB_Offres[Ressource 1])))=0,NA(),
INDEX(#REF!,ROWS(Params!AI$2:$AI882)-COUNTA(#REF!)-COUNTA(TAB_Offres[Ressource 1])))),""))
)</f>
        <v/>
      </c>
      <c r="AJ882" s="192" t="str">
        <f>IF(TAB_ressource[[#This Row],[Import Ressource]]="","",MAX(AJ$1:AJ881)+1)</f>
        <v/>
      </c>
      <c r="AK882" s="193" t="str">
        <f>IFERROR(INDEX(TAB_ressource[Import Ressource],MATCH(ROW()-ROW($AK$1),TAB_ressource[ID Import ressources],0)),"")</f>
        <v/>
      </c>
      <c r="BE882" t="s">
        <v>3138</v>
      </c>
      <c r="BF882" t="s">
        <v>3139</v>
      </c>
      <c r="BG882" t="s">
        <v>971</v>
      </c>
    </row>
    <row r="883" spans="13:59" x14ac:dyDescent="0.25">
      <c r="M883" t="str">
        <f>_xlfn.IFNA(IF(VLOOKUP(TAB_Offres[[#This Row],[Reference]],TAB_Offres[[Reference]:[Request State]],COLUMNS(TAB_Offres[[Reference]:[Request State]]),FALSE)=D$6,TAB_Offres[[#This Row],[Reference]],""),"")</f>
        <v/>
      </c>
      <c r="N883" t="str">
        <f>_xlfn.IFNA(IF(VLOOKUP(TAB_Offres[[#This Row],[Reference]],TAB_Offres[[Reference]:[Has Expenses?]],COLUMNS(TAB_Offres[[Reference]:[Has Expenses?]]),FALSE)=J$2,TAB_Offres[[#This Row],[Reference]],""),"")</f>
        <v/>
      </c>
      <c r="O883" t="str">
        <f>IF(Tableau19[[#This Row],[EXPENSES_REF]]="","",MAX(O$1:O882)+1)</f>
        <v/>
      </c>
      <c r="P883" t="str">
        <f t="shared" si="26"/>
        <v/>
      </c>
      <c r="AI883" s="191" t="str">
        <f>IFERROR(_xlfn.SINGLE(
IF(_xlfn.SINGLE(INDEX(TAB_Offres[Ressource 1],ROWS(Params!AI$2:$AI883)))=0,NA(),
INDEX(TAB_Offres[Ressource 1],ROWS(Params!AI$2:$AI883)))),
IFERROR(_xlfn.SINGLE(IF(_xlfn.SINGLE(INDEX(#REF!,ROWS(Params!AI$2:$AI883)-COUNTA(TAB_Offres[Ressource 1])))=0,NA(),
INDEX(#REF!,ROWS(Params!AI$2:$AI883)-COUNTA(TAB_Offres[Ressource 1])))),
IFERROR(_xlfn.SINGLE(IF(_xlfn.SINGLE(INDEX(#REF!,ROWS(Params!AI$2:$AI883)-COUNTA(#REF!)-COUNTA(TAB_Offres[Ressource 1])))=0,NA(),
INDEX(#REF!,ROWS(Params!AI$2:$AI883)-COUNTA(#REF!)-COUNTA(TAB_Offres[Ressource 1])))),""))
)</f>
        <v/>
      </c>
      <c r="AJ883" s="192" t="str">
        <f>IF(TAB_ressource[[#This Row],[Import Ressource]]="","",MAX(AJ$1:AJ882)+1)</f>
        <v/>
      </c>
      <c r="AK883" s="193" t="str">
        <f>IFERROR(INDEX(TAB_ressource[Import Ressource],MATCH(ROW()-ROW($AK$1),TAB_ressource[ID Import ressources],0)),"")</f>
        <v/>
      </c>
      <c r="BE883" t="s">
        <v>3140</v>
      </c>
      <c r="BF883" t="s">
        <v>3141</v>
      </c>
      <c r="BG883" t="s">
        <v>974</v>
      </c>
    </row>
    <row r="884" spans="13:59" x14ac:dyDescent="0.25">
      <c r="M884" t="str">
        <f>_xlfn.IFNA(IF(VLOOKUP(TAB_Offres[[#This Row],[Reference]],TAB_Offres[[Reference]:[Request State]],COLUMNS(TAB_Offres[[Reference]:[Request State]]),FALSE)=D$6,TAB_Offres[[#This Row],[Reference]],""),"")</f>
        <v/>
      </c>
      <c r="N884" t="str">
        <f>_xlfn.IFNA(IF(VLOOKUP(TAB_Offres[[#This Row],[Reference]],TAB_Offres[[Reference]:[Has Expenses?]],COLUMNS(TAB_Offres[[Reference]:[Has Expenses?]]),FALSE)=J$2,TAB_Offres[[#This Row],[Reference]],""),"")</f>
        <v/>
      </c>
      <c r="O884" t="str">
        <f>IF(Tableau19[[#This Row],[EXPENSES_REF]]="","",MAX(O$1:O883)+1)</f>
        <v/>
      </c>
      <c r="P884" t="str">
        <f t="shared" si="26"/>
        <v/>
      </c>
      <c r="AI884" s="191" t="str">
        <f>IFERROR(_xlfn.SINGLE(
IF(_xlfn.SINGLE(INDEX(TAB_Offres[Ressource 1],ROWS(Params!AI$2:$AI884)))=0,NA(),
INDEX(TAB_Offres[Ressource 1],ROWS(Params!AI$2:$AI884)))),
IFERROR(_xlfn.SINGLE(IF(_xlfn.SINGLE(INDEX(#REF!,ROWS(Params!AI$2:$AI884)-COUNTA(TAB_Offres[Ressource 1])))=0,NA(),
INDEX(#REF!,ROWS(Params!AI$2:$AI884)-COUNTA(TAB_Offres[Ressource 1])))),
IFERROR(_xlfn.SINGLE(IF(_xlfn.SINGLE(INDEX(#REF!,ROWS(Params!AI$2:$AI884)-COUNTA(#REF!)-COUNTA(TAB_Offres[Ressource 1])))=0,NA(),
INDEX(#REF!,ROWS(Params!AI$2:$AI884)-COUNTA(#REF!)-COUNTA(TAB_Offres[Ressource 1])))),""))
)</f>
        <v/>
      </c>
      <c r="AJ884" s="192" t="str">
        <f>IF(TAB_ressource[[#This Row],[Import Ressource]]="","",MAX(AJ$1:AJ883)+1)</f>
        <v/>
      </c>
      <c r="AK884" s="193" t="str">
        <f>IFERROR(INDEX(TAB_ressource[Import Ressource],MATCH(ROW()-ROW($AK$1),TAB_ressource[ID Import ressources],0)),"")</f>
        <v/>
      </c>
      <c r="BE884" t="s">
        <v>3142</v>
      </c>
      <c r="BF884" t="s">
        <v>3143</v>
      </c>
      <c r="BG884" t="s">
        <v>977</v>
      </c>
    </row>
    <row r="885" spans="13:59" x14ac:dyDescent="0.25">
      <c r="M885" t="str">
        <f>_xlfn.IFNA(IF(VLOOKUP(TAB_Offres[[#This Row],[Reference]],TAB_Offres[[Reference]:[Request State]],COLUMNS(TAB_Offres[[Reference]:[Request State]]),FALSE)=D$6,TAB_Offres[[#This Row],[Reference]],""),"")</f>
        <v/>
      </c>
      <c r="N885" t="str">
        <f>_xlfn.IFNA(IF(VLOOKUP(TAB_Offres[[#This Row],[Reference]],TAB_Offres[[Reference]:[Has Expenses?]],COLUMNS(TAB_Offres[[Reference]:[Has Expenses?]]),FALSE)=J$2,TAB_Offres[[#This Row],[Reference]],""),"")</f>
        <v/>
      </c>
      <c r="O885" t="str">
        <f>IF(Tableau19[[#This Row],[EXPENSES_REF]]="","",MAX(O$1:O884)+1)</f>
        <v/>
      </c>
      <c r="P885" t="str">
        <f t="shared" si="26"/>
        <v/>
      </c>
      <c r="AI885" s="191" t="str">
        <f>IFERROR(_xlfn.SINGLE(
IF(_xlfn.SINGLE(INDEX(TAB_Offres[Ressource 1],ROWS(Params!AI$2:$AI885)))=0,NA(),
INDEX(TAB_Offres[Ressource 1],ROWS(Params!AI$2:$AI885)))),
IFERROR(_xlfn.SINGLE(IF(_xlfn.SINGLE(INDEX(#REF!,ROWS(Params!AI$2:$AI885)-COUNTA(TAB_Offres[Ressource 1])))=0,NA(),
INDEX(#REF!,ROWS(Params!AI$2:$AI885)-COUNTA(TAB_Offres[Ressource 1])))),
IFERROR(_xlfn.SINGLE(IF(_xlfn.SINGLE(INDEX(#REF!,ROWS(Params!AI$2:$AI885)-COUNTA(#REF!)-COUNTA(TAB_Offres[Ressource 1])))=0,NA(),
INDEX(#REF!,ROWS(Params!AI$2:$AI885)-COUNTA(#REF!)-COUNTA(TAB_Offres[Ressource 1])))),""))
)</f>
        <v/>
      </c>
      <c r="AJ885" s="192" t="str">
        <f>IF(TAB_ressource[[#This Row],[Import Ressource]]="","",MAX(AJ$1:AJ884)+1)</f>
        <v/>
      </c>
      <c r="AK885" s="193" t="str">
        <f>IFERROR(INDEX(TAB_ressource[Import Ressource],MATCH(ROW()-ROW($AK$1),TAB_ressource[ID Import ressources],0)),"")</f>
        <v/>
      </c>
      <c r="BE885" t="s">
        <v>3144</v>
      </c>
      <c r="BF885" t="s">
        <v>3145</v>
      </c>
      <c r="BG885" t="s">
        <v>980</v>
      </c>
    </row>
    <row r="886" spans="13:59" x14ac:dyDescent="0.25">
      <c r="M886" t="str">
        <f>_xlfn.IFNA(IF(VLOOKUP(TAB_Offres[[#This Row],[Reference]],TAB_Offres[[Reference]:[Request State]],COLUMNS(TAB_Offres[[Reference]:[Request State]]),FALSE)=D$6,TAB_Offres[[#This Row],[Reference]],""),"")</f>
        <v/>
      </c>
      <c r="N886" t="str">
        <f>_xlfn.IFNA(IF(VLOOKUP(TAB_Offres[[#This Row],[Reference]],TAB_Offres[[Reference]:[Has Expenses?]],COLUMNS(TAB_Offres[[Reference]:[Has Expenses?]]),FALSE)=J$2,TAB_Offres[[#This Row],[Reference]],""),"")</f>
        <v/>
      </c>
      <c r="O886" t="str">
        <f>IF(Tableau19[[#This Row],[EXPENSES_REF]]="","",MAX(O$1:O885)+1)</f>
        <v/>
      </c>
      <c r="P886" t="str">
        <f t="shared" si="26"/>
        <v/>
      </c>
      <c r="AI886" s="191" t="str">
        <f>IFERROR(_xlfn.SINGLE(
IF(_xlfn.SINGLE(INDEX(TAB_Offres[Ressource 1],ROWS(Params!AI$2:$AI886)))=0,NA(),
INDEX(TAB_Offres[Ressource 1],ROWS(Params!AI$2:$AI886)))),
IFERROR(_xlfn.SINGLE(IF(_xlfn.SINGLE(INDEX(#REF!,ROWS(Params!AI$2:$AI886)-COUNTA(TAB_Offres[Ressource 1])))=0,NA(),
INDEX(#REF!,ROWS(Params!AI$2:$AI886)-COUNTA(TAB_Offres[Ressource 1])))),
IFERROR(_xlfn.SINGLE(IF(_xlfn.SINGLE(INDEX(#REF!,ROWS(Params!AI$2:$AI886)-COUNTA(#REF!)-COUNTA(TAB_Offres[Ressource 1])))=0,NA(),
INDEX(#REF!,ROWS(Params!AI$2:$AI886)-COUNTA(#REF!)-COUNTA(TAB_Offres[Ressource 1])))),""))
)</f>
        <v/>
      </c>
      <c r="AJ886" s="192" t="str">
        <f>IF(TAB_ressource[[#This Row],[Import Ressource]]="","",MAX(AJ$1:AJ885)+1)</f>
        <v/>
      </c>
      <c r="AK886" s="193" t="str">
        <f>IFERROR(INDEX(TAB_ressource[Import Ressource],MATCH(ROW()-ROW($AK$1),TAB_ressource[ID Import ressources],0)),"")</f>
        <v/>
      </c>
      <c r="BE886" t="s">
        <v>3146</v>
      </c>
      <c r="BF886" t="s">
        <v>3147</v>
      </c>
      <c r="BG886" t="s">
        <v>983</v>
      </c>
    </row>
    <row r="887" spans="13:59" x14ac:dyDescent="0.25">
      <c r="M887" t="str">
        <f>_xlfn.IFNA(IF(VLOOKUP(TAB_Offres[[#This Row],[Reference]],TAB_Offres[[Reference]:[Request State]],COLUMNS(TAB_Offres[[Reference]:[Request State]]),FALSE)=D$6,TAB_Offres[[#This Row],[Reference]],""),"")</f>
        <v/>
      </c>
      <c r="N887" t="str">
        <f>_xlfn.IFNA(IF(VLOOKUP(TAB_Offres[[#This Row],[Reference]],TAB_Offres[[Reference]:[Has Expenses?]],COLUMNS(TAB_Offres[[Reference]:[Has Expenses?]]),FALSE)=J$2,TAB_Offres[[#This Row],[Reference]],""),"")</f>
        <v/>
      </c>
      <c r="O887" t="str">
        <f>IF(Tableau19[[#This Row],[EXPENSES_REF]]="","",MAX(O$1:O886)+1)</f>
        <v/>
      </c>
      <c r="P887" t="str">
        <f t="shared" si="26"/>
        <v/>
      </c>
      <c r="AI887" s="191" t="str">
        <f>IFERROR(_xlfn.SINGLE(
IF(_xlfn.SINGLE(INDEX(TAB_Offres[Ressource 1],ROWS(Params!AI$2:$AI887)))=0,NA(),
INDEX(TAB_Offres[Ressource 1],ROWS(Params!AI$2:$AI887)))),
IFERROR(_xlfn.SINGLE(IF(_xlfn.SINGLE(INDEX(#REF!,ROWS(Params!AI$2:$AI887)-COUNTA(TAB_Offres[Ressource 1])))=0,NA(),
INDEX(#REF!,ROWS(Params!AI$2:$AI887)-COUNTA(TAB_Offres[Ressource 1])))),
IFERROR(_xlfn.SINGLE(IF(_xlfn.SINGLE(INDEX(#REF!,ROWS(Params!AI$2:$AI887)-COUNTA(#REF!)-COUNTA(TAB_Offres[Ressource 1])))=0,NA(),
INDEX(#REF!,ROWS(Params!AI$2:$AI887)-COUNTA(#REF!)-COUNTA(TAB_Offres[Ressource 1])))),""))
)</f>
        <v/>
      </c>
      <c r="AJ887" s="192" t="str">
        <f>IF(TAB_ressource[[#This Row],[Import Ressource]]="","",MAX(AJ$1:AJ886)+1)</f>
        <v/>
      </c>
      <c r="AK887" s="193" t="str">
        <f>IFERROR(INDEX(TAB_ressource[Import Ressource],MATCH(ROW()-ROW($AK$1),TAB_ressource[ID Import ressources],0)),"")</f>
        <v/>
      </c>
      <c r="BE887" t="s">
        <v>3148</v>
      </c>
      <c r="BF887" t="s">
        <v>3149</v>
      </c>
      <c r="BG887" t="s">
        <v>986</v>
      </c>
    </row>
    <row r="888" spans="13:59" x14ac:dyDescent="0.25">
      <c r="M888" t="str">
        <f>_xlfn.IFNA(IF(VLOOKUP(TAB_Offres[[#This Row],[Reference]],TAB_Offres[[Reference]:[Request State]],COLUMNS(TAB_Offres[[Reference]:[Request State]]),FALSE)=D$6,TAB_Offres[[#This Row],[Reference]],""),"")</f>
        <v/>
      </c>
      <c r="N888" t="str">
        <f>_xlfn.IFNA(IF(VLOOKUP(TAB_Offres[[#This Row],[Reference]],TAB_Offres[[Reference]:[Has Expenses?]],COLUMNS(TAB_Offres[[Reference]:[Has Expenses?]]),FALSE)=J$2,TAB_Offres[[#This Row],[Reference]],""),"")</f>
        <v/>
      </c>
      <c r="O888" t="str">
        <f>IF(Tableau19[[#This Row],[EXPENSES_REF]]="","",MAX(O$1:O887)+1)</f>
        <v/>
      </c>
      <c r="P888" t="str">
        <f t="shared" si="26"/>
        <v/>
      </c>
      <c r="AI888" s="191" t="str">
        <f>IFERROR(_xlfn.SINGLE(
IF(_xlfn.SINGLE(INDEX(TAB_Offres[Ressource 1],ROWS(Params!AI$2:$AI888)))=0,NA(),
INDEX(TAB_Offres[Ressource 1],ROWS(Params!AI$2:$AI888)))),
IFERROR(_xlfn.SINGLE(IF(_xlfn.SINGLE(INDEX(#REF!,ROWS(Params!AI$2:$AI888)-COUNTA(TAB_Offres[Ressource 1])))=0,NA(),
INDEX(#REF!,ROWS(Params!AI$2:$AI888)-COUNTA(TAB_Offres[Ressource 1])))),
IFERROR(_xlfn.SINGLE(IF(_xlfn.SINGLE(INDEX(#REF!,ROWS(Params!AI$2:$AI888)-COUNTA(#REF!)-COUNTA(TAB_Offres[Ressource 1])))=0,NA(),
INDEX(#REF!,ROWS(Params!AI$2:$AI888)-COUNTA(#REF!)-COUNTA(TAB_Offres[Ressource 1])))),""))
)</f>
        <v/>
      </c>
      <c r="AJ888" s="192" t="str">
        <f>IF(TAB_ressource[[#This Row],[Import Ressource]]="","",MAX(AJ$1:AJ887)+1)</f>
        <v/>
      </c>
      <c r="AK888" s="193" t="str">
        <f>IFERROR(INDEX(TAB_ressource[Import Ressource],MATCH(ROW()-ROW($AK$1),TAB_ressource[ID Import ressources],0)),"")</f>
        <v/>
      </c>
      <c r="BE888" t="s">
        <v>3150</v>
      </c>
      <c r="BF888" t="s">
        <v>3151</v>
      </c>
      <c r="BG888" t="s">
        <v>989</v>
      </c>
    </row>
    <row r="889" spans="13:59" x14ac:dyDescent="0.25">
      <c r="M889" t="str">
        <f>_xlfn.IFNA(IF(VLOOKUP(TAB_Offres[[#This Row],[Reference]],TAB_Offres[[Reference]:[Request State]],COLUMNS(TAB_Offres[[Reference]:[Request State]]),FALSE)=D$6,TAB_Offres[[#This Row],[Reference]],""),"")</f>
        <v/>
      </c>
      <c r="N889" t="str">
        <f>_xlfn.IFNA(IF(VLOOKUP(TAB_Offres[[#This Row],[Reference]],TAB_Offres[[Reference]:[Has Expenses?]],COLUMNS(TAB_Offres[[Reference]:[Has Expenses?]]),FALSE)=J$2,TAB_Offres[[#This Row],[Reference]],""),"")</f>
        <v/>
      </c>
      <c r="O889" t="str">
        <f>IF(Tableau19[[#This Row],[EXPENSES_REF]]="","",MAX(O$1:O888)+1)</f>
        <v/>
      </c>
      <c r="P889" t="str">
        <f t="shared" si="26"/>
        <v/>
      </c>
      <c r="AI889" s="191" t="str">
        <f>IFERROR(_xlfn.SINGLE(
IF(_xlfn.SINGLE(INDEX(TAB_Offres[Ressource 1],ROWS(Params!AI$2:$AI889)))=0,NA(),
INDEX(TAB_Offres[Ressource 1],ROWS(Params!AI$2:$AI889)))),
IFERROR(_xlfn.SINGLE(IF(_xlfn.SINGLE(INDEX(#REF!,ROWS(Params!AI$2:$AI889)-COUNTA(TAB_Offres[Ressource 1])))=0,NA(),
INDEX(#REF!,ROWS(Params!AI$2:$AI889)-COUNTA(TAB_Offres[Ressource 1])))),
IFERROR(_xlfn.SINGLE(IF(_xlfn.SINGLE(INDEX(#REF!,ROWS(Params!AI$2:$AI889)-COUNTA(#REF!)-COUNTA(TAB_Offres[Ressource 1])))=0,NA(),
INDEX(#REF!,ROWS(Params!AI$2:$AI889)-COUNTA(#REF!)-COUNTA(TAB_Offres[Ressource 1])))),""))
)</f>
        <v/>
      </c>
      <c r="AJ889" s="192" t="str">
        <f>IF(TAB_ressource[[#This Row],[Import Ressource]]="","",MAX(AJ$1:AJ888)+1)</f>
        <v/>
      </c>
      <c r="AK889" s="193" t="str">
        <f>IFERROR(INDEX(TAB_ressource[Import Ressource],MATCH(ROW()-ROW($AK$1),TAB_ressource[ID Import ressources],0)),"")</f>
        <v/>
      </c>
      <c r="BE889" t="s">
        <v>3152</v>
      </c>
      <c r="BF889" t="s">
        <v>3153</v>
      </c>
      <c r="BG889" t="s">
        <v>992</v>
      </c>
    </row>
    <row r="890" spans="13:59" x14ac:dyDescent="0.25">
      <c r="M890" t="str">
        <f>_xlfn.IFNA(IF(VLOOKUP(TAB_Offres[[#This Row],[Reference]],TAB_Offres[[Reference]:[Request State]],COLUMNS(TAB_Offres[[Reference]:[Request State]]),FALSE)=D$6,TAB_Offres[[#This Row],[Reference]],""),"")</f>
        <v/>
      </c>
      <c r="N890" t="str">
        <f>_xlfn.IFNA(IF(VLOOKUP(TAB_Offres[[#This Row],[Reference]],TAB_Offres[[Reference]:[Has Expenses?]],COLUMNS(TAB_Offres[[Reference]:[Has Expenses?]]),FALSE)=J$2,TAB_Offres[[#This Row],[Reference]],""),"")</f>
        <v/>
      </c>
      <c r="O890" t="str">
        <f>IF(Tableau19[[#This Row],[EXPENSES_REF]]="","",MAX(O$1:O889)+1)</f>
        <v/>
      </c>
      <c r="P890" t="str">
        <f t="shared" si="26"/>
        <v/>
      </c>
      <c r="AI890" s="191" t="str">
        <f>IFERROR(_xlfn.SINGLE(
IF(_xlfn.SINGLE(INDEX(TAB_Offres[Ressource 1],ROWS(Params!AI$2:$AI890)))=0,NA(),
INDEX(TAB_Offres[Ressource 1],ROWS(Params!AI$2:$AI890)))),
IFERROR(_xlfn.SINGLE(IF(_xlfn.SINGLE(INDEX(#REF!,ROWS(Params!AI$2:$AI890)-COUNTA(TAB_Offres[Ressource 1])))=0,NA(),
INDEX(#REF!,ROWS(Params!AI$2:$AI890)-COUNTA(TAB_Offres[Ressource 1])))),
IFERROR(_xlfn.SINGLE(IF(_xlfn.SINGLE(INDEX(#REF!,ROWS(Params!AI$2:$AI890)-COUNTA(#REF!)-COUNTA(TAB_Offres[Ressource 1])))=0,NA(),
INDEX(#REF!,ROWS(Params!AI$2:$AI890)-COUNTA(#REF!)-COUNTA(TAB_Offres[Ressource 1])))),""))
)</f>
        <v/>
      </c>
      <c r="AJ890" s="192" t="str">
        <f>IF(TAB_ressource[[#This Row],[Import Ressource]]="","",MAX(AJ$1:AJ889)+1)</f>
        <v/>
      </c>
      <c r="AK890" s="193" t="str">
        <f>IFERROR(INDEX(TAB_ressource[Import Ressource],MATCH(ROW()-ROW($AK$1),TAB_ressource[ID Import ressources],0)),"")</f>
        <v/>
      </c>
      <c r="BE890" t="s">
        <v>3154</v>
      </c>
      <c r="BF890" t="s">
        <v>3155</v>
      </c>
      <c r="BG890" t="s">
        <v>995</v>
      </c>
    </row>
    <row r="891" spans="13:59" x14ac:dyDescent="0.25">
      <c r="M891" t="str">
        <f>_xlfn.IFNA(IF(VLOOKUP(TAB_Offres[[#This Row],[Reference]],TAB_Offres[[Reference]:[Request State]],COLUMNS(TAB_Offres[[Reference]:[Request State]]),FALSE)=D$6,TAB_Offres[[#This Row],[Reference]],""),"")</f>
        <v/>
      </c>
      <c r="N891" t="str">
        <f>_xlfn.IFNA(IF(VLOOKUP(TAB_Offres[[#This Row],[Reference]],TAB_Offres[[Reference]:[Has Expenses?]],COLUMNS(TAB_Offres[[Reference]:[Has Expenses?]]),FALSE)=J$2,TAB_Offres[[#This Row],[Reference]],""),"")</f>
        <v/>
      </c>
      <c r="O891" t="str">
        <f>IF(Tableau19[[#This Row],[EXPENSES_REF]]="","",MAX(O$1:O890)+1)</f>
        <v/>
      </c>
      <c r="P891" t="str">
        <f t="shared" si="26"/>
        <v/>
      </c>
      <c r="AI891" s="191" t="str">
        <f>IFERROR(_xlfn.SINGLE(
IF(_xlfn.SINGLE(INDEX(TAB_Offres[Ressource 1],ROWS(Params!AI$2:$AI891)))=0,NA(),
INDEX(TAB_Offres[Ressource 1],ROWS(Params!AI$2:$AI891)))),
IFERROR(_xlfn.SINGLE(IF(_xlfn.SINGLE(INDEX(#REF!,ROWS(Params!AI$2:$AI891)-COUNTA(TAB_Offres[Ressource 1])))=0,NA(),
INDEX(#REF!,ROWS(Params!AI$2:$AI891)-COUNTA(TAB_Offres[Ressource 1])))),
IFERROR(_xlfn.SINGLE(IF(_xlfn.SINGLE(INDEX(#REF!,ROWS(Params!AI$2:$AI891)-COUNTA(#REF!)-COUNTA(TAB_Offres[Ressource 1])))=0,NA(),
INDEX(#REF!,ROWS(Params!AI$2:$AI891)-COUNTA(#REF!)-COUNTA(TAB_Offres[Ressource 1])))),""))
)</f>
        <v/>
      </c>
      <c r="AJ891" s="192" t="str">
        <f>IF(TAB_ressource[[#This Row],[Import Ressource]]="","",MAX(AJ$1:AJ890)+1)</f>
        <v/>
      </c>
      <c r="AK891" s="193" t="str">
        <f>IFERROR(INDEX(TAB_ressource[Import Ressource],MATCH(ROW()-ROW($AK$1),TAB_ressource[ID Import ressources],0)),"")</f>
        <v/>
      </c>
      <c r="BE891" t="s">
        <v>3156</v>
      </c>
      <c r="BF891" t="s">
        <v>3157</v>
      </c>
      <c r="BG891" t="s">
        <v>998</v>
      </c>
    </row>
    <row r="892" spans="13:59" x14ac:dyDescent="0.25">
      <c r="M892" t="str">
        <f>_xlfn.IFNA(IF(VLOOKUP(TAB_Offres[[#This Row],[Reference]],TAB_Offres[[Reference]:[Request State]],COLUMNS(TAB_Offres[[Reference]:[Request State]]),FALSE)=D$6,TAB_Offres[[#This Row],[Reference]],""),"")</f>
        <v/>
      </c>
      <c r="N892" t="str">
        <f>_xlfn.IFNA(IF(VLOOKUP(TAB_Offres[[#This Row],[Reference]],TAB_Offres[[Reference]:[Has Expenses?]],COLUMNS(TAB_Offres[[Reference]:[Has Expenses?]]),FALSE)=J$2,TAB_Offres[[#This Row],[Reference]],""),"")</f>
        <v/>
      </c>
      <c r="O892" t="str">
        <f>IF(Tableau19[[#This Row],[EXPENSES_REF]]="","",MAX(O$1:O891)+1)</f>
        <v/>
      </c>
      <c r="P892" t="str">
        <f t="shared" si="26"/>
        <v/>
      </c>
      <c r="AI892" s="191" t="str">
        <f>IFERROR(_xlfn.SINGLE(
IF(_xlfn.SINGLE(INDEX(TAB_Offres[Ressource 1],ROWS(Params!AI$2:$AI892)))=0,NA(),
INDEX(TAB_Offres[Ressource 1],ROWS(Params!AI$2:$AI892)))),
IFERROR(_xlfn.SINGLE(IF(_xlfn.SINGLE(INDEX(#REF!,ROWS(Params!AI$2:$AI892)-COUNTA(TAB_Offres[Ressource 1])))=0,NA(),
INDEX(#REF!,ROWS(Params!AI$2:$AI892)-COUNTA(TAB_Offres[Ressource 1])))),
IFERROR(_xlfn.SINGLE(IF(_xlfn.SINGLE(INDEX(#REF!,ROWS(Params!AI$2:$AI892)-COUNTA(#REF!)-COUNTA(TAB_Offres[Ressource 1])))=0,NA(),
INDEX(#REF!,ROWS(Params!AI$2:$AI892)-COUNTA(#REF!)-COUNTA(TAB_Offres[Ressource 1])))),""))
)</f>
        <v/>
      </c>
      <c r="AJ892" s="192" t="str">
        <f>IF(TAB_ressource[[#This Row],[Import Ressource]]="","",MAX(AJ$1:AJ891)+1)</f>
        <v/>
      </c>
      <c r="AK892" s="193" t="str">
        <f>IFERROR(INDEX(TAB_ressource[Import Ressource],MATCH(ROW()-ROW($AK$1),TAB_ressource[ID Import ressources],0)),"")</f>
        <v/>
      </c>
      <c r="BE892" t="s">
        <v>3158</v>
      </c>
      <c r="BF892" t="s">
        <v>3159</v>
      </c>
      <c r="BG892" t="s">
        <v>1001</v>
      </c>
    </row>
    <row r="893" spans="13:59" x14ac:dyDescent="0.25">
      <c r="M893" t="str">
        <f>_xlfn.IFNA(IF(VLOOKUP(TAB_Offres[[#This Row],[Reference]],TAB_Offres[[Reference]:[Request State]],COLUMNS(TAB_Offres[[Reference]:[Request State]]),FALSE)=D$6,TAB_Offres[[#This Row],[Reference]],""),"")</f>
        <v/>
      </c>
      <c r="N893" t="str">
        <f>_xlfn.IFNA(IF(VLOOKUP(TAB_Offres[[#This Row],[Reference]],TAB_Offres[[Reference]:[Has Expenses?]],COLUMNS(TAB_Offres[[Reference]:[Has Expenses?]]),FALSE)=J$2,TAB_Offres[[#This Row],[Reference]],""),"")</f>
        <v/>
      </c>
      <c r="O893" t="str">
        <f>IF(Tableau19[[#This Row],[EXPENSES_REF]]="","",MAX(O$1:O892)+1)</f>
        <v/>
      </c>
      <c r="P893" t="str">
        <f t="shared" si="26"/>
        <v/>
      </c>
      <c r="AI893" s="191" t="str">
        <f>IFERROR(_xlfn.SINGLE(
IF(_xlfn.SINGLE(INDEX(TAB_Offres[Ressource 1],ROWS(Params!AI$2:$AI893)))=0,NA(),
INDEX(TAB_Offres[Ressource 1],ROWS(Params!AI$2:$AI893)))),
IFERROR(_xlfn.SINGLE(IF(_xlfn.SINGLE(INDEX(#REF!,ROWS(Params!AI$2:$AI893)-COUNTA(TAB_Offres[Ressource 1])))=0,NA(),
INDEX(#REF!,ROWS(Params!AI$2:$AI893)-COUNTA(TAB_Offres[Ressource 1])))),
IFERROR(_xlfn.SINGLE(IF(_xlfn.SINGLE(INDEX(#REF!,ROWS(Params!AI$2:$AI893)-COUNTA(#REF!)-COUNTA(TAB_Offres[Ressource 1])))=0,NA(),
INDEX(#REF!,ROWS(Params!AI$2:$AI893)-COUNTA(#REF!)-COUNTA(TAB_Offres[Ressource 1])))),""))
)</f>
        <v/>
      </c>
      <c r="AJ893" s="192" t="str">
        <f>IF(TAB_ressource[[#This Row],[Import Ressource]]="","",MAX(AJ$1:AJ892)+1)</f>
        <v/>
      </c>
      <c r="AK893" s="193" t="str">
        <f>IFERROR(INDEX(TAB_ressource[Import Ressource],MATCH(ROW()-ROW($AK$1),TAB_ressource[ID Import ressources],0)),"")</f>
        <v/>
      </c>
      <c r="BE893" t="s">
        <v>3160</v>
      </c>
      <c r="BF893" t="s">
        <v>3161</v>
      </c>
      <c r="BG893" t="s">
        <v>1004</v>
      </c>
    </row>
    <row r="894" spans="13:59" x14ac:dyDescent="0.25">
      <c r="M894" t="str">
        <f>_xlfn.IFNA(IF(VLOOKUP(TAB_Offres[[#This Row],[Reference]],TAB_Offres[[Reference]:[Request State]],COLUMNS(TAB_Offres[[Reference]:[Request State]]),FALSE)=D$6,TAB_Offres[[#This Row],[Reference]],""),"")</f>
        <v/>
      </c>
      <c r="N894" t="str">
        <f>_xlfn.IFNA(IF(VLOOKUP(TAB_Offres[[#This Row],[Reference]],TAB_Offres[[Reference]:[Has Expenses?]],COLUMNS(TAB_Offres[[Reference]:[Has Expenses?]]),FALSE)=J$2,TAB_Offres[[#This Row],[Reference]],""),"")</f>
        <v/>
      </c>
      <c r="O894" t="str">
        <f>IF(Tableau19[[#This Row],[EXPENSES_REF]]="","",MAX(O$1:O893)+1)</f>
        <v/>
      </c>
      <c r="P894" t="str">
        <f t="shared" si="26"/>
        <v/>
      </c>
      <c r="AI894" s="191" t="str">
        <f>IFERROR(_xlfn.SINGLE(
IF(_xlfn.SINGLE(INDEX(TAB_Offres[Ressource 1],ROWS(Params!AI$2:$AI894)))=0,NA(),
INDEX(TAB_Offres[Ressource 1],ROWS(Params!AI$2:$AI894)))),
IFERROR(_xlfn.SINGLE(IF(_xlfn.SINGLE(INDEX(#REF!,ROWS(Params!AI$2:$AI894)-COUNTA(TAB_Offres[Ressource 1])))=0,NA(),
INDEX(#REF!,ROWS(Params!AI$2:$AI894)-COUNTA(TAB_Offres[Ressource 1])))),
IFERROR(_xlfn.SINGLE(IF(_xlfn.SINGLE(INDEX(#REF!,ROWS(Params!AI$2:$AI894)-COUNTA(#REF!)-COUNTA(TAB_Offres[Ressource 1])))=0,NA(),
INDEX(#REF!,ROWS(Params!AI$2:$AI894)-COUNTA(#REF!)-COUNTA(TAB_Offres[Ressource 1])))),""))
)</f>
        <v/>
      </c>
      <c r="AJ894" s="192" t="str">
        <f>IF(TAB_ressource[[#This Row],[Import Ressource]]="","",MAX(AJ$1:AJ893)+1)</f>
        <v/>
      </c>
      <c r="AK894" s="193" t="str">
        <f>IFERROR(INDEX(TAB_ressource[Import Ressource],MATCH(ROW()-ROW($AK$1),TAB_ressource[ID Import ressources],0)),"")</f>
        <v/>
      </c>
      <c r="BE894" t="s">
        <v>3162</v>
      </c>
      <c r="BF894" t="s">
        <v>3163</v>
      </c>
      <c r="BG894" t="s">
        <v>1007</v>
      </c>
    </row>
    <row r="895" spans="13:59" x14ac:dyDescent="0.25">
      <c r="M895" t="str">
        <f>_xlfn.IFNA(IF(VLOOKUP(TAB_Offres[[#This Row],[Reference]],TAB_Offres[[Reference]:[Request State]],COLUMNS(TAB_Offres[[Reference]:[Request State]]),FALSE)=D$6,TAB_Offres[[#This Row],[Reference]],""),"")</f>
        <v/>
      </c>
      <c r="N895" t="str">
        <f>_xlfn.IFNA(IF(VLOOKUP(TAB_Offres[[#This Row],[Reference]],TAB_Offres[[Reference]:[Has Expenses?]],COLUMNS(TAB_Offres[[Reference]:[Has Expenses?]]),FALSE)=J$2,TAB_Offres[[#This Row],[Reference]],""),"")</f>
        <v/>
      </c>
      <c r="O895" t="str">
        <f>IF(Tableau19[[#This Row],[EXPENSES_REF]]="","",MAX(O$1:O894)+1)</f>
        <v/>
      </c>
      <c r="P895" t="str">
        <f t="shared" si="26"/>
        <v/>
      </c>
      <c r="AI895" s="191" t="str">
        <f>IFERROR(_xlfn.SINGLE(
IF(_xlfn.SINGLE(INDEX(TAB_Offres[Ressource 1],ROWS(Params!AI$2:$AI895)))=0,NA(),
INDEX(TAB_Offres[Ressource 1],ROWS(Params!AI$2:$AI895)))),
IFERROR(_xlfn.SINGLE(IF(_xlfn.SINGLE(INDEX(#REF!,ROWS(Params!AI$2:$AI895)-COUNTA(TAB_Offres[Ressource 1])))=0,NA(),
INDEX(#REF!,ROWS(Params!AI$2:$AI895)-COUNTA(TAB_Offres[Ressource 1])))),
IFERROR(_xlfn.SINGLE(IF(_xlfn.SINGLE(INDEX(#REF!,ROWS(Params!AI$2:$AI895)-COUNTA(#REF!)-COUNTA(TAB_Offres[Ressource 1])))=0,NA(),
INDEX(#REF!,ROWS(Params!AI$2:$AI895)-COUNTA(#REF!)-COUNTA(TAB_Offres[Ressource 1])))),""))
)</f>
        <v/>
      </c>
      <c r="AJ895" s="192" t="str">
        <f>IF(TAB_ressource[[#This Row],[Import Ressource]]="","",MAX(AJ$1:AJ894)+1)</f>
        <v/>
      </c>
      <c r="AK895" s="193" t="str">
        <f>IFERROR(INDEX(TAB_ressource[Import Ressource],MATCH(ROW()-ROW($AK$1),TAB_ressource[ID Import ressources],0)),"")</f>
        <v/>
      </c>
      <c r="BE895" t="s">
        <v>3164</v>
      </c>
      <c r="BF895" t="s">
        <v>3165</v>
      </c>
      <c r="BG895" t="s">
        <v>1010</v>
      </c>
    </row>
    <row r="896" spans="13:59" x14ac:dyDescent="0.25">
      <c r="M896" t="str">
        <f>_xlfn.IFNA(IF(VLOOKUP(TAB_Offres[[#This Row],[Reference]],TAB_Offres[[Reference]:[Request State]],COLUMNS(TAB_Offres[[Reference]:[Request State]]),FALSE)=D$6,TAB_Offres[[#This Row],[Reference]],""),"")</f>
        <v/>
      </c>
      <c r="N896" t="str">
        <f>_xlfn.IFNA(IF(VLOOKUP(TAB_Offres[[#This Row],[Reference]],TAB_Offres[[Reference]:[Has Expenses?]],COLUMNS(TAB_Offres[[Reference]:[Has Expenses?]]),FALSE)=J$2,TAB_Offres[[#This Row],[Reference]],""),"")</f>
        <v/>
      </c>
      <c r="O896" t="str">
        <f>IF(Tableau19[[#This Row],[EXPENSES_REF]]="","",MAX(O$1:O895)+1)</f>
        <v/>
      </c>
      <c r="P896" t="str">
        <f t="shared" si="26"/>
        <v/>
      </c>
      <c r="AI896" s="191" t="str">
        <f>IFERROR(_xlfn.SINGLE(
IF(_xlfn.SINGLE(INDEX(TAB_Offres[Ressource 1],ROWS(Params!AI$2:$AI896)))=0,NA(),
INDEX(TAB_Offres[Ressource 1],ROWS(Params!AI$2:$AI896)))),
IFERROR(_xlfn.SINGLE(IF(_xlfn.SINGLE(INDEX(#REF!,ROWS(Params!AI$2:$AI896)-COUNTA(TAB_Offres[Ressource 1])))=0,NA(),
INDEX(#REF!,ROWS(Params!AI$2:$AI896)-COUNTA(TAB_Offres[Ressource 1])))),
IFERROR(_xlfn.SINGLE(IF(_xlfn.SINGLE(INDEX(#REF!,ROWS(Params!AI$2:$AI896)-COUNTA(#REF!)-COUNTA(TAB_Offres[Ressource 1])))=0,NA(),
INDEX(#REF!,ROWS(Params!AI$2:$AI896)-COUNTA(#REF!)-COUNTA(TAB_Offres[Ressource 1])))),""))
)</f>
        <v/>
      </c>
      <c r="AJ896" s="192" t="str">
        <f>IF(TAB_ressource[[#This Row],[Import Ressource]]="","",MAX(AJ$1:AJ895)+1)</f>
        <v/>
      </c>
      <c r="AK896" s="193" t="str">
        <f>IFERROR(INDEX(TAB_ressource[Import Ressource],MATCH(ROW()-ROW($AK$1),TAB_ressource[ID Import ressources],0)),"")</f>
        <v/>
      </c>
      <c r="BE896" t="s">
        <v>3166</v>
      </c>
      <c r="BF896" t="s">
        <v>3167</v>
      </c>
      <c r="BG896" t="s">
        <v>1013</v>
      </c>
    </row>
    <row r="897" spans="13:59" x14ac:dyDescent="0.25">
      <c r="M897" t="str">
        <f>_xlfn.IFNA(IF(VLOOKUP(TAB_Offres[[#This Row],[Reference]],TAB_Offres[[Reference]:[Request State]],COLUMNS(TAB_Offres[[Reference]:[Request State]]),FALSE)=D$6,TAB_Offres[[#This Row],[Reference]],""),"")</f>
        <v/>
      </c>
      <c r="N897" t="str">
        <f>_xlfn.IFNA(IF(VLOOKUP(TAB_Offres[[#This Row],[Reference]],TAB_Offres[[Reference]:[Has Expenses?]],COLUMNS(TAB_Offres[[Reference]:[Has Expenses?]]),FALSE)=J$2,TAB_Offres[[#This Row],[Reference]],""),"")</f>
        <v/>
      </c>
      <c r="O897" t="str">
        <f>IF(Tableau19[[#This Row],[EXPENSES_REF]]="","",MAX(O$1:O896)+1)</f>
        <v/>
      </c>
      <c r="P897" t="str">
        <f t="shared" si="26"/>
        <v/>
      </c>
      <c r="AI897" s="191" t="str">
        <f>IFERROR(_xlfn.SINGLE(
IF(_xlfn.SINGLE(INDEX(TAB_Offres[Ressource 1],ROWS(Params!AI$2:$AI897)))=0,NA(),
INDEX(TAB_Offres[Ressource 1],ROWS(Params!AI$2:$AI897)))),
IFERROR(_xlfn.SINGLE(IF(_xlfn.SINGLE(INDEX(#REF!,ROWS(Params!AI$2:$AI897)-COUNTA(TAB_Offres[Ressource 1])))=0,NA(),
INDEX(#REF!,ROWS(Params!AI$2:$AI897)-COUNTA(TAB_Offres[Ressource 1])))),
IFERROR(_xlfn.SINGLE(IF(_xlfn.SINGLE(INDEX(#REF!,ROWS(Params!AI$2:$AI897)-COUNTA(#REF!)-COUNTA(TAB_Offres[Ressource 1])))=0,NA(),
INDEX(#REF!,ROWS(Params!AI$2:$AI897)-COUNTA(#REF!)-COUNTA(TAB_Offres[Ressource 1])))),""))
)</f>
        <v/>
      </c>
      <c r="AJ897" s="192" t="str">
        <f>IF(TAB_ressource[[#This Row],[Import Ressource]]="","",MAX(AJ$1:AJ896)+1)</f>
        <v/>
      </c>
      <c r="AK897" s="193" t="str">
        <f>IFERROR(INDEX(TAB_ressource[Import Ressource],MATCH(ROW()-ROW($AK$1),TAB_ressource[ID Import ressources],0)),"")</f>
        <v/>
      </c>
      <c r="BE897" t="s">
        <v>3168</v>
      </c>
      <c r="BF897" t="s">
        <v>3169</v>
      </c>
      <c r="BG897" t="s">
        <v>1016</v>
      </c>
    </row>
    <row r="898" spans="13:59" x14ac:dyDescent="0.25">
      <c r="M898" t="str">
        <f>_xlfn.IFNA(IF(VLOOKUP(TAB_Offres[[#This Row],[Reference]],TAB_Offres[[Reference]:[Request State]],COLUMNS(TAB_Offres[[Reference]:[Request State]]),FALSE)=D$6,TAB_Offres[[#This Row],[Reference]],""),"")</f>
        <v/>
      </c>
      <c r="N898" t="str">
        <f>_xlfn.IFNA(IF(VLOOKUP(TAB_Offres[[#This Row],[Reference]],TAB_Offres[[Reference]:[Has Expenses?]],COLUMNS(TAB_Offres[[Reference]:[Has Expenses?]]),FALSE)=J$2,TAB_Offres[[#This Row],[Reference]],""),"")</f>
        <v/>
      </c>
      <c r="O898" t="str">
        <f>IF(Tableau19[[#This Row],[EXPENSES_REF]]="","",MAX(O$1:O897)+1)</f>
        <v/>
      </c>
      <c r="P898" t="str">
        <f t="shared" ref="P898:P961" si="27">IFERROR(INDEX($N$2:$N$1001,MATCH(ROW()-ROW($P$1),$O$2:$O$1001,0)),"")</f>
        <v/>
      </c>
      <c r="AI898" s="191" t="str">
        <f>IFERROR(_xlfn.SINGLE(
IF(_xlfn.SINGLE(INDEX(TAB_Offres[Ressource 1],ROWS(Params!AI$2:$AI898)))=0,NA(),
INDEX(TAB_Offres[Ressource 1],ROWS(Params!AI$2:$AI898)))),
IFERROR(_xlfn.SINGLE(IF(_xlfn.SINGLE(INDEX(#REF!,ROWS(Params!AI$2:$AI898)-COUNTA(TAB_Offres[Ressource 1])))=0,NA(),
INDEX(#REF!,ROWS(Params!AI$2:$AI898)-COUNTA(TAB_Offres[Ressource 1])))),
IFERROR(_xlfn.SINGLE(IF(_xlfn.SINGLE(INDEX(#REF!,ROWS(Params!AI$2:$AI898)-COUNTA(#REF!)-COUNTA(TAB_Offres[Ressource 1])))=0,NA(),
INDEX(#REF!,ROWS(Params!AI$2:$AI898)-COUNTA(#REF!)-COUNTA(TAB_Offres[Ressource 1])))),""))
)</f>
        <v/>
      </c>
      <c r="AJ898" s="192" t="str">
        <f>IF(TAB_ressource[[#This Row],[Import Ressource]]="","",MAX(AJ$1:AJ897)+1)</f>
        <v/>
      </c>
      <c r="AK898" s="193" t="str">
        <f>IFERROR(INDEX(TAB_ressource[Import Ressource],MATCH(ROW()-ROW($AK$1),TAB_ressource[ID Import ressources],0)),"")</f>
        <v/>
      </c>
      <c r="BE898" t="s">
        <v>3170</v>
      </c>
      <c r="BF898" t="s">
        <v>3171</v>
      </c>
      <c r="BG898" t="s">
        <v>1019</v>
      </c>
    </row>
    <row r="899" spans="13:59" x14ac:dyDescent="0.25">
      <c r="M899" t="str">
        <f>_xlfn.IFNA(IF(VLOOKUP(TAB_Offres[[#This Row],[Reference]],TAB_Offres[[Reference]:[Request State]],COLUMNS(TAB_Offres[[Reference]:[Request State]]),FALSE)=D$6,TAB_Offres[[#This Row],[Reference]],""),"")</f>
        <v/>
      </c>
      <c r="N899" t="str">
        <f>_xlfn.IFNA(IF(VLOOKUP(TAB_Offres[[#This Row],[Reference]],TAB_Offres[[Reference]:[Has Expenses?]],COLUMNS(TAB_Offres[[Reference]:[Has Expenses?]]),FALSE)=J$2,TAB_Offres[[#This Row],[Reference]],""),"")</f>
        <v/>
      </c>
      <c r="O899" t="str">
        <f>IF(Tableau19[[#This Row],[EXPENSES_REF]]="","",MAX(O$1:O898)+1)</f>
        <v/>
      </c>
      <c r="P899" t="str">
        <f t="shared" si="27"/>
        <v/>
      </c>
      <c r="AI899" s="191" t="str">
        <f>IFERROR(_xlfn.SINGLE(
IF(_xlfn.SINGLE(INDEX(TAB_Offres[Ressource 1],ROWS(Params!AI$2:$AI899)))=0,NA(),
INDEX(TAB_Offres[Ressource 1],ROWS(Params!AI$2:$AI899)))),
IFERROR(_xlfn.SINGLE(IF(_xlfn.SINGLE(INDEX(#REF!,ROWS(Params!AI$2:$AI899)-COUNTA(TAB_Offres[Ressource 1])))=0,NA(),
INDEX(#REF!,ROWS(Params!AI$2:$AI899)-COUNTA(TAB_Offres[Ressource 1])))),
IFERROR(_xlfn.SINGLE(IF(_xlfn.SINGLE(INDEX(#REF!,ROWS(Params!AI$2:$AI899)-COUNTA(#REF!)-COUNTA(TAB_Offres[Ressource 1])))=0,NA(),
INDEX(#REF!,ROWS(Params!AI$2:$AI899)-COUNTA(#REF!)-COUNTA(TAB_Offres[Ressource 1])))),""))
)</f>
        <v/>
      </c>
      <c r="AJ899" s="192" t="str">
        <f>IF(TAB_ressource[[#This Row],[Import Ressource]]="","",MAX(AJ$1:AJ898)+1)</f>
        <v/>
      </c>
      <c r="AK899" s="193" t="str">
        <f>IFERROR(INDEX(TAB_ressource[Import Ressource],MATCH(ROW()-ROW($AK$1),TAB_ressource[ID Import ressources],0)),"")</f>
        <v/>
      </c>
      <c r="BE899" t="s">
        <v>3172</v>
      </c>
      <c r="BF899" t="s">
        <v>3173</v>
      </c>
      <c r="BG899" t="s">
        <v>1022</v>
      </c>
    </row>
    <row r="900" spans="13:59" x14ac:dyDescent="0.25">
      <c r="M900" t="str">
        <f>_xlfn.IFNA(IF(VLOOKUP(TAB_Offres[[#This Row],[Reference]],TAB_Offres[[Reference]:[Request State]],COLUMNS(TAB_Offres[[Reference]:[Request State]]),FALSE)=D$6,TAB_Offres[[#This Row],[Reference]],""),"")</f>
        <v/>
      </c>
      <c r="N900" t="str">
        <f>_xlfn.IFNA(IF(VLOOKUP(TAB_Offres[[#This Row],[Reference]],TAB_Offres[[Reference]:[Has Expenses?]],COLUMNS(TAB_Offres[[Reference]:[Has Expenses?]]),FALSE)=J$2,TAB_Offres[[#This Row],[Reference]],""),"")</f>
        <v/>
      </c>
      <c r="O900" t="str">
        <f>IF(Tableau19[[#This Row],[EXPENSES_REF]]="","",MAX(O$1:O899)+1)</f>
        <v/>
      </c>
      <c r="P900" t="str">
        <f t="shared" si="27"/>
        <v/>
      </c>
      <c r="AI900" s="191" t="str">
        <f>IFERROR(_xlfn.SINGLE(
IF(_xlfn.SINGLE(INDEX(TAB_Offres[Ressource 1],ROWS(Params!AI$2:$AI900)))=0,NA(),
INDEX(TAB_Offres[Ressource 1],ROWS(Params!AI$2:$AI900)))),
IFERROR(_xlfn.SINGLE(IF(_xlfn.SINGLE(INDEX(#REF!,ROWS(Params!AI$2:$AI900)-COUNTA(TAB_Offres[Ressource 1])))=0,NA(),
INDEX(#REF!,ROWS(Params!AI$2:$AI900)-COUNTA(TAB_Offres[Ressource 1])))),
IFERROR(_xlfn.SINGLE(IF(_xlfn.SINGLE(INDEX(#REF!,ROWS(Params!AI$2:$AI900)-COUNTA(#REF!)-COUNTA(TAB_Offres[Ressource 1])))=0,NA(),
INDEX(#REF!,ROWS(Params!AI$2:$AI900)-COUNTA(#REF!)-COUNTA(TAB_Offres[Ressource 1])))),""))
)</f>
        <v/>
      </c>
      <c r="AJ900" s="192" t="str">
        <f>IF(TAB_ressource[[#This Row],[Import Ressource]]="","",MAX(AJ$1:AJ899)+1)</f>
        <v/>
      </c>
      <c r="AK900" s="193" t="str">
        <f>IFERROR(INDEX(TAB_ressource[Import Ressource],MATCH(ROW()-ROW($AK$1),TAB_ressource[ID Import ressources],0)),"")</f>
        <v/>
      </c>
      <c r="BE900" t="s">
        <v>3174</v>
      </c>
      <c r="BF900" t="s">
        <v>3175</v>
      </c>
      <c r="BG900" t="s">
        <v>1025</v>
      </c>
    </row>
    <row r="901" spans="13:59" x14ac:dyDescent="0.25">
      <c r="M901" t="str">
        <f>_xlfn.IFNA(IF(VLOOKUP(TAB_Offres[[#This Row],[Reference]],TAB_Offres[[Reference]:[Request State]],COLUMNS(TAB_Offres[[Reference]:[Request State]]),FALSE)=D$6,TAB_Offres[[#This Row],[Reference]],""),"")</f>
        <v/>
      </c>
      <c r="N901" t="str">
        <f>_xlfn.IFNA(IF(VLOOKUP(TAB_Offres[[#This Row],[Reference]],TAB_Offres[[Reference]:[Has Expenses?]],COLUMNS(TAB_Offres[[Reference]:[Has Expenses?]]),FALSE)=J$2,TAB_Offres[[#This Row],[Reference]],""),"")</f>
        <v/>
      </c>
      <c r="O901" t="str">
        <f>IF(Tableau19[[#This Row],[EXPENSES_REF]]="","",MAX(O$1:O900)+1)</f>
        <v/>
      </c>
      <c r="P901" t="str">
        <f t="shared" si="27"/>
        <v/>
      </c>
      <c r="AI901" s="191" t="str">
        <f>IFERROR(_xlfn.SINGLE(
IF(_xlfn.SINGLE(INDEX(TAB_Offres[Ressource 1],ROWS(Params!AI$2:$AI901)))=0,NA(),
INDEX(TAB_Offres[Ressource 1],ROWS(Params!AI$2:$AI901)))),
IFERROR(_xlfn.SINGLE(IF(_xlfn.SINGLE(INDEX(#REF!,ROWS(Params!AI$2:$AI901)-COUNTA(TAB_Offres[Ressource 1])))=0,NA(),
INDEX(#REF!,ROWS(Params!AI$2:$AI901)-COUNTA(TAB_Offres[Ressource 1])))),
IFERROR(_xlfn.SINGLE(IF(_xlfn.SINGLE(INDEX(#REF!,ROWS(Params!AI$2:$AI901)-COUNTA(#REF!)-COUNTA(TAB_Offres[Ressource 1])))=0,NA(),
INDEX(#REF!,ROWS(Params!AI$2:$AI901)-COUNTA(#REF!)-COUNTA(TAB_Offres[Ressource 1])))),""))
)</f>
        <v/>
      </c>
      <c r="AJ901" s="192" t="str">
        <f>IF(TAB_ressource[[#This Row],[Import Ressource]]="","",MAX(AJ$1:AJ900)+1)</f>
        <v/>
      </c>
      <c r="AK901" s="193" t="str">
        <f>IFERROR(INDEX(TAB_ressource[Import Ressource],MATCH(ROW()-ROW($AK$1),TAB_ressource[ID Import ressources],0)),"")</f>
        <v/>
      </c>
      <c r="BE901" t="s">
        <v>3176</v>
      </c>
      <c r="BF901" t="s">
        <v>3177</v>
      </c>
      <c r="BG901" t="s">
        <v>1028</v>
      </c>
    </row>
    <row r="902" spans="13:59" x14ac:dyDescent="0.25">
      <c r="M902" t="str">
        <f>_xlfn.IFNA(IF(VLOOKUP(TAB_Offres[[#This Row],[Reference]],TAB_Offres[[Reference]:[Request State]],COLUMNS(TAB_Offres[[Reference]:[Request State]]),FALSE)=D$6,TAB_Offres[[#This Row],[Reference]],""),"")</f>
        <v/>
      </c>
      <c r="N902" t="str">
        <f>_xlfn.IFNA(IF(VLOOKUP(TAB_Offres[[#This Row],[Reference]],TAB_Offres[[Reference]:[Has Expenses?]],COLUMNS(TAB_Offres[[Reference]:[Has Expenses?]]),FALSE)=J$2,TAB_Offres[[#This Row],[Reference]],""),"")</f>
        <v/>
      </c>
      <c r="O902" t="str">
        <f>IF(Tableau19[[#This Row],[EXPENSES_REF]]="","",MAX(O$1:O901)+1)</f>
        <v/>
      </c>
      <c r="P902" t="str">
        <f t="shared" si="27"/>
        <v/>
      </c>
      <c r="AI902" s="191" t="str">
        <f>IFERROR(_xlfn.SINGLE(
IF(_xlfn.SINGLE(INDEX(TAB_Offres[Ressource 1],ROWS(Params!AI$2:$AI902)))=0,NA(),
INDEX(TAB_Offres[Ressource 1],ROWS(Params!AI$2:$AI902)))),
IFERROR(_xlfn.SINGLE(IF(_xlfn.SINGLE(INDEX(#REF!,ROWS(Params!AI$2:$AI902)-COUNTA(TAB_Offres[Ressource 1])))=0,NA(),
INDEX(#REF!,ROWS(Params!AI$2:$AI902)-COUNTA(TAB_Offres[Ressource 1])))),
IFERROR(_xlfn.SINGLE(IF(_xlfn.SINGLE(INDEX(#REF!,ROWS(Params!AI$2:$AI902)-COUNTA(#REF!)-COUNTA(TAB_Offres[Ressource 1])))=0,NA(),
INDEX(#REF!,ROWS(Params!AI$2:$AI902)-COUNTA(#REF!)-COUNTA(TAB_Offres[Ressource 1])))),""))
)</f>
        <v/>
      </c>
      <c r="AJ902" s="192" t="str">
        <f>IF(TAB_ressource[[#This Row],[Import Ressource]]="","",MAX(AJ$1:AJ901)+1)</f>
        <v/>
      </c>
      <c r="AK902" s="193" t="str">
        <f>IFERROR(INDEX(TAB_ressource[Import Ressource],MATCH(ROW()-ROW($AK$1),TAB_ressource[ID Import ressources],0)),"")</f>
        <v/>
      </c>
      <c r="BE902" t="s">
        <v>3178</v>
      </c>
      <c r="BF902" t="s">
        <v>3179</v>
      </c>
      <c r="BG902" t="s">
        <v>1031</v>
      </c>
    </row>
    <row r="903" spans="13:59" x14ac:dyDescent="0.25">
      <c r="M903" t="str">
        <f>_xlfn.IFNA(IF(VLOOKUP(TAB_Offres[[#This Row],[Reference]],TAB_Offres[[Reference]:[Request State]],COLUMNS(TAB_Offres[[Reference]:[Request State]]),FALSE)=D$6,TAB_Offres[[#This Row],[Reference]],""),"")</f>
        <v/>
      </c>
      <c r="N903" t="str">
        <f>_xlfn.IFNA(IF(VLOOKUP(TAB_Offres[[#This Row],[Reference]],TAB_Offres[[Reference]:[Has Expenses?]],COLUMNS(TAB_Offres[[Reference]:[Has Expenses?]]),FALSE)=J$2,TAB_Offres[[#This Row],[Reference]],""),"")</f>
        <v/>
      </c>
      <c r="O903" t="str">
        <f>IF(Tableau19[[#This Row],[EXPENSES_REF]]="","",MAX(O$1:O902)+1)</f>
        <v/>
      </c>
      <c r="P903" t="str">
        <f t="shared" si="27"/>
        <v/>
      </c>
      <c r="AI903" s="191" t="str">
        <f>IFERROR(_xlfn.SINGLE(
IF(_xlfn.SINGLE(INDEX(TAB_Offres[Ressource 1],ROWS(Params!AI$2:$AI903)))=0,NA(),
INDEX(TAB_Offres[Ressource 1],ROWS(Params!AI$2:$AI903)))),
IFERROR(_xlfn.SINGLE(IF(_xlfn.SINGLE(INDEX(#REF!,ROWS(Params!AI$2:$AI903)-COUNTA(TAB_Offres[Ressource 1])))=0,NA(),
INDEX(#REF!,ROWS(Params!AI$2:$AI903)-COUNTA(TAB_Offres[Ressource 1])))),
IFERROR(_xlfn.SINGLE(IF(_xlfn.SINGLE(INDEX(#REF!,ROWS(Params!AI$2:$AI903)-COUNTA(#REF!)-COUNTA(TAB_Offres[Ressource 1])))=0,NA(),
INDEX(#REF!,ROWS(Params!AI$2:$AI903)-COUNTA(#REF!)-COUNTA(TAB_Offres[Ressource 1])))),""))
)</f>
        <v/>
      </c>
      <c r="AJ903" s="192" t="str">
        <f>IF(TAB_ressource[[#This Row],[Import Ressource]]="","",MAX(AJ$1:AJ902)+1)</f>
        <v/>
      </c>
      <c r="AK903" s="193" t="str">
        <f>IFERROR(INDEX(TAB_ressource[Import Ressource],MATCH(ROW()-ROW($AK$1),TAB_ressource[ID Import ressources],0)),"")</f>
        <v/>
      </c>
      <c r="BE903" t="s">
        <v>3180</v>
      </c>
      <c r="BF903" t="s">
        <v>3181</v>
      </c>
      <c r="BG903" t="s">
        <v>1034</v>
      </c>
    </row>
    <row r="904" spans="13:59" x14ac:dyDescent="0.25">
      <c r="M904" t="str">
        <f>_xlfn.IFNA(IF(VLOOKUP(TAB_Offres[[#This Row],[Reference]],TAB_Offres[[Reference]:[Request State]],COLUMNS(TAB_Offres[[Reference]:[Request State]]),FALSE)=D$6,TAB_Offres[[#This Row],[Reference]],""),"")</f>
        <v/>
      </c>
      <c r="N904" t="str">
        <f>_xlfn.IFNA(IF(VLOOKUP(TAB_Offres[[#This Row],[Reference]],TAB_Offres[[Reference]:[Has Expenses?]],COLUMNS(TAB_Offres[[Reference]:[Has Expenses?]]),FALSE)=J$2,TAB_Offres[[#This Row],[Reference]],""),"")</f>
        <v/>
      </c>
      <c r="O904" t="str">
        <f>IF(Tableau19[[#This Row],[EXPENSES_REF]]="","",MAX(O$1:O903)+1)</f>
        <v/>
      </c>
      <c r="P904" t="str">
        <f t="shared" si="27"/>
        <v/>
      </c>
      <c r="AI904" s="191" t="str">
        <f>IFERROR(_xlfn.SINGLE(
IF(_xlfn.SINGLE(INDEX(TAB_Offres[Ressource 1],ROWS(Params!AI$2:$AI904)))=0,NA(),
INDEX(TAB_Offres[Ressource 1],ROWS(Params!AI$2:$AI904)))),
IFERROR(_xlfn.SINGLE(IF(_xlfn.SINGLE(INDEX(#REF!,ROWS(Params!AI$2:$AI904)-COUNTA(TAB_Offres[Ressource 1])))=0,NA(),
INDEX(#REF!,ROWS(Params!AI$2:$AI904)-COUNTA(TAB_Offres[Ressource 1])))),
IFERROR(_xlfn.SINGLE(IF(_xlfn.SINGLE(INDEX(#REF!,ROWS(Params!AI$2:$AI904)-COUNTA(#REF!)-COUNTA(TAB_Offres[Ressource 1])))=0,NA(),
INDEX(#REF!,ROWS(Params!AI$2:$AI904)-COUNTA(#REF!)-COUNTA(TAB_Offres[Ressource 1])))),""))
)</f>
        <v/>
      </c>
      <c r="AJ904" s="192" t="str">
        <f>IF(TAB_ressource[[#This Row],[Import Ressource]]="","",MAX(AJ$1:AJ903)+1)</f>
        <v/>
      </c>
      <c r="AK904" s="193" t="str">
        <f>IFERROR(INDEX(TAB_ressource[Import Ressource],MATCH(ROW()-ROW($AK$1),TAB_ressource[ID Import ressources],0)),"")</f>
        <v/>
      </c>
      <c r="BE904" t="s">
        <v>3182</v>
      </c>
      <c r="BF904" t="s">
        <v>3183</v>
      </c>
      <c r="BG904" t="s">
        <v>1037</v>
      </c>
    </row>
    <row r="905" spans="13:59" x14ac:dyDescent="0.25">
      <c r="M905" t="str">
        <f>_xlfn.IFNA(IF(VLOOKUP(TAB_Offres[[#This Row],[Reference]],TAB_Offres[[Reference]:[Request State]],COLUMNS(TAB_Offres[[Reference]:[Request State]]),FALSE)=D$6,TAB_Offres[[#This Row],[Reference]],""),"")</f>
        <v/>
      </c>
      <c r="N905" t="str">
        <f>_xlfn.IFNA(IF(VLOOKUP(TAB_Offres[[#This Row],[Reference]],TAB_Offres[[Reference]:[Has Expenses?]],COLUMNS(TAB_Offres[[Reference]:[Has Expenses?]]),FALSE)=J$2,TAB_Offres[[#This Row],[Reference]],""),"")</f>
        <v/>
      </c>
      <c r="O905" t="str">
        <f>IF(Tableau19[[#This Row],[EXPENSES_REF]]="","",MAX(O$1:O904)+1)</f>
        <v/>
      </c>
      <c r="P905" t="str">
        <f t="shared" si="27"/>
        <v/>
      </c>
      <c r="AI905" s="191" t="str">
        <f>IFERROR(_xlfn.SINGLE(
IF(_xlfn.SINGLE(INDEX(TAB_Offres[Ressource 1],ROWS(Params!AI$2:$AI905)))=0,NA(),
INDEX(TAB_Offres[Ressource 1],ROWS(Params!AI$2:$AI905)))),
IFERROR(_xlfn.SINGLE(IF(_xlfn.SINGLE(INDEX(#REF!,ROWS(Params!AI$2:$AI905)-COUNTA(TAB_Offres[Ressource 1])))=0,NA(),
INDEX(#REF!,ROWS(Params!AI$2:$AI905)-COUNTA(TAB_Offres[Ressource 1])))),
IFERROR(_xlfn.SINGLE(IF(_xlfn.SINGLE(INDEX(#REF!,ROWS(Params!AI$2:$AI905)-COUNTA(#REF!)-COUNTA(TAB_Offres[Ressource 1])))=0,NA(),
INDEX(#REF!,ROWS(Params!AI$2:$AI905)-COUNTA(#REF!)-COUNTA(TAB_Offres[Ressource 1])))),""))
)</f>
        <v/>
      </c>
      <c r="AJ905" s="192" t="str">
        <f>IF(TAB_ressource[[#This Row],[Import Ressource]]="","",MAX(AJ$1:AJ904)+1)</f>
        <v/>
      </c>
      <c r="AK905" s="193" t="str">
        <f>IFERROR(INDEX(TAB_ressource[Import Ressource],MATCH(ROW()-ROW($AK$1),TAB_ressource[ID Import ressources],0)),"")</f>
        <v/>
      </c>
      <c r="BE905" t="s">
        <v>3184</v>
      </c>
      <c r="BF905" t="s">
        <v>3185</v>
      </c>
      <c r="BG905" t="s">
        <v>1040</v>
      </c>
    </row>
    <row r="906" spans="13:59" x14ac:dyDescent="0.25">
      <c r="M906" t="str">
        <f>_xlfn.IFNA(IF(VLOOKUP(TAB_Offres[[#This Row],[Reference]],TAB_Offres[[Reference]:[Request State]],COLUMNS(TAB_Offres[[Reference]:[Request State]]),FALSE)=D$6,TAB_Offres[[#This Row],[Reference]],""),"")</f>
        <v/>
      </c>
      <c r="N906" t="str">
        <f>_xlfn.IFNA(IF(VLOOKUP(TAB_Offres[[#This Row],[Reference]],TAB_Offres[[Reference]:[Has Expenses?]],COLUMNS(TAB_Offres[[Reference]:[Has Expenses?]]),FALSE)=J$2,TAB_Offres[[#This Row],[Reference]],""),"")</f>
        <v/>
      </c>
      <c r="O906" t="str">
        <f>IF(Tableau19[[#This Row],[EXPENSES_REF]]="","",MAX(O$1:O905)+1)</f>
        <v/>
      </c>
      <c r="P906" t="str">
        <f t="shared" si="27"/>
        <v/>
      </c>
      <c r="AI906" s="191" t="str">
        <f>IFERROR(_xlfn.SINGLE(
IF(_xlfn.SINGLE(INDEX(TAB_Offres[Ressource 1],ROWS(Params!AI$2:$AI906)))=0,NA(),
INDEX(TAB_Offres[Ressource 1],ROWS(Params!AI$2:$AI906)))),
IFERROR(_xlfn.SINGLE(IF(_xlfn.SINGLE(INDEX(#REF!,ROWS(Params!AI$2:$AI906)-COUNTA(TAB_Offres[Ressource 1])))=0,NA(),
INDEX(#REF!,ROWS(Params!AI$2:$AI906)-COUNTA(TAB_Offres[Ressource 1])))),
IFERROR(_xlfn.SINGLE(IF(_xlfn.SINGLE(INDEX(#REF!,ROWS(Params!AI$2:$AI906)-COUNTA(#REF!)-COUNTA(TAB_Offres[Ressource 1])))=0,NA(),
INDEX(#REF!,ROWS(Params!AI$2:$AI906)-COUNTA(#REF!)-COUNTA(TAB_Offres[Ressource 1])))),""))
)</f>
        <v/>
      </c>
      <c r="AJ906" s="192" t="str">
        <f>IF(TAB_ressource[[#This Row],[Import Ressource]]="","",MAX(AJ$1:AJ905)+1)</f>
        <v/>
      </c>
      <c r="AK906" s="193" t="str">
        <f>IFERROR(INDEX(TAB_ressource[Import Ressource],MATCH(ROW()-ROW($AK$1),TAB_ressource[ID Import ressources],0)),"")</f>
        <v/>
      </c>
      <c r="BE906" t="s">
        <v>3186</v>
      </c>
      <c r="BF906" t="s">
        <v>3187</v>
      </c>
      <c r="BG906" t="s">
        <v>1043</v>
      </c>
    </row>
    <row r="907" spans="13:59" x14ac:dyDescent="0.25">
      <c r="M907" t="str">
        <f>_xlfn.IFNA(IF(VLOOKUP(TAB_Offres[[#This Row],[Reference]],TAB_Offres[[Reference]:[Request State]],COLUMNS(TAB_Offres[[Reference]:[Request State]]),FALSE)=D$6,TAB_Offres[[#This Row],[Reference]],""),"")</f>
        <v/>
      </c>
      <c r="N907" t="str">
        <f>_xlfn.IFNA(IF(VLOOKUP(TAB_Offres[[#This Row],[Reference]],TAB_Offres[[Reference]:[Has Expenses?]],COLUMNS(TAB_Offres[[Reference]:[Has Expenses?]]),FALSE)=J$2,TAB_Offres[[#This Row],[Reference]],""),"")</f>
        <v/>
      </c>
      <c r="O907" t="str">
        <f>IF(Tableau19[[#This Row],[EXPENSES_REF]]="","",MAX(O$1:O906)+1)</f>
        <v/>
      </c>
      <c r="P907" t="str">
        <f t="shared" si="27"/>
        <v/>
      </c>
      <c r="AI907" s="191" t="str">
        <f>IFERROR(_xlfn.SINGLE(
IF(_xlfn.SINGLE(INDEX(TAB_Offres[Ressource 1],ROWS(Params!AI$2:$AI907)))=0,NA(),
INDEX(TAB_Offres[Ressource 1],ROWS(Params!AI$2:$AI907)))),
IFERROR(_xlfn.SINGLE(IF(_xlfn.SINGLE(INDEX(#REF!,ROWS(Params!AI$2:$AI907)-COUNTA(TAB_Offres[Ressource 1])))=0,NA(),
INDEX(#REF!,ROWS(Params!AI$2:$AI907)-COUNTA(TAB_Offres[Ressource 1])))),
IFERROR(_xlfn.SINGLE(IF(_xlfn.SINGLE(INDEX(#REF!,ROWS(Params!AI$2:$AI907)-COUNTA(#REF!)-COUNTA(TAB_Offres[Ressource 1])))=0,NA(),
INDEX(#REF!,ROWS(Params!AI$2:$AI907)-COUNTA(#REF!)-COUNTA(TAB_Offres[Ressource 1])))),""))
)</f>
        <v/>
      </c>
      <c r="AJ907" s="192" t="str">
        <f>IF(TAB_ressource[[#This Row],[Import Ressource]]="","",MAX(AJ$1:AJ906)+1)</f>
        <v/>
      </c>
      <c r="AK907" s="193" t="str">
        <f>IFERROR(INDEX(TAB_ressource[Import Ressource],MATCH(ROW()-ROW($AK$1),TAB_ressource[ID Import ressources],0)),"")</f>
        <v/>
      </c>
      <c r="BE907" t="s">
        <v>3188</v>
      </c>
      <c r="BF907" t="s">
        <v>3189</v>
      </c>
      <c r="BG907" t="s">
        <v>1046</v>
      </c>
    </row>
    <row r="908" spans="13:59" x14ac:dyDescent="0.25">
      <c r="M908" t="str">
        <f>_xlfn.IFNA(IF(VLOOKUP(TAB_Offres[[#This Row],[Reference]],TAB_Offres[[Reference]:[Request State]],COLUMNS(TAB_Offres[[Reference]:[Request State]]),FALSE)=D$6,TAB_Offres[[#This Row],[Reference]],""),"")</f>
        <v/>
      </c>
      <c r="N908" t="str">
        <f>_xlfn.IFNA(IF(VLOOKUP(TAB_Offres[[#This Row],[Reference]],TAB_Offres[[Reference]:[Has Expenses?]],COLUMNS(TAB_Offres[[Reference]:[Has Expenses?]]),FALSE)=J$2,TAB_Offres[[#This Row],[Reference]],""),"")</f>
        <v/>
      </c>
      <c r="O908" t="str">
        <f>IF(Tableau19[[#This Row],[EXPENSES_REF]]="","",MAX(O$1:O907)+1)</f>
        <v/>
      </c>
      <c r="P908" t="str">
        <f t="shared" si="27"/>
        <v/>
      </c>
      <c r="AI908" s="191" t="str">
        <f>IFERROR(_xlfn.SINGLE(
IF(_xlfn.SINGLE(INDEX(TAB_Offres[Ressource 1],ROWS(Params!AI$2:$AI908)))=0,NA(),
INDEX(TAB_Offres[Ressource 1],ROWS(Params!AI$2:$AI908)))),
IFERROR(_xlfn.SINGLE(IF(_xlfn.SINGLE(INDEX(#REF!,ROWS(Params!AI$2:$AI908)-COUNTA(TAB_Offres[Ressource 1])))=0,NA(),
INDEX(#REF!,ROWS(Params!AI$2:$AI908)-COUNTA(TAB_Offres[Ressource 1])))),
IFERROR(_xlfn.SINGLE(IF(_xlfn.SINGLE(INDEX(#REF!,ROWS(Params!AI$2:$AI908)-COUNTA(#REF!)-COUNTA(TAB_Offres[Ressource 1])))=0,NA(),
INDEX(#REF!,ROWS(Params!AI$2:$AI908)-COUNTA(#REF!)-COUNTA(TAB_Offres[Ressource 1])))),""))
)</f>
        <v/>
      </c>
      <c r="AJ908" s="192" t="str">
        <f>IF(TAB_ressource[[#This Row],[Import Ressource]]="","",MAX(AJ$1:AJ907)+1)</f>
        <v/>
      </c>
      <c r="AK908" s="193" t="str">
        <f>IFERROR(INDEX(TAB_ressource[Import Ressource],MATCH(ROW()-ROW($AK$1),TAB_ressource[ID Import ressources],0)),"")</f>
        <v/>
      </c>
      <c r="BE908" t="s">
        <v>3190</v>
      </c>
      <c r="BF908" t="s">
        <v>3191</v>
      </c>
      <c r="BG908" t="s">
        <v>1049</v>
      </c>
    </row>
    <row r="909" spans="13:59" x14ac:dyDescent="0.25">
      <c r="M909" t="str">
        <f>_xlfn.IFNA(IF(VLOOKUP(TAB_Offres[[#This Row],[Reference]],TAB_Offres[[Reference]:[Request State]],COLUMNS(TAB_Offres[[Reference]:[Request State]]),FALSE)=D$6,TAB_Offres[[#This Row],[Reference]],""),"")</f>
        <v/>
      </c>
      <c r="N909" t="str">
        <f>_xlfn.IFNA(IF(VLOOKUP(TAB_Offres[[#This Row],[Reference]],TAB_Offres[[Reference]:[Has Expenses?]],COLUMNS(TAB_Offres[[Reference]:[Has Expenses?]]),FALSE)=J$2,TAB_Offres[[#This Row],[Reference]],""),"")</f>
        <v/>
      </c>
      <c r="O909" t="str">
        <f>IF(Tableau19[[#This Row],[EXPENSES_REF]]="","",MAX(O$1:O908)+1)</f>
        <v/>
      </c>
      <c r="P909" t="str">
        <f t="shared" si="27"/>
        <v/>
      </c>
      <c r="AI909" s="191" t="str">
        <f>IFERROR(_xlfn.SINGLE(
IF(_xlfn.SINGLE(INDEX(TAB_Offres[Ressource 1],ROWS(Params!AI$2:$AI909)))=0,NA(),
INDEX(TAB_Offres[Ressource 1],ROWS(Params!AI$2:$AI909)))),
IFERROR(_xlfn.SINGLE(IF(_xlfn.SINGLE(INDEX(#REF!,ROWS(Params!AI$2:$AI909)-COUNTA(TAB_Offres[Ressource 1])))=0,NA(),
INDEX(#REF!,ROWS(Params!AI$2:$AI909)-COUNTA(TAB_Offres[Ressource 1])))),
IFERROR(_xlfn.SINGLE(IF(_xlfn.SINGLE(INDEX(#REF!,ROWS(Params!AI$2:$AI909)-COUNTA(#REF!)-COUNTA(TAB_Offres[Ressource 1])))=0,NA(),
INDEX(#REF!,ROWS(Params!AI$2:$AI909)-COUNTA(#REF!)-COUNTA(TAB_Offres[Ressource 1])))),""))
)</f>
        <v/>
      </c>
      <c r="AJ909" s="192" t="str">
        <f>IF(TAB_ressource[[#This Row],[Import Ressource]]="","",MAX(AJ$1:AJ908)+1)</f>
        <v/>
      </c>
      <c r="AK909" s="193" t="str">
        <f>IFERROR(INDEX(TAB_ressource[Import Ressource],MATCH(ROW()-ROW($AK$1),TAB_ressource[ID Import ressources],0)),"")</f>
        <v/>
      </c>
      <c r="BE909" t="s">
        <v>3192</v>
      </c>
      <c r="BF909" t="s">
        <v>3193</v>
      </c>
      <c r="BG909" t="s">
        <v>1052</v>
      </c>
    </row>
    <row r="910" spans="13:59" x14ac:dyDescent="0.25">
      <c r="M910" t="str">
        <f>_xlfn.IFNA(IF(VLOOKUP(TAB_Offres[[#This Row],[Reference]],TAB_Offres[[Reference]:[Request State]],COLUMNS(TAB_Offres[[Reference]:[Request State]]),FALSE)=D$6,TAB_Offres[[#This Row],[Reference]],""),"")</f>
        <v/>
      </c>
      <c r="N910" t="str">
        <f>_xlfn.IFNA(IF(VLOOKUP(TAB_Offres[[#This Row],[Reference]],TAB_Offres[[Reference]:[Has Expenses?]],COLUMNS(TAB_Offres[[Reference]:[Has Expenses?]]),FALSE)=J$2,TAB_Offres[[#This Row],[Reference]],""),"")</f>
        <v/>
      </c>
      <c r="O910" t="str">
        <f>IF(Tableau19[[#This Row],[EXPENSES_REF]]="","",MAX(O$1:O909)+1)</f>
        <v/>
      </c>
      <c r="P910" t="str">
        <f t="shared" si="27"/>
        <v/>
      </c>
      <c r="AI910" s="191" t="str">
        <f>IFERROR(_xlfn.SINGLE(
IF(_xlfn.SINGLE(INDEX(TAB_Offres[Ressource 1],ROWS(Params!AI$2:$AI910)))=0,NA(),
INDEX(TAB_Offres[Ressource 1],ROWS(Params!AI$2:$AI910)))),
IFERROR(_xlfn.SINGLE(IF(_xlfn.SINGLE(INDEX(#REF!,ROWS(Params!AI$2:$AI910)-COUNTA(TAB_Offres[Ressource 1])))=0,NA(),
INDEX(#REF!,ROWS(Params!AI$2:$AI910)-COUNTA(TAB_Offres[Ressource 1])))),
IFERROR(_xlfn.SINGLE(IF(_xlfn.SINGLE(INDEX(#REF!,ROWS(Params!AI$2:$AI910)-COUNTA(#REF!)-COUNTA(TAB_Offres[Ressource 1])))=0,NA(),
INDEX(#REF!,ROWS(Params!AI$2:$AI910)-COUNTA(#REF!)-COUNTA(TAB_Offres[Ressource 1])))),""))
)</f>
        <v/>
      </c>
      <c r="AJ910" s="192" t="str">
        <f>IF(TAB_ressource[[#This Row],[Import Ressource]]="","",MAX(AJ$1:AJ909)+1)</f>
        <v/>
      </c>
      <c r="AK910" s="193" t="str">
        <f>IFERROR(INDEX(TAB_ressource[Import Ressource],MATCH(ROW()-ROW($AK$1),TAB_ressource[ID Import ressources],0)),"")</f>
        <v/>
      </c>
      <c r="BE910" t="s">
        <v>3194</v>
      </c>
      <c r="BF910" t="s">
        <v>3195</v>
      </c>
      <c r="BG910" t="s">
        <v>1055</v>
      </c>
    </row>
    <row r="911" spans="13:59" x14ac:dyDescent="0.25">
      <c r="M911" t="str">
        <f>_xlfn.IFNA(IF(VLOOKUP(TAB_Offres[[#This Row],[Reference]],TAB_Offres[[Reference]:[Request State]],COLUMNS(TAB_Offres[[Reference]:[Request State]]),FALSE)=D$6,TAB_Offres[[#This Row],[Reference]],""),"")</f>
        <v/>
      </c>
      <c r="N911" t="str">
        <f>_xlfn.IFNA(IF(VLOOKUP(TAB_Offres[[#This Row],[Reference]],TAB_Offres[[Reference]:[Has Expenses?]],COLUMNS(TAB_Offres[[Reference]:[Has Expenses?]]),FALSE)=J$2,TAB_Offres[[#This Row],[Reference]],""),"")</f>
        <v/>
      </c>
      <c r="O911" t="str">
        <f>IF(Tableau19[[#This Row],[EXPENSES_REF]]="","",MAX(O$1:O910)+1)</f>
        <v/>
      </c>
      <c r="P911" t="str">
        <f t="shared" si="27"/>
        <v/>
      </c>
      <c r="AI911" s="191" t="str">
        <f>IFERROR(_xlfn.SINGLE(
IF(_xlfn.SINGLE(INDEX(TAB_Offres[Ressource 1],ROWS(Params!AI$2:$AI911)))=0,NA(),
INDEX(TAB_Offres[Ressource 1],ROWS(Params!AI$2:$AI911)))),
IFERROR(_xlfn.SINGLE(IF(_xlfn.SINGLE(INDEX(#REF!,ROWS(Params!AI$2:$AI911)-COUNTA(TAB_Offres[Ressource 1])))=0,NA(),
INDEX(#REF!,ROWS(Params!AI$2:$AI911)-COUNTA(TAB_Offres[Ressource 1])))),
IFERROR(_xlfn.SINGLE(IF(_xlfn.SINGLE(INDEX(#REF!,ROWS(Params!AI$2:$AI911)-COUNTA(#REF!)-COUNTA(TAB_Offres[Ressource 1])))=0,NA(),
INDEX(#REF!,ROWS(Params!AI$2:$AI911)-COUNTA(#REF!)-COUNTA(TAB_Offres[Ressource 1])))),""))
)</f>
        <v/>
      </c>
      <c r="AJ911" s="192" t="str">
        <f>IF(TAB_ressource[[#This Row],[Import Ressource]]="","",MAX(AJ$1:AJ910)+1)</f>
        <v/>
      </c>
      <c r="AK911" s="193" t="str">
        <f>IFERROR(INDEX(TAB_ressource[Import Ressource],MATCH(ROW()-ROW($AK$1),TAB_ressource[ID Import ressources],0)),"")</f>
        <v/>
      </c>
      <c r="BE911" t="s">
        <v>3196</v>
      </c>
      <c r="BF911" t="s">
        <v>3197</v>
      </c>
      <c r="BG911" t="s">
        <v>1058</v>
      </c>
    </row>
    <row r="912" spans="13:59" x14ac:dyDescent="0.25">
      <c r="M912" t="str">
        <f>_xlfn.IFNA(IF(VLOOKUP(TAB_Offres[[#This Row],[Reference]],TAB_Offres[[Reference]:[Request State]],COLUMNS(TAB_Offres[[Reference]:[Request State]]),FALSE)=D$6,TAB_Offres[[#This Row],[Reference]],""),"")</f>
        <v/>
      </c>
      <c r="N912" t="str">
        <f>_xlfn.IFNA(IF(VLOOKUP(TAB_Offres[[#This Row],[Reference]],TAB_Offres[[Reference]:[Has Expenses?]],COLUMNS(TAB_Offres[[Reference]:[Has Expenses?]]),FALSE)=J$2,TAB_Offres[[#This Row],[Reference]],""),"")</f>
        <v/>
      </c>
      <c r="O912" t="str">
        <f>IF(Tableau19[[#This Row],[EXPENSES_REF]]="","",MAX(O$1:O911)+1)</f>
        <v/>
      </c>
      <c r="P912" t="str">
        <f t="shared" si="27"/>
        <v/>
      </c>
      <c r="AI912" s="191" t="str">
        <f>IFERROR(_xlfn.SINGLE(
IF(_xlfn.SINGLE(INDEX(TAB_Offres[Ressource 1],ROWS(Params!AI$2:$AI912)))=0,NA(),
INDEX(TAB_Offres[Ressource 1],ROWS(Params!AI$2:$AI912)))),
IFERROR(_xlfn.SINGLE(IF(_xlfn.SINGLE(INDEX(#REF!,ROWS(Params!AI$2:$AI912)-COUNTA(TAB_Offres[Ressource 1])))=0,NA(),
INDEX(#REF!,ROWS(Params!AI$2:$AI912)-COUNTA(TAB_Offres[Ressource 1])))),
IFERROR(_xlfn.SINGLE(IF(_xlfn.SINGLE(INDEX(#REF!,ROWS(Params!AI$2:$AI912)-COUNTA(#REF!)-COUNTA(TAB_Offres[Ressource 1])))=0,NA(),
INDEX(#REF!,ROWS(Params!AI$2:$AI912)-COUNTA(#REF!)-COUNTA(TAB_Offres[Ressource 1])))),""))
)</f>
        <v/>
      </c>
      <c r="AJ912" s="192" t="str">
        <f>IF(TAB_ressource[[#This Row],[Import Ressource]]="","",MAX(AJ$1:AJ911)+1)</f>
        <v/>
      </c>
      <c r="AK912" s="193" t="str">
        <f>IFERROR(INDEX(TAB_ressource[Import Ressource],MATCH(ROW()-ROW($AK$1),TAB_ressource[ID Import ressources],0)),"")</f>
        <v/>
      </c>
      <c r="BE912" t="s">
        <v>3198</v>
      </c>
      <c r="BF912" t="s">
        <v>3199</v>
      </c>
      <c r="BG912" t="s">
        <v>1061</v>
      </c>
    </row>
    <row r="913" spans="13:59" x14ac:dyDescent="0.25">
      <c r="M913" t="str">
        <f>_xlfn.IFNA(IF(VLOOKUP(TAB_Offres[[#This Row],[Reference]],TAB_Offres[[Reference]:[Request State]],COLUMNS(TAB_Offres[[Reference]:[Request State]]),FALSE)=D$6,TAB_Offres[[#This Row],[Reference]],""),"")</f>
        <v/>
      </c>
      <c r="N913" t="str">
        <f>_xlfn.IFNA(IF(VLOOKUP(TAB_Offres[[#This Row],[Reference]],TAB_Offres[[Reference]:[Has Expenses?]],COLUMNS(TAB_Offres[[Reference]:[Has Expenses?]]),FALSE)=J$2,TAB_Offres[[#This Row],[Reference]],""),"")</f>
        <v/>
      </c>
      <c r="O913" t="str">
        <f>IF(Tableau19[[#This Row],[EXPENSES_REF]]="","",MAX(O$1:O912)+1)</f>
        <v/>
      </c>
      <c r="P913" t="str">
        <f t="shared" si="27"/>
        <v/>
      </c>
      <c r="AI913" s="191" t="str">
        <f>IFERROR(_xlfn.SINGLE(
IF(_xlfn.SINGLE(INDEX(TAB_Offres[Ressource 1],ROWS(Params!AI$2:$AI913)))=0,NA(),
INDEX(TAB_Offres[Ressource 1],ROWS(Params!AI$2:$AI913)))),
IFERROR(_xlfn.SINGLE(IF(_xlfn.SINGLE(INDEX(#REF!,ROWS(Params!AI$2:$AI913)-COUNTA(TAB_Offres[Ressource 1])))=0,NA(),
INDEX(#REF!,ROWS(Params!AI$2:$AI913)-COUNTA(TAB_Offres[Ressource 1])))),
IFERROR(_xlfn.SINGLE(IF(_xlfn.SINGLE(INDEX(#REF!,ROWS(Params!AI$2:$AI913)-COUNTA(#REF!)-COUNTA(TAB_Offres[Ressource 1])))=0,NA(),
INDEX(#REF!,ROWS(Params!AI$2:$AI913)-COUNTA(#REF!)-COUNTA(TAB_Offres[Ressource 1])))),""))
)</f>
        <v/>
      </c>
      <c r="AJ913" s="192" t="str">
        <f>IF(TAB_ressource[[#This Row],[Import Ressource]]="","",MAX(AJ$1:AJ912)+1)</f>
        <v/>
      </c>
      <c r="AK913" s="193" t="str">
        <f>IFERROR(INDEX(TAB_ressource[Import Ressource],MATCH(ROW()-ROW($AK$1),TAB_ressource[ID Import ressources],0)),"")</f>
        <v/>
      </c>
      <c r="BE913" t="s">
        <v>3200</v>
      </c>
      <c r="BF913" t="s">
        <v>3201</v>
      </c>
      <c r="BG913" t="s">
        <v>1064</v>
      </c>
    </row>
    <row r="914" spans="13:59" x14ac:dyDescent="0.25">
      <c r="M914" t="str">
        <f>_xlfn.IFNA(IF(VLOOKUP(TAB_Offres[[#This Row],[Reference]],TAB_Offres[[Reference]:[Request State]],COLUMNS(TAB_Offres[[Reference]:[Request State]]),FALSE)=D$6,TAB_Offres[[#This Row],[Reference]],""),"")</f>
        <v/>
      </c>
      <c r="N914" t="str">
        <f>_xlfn.IFNA(IF(VLOOKUP(TAB_Offres[[#This Row],[Reference]],TAB_Offres[[Reference]:[Has Expenses?]],COLUMNS(TAB_Offres[[Reference]:[Has Expenses?]]),FALSE)=J$2,TAB_Offres[[#This Row],[Reference]],""),"")</f>
        <v/>
      </c>
      <c r="O914" t="str">
        <f>IF(Tableau19[[#This Row],[EXPENSES_REF]]="","",MAX(O$1:O913)+1)</f>
        <v/>
      </c>
      <c r="P914" t="str">
        <f t="shared" si="27"/>
        <v/>
      </c>
      <c r="AI914" s="191" t="str">
        <f>IFERROR(_xlfn.SINGLE(
IF(_xlfn.SINGLE(INDEX(TAB_Offres[Ressource 1],ROWS(Params!AI$2:$AI914)))=0,NA(),
INDEX(TAB_Offres[Ressource 1],ROWS(Params!AI$2:$AI914)))),
IFERROR(_xlfn.SINGLE(IF(_xlfn.SINGLE(INDEX(#REF!,ROWS(Params!AI$2:$AI914)-COUNTA(TAB_Offres[Ressource 1])))=0,NA(),
INDEX(#REF!,ROWS(Params!AI$2:$AI914)-COUNTA(TAB_Offres[Ressource 1])))),
IFERROR(_xlfn.SINGLE(IF(_xlfn.SINGLE(INDEX(#REF!,ROWS(Params!AI$2:$AI914)-COUNTA(#REF!)-COUNTA(TAB_Offres[Ressource 1])))=0,NA(),
INDEX(#REF!,ROWS(Params!AI$2:$AI914)-COUNTA(#REF!)-COUNTA(TAB_Offres[Ressource 1])))),""))
)</f>
        <v/>
      </c>
      <c r="AJ914" s="192" t="str">
        <f>IF(TAB_ressource[[#This Row],[Import Ressource]]="","",MAX(AJ$1:AJ913)+1)</f>
        <v/>
      </c>
      <c r="AK914" s="193" t="str">
        <f>IFERROR(INDEX(TAB_ressource[Import Ressource],MATCH(ROW()-ROW($AK$1),TAB_ressource[ID Import ressources],0)),"")</f>
        <v/>
      </c>
      <c r="BE914" t="s">
        <v>3202</v>
      </c>
      <c r="BF914" t="s">
        <v>3203</v>
      </c>
      <c r="BG914" t="s">
        <v>1067</v>
      </c>
    </row>
    <row r="915" spans="13:59" x14ac:dyDescent="0.25">
      <c r="M915" t="str">
        <f>_xlfn.IFNA(IF(VLOOKUP(TAB_Offres[[#This Row],[Reference]],TAB_Offres[[Reference]:[Request State]],COLUMNS(TAB_Offres[[Reference]:[Request State]]),FALSE)=D$6,TAB_Offres[[#This Row],[Reference]],""),"")</f>
        <v/>
      </c>
      <c r="N915" t="str">
        <f>_xlfn.IFNA(IF(VLOOKUP(TAB_Offres[[#This Row],[Reference]],TAB_Offres[[Reference]:[Has Expenses?]],COLUMNS(TAB_Offres[[Reference]:[Has Expenses?]]),FALSE)=J$2,TAB_Offres[[#This Row],[Reference]],""),"")</f>
        <v/>
      </c>
      <c r="O915" t="str">
        <f>IF(Tableau19[[#This Row],[EXPENSES_REF]]="","",MAX(O$1:O914)+1)</f>
        <v/>
      </c>
      <c r="P915" t="str">
        <f t="shared" si="27"/>
        <v/>
      </c>
      <c r="AI915" s="191" t="str">
        <f>IFERROR(_xlfn.SINGLE(
IF(_xlfn.SINGLE(INDEX(TAB_Offres[Ressource 1],ROWS(Params!AI$2:$AI915)))=0,NA(),
INDEX(TAB_Offres[Ressource 1],ROWS(Params!AI$2:$AI915)))),
IFERROR(_xlfn.SINGLE(IF(_xlfn.SINGLE(INDEX(#REF!,ROWS(Params!AI$2:$AI915)-COUNTA(TAB_Offres[Ressource 1])))=0,NA(),
INDEX(#REF!,ROWS(Params!AI$2:$AI915)-COUNTA(TAB_Offres[Ressource 1])))),
IFERROR(_xlfn.SINGLE(IF(_xlfn.SINGLE(INDEX(#REF!,ROWS(Params!AI$2:$AI915)-COUNTA(#REF!)-COUNTA(TAB_Offres[Ressource 1])))=0,NA(),
INDEX(#REF!,ROWS(Params!AI$2:$AI915)-COUNTA(#REF!)-COUNTA(TAB_Offres[Ressource 1])))),""))
)</f>
        <v/>
      </c>
      <c r="AJ915" s="192" t="str">
        <f>IF(TAB_ressource[[#This Row],[Import Ressource]]="","",MAX(AJ$1:AJ914)+1)</f>
        <v/>
      </c>
      <c r="AK915" s="193" t="str">
        <f>IFERROR(INDEX(TAB_ressource[Import Ressource],MATCH(ROW()-ROW($AK$1),TAB_ressource[ID Import ressources],0)),"")</f>
        <v/>
      </c>
      <c r="BE915" t="s">
        <v>3204</v>
      </c>
      <c r="BF915" t="s">
        <v>3205</v>
      </c>
      <c r="BG915" t="s">
        <v>1070</v>
      </c>
    </row>
    <row r="916" spans="13:59" x14ac:dyDescent="0.25">
      <c r="M916" t="str">
        <f>_xlfn.IFNA(IF(VLOOKUP(TAB_Offres[[#This Row],[Reference]],TAB_Offres[[Reference]:[Request State]],COLUMNS(TAB_Offres[[Reference]:[Request State]]),FALSE)=D$6,TAB_Offres[[#This Row],[Reference]],""),"")</f>
        <v/>
      </c>
      <c r="N916" t="str">
        <f>_xlfn.IFNA(IF(VLOOKUP(TAB_Offres[[#This Row],[Reference]],TAB_Offres[[Reference]:[Has Expenses?]],COLUMNS(TAB_Offres[[Reference]:[Has Expenses?]]),FALSE)=J$2,TAB_Offres[[#This Row],[Reference]],""),"")</f>
        <v/>
      </c>
      <c r="O916" t="str">
        <f>IF(Tableau19[[#This Row],[EXPENSES_REF]]="","",MAX(O$1:O915)+1)</f>
        <v/>
      </c>
      <c r="P916" t="str">
        <f t="shared" si="27"/>
        <v/>
      </c>
      <c r="AI916" s="191" t="str">
        <f>IFERROR(_xlfn.SINGLE(
IF(_xlfn.SINGLE(INDEX(TAB_Offres[Ressource 1],ROWS(Params!AI$2:$AI916)))=0,NA(),
INDEX(TAB_Offres[Ressource 1],ROWS(Params!AI$2:$AI916)))),
IFERROR(_xlfn.SINGLE(IF(_xlfn.SINGLE(INDEX(#REF!,ROWS(Params!AI$2:$AI916)-COUNTA(TAB_Offres[Ressource 1])))=0,NA(),
INDEX(#REF!,ROWS(Params!AI$2:$AI916)-COUNTA(TAB_Offres[Ressource 1])))),
IFERROR(_xlfn.SINGLE(IF(_xlfn.SINGLE(INDEX(#REF!,ROWS(Params!AI$2:$AI916)-COUNTA(#REF!)-COUNTA(TAB_Offres[Ressource 1])))=0,NA(),
INDEX(#REF!,ROWS(Params!AI$2:$AI916)-COUNTA(#REF!)-COUNTA(TAB_Offres[Ressource 1])))),""))
)</f>
        <v/>
      </c>
      <c r="AJ916" s="192" t="str">
        <f>IF(TAB_ressource[[#This Row],[Import Ressource]]="","",MAX(AJ$1:AJ915)+1)</f>
        <v/>
      </c>
      <c r="AK916" s="193" t="str">
        <f>IFERROR(INDEX(TAB_ressource[Import Ressource],MATCH(ROW()-ROW($AK$1),TAB_ressource[ID Import ressources],0)),"")</f>
        <v/>
      </c>
      <c r="BE916" t="s">
        <v>3206</v>
      </c>
      <c r="BF916" t="s">
        <v>3207</v>
      </c>
      <c r="BG916" t="s">
        <v>1073</v>
      </c>
    </row>
    <row r="917" spans="13:59" x14ac:dyDescent="0.25">
      <c r="M917" t="str">
        <f>_xlfn.IFNA(IF(VLOOKUP(TAB_Offres[[#This Row],[Reference]],TAB_Offres[[Reference]:[Request State]],COLUMNS(TAB_Offres[[Reference]:[Request State]]),FALSE)=D$6,TAB_Offres[[#This Row],[Reference]],""),"")</f>
        <v/>
      </c>
      <c r="N917" t="str">
        <f>_xlfn.IFNA(IF(VLOOKUP(TAB_Offres[[#This Row],[Reference]],TAB_Offres[[Reference]:[Has Expenses?]],COLUMNS(TAB_Offres[[Reference]:[Has Expenses?]]),FALSE)=J$2,TAB_Offres[[#This Row],[Reference]],""),"")</f>
        <v/>
      </c>
      <c r="O917" t="str">
        <f>IF(Tableau19[[#This Row],[EXPENSES_REF]]="","",MAX(O$1:O916)+1)</f>
        <v/>
      </c>
      <c r="P917" t="str">
        <f t="shared" si="27"/>
        <v/>
      </c>
      <c r="AI917" s="191" t="str">
        <f>IFERROR(_xlfn.SINGLE(
IF(_xlfn.SINGLE(INDEX(TAB_Offres[Ressource 1],ROWS(Params!AI$2:$AI917)))=0,NA(),
INDEX(TAB_Offres[Ressource 1],ROWS(Params!AI$2:$AI917)))),
IFERROR(_xlfn.SINGLE(IF(_xlfn.SINGLE(INDEX(#REF!,ROWS(Params!AI$2:$AI917)-COUNTA(TAB_Offres[Ressource 1])))=0,NA(),
INDEX(#REF!,ROWS(Params!AI$2:$AI917)-COUNTA(TAB_Offres[Ressource 1])))),
IFERROR(_xlfn.SINGLE(IF(_xlfn.SINGLE(INDEX(#REF!,ROWS(Params!AI$2:$AI917)-COUNTA(#REF!)-COUNTA(TAB_Offres[Ressource 1])))=0,NA(),
INDEX(#REF!,ROWS(Params!AI$2:$AI917)-COUNTA(#REF!)-COUNTA(TAB_Offres[Ressource 1])))),""))
)</f>
        <v/>
      </c>
      <c r="AJ917" s="192" t="str">
        <f>IF(TAB_ressource[[#This Row],[Import Ressource]]="","",MAX(AJ$1:AJ916)+1)</f>
        <v/>
      </c>
      <c r="AK917" s="193" t="str">
        <f>IFERROR(INDEX(TAB_ressource[Import Ressource],MATCH(ROW()-ROW($AK$1),TAB_ressource[ID Import ressources],0)),"")</f>
        <v/>
      </c>
      <c r="BE917" t="s">
        <v>3208</v>
      </c>
      <c r="BF917" t="s">
        <v>3209</v>
      </c>
      <c r="BG917" t="s">
        <v>1076</v>
      </c>
    </row>
    <row r="918" spans="13:59" x14ac:dyDescent="0.25">
      <c r="M918" t="str">
        <f>_xlfn.IFNA(IF(VLOOKUP(TAB_Offres[[#This Row],[Reference]],TAB_Offres[[Reference]:[Request State]],COLUMNS(TAB_Offres[[Reference]:[Request State]]),FALSE)=D$6,TAB_Offres[[#This Row],[Reference]],""),"")</f>
        <v/>
      </c>
      <c r="N918" t="str">
        <f>_xlfn.IFNA(IF(VLOOKUP(TAB_Offres[[#This Row],[Reference]],TAB_Offres[[Reference]:[Has Expenses?]],COLUMNS(TAB_Offres[[Reference]:[Has Expenses?]]),FALSE)=J$2,TAB_Offres[[#This Row],[Reference]],""),"")</f>
        <v/>
      </c>
      <c r="O918" t="str">
        <f>IF(Tableau19[[#This Row],[EXPENSES_REF]]="","",MAX(O$1:O917)+1)</f>
        <v/>
      </c>
      <c r="P918" t="str">
        <f t="shared" si="27"/>
        <v/>
      </c>
      <c r="AI918" s="191" t="str">
        <f>IFERROR(_xlfn.SINGLE(
IF(_xlfn.SINGLE(INDEX(TAB_Offres[Ressource 1],ROWS(Params!AI$2:$AI918)))=0,NA(),
INDEX(TAB_Offres[Ressource 1],ROWS(Params!AI$2:$AI918)))),
IFERROR(_xlfn.SINGLE(IF(_xlfn.SINGLE(INDEX(#REF!,ROWS(Params!AI$2:$AI918)-COUNTA(TAB_Offres[Ressource 1])))=0,NA(),
INDEX(#REF!,ROWS(Params!AI$2:$AI918)-COUNTA(TAB_Offres[Ressource 1])))),
IFERROR(_xlfn.SINGLE(IF(_xlfn.SINGLE(INDEX(#REF!,ROWS(Params!AI$2:$AI918)-COUNTA(#REF!)-COUNTA(TAB_Offres[Ressource 1])))=0,NA(),
INDEX(#REF!,ROWS(Params!AI$2:$AI918)-COUNTA(#REF!)-COUNTA(TAB_Offres[Ressource 1])))),""))
)</f>
        <v/>
      </c>
      <c r="AJ918" s="192" t="str">
        <f>IF(TAB_ressource[[#This Row],[Import Ressource]]="","",MAX(AJ$1:AJ917)+1)</f>
        <v/>
      </c>
      <c r="AK918" s="193" t="str">
        <f>IFERROR(INDEX(TAB_ressource[Import Ressource],MATCH(ROW()-ROW($AK$1),TAB_ressource[ID Import ressources],0)),"")</f>
        <v/>
      </c>
      <c r="BE918" t="s">
        <v>3210</v>
      </c>
      <c r="BF918" t="s">
        <v>3211</v>
      </c>
      <c r="BG918" t="s">
        <v>1079</v>
      </c>
    </row>
    <row r="919" spans="13:59" x14ac:dyDescent="0.25">
      <c r="M919" t="str">
        <f>_xlfn.IFNA(IF(VLOOKUP(TAB_Offres[[#This Row],[Reference]],TAB_Offres[[Reference]:[Request State]],COLUMNS(TAB_Offres[[Reference]:[Request State]]),FALSE)=D$6,TAB_Offres[[#This Row],[Reference]],""),"")</f>
        <v/>
      </c>
      <c r="N919" t="str">
        <f>_xlfn.IFNA(IF(VLOOKUP(TAB_Offres[[#This Row],[Reference]],TAB_Offres[[Reference]:[Has Expenses?]],COLUMNS(TAB_Offres[[Reference]:[Has Expenses?]]),FALSE)=J$2,TAB_Offres[[#This Row],[Reference]],""),"")</f>
        <v/>
      </c>
      <c r="O919" t="str">
        <f>IF(Tableau19[[#This Row],[EXPENSES_REF]]="","",MAX(O$1:O918)+1)</f>
        <v/>
      </c>
      <c r="P919" t="str">
        <f t="shared" si="27"/>
        <v/>
      </c>
      <c r="AI919" s="191" t="str">
        <f>IFERROR(_xlfn.SINGLE(
IF(_xlfn.SINGLE(INDEX(TAB_Offres[Ressource 1],ROWS(Params!AI$2:$AI919)))=0,NA(),
INDEX(TAB_Offres[Ressource 1],ROWS(Params!AI$2:$AI919)))),
IFERROR(_xlfn.SINGLE(IF(_xlfn.SINGLE(INDEX(#REF!,ROWS(Params!AI$2:$AI919)-COUNTA(TAB_Offres[Ressource 1])))=0,NA(),
INDEX(#REF!,ROWS(Params!AI$2:$AI919)-COUNTA(TAB_Offres[Ressource 1])))),
IFERROR(_xlfn.SINGLE(IF(_xlfn.SINGLE(INDEX(#REF!,ROWS(Params!AI$2:$AI919)-COUNTA(#REF!)-COUNTA(TAB_Offres[Ressource 1])))=0,NA(),
INDEX(#REF!,ROWS(Params!AI$2:$AI919)-COUNTA(#REF!)-COUNTA(TAB_Offres[Ressource 1])))),""))
)</f>
        <v/>
      </c>
      <c r="AJ919" s="192" t="str">
        <f>IF(TAB_ressource[[#This Row],[Import Ressource]]="","",MAX(AJ$1:AJ918)+1)</f>
        <v/>
      </c>
      <c r="AK919" s="193" t="str">
        <f>IFERROR(INDEX(TAB_ressource[Import Ressource],MATCH(ROW()-ROW($AK$1),TAB_ressource[ID Import ressources],0)),"")</f>
        <v/>
      </c>
      <c r="BE919" t="s">
        <v>3212</v>
      </c>
      <c r="BF919" t="s">
        <v>3213</v>
      </c>
      <c r="BG919" t="s">
        <v>1082</v>
      </c>
    </row>
    <row r="920" spans="13:59" x14ac:dyDescent="0.25">
      <c r="M920" t="str">
        <f>_xlfn.IFNA(IF(VLOOKUP(TAB_Offres[[#This Row],[Reference]],TAB_Offres[[Reference]:[Request State]],COLUMNS(TAB_Offres[[Reference]:[Request State]]),FALSE)=D$6,TAB_Offres[[#This Row],[Reference]],""),"")</f>
        <v/>
      </c>
      <c r="N920" t="str">
        <f>_xlfn.IFNA(IF(VLOOKUP(TAB_Offres[[#This Row],[Reference]],TAB_Offres[[Reference]:[Has Expenses?]],COLUMNS(TAB_Offres[[Reference]:[Has Expenses?]]),FALSE)=J$2,TAB_Offres[[#This Row],[Reference]],""),"")</f>
        <v/>
      </c>
      <c r="O920" t="str">
        <f>IF(Tableau19[[#This Row],[EXPENSES_REF]]="","",MAX(O$1:O919)+1)</f>
        <v/>
      </c>
      <c r="P920" t="str">
        <f t="shared" si="27"/>
        <v/>
      </c>
      <c r="AI920" s="191" t="str">
        <f>IFERROR(_xlfn.SINGLE(
IF(_xlfn.SINGLE(INDEX(TAB_Offres[Ressource 1],ROWS(Params!AI$2:$AI920)))=0,NA(),
INDEX(TAB_Offres[Ressource 1],ROWS(Params!AI$2:$AI920)))),
IFERROR(_xlfn.SINGLE(IF(_xlfn.SINGLE(INDEX(#REF!,ROWS(Params!AI$2:$AI920)-COUNTA(TAB_Offres[Ressource 1])))=0,NA(),
INDEX(#REF!,ROWS(Params!AI$2:$AI920)-COUNTA(TAB_Offres[Ressource 1])))),
IFERROR(_xlfn.SINGLE(IF(_xlfn.SINGLE(INDEX(#REF!,ROWS(Params!AI$2:$AI920)-COUNTA(#REF!)-COUNTA(TAB_Offres[Ressource 1])))=0,NA(),
INDEX(#REF!,ROWS(Params!AI$2:$AI920)-COUNTA(#REF!)-COUNTA(TAB_Offres[Ressource 1])))),""))
)</f>
        <v/>
      </c>
      <c r="AJ920" s="192" t="str">
        <f>IF(TAB_ressource[[#This Row],[Import Ressource]]="","",MAX(AJ$1:AJ919)+1)</f>
        <v/>
      </c>
      <c r="AK920" s="193" t="str">
        <f>IFERROR(INDEX(TAB_ressource[Import Ressource],MATCH(ROW()-ROW($AK$1),TAB_ressource[ID Import ressources],0)),"")</f>
        <v/>
      </c>
      <c r="BE920" t="s">
        <v>3214</v>
      </c>
      <c r="BF920" t="s">
        <v>3215</v>
      </c>
      <c r="BG920" t="s">
        <v>1085</v>
      </c>
    </row>
    <row r="921" spans="13:59" x14ac:dyDescent="0.25">
      <c r="M921" t="str">
        <f>_xlfn.IFNA(IF(VLOOKUP(TAB_Offres[[#This Row],[Reference]],TAB_Offres[[Reference]:[Request State]],COLUMNS(TAB_Offres[[Reference]:[Request State]]),FALSE)=D$6,TAB_Offres[[#This Row],[Reference]],""),"")</f>
        <v/>
      </c>
      <c r="N921" t="str">
        <f>_xlfn.IFNA(IF(VLOOKUP(TAB_Offres[[#This Row],[Reference]],TAB_Offres[[Reference]:[Has Expenses?]],COLUMNS(TAB_Offres[[Reference]:[Has Expenses?]]),FALSE)=J$2,TAB_Offres[[#This Row],[Reference]],""),"")</f>
        <v/>
      </c>
      <c r="O921" t="str">
        <f>IF(Tableau19[[#This Row],[EXPENSES_REF]]="","",MAX(O$1:O920)+1)</f>
        <v/>
      </c>
      <c r="P921" t="str">
        <f t="shared" si="27"/>
        <v/>
      </c>
      <c r="AI921" s="191" t="str">
        <f>IFERROR(_xlfn.SINGLE(
IF(_xlfn.SINGLE(INDEX(TAB_Offres[Ressource 1],ROWS(Params!AI$2:$AI921)))=0,NA(),
INDEX(TAB_Offres[Ressource 1],ROWS(Params!AI$2:$AI921)))),
IFERROR(_xlfn.SINGLE(IF(_xlfn.SINGLE(INDEX(#REF!,ROWS(Params!AI$2:$AI921)-COUNTA(TAB_Offres[Ressource 1])))=0,NA(),
INDEX(#REF!,ROWS(Params!AI$2:$AI921)-COUNTA(TAB_Offres[Ressource 1])))),
IFERROR(_xlfn.SINGLE(IF(_xlfn.SINGLE(INDEX(#REF!,ROWS(Params!AI$2:$AI921)-COUNTA(#REF!)-COUNTA(TAB_Offres[Ressource 1])))=0,NA(),
INDEX(#REF!,ROWS(Params!AI$2:$AI921)-COUNTA(#REF!)-COUNTA(TAB_Offres[Ressource 1])))),""))
)</f>
        <v/>
      </c>
      <c r="AJ921" s="192" t="str">
        <f>IF(TAB_ressource[[#This Row],[Import Ressource]]="","",MAX(AJ$1:AJ920)+1)</f>
        <v/>
      </c>
      <c r="AK921" s="193" t="str">
        <f>IFERROR(INDEX(TAB_ressource[Import Ressource],MATCH(ROW()-ROW($AK$1),TAB_ressource[ID Import ressources],0)),"")</f>
        <v/>
      </c>
      <c r="BE921" t="s">
        <v>3216</v>
      </c>
      <c r="BF921" t="s">
        <v>3217</v>
      </c>
      <c r="BG921" t="s">
        <v>1088</v>
      </c>
    </row>
    <row r="922" spans="13:59" x14ac:dyDescent="0.25">
      <c r="M922" t="str">
        <f>_xlfn.IFNA(IF(VLOOKUP(TAB_Offres[[#This Row],[Reference]],TAB_Offres[[Reference]:[Request State]],COLUMNS(TAB_Offres[[Reference]:[Request State]]),FALSE)=D$6,TAB_Offres[[#This Row],[Reference]],""),"")</f>
        <v/>
      </c>
      <c r="N922" t="str">
        <f>_xlfn.IFNA(IF(VLOOKUP(TAB_Offres[[#This Row],[Reference]],TAB_Offres[[Reference]:[Has Expenses?]],COLUMNS(TAB_Offres[[Reference]:[Has Expenses?]]),FALSE)=J$2,TAB_Offres[[#This Row],[Reference]],""),"")</f>
        <v/>
      </c>
      <c r="O922" t="str">
        <f>IF(Tableau19[[#This Row],[EXPENSES_REF]]="","",MAX(O$1:O921)+1)</f>
        <v/>
      </c>
      <c r="P922" t="str">
        <f t="shared" si="27"/>
        <v/>
      </c>
      <c r="AI922" s="191" t="str">
        <f>IFERROR(_xlfn.SINGLE(
IF(_xlfn.SINGLE(INDEX(TAB_Offres[Ressource 1],ROWS(Params!AI$2:$AI922)))=0,NA(),
INDEX(TAB_Offres[Ressource 1],ROWS(Params!AI$2:$AI922)))),
IFERROR(_xlfn.SINGLE(IF(_xlfn.SINGLE(INDEX(#REF!,ROWS(Params!AI$2:$AI922)-COUNTA(TAB_Offres[Ressource 1])))=0,NA(),
INDEX(#REF!,ROWS(Params!AI$2:$AI922)-COUNTA(TAB_Offres[Ressource 1])))),
IFERROR(_xlfn.SINGLE(IF(_xlfn.SINGLE(INDEX(#REF!,ROWS(Params!AI$2:$AI922)-COUNTA(#REF!)-COUNTA(TAB_Offres[Ressource 1])))=0,NA(),
INDEX(#REF!,ROWS(Params!AI$2:$AI922)-COUNTA(#REF!)-COUNTA(TAB_Offres[Ressource 1])))),""))
)</f>
        <v/>
      </c>
      <c r="AJ922" s="192" t="str">
        <f>IF(TAB_ressource[[#This Row],[Import Ressource]]="","",MAX(AJ$1:AJ921)+1)</f>
        <v/>
      </c>
      <c r="AK922" s="193" t="str">
        <f>IFERROR(INDEX(TAB_ressource[Import Ressource],MATCH(ROW()-ROW($AK$1),TAB_ressource[ID Import ressources],0)),"")</f>
        <v/>
      </c>
      <c r="BE922" t="s">
        <v>3218</v>
      </c>
      <c r="BF922" t="s">
        <v>3219</v>
      </c>
      <c r="BG922" t="s">
        <v>1091</v>
      </c>
    </row>
    <row r="923" spans="13:59" x14ac:dyDescent="0.25">
      <c r="M923" t="str">
        <f>_xlfn.IFNA(IF(VLOOKUP(TAB_Offres[[#This Row],[Reference]],TAB_Offres[[Reference]:[Request State]],COLUMNS(TAB_Offres[[Reference]:[Request State]]),FALSE)=D$6,TAB_Offres[[#This Row],[Reference]],""),"")</f>
        <v/>
      </c>
      <c r="N923" t="str">
        <f>_xlfn.IFNA(IF(VLOOKUP(TAB_Offres[[#This Row],[Reference]],TAB_Offres[[Reference]:[Has Expenses?]],COLUMNS(TAB_Offres[[Reference]:[Has Expenses?]]),FALSE)=J$2,TAB_Offres[[#This Row],[Reference]],""),"")</f>
        <v/>
      </c>
      <c r="O923" t="str">
        <f>IF(Tableau19[[#This Row],[EXPENSES_REF]]="","",MAX(O$1:O922)+1)</f>
        <v/>
      </c>
      <c r="P923" t="str">
        <f t="shared" si="27"/>
        <v/>
      </c>
      <c r="AI923" s="191" t="str">
        <f>IFERROR(_xlfn.SINGLE(
IF(_xlfn.SINGLE(INDEX(TAB_Offres[Ressource 1],ROWS(Params!AI$2:$AI923)))=0,NA(),
INDEX(TAB_Offres[Ressource 1],ROWS(Params!AI$2:$AI923)))),
IFERROR(_xlfn.SINGLE(IF(_xlfn.SINGLE(INDEX(#REF!,ROWS(Params!AI$2:$AI923)-COUNTA(TAB_Offres[Ressource 1])))=0,NA(),
INDEX(#REF!,ROWS(Params!AI$2:$AI923)-COUNTA(TAB_Offres[Ressource 1])))),
IFERROR(_xlfn.SINGLE(IF(_xlfn.SINGLE(INDEX(#REF!,ROWS(Params!AI$2:$AI923)-COUNTA(#REF!)-COUNTA(TAB_Offres[Ressource 1])))=0,NA(),
INDEX(#REF!,ROWS(Params!AI$2:$AI923)-COUNTA(#REF!)-COUNTA(TAB_Offres[Ressource 1])))),""))
)</f>
        <v/>
      </c>
      <c r="AJ923" s="192" t="str">
        <f>IF(TAB_ressource[[#This Row],[Import Ressource]]="","",MAX(AJ$1:AJ922)+1)</f>
        <v/>
      </c>
      <c r="AK923" s="193" t="str">
        <f>IFERROR(INDEX(TAB_ressource[Import Ressource],MATCH(ROW()-ROW($AK$1),TAB_ressource[ID Import ressources],0)),"")</f>
        <v/>
      </c>
      <c r="BE923" t="s">
        <v>3220</v>
      </c>
      <c r="BF923" t="s">
        <v>3221</v>
      </c>
      <c r="BG923" t="s">
        <v>1094</v>
      </c>
    </row>
    <row r="924" spans="13:59" x14ac:dyDescent="0.25">
      <c r="M924" t="str">
        <f>_xlfn.IFNA(IF(VLOOKUP(TAB_Offres[[#This Row],[Reference]],TAB_Offres[[Reference]:[Request State]],COLUMNS(TAB_Offres[[Reference]:[Request State]]),FALSE)=D$6,TAB_Offres[[#This Row],[Reference]],""),"")</f>
        <v/>
      </c>
      <c r="N924" t="str">
        <f>_xlfn.IFNA(IF(VLOOKUP(TAB_Offres[[#This Row],[Reference]],TAB_Offres[[Reference]:[Has Expenses?]],COLUMNS(TAB_Offres[[Reference]:[Has Expenses?]]),FALSE)=J$2,TAB_Offres[[#This Row],[Reference]],""),"")</f>
        <v/>
      </c>
      <c r="O924" t="str">
        <f>IF(Tableau19[[#This Row],[EXPENSES_REF]]="","",MAX(O$1:O923)+1)</f>
        <v/>
      </c>
      <c r="P924" t="str">
        <f t="shared" si="27"/>
        <v/>
      </c>
      <c r="AI924" s="191" t="str">
        <f>IFERROR(_xlfn.SINGLE(
IF(_xlfn.SINGLE(INDEX(TAB_Offres[Ressource 1],ROWS(Params!AI$2:$AI924)))=0,NA(),
INDEX(TAB_Offres[Ressource 1],ROWS(Params!AI$2:$AI924)))),
IFERROR(_xlfn.SINGLE(IF(_xlfn.SINGLE(INDEX(#REF!,ROWS(Params!AI$2:$AI924)-COUNTA(TAB_Offres[Ressource 1])))=0,NA(),
INDEX(#REF!,ROWS(Params!AI$2:$AI924)-COUNTA(TAB_Offres[Ressource 1])))),
IFERROR(_xlfn.SINGLE(IF(_xlfn.SINGLE(INDEX(#REF!,ROWS(Params!AI$2:$AI924)-COUNTA(#REF!)-COUNTA(TAB_Offres[Ressource 1])))=0,NA(),
INDEX(#REF!,ROWS(Params!AI$2:$AI924)-COUNTA(#REF!)-COUNTA(TAB_Offres[Ressource 1])))),""))
)</f>
        <v/>
      </c>
      <c r="AJ924" s="192" t="str">
        <f>IF(TAB_ressource[[#This Row],[Import Ressource]]="","",MAX(AJ$1:AJ923)+1)</f>
        <v/>
      </c>
      <c r="AK924" s="193" t="str">
        <f>IFERROR(INDEX(TAB_ressource[Import Ressource],MATCH(ROW()-ROW($AK$1),TAB_ressource[ID Import ressources],0)),"")</f>
        <v/>
      </c>
      <c r="BE924" t="s">
        <v>3222</v>
      </c>
      <c r="BF924" t="s">
        <v>3223</v>
      </c>
      <c r="BG924" t="s">
        <v>1097</v>
      </c>
    </row>
    <row r="925" spans="13:59" x14ac:dyDescent="0.25">
      <c r="M925" t="str">
        <f>_xlfn.IFNA(IF(VLOOKUP(TAB_Offres[[#This Row],[Reference]],TAB_Offres[[Reference]:[Request State]],COLUMNS(TAB_Offres[[Reference]:[Request State]]),FALSE)=D$6,TAB_Offres[[#This Row],[Reference]],""),"")</f>
        <v/>
      </c>
      <c r="N925" t="str">
        <f>_xlfn.IFNA(IF(VLOOKUP(TAB_Offres[[#This Row],[Reference]],TAB_Offres[[Reference]:[Has Expenses?]],COLUMNS(TAB_Offres[[Reference]:[Has Expenses?]]),FALSE)=J$2,TAB_Offres[[#This Row],[Reference]],""),"")</f>
        <v/>
      </c>
      <c r="O925" t="str">
        <f>IF(Tableau19[[#This Row],[EXPENSES_REF]]="","",MAX(O$1:O924)+1)</f>
        <v/>
      </c>
      <c r="P925" t="str">
        <f t="shared" si="27"/>
        <v/>
      </c>
      <c r="AI925" s="191" t="str">
        <f>IFERROR(_xlfn.SINGLE(
IF(_xlfn.SINGLE(INDEX(TAB_Offres[Ressource 1],ROWS(Params!AI$2:$AI925)))=0,NA(),
INDEX(TAB_Offres[Ressource 1],ROWS(Params!AI$2:$AI925)))),
IFERROR(_xlfn.SINGLE(IF(_xlfn.SINGLE(INDEX(#REF!,ROWS(Params!AI$2:$AI925)-COUNTA(TAB_Offres[Ressource 1])))=0,NA(),
INDEX(#REF!,ROWS(Params!AI$2:$AI925)-COUNTA(TAB_Offres[Ressource 1])))),
IFERROR(_xlfn.SINGLE(IF(_xlfn.SINGLE(INDEX(#REF!,ROWS(Params!AI$2:$AI925)-COUNTA(#REF!)-COUNTA(TAB_Offres[Ressource 1])))=0,NA(),
INDEX(#REF!,ROWS(Params!AI$2:$AI925)-COUNTA(#REF!)-COUNTA(TAB_Offres[Ressource 1])))),""))
)</f>
        <v/>
      </c>
      <c r="AJ925" s="192" t="str">
        <f>IF(TAB_ressource[[#This Row],[Import Ressource]]="","",MAX(AJ$1:AJ924)+1)</f>
        <v/>
      </c>
      <c r="AK925" s="193" t="str">
        <f>IFERROR(INDEX(TAB_ressource[Import Ressource],MATCH(ROW()-ROW($AK$1),TAB_ressource[ID Import ressources],0)),"")</f>
        <v/>
      </c>
      <c r="BE925" t="s">
        <v>3224</v>
      </c>
      <c r="BF925" t="s">
        <v>3225</v>
      </c>
      <c r="BG925" t="s">
        <v>1100</v>
      </c>
    </row>
    <row r="926" spans="13:59" x14ac:dyDescent="0.25">
      <c r="M926" t="str">
        <f>_xlfn.IFNA(IF(VLOOKUP(TAB_Offres[[#This Row],[Reference]],TAB_Offres[[Reference]:[Request State]],COLUMNS(TAB_Offres[[Reference]:[Request State]]),FALSE)=D$6,TAB_Offres[[#This Row],[Reference]],""),"")</f>
        <v/>
      </c>
      <c r="N926" t="str">
        <f>_xlfn.IFNA(IF(VLOOKUP(TAB_Offres[[#This Row],[Reference]],TAB_Offres[[Reference]:[Has Expenses?]],COLUMNS(TAB_Offres[[Reference]:[Has Expenses?]]),FALSE)=J$2,TAB_Offres[[#This Row],[Reference]],""),"")</f>
        <v/>
      </c>
      <c r="O926" t="str">
        <f>IF(Tableau19[[#This Row],[EXPENSES_REF]]="","",MAX(O$1:O925)+1)</f>
        <v/>
      </c>
      <c r="P926" t="str">
        <f t="shared" si="27"/>
        <v/>
      </c>
      <c r="AI926" s="191" t="str">
        <f>IFERROR(_xlfn.SINGLE(
IF(_xlfn.SINGLE(INDEX(TAB_Offres[Ressource 1],ROWS(Params!AI$2:$AI926)))=0,NA(),
INDEX(TAB_Offres[Ressource 1],ROWS(Params!AI$2:$AI926)))),
IFERROR(_xlfn.SINGLE(IF(_xlfn.SINGLE(INDEX(#REF!,ROWS(Params!AI$2:$AI926)-COUNTA(TAB_Offres[Ressource 1])))=0,NA(),
INDEX(#REF!,ROWS(Params!AI$2:$AI926)-COUNTA(TAB_Offres[Ressource 1])))),
IFERROR(_xlfn.SINGLE(IF(_xlfn.SINGLE(INDEX(#REF!,ROWS(Params!AI$2:$AI926)-COUNTA(#REF!)-COUNTA(TAB_Offres[Ressource 1])))=0,NA(),
INDEX(#REF!,ROWS(Params!AI$2:$AI926)-COUNTA(#REF!)-COUNTA(TAB_Offres[Ressource 1])))),""))
)</f>
        <v/>
      </c>
      <c r="AJ926" s="192" t="str">
        <f>IF(TAB_ressource[[#This Row],[Import Ressource]]="","",MAX(AJ$1:AJ925)+1)</f>
        <v/>
      </c>
      <c r="AK926" s="193" t="str">
        <f>IFERROR(INDEX(TAB_ressource[Import Ressource],MATCH(ROW()-ROW($AK$1),TAB_ressource[ID Import ressources],0)),"")</f>
        <v/>
      </c>
      <c r="BE926" t="s">
        <v>3226</v>
      </c>
      <c r="BF926" t="s">
        <v>3227</v>
      </c>
      <c r="BG926" t="s">
        <v>1103</v>
      </c>
    </row>
    <row r="927" spans="13:59" x14ac:dyDescent="0.25">
      <c r="M927" t="str">
        <f>_xlfn.IFNA(IF(VLOOKUP(TAB_Offres[[#This Row],[Reference]],TAB_Offres[[Reference]:[Request State]],COLUMNS(TAB_Offres[[Reference]:[Request State]]),FALSE)=D$6,TAB_Offres[[#This Row],[Reference]],""),"")</f>
        <v/>
      </c>
      <c r="N927" t="str">
        <f>_xlfn.IFNA(IF(VLOOKUP(TAB_Offres[[#This Row],[Reference]],TAB_Offres[[Reference]:[Has Expenses?]],COLUMNS(TAB_Offres[[Reference]:[Has Expenses?]]),FALSE)=J$2,TAB_Offres[[#This Row],[Reference]],""),"")</f>
        <v/>
      </c>
      <c r="O927" t="str">
        <f>IF(Tableau19[[#This Row],[EXPENSES_REF]]="","",MAX(O$1:O926)+1)</f>
        <v/>
      </c>
      <c r="P927" t="str">
        <f t="shared" si="27"/>
        <v/>
      </c>
      <c r="AI927" s="191" t="str">
        <f>IFERROR(_xlfn.SINGLE(
IF(_xlfn.SINGLE(INDEX(TAB_Offres[Ressource 1],ROWS(Params!AI$2:$AI927)))=0,NA(),
INDEX(TAB_Offres[Ressource 1],ROWS(Params!AI$2:$AI927)))),
IFERROR(_xlfn.SINGLE(IF(_xlfn.SINGLE(INDEX(#REF!,ROWS(Params!AI$2:$AI927)-COUNTA(TAB_Offres[Ressource 1])))=0,NA(),
INDEX(#REF!,ROWS(Params!AI$2:$AI927)-COUNTA(TAB_Offres[Ressource 1])))),
IFERROR(_xlfn.SINGLE(IF(_xlfn.SINGLE(INDEX(#REF!,ROWS(Params!AI$2:$AI927)-COUNTA(#REF!)-COUNTA(TAB_Offres[Ressource 1])))=0,NA(),
INDEX(#REF!,ROWS(Params!AI$2:$AI927)-COUNTA(#REF!)-COUNTA(TAB_Offres[Ressource 1])))),""))
)</f>
        <v/>
      </c>
      <c r="AJ927" s="192" t="str">
        <f>IF(TAB_ressource[[#This Row],[Import Ressource]]="","",MAX(AJ$1:AJ926)+1)</f>
        <v/>
      </c>
      <c r="AK927" s="193" t="str">
        <f>IFERROR(INDEX(TAB_ressource[Import Ressource],MATCH(ROW()-ROW($AK$1),TAB_ressource[ID Import ressources],0)),"")</f>
        <v/>
      </c>
      <c r="BE927" t="s">
        <v>3228</v>
      </c>
      <c r="BF927" t="s">
        <v>3229</v>
      </c>
      <c r="BG927" t="s">
        <v>1106</v>
      </c>
    </row>
    <row r="928" spans="13:59" x14ac:dyDescent="0.25">
      <c r="M928" t="str">
        <f>_xlfn.IFNA(IF(VLOOKUP(TAB_Offres[[#This Row],[Reference]],TAB_Offres[[Reference]:[Request State]],COLUMNS(TAB_Offres[[Reference]:[Request State]]),FALSE)=D$6,TAB_Offres[[#This Row],[Reference]],""),"")</f>
        <v/>
      </c>
      <c r="N928" t="str">
        <f>_xlfn.IFNA(IF(VLOOKUP(TAB_Offres[[#This Row],[Reference]],TAB_Offres[[Reference]:[Has Expenses?]],COLUMNS(TAB_Offres[[Reference]:[Has Expenses?]]),FALSE)=J$2,TAB_Offres[[#This Row],[Reference]],""),"")</f>
        <v/>
      </c>
      <c r="O928" t="str">
        <f>IF(Tableau19[[#This Row],[EXPENSES_REF]]="","",MAX(O$1:O927)+1)</f>
        <v/>
      </c>
      <c r="P928" t="str">
        <f t="shared" si="27"/>
        <v/>
      </c>
      <c r="AI928" s="191" t="str">
        <f>IFERROR(_xlfn.SINGLE(
IF(_xlfn.SINGLE(INDEX(TAB_Offres[Ressource 1],ROWS(Params!AI$2:$AI928)))=0,NA(),
INDEX(TAB_Offres[Ressource 1],ROWS(Params!AI$2:$AI928)))),
IFERROR(_xlfn.SINGLE(IF(_xlfn.SINGLE(INDEX(#REF!,ROWS(Params!AI$2:$AI928)-COUNTA(TAB_Offres[Ressource 1])))=0,NA(),
INDEX(#REF!,ROWS(Params!AI$2:$AI928)-COUNTA(TAB_Offres[Ressource 1])))),
IFERROR(_xlfn.SINGLE(IF(_xlfn.SINGLE(INDEX(#REF!,ROWS(Params!AI$2:$AI928)-COUNTA(#REF!)-COUNTA(TAB_Offres[Ressource 1])))=0,NA(),
INDEX(#REF!,ROWS(Params!AI$2:$AI928)-COUNTA(#REF!)-COUNTA(TAB_Offres[Ressource 1])))),""))
)</f>
        <v/>
      </c>
      <c r="AJ928" s="192" t="str">
        <f>IF(TAB_ressource[[#This Row],[Import Ressource]]="","",MAX(AJ$1:AJ927)+1)</f>
        <v/>
      </c>
      <c r="AK928" s="193" t="str">
        <f>IFERROR(INDEX(TAB_ressource[Import Ressource],MATCH(ROW()-ROW($AK$1),TAB_ressource[ID Import ressources],0)),"")</f>
        <v/>
      </c>
      <c r="BE928" t="s">
        <v>3230</v>
      </c>
      <c r="BF928" t="s">
        <v>3231</v>
      </c>
      <c r="BG928" t="s">
        <v>1109</v>
      </c>
    </row>
    <row r="929" spans="13:59" x14ac:dyDescent="0.25">
      <c r="M929" t="str">
        <f>_xlfn.IFNA(IF(VLOOKUP(TAB_Offres[[#This Row],[Reference]],TAB_Offres[[Reference]:[Request State]],COLUMNS(TAB_Offres[[Reference]:[Request State]]),FALSE)=D$6,TAB_Offres[[#This Row],[Reference]],""),"")</f>
        <v/>
      </c>
      <c r="N929" t="str">
        <f>_xlfn.IFNA(IF(VLOOKUP(TAB_Offres[[#This Row],[Reference]],TAB_Offres[[Reference]:[Has Expenses?]],COLUMNS(TAB_Offres[[Reference]:[Has Expenses?]]),FALSE)=J$2,TAB_Offres[[#This Row],[Reference]],""),"")</f>
        <v/>
      </c>
      <c r="O929" t="str">
        <f>IF(Tableau19[[#This Row],[EXPENSES_REF]]="","",MAX(O$1:O928)+1)</f>
        <v/>
      </c>
      <c r="P929" t="str">
        <f t="shared" si="27"/>
        <v/>
      </c>
      <c r="AI929" s="191" t="str">
        <f>IFERROR(_xlfn.SINGLE(
IF(_xlfn.SINGLE(INDEX(TAB_Offres[Ressource 1],ROWS(Params!AI$2:$AI929)))=0,NA(),
INDEX(TAB_Offres[Ressource 1],ROWS(Params!AI$2:$AI929)))),
IFERROR(_xlfn.SINGLE(IF(_xlfn.SINGLE(INDEX(#REF!,ROWS(Params!AI$2:$AI929)-COUNTA(TAB_Offres[Ressource 1])))=0,NA(),
INDEX(#REF!,ROWS(Params!AI$2:$AI929)-COUNTA(TAB_Offres[Ressource 1])))),
IFERROR(_xlfn.SINGLE(IF(_xlfn.SINGLE(INDEX(#REF!,ROWS(Params!AI$2:$AI929)-COUNTA(#REF!)-COUNTA(TAB_Offres[Ressource 1])))=0,NA(),
INDEX(#REF!,ROWS(Params!AI$2:$AI929)-COUNTA(#REF!)-COUNTA(TAB_Offres[Ressource 1])))),""))
)</f>
        <v/>
      </c>
      <c r="AJ929" s="192" t="str">
        <f>IF(TAB_ressource[[#This Row],[Import Ressource]]="","",MAX(AJ$1:AJ928)+1)</f>
        <v/>
      </c>
      <c r="AK929" s="193" t="str">
        <f>IFERROR(INDEX(TAB_ressource[Import Ressource],MATCH(ROW()-ROW($AK$1),TAB_ressource[ID Import ressources],0)),"")</f>
        <v/>
      </c>
      <c r="BE929" t="s">
        <v>3232</v>
      </c>
      <c r="BF929" t="s">
        <v>3233</v>
      </c>
      <c r="BG929" t="s">
        <v>1112</v>
      </c>
    </row>
    <row r="930" spans="13:59" x14ac:dyDescent="0.25">
      <c r="M930" t="str">
        <f>_xlfn.IFNA(IF(VLOOKUP(TAB_Offres[[#This Row],[Reference]],TAB_Offres[[Reference]:[Request State]],COLUMNS(TAB_Offres[[Reference]:[Request State]]),FALSE)=D$6,TAB_Offres[[#This Row],[Reference]],""),"")</f>
        <v/>
      </c>
      <c r="N930" t="str">
        <f>_xlfn.IFNA(IF(VLOOKUP(TAB_Offres[[#This Row],[Reference]],TAB_Offres[[Reference]:[Has Expenses?]],COLUMNS(TAB_Offres[[Reference]:[Has Expenses?]]),FALSE)=J$2,TAB_Offres[[#This Row],[Reference]],""),"")</f>
        <v/>
      </c>
      <c r="O930" t="str">
        <f>IF(Tableau19[[#This Row],[EXPENSES_REF]]="","",MAX(O$1:O929)+1)</f>
        <v/>
      </c>
      <c r="P930" t="str">
        <f t="shared" si="27"/>
        <v/>
      </c>
      <c r="AI930" s="191" t="str">
        <f>IFERROR(_xlfn.SINGLE(
IF(_xlfn.SINGLE(INDEX(TAB_Offres[Ressource 1],ROWS(Params!AI$2:$AI930)))=0,NA(),
INDEX(TAB_Offres[Ressource 1],ROWS(Params!AI$2:$AI930)))),
IFERROR(_xlfn.SINGLE(IF(_xlfn.SINGLE(INDEX(#REF!,ROWS(Params!AI$2:$AI930)-COUNTA(TAB_Offres[Ressource 1])))=0,NA(),
INDEX(#REF!,ROWS(Params!AI$2:$AI930)-COUNTA(TAB_Offres[Ressource 1])))),
IFERROR(_xlfn.SINGLE(IF(_xlfn.SINGLE(INDEX(#REF!,ROWS(Params!AI$2:$AI930)-COUNTA(#REF!)-COUNTA(TAB_Offres[Ressource 1])))=0,NA(),
INDEX(#REF!,ROWS(Params!AI$2:$AI930)-COUNTA(#REF!)-COUNTA(TAB_Offres[Ressource 1])))),""))
)</f>
        <v/>
      </c>
      <c r="AJ930" s="192" t="str">
        <f>IF(TAB_ressource[[#This Row],[Import Ressource]]="","",MAX(AJ$1:AJ929)+1)</f>
        <v/>
      </c>
      <c r="AK930" s="193" t="str">
        <f>IFERROR(INDEX(TAB_ressource[Import Ressource],MATCH(ROW()-ROW($AK$1),TAB_ressource[ID Import ressources],0)),"")</f>
        <v/>
      </c>
      <c r="BE930" t="s">
        <v>3234</v>
      </c>
      <c r="BF930" t="s">
        <v>3235</v>
      </c>
      <c r="BG930" t="s">
        <v>1115</v>
      </c>
    </row>
    <row r="931" spans="13:59" x14ac:dyDescent="0.25">
      <c r="M931" t="str">
        <f>_xlfn.IFNA(IF(VLOOKUP(TAB_Offres[[#This Row],[Reference]],TAB_Offres[[Reference]:[Request State]],COLUMNS(TAB_Offres[[Reference]:[Request State]]),FALSE)=D$6,TAB_Offres[[#This Row],[Reference]],""),"")</f>
        <v/>
      </c>
      <c r="N931" t="str">
        <f>_xlfn.IFNA(IF(VLOOKUP(TAB_Offres[[#This Row],[Reference]],TAB_Offres[[Reference]:[Has Expenses?]],COLUMNS(TAB_Offres[[Reference]:[Has Expenses?]]),FALSE)=J$2,TAB_Offres[[#This Row],[Reference]],""),"")</f>
        <v/>
      </c>
      <c r="O931" t="str">
        <f>IF(Tableau19[[#This Row],[EXPENSES_REF]]="","",MAX(O$1:O930)+1)</f>
        <v/>
      </c>
      <c r="P931" t="str">
        <f t="shared" si="27"/>
        <v/>
      </c>
      <c r="AI931" s="191" t="str">
        <f>IFERROR(_xlfn.SINGLE(
IF(_xlfn.SINGLE(INDEX(TAB_Offres[Ressource 1],ROWS(Params!AI$2:$AI931)))=0,NA(),
INDEX(TAB_Offres[Ressource 1],ROWS(Params!AI$2:$AI931)))),
IFERROR(_xlfn.SINGLE(IF(_xlfn.SINGLE(INDEX(#REF!,ROWS(Params!AI$2:$AI931)-COUNTA(TAB_Offres[Ressource 1])))=0,NA(),
INDEX(#REF!,ROWS(Params!AI$2:$AI931)-COUNTA(TAB_Offres[Ressource 1])))),
IFERROR(_xlfn.SINGLE(IF(_xlfn.SINGLE(INDEX(#REF!,ROWS(Params!AI$2:$AI931)-COUNTA(#REF!)-COUNTA(TAB_Offres[Ressource 1])))=0,NA(),
INDEX(#REF!,ROWS(Params!AI$2:$AI931)-COUNTA(#REF!)-COUNTA(TAB_Offres[Ressource 1])))),""))
)</f>
        <v/>
      </c>
      <c r="AJ931" s="192" t="str">
        <f>IF(TAB_ressource[[#This Row],[Import Ressource]]="","",MAX(AJ$1:AJ930)+1)</f>
        <v/>
      </c>
      <c r="AK931" s="193" t="str">
        <f>IFERROR(INDEX(TAB_ressource[Import Ressource],MATCH(ROW()-ROW($AK$1),TAB_ressource[ID Import ressources],0)),"")</f>
        <v/>
      </c>
      <c r="BE931" t="s">
        <v>3236</v>
      </c>
      <c r="BF931" t="s">
        <v>3237</v>
      </c>
      <c r="BG931" t="s">
        <v>1118</v>
      </c>
    </row>
    <row r="932" spans="13:59" x14ac:dyDescent="0.25">
      <c r="M932" t="str">
        <f>_xlfn.IFNA(IF(VLOOKUP(TAB_Offres[[#This Row],[Reference]],TAB_Offres[[Reference]:[Request State]],COLUMNS(TAB_Offres[[Reference]:[Request State]]),FALSE)=D$6,TAB_Offres[[#This Row],[Reference]],""),"")</f>
        <v/>
      </c>
      <c r="N932" t="str">
        <f>_xlfn.IFNA(IF(VLOOKUP(TAB_Offres[[#This Row],[Reference]],TAB_Offres[[Reference]:[Has Expenses?]],COLUMNS(TAB_Offres[[Reference]:[Has Expenses?]]),FALSE)=J$2,TAB_Offres[[#This Row],[Reference]],""),"")</f>
        <v/>
      </c>
      <c r="O932" t="str">
        <f>IF(Tableau19[[#This Row],[EXPENSES_REF]]="","",MAX(O$1:O931)+1)</f>
        <v/>
      </c>
      <c r="P932" t="str">
        <f t="shared" si="27"/>
        <v/>
      </c>
      <c r="AI932" s="191" t="str">
        <f>IFERROR(_xlfn.SINGLE(
IF(_xlfn.SINGLE(INDEX(TAB_Offres[Ressource 1],ROWS(Params!AI$2:$AI932)))=0,NA(),
INDEX(TAB_Offres[Ressource 1],ROWS(Params!AI$2:$AI932)))),
IFERROR(_xlfn.SINGLE(IF(_xlfn.SINGLE(INDEX(#REF!,ROWS(Params!AI$2:$AI932)-COUNTA(TAB_Offres[Ressource 1])))=0,NA(),
INDEX(#REF!,ROWS(Params!AI$2:$AI932)-COUNTA(TAB_Offres[Ressource 1])))),
IFERROR(_xlfn.SINGLE(IF(_xlfn.SINGLE(INDEX(#REF!,ROWS(Params!AI$2:$AI932)-COUNTA(#REF!)-COUNTA(TAB_Offres[Ressource 1])))=0,NA(),
INDEX(#REF!,ROWS(Params!AI$2:$AI932)-COUNTA(#REF!)-COUNTA(TAB_Offres[Ressource 1])))),""))
)</f>
        <v/>
      </c>
      <c r="AJ932" s="192" t="str">
        <f>IF(TAB_ressource[[#This Row],[Import Ressource]]="","",MAX(AJ$1:AJ931)+1)</f>
        <v/>
      </c>
      <c r="AK932" s="193" t="str">
        <f>IFERROR(INDEX(TAB_ressource[Import Ressource],MATCH(ROW()-ROW($AK$1),TAB_ressource[ID Import ressources],0)),"")</f>
        <v/>
      </c>
      <c r="BE932" t="s">
        <v>3238</v>
      </c>
      <c r="BF932" t="s">
        <v>3239</v>
      </c>
      <c r="BG932" t="s">
        <v>1121</v>
      </c>
    </row>
    <row r="933" spans="13:59" x14ac:dyDescent="0.25">
      <c r="M933" t="str">
        <f>_xlfn.IFNA(IF(VLOOKUP(TAB_Offres[[#This Row],[Reference]],TAB_Offres[[Reference]:[Request State]],COLUMNS(TAB_Offres[[Reference]:[Request State]]),FALSE)=D$6,TAB_Offres[[#This Row],[Reference]],""),"")</f>
        <v/>
      </c>
      <c r="N933" t="str">
        <f>_xlfn.IFNA(IF(VLOOKUP(TAB_Offres[[#This Row],[Reference]],TAB_Offres[[Reference]:[Has Expenses?]],COLUMNS(TAB_Offres[[Reference]:[Has Expenses?]]),FALSE)=J$2,TAB_Offres[[#This Row],[Reference]],""),"")</f>
        <v/>
      </c>
      <c r="O933" t="str">
        <f>IF(Tableau19[[#This Row],[EXPENSES_REF]]="","",MAX(O$1:O932)+1)</f>
        <v/>
      </c>
      <c r="P933" t="str">
        <f t="shared" si="27"/>
        <v/>
      </c>
      <c r="AI933" s="191" t="str">
        <f>IFERROR(_xlfn.SINGLE(
IF(_xlfn.SINGLE(INDEX(TAB_Offres[Ressource 1],ROWS(Params!AI$2:$AI933)))=0,NA(),
INDEX(TAB_Offres[Ressource 1],ROWS(Params!AI$2:$AI933)))),
IFERROR(_xlfn.SINGLE(IF(_xlfn.SINGLE(INDEX(#REF!,ROWS(Params!AI$2:$AI933)-COUNTA(TAB_Offres[Ressource 1])))=0,NA(),
INDEX(#REF!,ROWS(Params!AI$2:$AI933)-COUNTA(TAB_Offres[Ressource 1])))),
IFERROR(_xlfn.SINGLE(IF(_xlfn.SINGLE(INDEX(#REF!,ROWS(Params!AI$2:$AI933)-COUNTA(#REF!)-COUNTA(TAB_Offres[Ressource 1])))=0,NA(),
INDEX(#REF!,ROWS(Params!AI$2:$AI933)-COUNTA(#REF!)-COUNTA(TAB_Offres[Ressource 1])))),""))
)</f>
        <v/>
      </c>
      <c r="AJ933" s="192" t="str">
        <f>IF(TAB_ressource[[#This Row],[Import Ressource]]="","",MAX(AJ$1:AJ932)+1)</f>
        <v/>
      </c>
      <c r="AK933" s="193" t="str">
        <f>IFERROR(INDEX(TAB_ressource[Import Ressource],MATCH(ROW()-ROW($AK$1),TAB_ressource[ID Import ressources],0)),"")</f>
        <v/>
      </c>
      <c r="BE933" t="s">
        <v>3240</v>
      </c>
      <c r="BF933" t="s">
        <v>3241</v>
      </c>
      <c r="BG933" t="s">
        <v>1124</v>
      </c>
    </row>
    <row r="934" spans="13:59" x14ac:dyDescent="0.25">
      <c r="M934" t="str">
        <f>_xlfn.IFNA(IF(VLOOKUP(TAB_Offres[[#This Row],[Reference]],TAB_Offres[[Reference]:[Request State]],COLUMNS(TAB_Offres[[Reference]:[Request State]]),FALSE)=D$6,TAB_Offres[[#This Row],[Reference]],""),"")</f>
        <v/>
      </c>
      <c r="N934" t="str">
        <f>_xlfn.IFNA(IF(VLOOKUP(TAB_Offres[[#This Row],[Reference]],TAB_Offres[[Reference]:[Has Expenses?]],COLUMNS(TAB_Offres[[Reference]:[Has Expenses?]]),FALSE)=J$2,TAB_Offres[[#This Row],[Reference]],""),"")</f>
        <v/>
      </c>
      <c r="O934" t="str">
        <f>IF(Tableau19[[#This Row],[EXPENSES_REF]]="","",MAX(O$1:O933)+1)</f>
        <v/>
      </c>
      <c r="P934" t="str">
        <f t="shared" si="27"/>
        <v/>
      </c>
      <c r="AI934" s="191" t="str">
        <f>IFERROR(_xlfn.SINGLE(
IF(_xlfn.SINGLE(INDEX(TAB_Offres[Ressource 1],ROWS(Params!AI$2:$AI934)))=0,NA(),
INDEX(TAB_Offres[Ressource 1],ROWS(Params!AI$2:$AI934)))),
IFERROR(_xlfn.SINGLE(IF(_xlfn.SINGLE(INDEX(#REF!,ROWS(Params!AI$2:$AI934)-COUNTA(TAB_Offres[Ressource 1])))=0,NA(),
INDEX(#REF!,ROWS(Params!AI$2:$AI934)-COUNTA(TAB_Offres[Ressource 1])))),
IFERROR(_xlfn.SINGLE(IF(_xlfn.SINGLE(INDEX(#REF!,ROWS(Params!AI$2:$AI934)-COUNTA(#REF!)-COUNTA(TAB_Offres[Ressource 1])))=0,NA(),
INDEX(#REF!,ROWS(Params!AI$2:$AI934)-COUNTA(#REF!)-COUNTA(TAB_Offres[Ressource 1])))),""))
)</f>
        <v/>
      </c>
      <c r="AJ934" s="192" t="str">
        <f>IF(TAB_ressource[[#This Row],[Import Ressource]]="","",MAX(AJ$1:AJ933)+1)</f>
        <v/>
      </c>
      <c r="AK934" s="193" t="str">
        <f>IFERROR(INDEX(TAB_ressource[Import Ressource],MATCH(ROW()-ROW($AK$1),TAB_ressource[ID Import ressources],0)),"")</f>
        <v/>
      </c>
      <c r="BE934" t="s">
        <v>3242</v>
      </c>
      <c r="BF934" t="s">
        <v>3243</v>
      </c>
      <c r="BG934" t="s">
        <v>1127</v>
      </c>
    </row>
    <row r="935" spans="13:59" x14ac:dyDescent="0.25">
      <c r="M935" t="str">
        <f>_xlfn.IFNA(IF(VLOOKUP(TAB_Offres[[#This Row],[Reference]],TAB_Offres[[Reference]:[Request State]],COLUMNS(TAB_Offres[[Reference]:[Request State]]),FALSE)=D$6,TAB_Offres[[#This Row],[Reference]],""),"")</f>
        <v/>
      </c>
      <c r="N935" t="str">
        <f>_xlfn.IFNA(IF(VLOOKUP(TAB_Offres[[#This Row],[Reference]],TAB_Offres[[Reference]:[Has Expenses?]],COLUMNS(TAB_Offres[[Reference]:[Has Expenses?]]),FALSE)=J$2,TAB_Offres[[#This Row],[Reference]],""),"")</f>
        <v/>
      </c>
      <c r="O935" t="str">
        <f>IF(Tableau19[[#This Row],[EXPENSES_REF]]="","",MAX(O$1:O934)+1)</f>
        <v/>
      </c>
      <c r="P935" t="str">
        <f t="shared" si="27"/>
        <v/>
      </c>
      <c r="AI935" s="191" t="str">
        <f>IFERROR(_xlfn.SINGLE(
IF(_xlfn.SINGLE(INDEX(TAB_Offres[Ressource 1],ROWS(Params!AI$2:$AI935)))=0,NA(),
INDEX(TAB_Offres[Ressource 1],ROWS(Params!AI$2:$AI935)))),
IFERROR(_xlfn.SINGLE(IF(_xlfn.SINGLE(INDEX(#REF!,ROWS(Params!AI$2:$AI935)-COUNTA(TAB_Offres[Ressource 1])))=0,NA(),
INDEX(#REF!,ROWS(Params!AI$2:$AI935)-COUNTA(TAB_Offres[Ressource 1])))),
IFERROR(_xlfn.SINGLE(IF(_xlfn.SINGLE(INDEX(#REF!,ROWS(Params!AI$2:$AI935)-COUNTA(#REF!)-COUNTA(TAB_Offres[Ressource 1])))=0,NA(),
INDEX(#REF!,ROWS(Params!AI$2:$AI935)-COUNTA(#REF!)-COUNTA(TAB_Offres[Ressource 1])))),""))
)</f>
        <v/>
      </c>
      <c r="AJ935" s="192" t="str">
        <f>IF(TAB_ressource[[#This Row],[Import Ressource]]="","",MAX(AJ$1:AJ934)+1)</f>
        <v/>
      </c>
      <c r="AK935" s="193" t="str">
        <f>IFERROR(INDEX(TAB_ressource[Import Ressource],MATCH(ROW()-ROW($AK$1),TAB_ressource[ID Import ressources],0)),"")</f>
        <v/>
      </c>
      <c r="BE935" t="s">
        <v>3244</v>
      </c>
      <c r="BF935" t="s">
        <v>3245</v>
      </c>
      <c r="BG935" t="s">
        <v>1130</v>
      </c>
    </row>
    <row r="936" spans="13:59" x14ac:dyDescent="0.25">
      <c r="M936" t="str">
        <f>_xlfn.IFNA(IF(VLOOKUP(TAB_Offres[[#This Row],[Reference]],TAB_Offres[[Reference]:[Request State]],COLUMNS(TAB_Offres[[Reference]:[Request State]]),FALSE)=D$6,TAB_Offres[[#This Row],[Reference]],""),"")</f>
        <v/>
      </c>
      <c r="N936" t="str">
        <f>_xlfn.IFNA(IF(VLOOKUP(TAB_Offres[[#This Row],[Reference]],TAB_Offres[[Reference]:[Has Expenses?]],COLUMNS(TAB_Offres[[Reference]:[Has Expenses?]]),FALSE)=J$2,TAB_Offres[[#This Row],[Reference]],""),"")</f>
        <v/>
      </c>
      <c r="O936" t="str">
        <f>IF(Tableau19[[#This Row],[EXPENSES_REF]]="","",MAX(O$1:O935)+1)</f>
        <v/>
      </c>
      <c r="P936" t="str">
        <f t="shared" si="27"/>
        <v/>
      </c>
      <c r="AI936" s="191" t="str">
        <f>IFERROR(_xlfn.SINGLE(
IF(_xlfn.SINGLE(INDEX(TAB_Offres[Ressource 1],ROWS(Params!AI$2:$AI936)))=0,NA(),
INDEX(TAB_Offres[Ressource 1],ROWS(Params!AI$2:$AI936)))),
IFERROR(_xlfn.SINGLE(IF(_xlfn.SINGLE(INDEX(#REF!,ROWS(Params!AI$2:$AI936)-COUNTA(TAB_Offres[Ressource 1])))=0,NA(),
INDEX(#REF!,ROWS(Params!AI$2:$AI936)-COUNTA(TAB_Offres[Ressource 1])))),
IFERROR(_xlfn.SINGLE(IF(_xlfn.SINGLE(INDEX(#REF!,ROWS(Params!AI$2:$AI936)-COUNTA(#REF!)-COUNTA(TAB_Offres[Ressource 1])))=0,NA(),
INDEX(#REF!,ROWS(Params!AI$2:$AI936)-COUNTA(#REF!)-COUNTA(TAB_Offres[Ressource 1])))),""))
)</f>
        <v/>
      </c>
      <c r="AJ936" s="192" t="str">
        <f>IF(TAB_ressource[[#This Row],[Import Ressource]]="","",MAX(AJ$1:AJ935)+1)</f>
        <v/>
      </c>
      <c r="AK936" s="193" t="str">
        <f>IFERROR(INDEX(TAB_ressource[Import Ressource],MATCH(ROW()-ROW($AK$1),TAB_ressource[ID Import ressources],0)),"")</f>
        <v/>
      </c>
      <c r="BE936" t="s">
        <v>3246</v>
      </c>
      <c r="BF936" t="s">
        <v>3247</v>
      </c>
      <c r="BG936" t="s">
        <v>1133</v>
      </c>
    </row>
    <row r="937" spans="13:59" x14ac:dyDescent="0.25">
      <c r="M937" t="str">
        <f>_xlfn.IFNA(IF(VLOOKUP(TAB_Offres[[#This Row],[Reference]],TAB_Offres[[Reference]:[Request State]],COLUMNS(TAB_Offres[[Reference]:[Request State]]),FALSE)=D$6,TAB_Offres[[#This Row],[Reference]],""),"")</f>
        <v/>
      </c>
      <c r="N937" t="str">
        <f>_xlfn.IFNA(IF(VLOOKUP(TAB_Offres[[#This Row],[Reference]],TAB_Offres[[Reference]:[Has Expenses?]],COLUMNS(TAB_Offres[[Reference]:[Has Expenses?]]),FALSE)=J$2,TAB_Offres[[#This Row],[Reference]],""),"")</f>
        <v/>
      </c>
      <c r="O937" t="str">
        <f>IF(Tableau19[[#This Row],[EXPENSES_REF]]="","",MAX(O$1:O936)+1)</f>
        <v/>
      </c>
      <c r="P937" t="str">
        <f t="shared" si="27"/>
        <v/>
      </c>
      <c r="AI937" s="191" t="str">
        <f>IFERROR(_xlfn.SINGLE(
IF(_xlfn.SINGLE(INDEX(TAB_Offres[Ressource 1],ROWS(Params!AI$2:$AI937)))=0,NA(),
INDEX(TAB_Offres[Ressource 1],ROWS(Params!AI$2:$AI937)))),
IFERROR(_xlfn.SINGLE(IF(_xlfn.SINGLE(INDEX(#REF!,ROWS(Params!AI$2:$AI937)-COUNTA(TAB_Offres[Ressource 1])))=0,NA(),
INDEX(#REF!,ROWS(Params!AI$2:$AI937)-COUNTA(TAB_Offres[Ressource 1])))),
IFERROR(_xlfn.SINGLE(IF(_xlfn.SINGLE(INDEX(#REF!,ROWS(Params!AI$2:$AI937)-COUNTA(#REF!)-COUNTA(TAB_Offres[Ressource 1])))=0,NA(),
INDEX(#REF!,ROWS(Params!AI$2:$AI937)-COUNTA(#REF!)-COUNTA(TAB_Offres[Ressource 1])))),""))
)</f>
        <v/>
      </c>
      <c r="AJ937" s="192" t="str">
        <f>IF(TAB_ressource[[#This Row],[Import Ressource]]="","",MAX(AJ$1:AJ936)+1)</f>
        <v/>
      </c>
      <c r="AK937" s="193" t="str">
        <f>IFERROR(INDEX(TAB_ressource[Import Ressource],MATCH(ROW()-ROW($AK$1),TAB_ressource[ID Import ressources],0)),"")</f>
        <v/>
      </c>
      <c r="BE937" t="s">
        <v>3248</v>
      </c>
      <c r="BF937" t="s">
        <v>3249</v>
      </c>
      <c r="BG937" t="s">
        <v>1136</v>
      </c>
    </row>
    <row r="938" spans="13:59" x14ac:dyDescent="0.25">
      <c r="M938" t="str">
        <f>_xlfn.IFNA(IF(VLOOKUP(TAB_Offres[[#This Row],[Reference]],TAB_Offres[[Reference]:[Request State]],COLUMNS(TAB_Offres[[Reference]:[Request State]]),FALSE)=D$6,TAB_Offres[[#This Row],[Reference]],""),"")</f>
        <v/>
      </c>
      <c r="N938" t="str">
        <f>_xlfn.IFNA(IF(VLOOKUP(TAB_Offres[[#This Row],[Reference]],TAB_Offres[[Reference]:[Has Expenses?]],COLUMNS(TAB_Offres[[Reference]:[Has Expenses?]]),FALSE)=J$2,TAB_Offres[[#This Row],[Reference]],""),"")</f>
        <v/>
      </c>
      <c r="O938" t="str">
        <f>IF(Tableau19[[#This Row],[EXPENSES_REF]]="","",MAX(O$1:O937)+1)</f>
        <v/>
      </c>
      <c r="P938" t="str">
        <f t="shared" si="27"/>
        <v/>
      </c>
      <c r="AI938" s="191" t="str">
        <f>IFERROR(_xlfn.SINGLE(
IF(_xlfn.SINGLE(INDEX(TAB_Offres[Ressource 1],ROWS(Params!AI$2:$AI938)))=0,NA(),
INDEX(TAB_Offres[Ressource 1],ROWS(Params!AI$2:$AI938)))),
IFERROR(_xlfn.SINGLE(IF(_xlfn.SINGLE(INDEX(#REF!,ROWS(Params!AI$2:$AI938)-COUNTA(TAB_Offres[Ressource 1])))=0,NA(),
INDEX(#REF!,ROWS(Params!AI$2:$AI938)-COUNTA(TAB_Offres[Ressource 1])))),
IFERROR(_xlfn.SINGLE(IF(_xlfn.SINGLE(INDEX(#REF!,ROWS(Params!AI$2:$AI938)-COUNTA(#REF!)-COUNTA(TAB_Offres[Ressource 1])))=0,NA(),
INDEX(#REF!,ROWS(Params!AI$2:$AI938)-COUNTA(#REF!)-COUNTA(TAB_Offres[Ressource 1])))),""))
)</f>
        <v/>
      </c>
      <c r="AJ938" s="192" t="str">
        <f>IF(TAB_ressource[[#This Row],[Import Ressource]]="","",MAX(AJ$1:AJ937)+1)</f>
        <v/>
      </c>
      <c r="AK938" s="193" t="str">
        <f>IFERROR(INDEX(TAB_ressource[Import Ressource],MATCH(ROW()-ROW($AK$1),TAB_ressource[ID Import ressources],0)),"")</f>
        <v/>
      </c>
      <c r="BE938" t="s">
        <v>3250</v>
      </c>
      <c r="BF938" t="s">
        <v>3251</v>
      </c>
      <c r="BG938" t="s">
        <v>1139</v>
      </c>
    </row>
    <row r="939" spans="13:59" x14ac:dyDescent="0.25">
      <c r="M939" t="str">
        <f>_xlfn.IFNA(IF(VLOOKUP(TAB_Offres[[#This Row],[Reference]],TAB_Offres[[Reference]:[Request State]],COLUMNS(TAB_Offres[[Reference]:[Request State]]),FALSE)=D$6,TAB_Offres[[#This Row],[Reference]],""),"")</f>
        <v/>
      </c>
      <c r="N939" t="str">
        <f>_xlfn.IFNA(IF(VLOOKUP(TAB_Offres[[#This Row],[Reference]],TAB_Offres[[Reference]:[Has Expenses?]],COLUMNS(TAB_Offres[[Reference]:[Has Expenses?]]),FALSE)=J$2,TAB_Offres[[#This Row],[Reference]],""),"")</f>
        <v/>
      </c>
      <c r="O939" t="str">
        <f>IF(Tableau19[[#This Row],[EXPENSES_REF]]="","",MAX(O$1:O938)+1)</f>
        <v/>
      </c>
      <c r="P939" t="str">
        <f t="shared" si="27"/>
        <v/>
      </c>
      <c r="AI939" s="191" t="str">
        <f>IFERROR(_xlfn.SINGLE(
IF(_xlfn.SINGLE(INDEX(TAB_Offres[Ressource 1],ROWS(Params!AI$2:$AI939)))=0,NA(),
INDEX(TAB_Offres[Ressource 1],ROWS(Params!AI$2:$AI939)))),
IFERROR(_xlfn.SINGLE(IF(_xlfn.SINGLE(INDEX(#REF!,ROWS(Params!AI$2:$AI939)-COUNTA(TAB_Offres[Ressource 1])))=0,NA(),
INDEX(#REF!,ROWS(Params!AI$2:$AI939)-COUNTA(TAB_Offres[Ressource 1])))),
IFERROR(_xlfn.SINGLE(IF(_xlfn.SINGLE(INDEX(#REF!,ROWS(Params!AI$2:$AI939)-COUNTA(#REF!)-COUNTA(TAB_Offres[Ressource 1])))=0,NA(),
INDEX(#REF!,ROWS(Params!AI$2:$AI939)-COUNTA(#REF!)-COUNTA(TAB_Offres[Ressource 1])))),""))
)</f>
        <v/>
      </c>
      <c r="AJ939" s="192" t="str">
        <f>IF(TAB_ressource[[#This Row],[Import Ressource]]="","",MAX(AJ$1:AJ938)+1)</f>
        <v/>
      </c>
      <c r="AK939" s="193" t="str">
        <f>IFERROR(INDEX(TAB_ressource[Import Ressource],MATCH(ROW()-ROW($AK$1),TAB_ressource[ID Import ressources],0)),"")</f>
        <v/>
      </c>
      <c r="BE939" t="s">
        <v>3252</v>
      </c>
      <c r="BF939" t="s">
        <v>3253</v>
      </c>
      <c r="BG939" t="s">
        <v>1142</v>
      </c>
    </row>
    <row r="940" spans="13:59" x14ac:dyDescent="0.25">
      <c r="M940" t="str">
        <f>_xlfn.IFNA(IF(VLOOKUP(TAB_Offres[[#This Row],[Reference]],TAB_Offres[[Reference]:[Request State]],COLUMNS(TAB_Offres[[Reference]:[Request State]]),FALSE)=D$6,TAB_Offres[[#This Row],[Reference]],""),"")</f>
        <v/>
      </c>
      <c r="N940" t="str">
        <f>_xlfn.IFNA(IF(VLOOKUP(TAB_Offres[[#This Row],[Reference]],TAB_Offres[[Reference]:[Has Expenses?]],COLUMNS(TAB_Offres[[Reference]:[Has Expenses?]]),FALSE)=J$2,TAB_Offres[[#This Row],[Reference]],""),"")</f>
        <v/>
      </c>
      <c r="O940" t="str">
        <f>IF(Tableau19[[#This Row],[EXPENSES_REF]]="","",MAX(O$1:O939)+1)</f>
        <v/>
      </c>
      <c r="P940" t="str">
        <f t="shared" si="27"/>
        <v/>
      </c>
      <c r="AI940" s="191" t="str">
        <f>IFERROR(_xlfn.SINGLE(
IF(_xlfn.SINGLE(INDEX(TAB_Offres[Ressource 1],ROWS(Params!AI$2:$AI940)))=0,NA(),
INDEX(TAB_Offres[Ressource 1],ROWS(Params!AI$2:$AI940)))),
IFERROR(_xlfn.SINGLE(IF(_xlfn.SINGLE(INDEX(#REF!,ROWS(Params!AI$2:$AI940)-COUNTA(TAB_Offres[Ressource 1])))=0,NA(),
INDEX(#REF!,ROWS(Params!AI$2:$AI940)-COUNTA(TAB_Offres[Ressource 1])))),
IFERROR(_xlfn.SINGLE(IF(_xlfn.SINGLE(INDEX(#REF!,ROWS(Params!AI$2:$AI940)-COUNTA(#REF!)-COUNTA(TAB_Offres[Ressource 1])))=0,NA(),
INDEX(#REF!,ROWS(Params!AI$2:$AI940)-COUNTA(#REF!)-COUNTA(TAB_Offres[Ressource 1])))),""))
)</f>
        <v/>
      </c>
      <c r="AJ940" s="192" t="str">
        <f>IF(TAB_ressource[[#This Row],[Import Ressource]]="","",MAX(AJ$1:AJ939)+1)</f>
        <v/>
      </c>
      <c r="AK940" s="193" t="str">
        <f>IFERROR(INDEX(TAB_ressource[Import Ressource],MATCH(ROW()-ROW($AK$1),TAB_ressource[ID Import ressources],0)),"")</f>
        <v/>
      </c>
      <c r="BE940" t="s">
        <v>3254</v>
      </c>
      <c r="BF940" t="s">
        <v>3255</v>
      </c>
      <c r="BG940" t="s">
        <v>1145</v>
      </c>
    </row>
    <row r="941" spans="13:59" x14ac:dyDescent="0.25">
      <c r="M941" t="str">
        <f>_xlfn.IFNA(IF(VLOOKUP(TAB_Offres[[#This Row],[Reference]],TAB_Offres[[Reference]:[Request State]],COLUMNS(TAB_Offres[[Reference]:[Request State]]),FALSE)=D$6,TAB_Offres[[#This Row],[Reference]],""),"")</f>
        <v/>
      </c>
      <c r="N941" t="str">
        <f>_xlfn.IFNA(IF(VLOOKUP(TAB_Offres[[#This Row],[Reference]],TAB_Offres[[Reference]:[Has Expenses?]],COLUMNS(TAB_Offres[[Reference]:[Has Expenses?]]),FALSE)=J$2,TAB_Offres[[#This Row],[Reference]],""),"")</f>
        <v/>
      </c>
      <c r="O941" t="str">
        <f>IF(Tableau19[[#This Row],[EXPENSES_REF]]="","",MAX(O$1:O940)+1)</f>
        <v/>
      </c>
      <c r="P941" t="str">
        <f t="shared" si="27"/>
        <v/>
      </c>
      <c r="AI941" s="191" t="str">
        <f>IFERROR(_xlfn.SINGLE(
IF(_xlfn.SINGLE(INDEX(TAB_Offres[Ressource 1],ROWS(Params!AI$2:$AI941)))=0,NA(),
INDEX(TAB_Offres[Ressource 1],ROWS(Params!AI$2:$AI941)))),
IFERROR(_xlfn.SINGLE(IF(_xlfn.SINGLE(INDEX(#REF!,ROWS(Params!AI$2:$AI941)-COUNTA(TAB_Offres[Ressource 1])))=0,NA(),
INDEX(#REF!,ROWS(Params!AI$2:$AI941)-COUNTA(TAB_Offres[Ressource 1])))),
IFERROR(_xlfn.SINGLE(IF(_xlfn.SINGLE(INDEX(#REF!,ROWS(Params!AI$2:$AI941)-COUNTA(#REF!)-COUNTA(TAB_Offres[Ressource 1])))=0,NA(),
INDEX(#REF!,ROWS(Params!AI$2:$AI941)-COUNTA(#REF!)-COUNTA(TAB_Offres[Ressource 1])))),""))
)</f>
        <v/>
      </c>
      <c r="AJ941" s="192" t="str">
        <f>IF(TAB_ressource[[#This Row],[Import Ressource]]="","",MAX(AJ$1:AJ940)+1)</f>
        <v/>
      </c>
      <c r="AK941" s="193" t="str">
        <f>IFERROR(INDEX(TAB_ressource[Import Ressource],MATCH(ROW()-ROW($AK$1),TAB_ressource[ID Import ressources],0)),"")</f>
        <v/>
      </c>
      <c r="BE941" t="s">
        <v>3256</v>
      </c>
      <c r="BF941" t="s">
        <v>3257</v>
      </c>
      <c r="BG941" t="s">
        <v>1148</v>
      </c>
    </row>
    <row r="942" spans="13:59" x14ac:dyDescent="0.25">
      <c r="M942" t="str">
        <f>_xlfn.IFNA(IF(VLOOKUP(TAB_Offres[[#This Row],[Reference]],TAB_Offres[[Reference]:[Request State]],COLUMNS(TAB_Offres[[Reference]:[Request State]]),FALSE)=D$6,TAB_Offres[[#This Row],[Reference]],""),"")</f>
        <v/>
      </c>
      <c r="N942" t="str">
        <f>_xlfn.IFNA(IF(VLOOKUP(TAB_Offres[[#This Row],[Reference]],TAB_Offres[[Reference]:[Has Expenses?]],COLUMNS(TAB_Offres[[Reference]:[Has Expenses?]]),FALSE)=J$2,TAB_Offres[[#This Row],[Reference]],""),"")</f>
        <v/>
      </c>
      <c r="O942" t="str">
        <f>IF(Tableau19[[#This Row],[EXPENSES_REF]]="","",MAX(O$1:O941)+1)</f>
        <v/>
      </c>
      <c r="P942" t="str">
        <f t="shared" si="27"/>
        <v/>
      </c>
      <c r="AI942" s="191" t="str">
        <f>IFERROR(_xlfn.SINGLE(
IF(_xlfn.SINGLE(INDEX(TAB_Offres[Ressource 1],ROWS(Params!AI$2:$AI942)))=0,NA(),
INDEX(TAB_Offres[Ressource 1],ROWS(Params!AI$2:$AI942)))),
IFERROR(_xlfn.SINGLE(IF(_xlfn.SINGLE(INDEX(#REF!,ROWS(Params!AI$2:$AI942)-COUNTA(TAB_Offres[Ressource 1])))=0,NA(),
INDEX(#REF!,ROWS(Params!AI$2:$AI942)-COUNTA(TAB_Offres[Ressource 1])))),
IFERROR(_xlfn.SINGLE(IF(_xlfn.SINGLE(INDEX(#REF!,ROWS(Params!AI$2:$AI942)-COUNTA(#REF!)-COUNTA(TAB_Offres[Ressource 1])))=0,NA(),
INDEX(#REF!,ROWS(Params!AI$2:$AI942)-COUNTA(#REF!)-COUNTA(TAB_Offres[Ressource 1])))),""))
)</f>
        <v/>
      </c>
      <c r="AJ942" s="192" t="str">
        <f>IF(TAB_ressource[[#This Row],[Import Ressource]]="","",MAX(AJ$1:AJ941)+1)</f>
        <v/>
      </c>
      <c r="AK942" s="193" t="str">
        <f>IFERROR(INDEX(TAB_ressource[Import Ressource],MATCH(ROW()-ROW($AK$1),TAB_ressource[ID Import ressources],0)),"")</f>
        <v/>
      </c>
      <c r="BE942" t="s">
        <v>3258</v>
      </c>
      <c r="BF942" t="s">
        <v>3259</v>
      </c>
      <c r="BG942" t="s">
        <v>1151</v>
      </c>
    </row>
    <row r="943" spans="13:59" x14ac:dyDescent="0.25">
      <c r="M943" t="str">
        <f>_xlfn.IFNA(IF(VLOOKUP(TAB_Offres[[#This Row],[Reference]],TAB_Offres[[Reference]:[Request State]],COLUMNS(TAB_Offres[[Reference]:[Request State]]),FALSE)=D$6,TAB_Offres[[#This Row],[Reference]],""),"")</f>
        <v/>
      </c>
      <c r="N943" t="str">
        <f>_xlfn.IFNA(IF(VLOOKUP(TAB_Offres[[#This Row],[Reference]],TAB_Offres[[Reference]:[Has Expenses?]],COLUMNS(TAB_Offres[[Reference]:[Has Expenses?]]),FALSE)=J$2,TAB_Offres[[#This Row],[Reference]],""),"")</f>
        <v/>
      </c>
      <c r="O943" t="str">
        <f>IF(Tableau19[[#This Row],[EXPENSES_REF]]="","",MAX(O$1:O942)+1)</f>
        <v/>
      </c>
      <c r="P943" t="str">
        <f t="shared" si="27"/>
        <v/>
      </c>
      <c r="AI943" s="191" t="str">
        <f>IFERROR(_xlfn.SINGLE(
IF(_xlfn.SINGLE(INDEX(TAB_Offres[Ressource 1],ROWS(Params!AI$2:$AI943)))=0,NA(),
INDEX(TAB_Offres[Ressource 1],ROWS(Params!AI$2:$AI943)))),
IFERROR(_xlfn.SINGLE(IF(_xlfn.SINGLE(INDEX(#REF!,ROWS(Params!AI$2:$AI943)-COUNTA(TAB_Offres[Ressource 1])))=0,NA(),
INDEX(#REF!,ROWS(Params!AI$2:$AI943)-COUNTA(TAB_Offres[Ressource 1])))),
IFERROR(_xlfn.SINGLE(IF(_xlfn.SINGLE(INDEX(#REF!,ROWS(Params!AI$2:$AI943)-COUNTA(#REF!)-COUNTA(TAB_Offres[Ressource 1])))=0,NA(),
INDEX(#REF!,ROWS(Params!AI$2:$AI943)-COUNTA(#REF!)-COUNTA(TAB_Offres[Ressource 1])))),""))
)</f>
        <v/>
      </c>
      <c r="AJ943" s="192" t="str">
        <f>IF(TAB_ressource[[#This Row],[Import Ressource]]="","",MAX(AJ$1:AJ942)+1)</f>
        <v/>
      </c>
      <c r="AK943" s="193" t="str">
        <f>IFERROR(INDEX(TAB_ressource[Import Ressource],MATCH(ROW()-ROW($AK$1),TAB_ressource[ID Import ressources],0)),"")</f>
        <v/>
      </c>
      <c r="BE943" t="s">
        <v>3260</v>
      </c>
      <c r="BF943" t="s">
        <v>3261</v>
      </c>
      <c r="BG943" t="s">
        <v>1154</v>
      </c>
    </row>
    <row r="944" spans="13:59" x14ac:dyDescent="0.25">
      <c r="M944" t="str">
        <f>_xlfn.IFNA(IF(VLOOKUP(TAB_Offres[[#This Row],[Reference]],TAB_Offres[[Reference]:[Request State]],COLUMNS(TAB_Offres[[Reference]:[Request State]]),FALSE)=D$6,TAB_Offres[[#This Row],[Reference]],""),"")</f>
        <v/>
      </c>
      <c r="N944" t="str">
        <f>_xlfn.IFNA(IF(VLOOKUP(TAB_Offres[[#This Row],[Reference]],TAB_Offres[[Reference]:[Has Expenses?]],COLUMNS(TAB_Offres[[Reference]:[Has Expenses?]]),FALSE)=J$2,TAB_Offres[[#This Row],[Reference]],""),"")</f>
        <v/>
      </c>
      <c r="O944" t="str">
        <f>IF(Tableau19[[#This Row],[EXPENSES_REF]]="","",MAX(O$1:O943)+1)</f>
        <v/>
      </c>
      <c r="P944" t="str">
        <f t="shared" si="27"/>
        <v/>
      </c>
      <c r="AI944" s="191" t="str">
        <f>IFERROR(_xlfn.SINGLE(
IF(_xlfn.SINGLE(INDEX(TAB_Offres[Ressource 1],ROWS(Params!AI$2:$AI944)))=0,NA(),
INDEX(TAB_Offres[Ressource 1],ROWS(Params!AI$2:$AI944)))),
IFERROR(_xlfn.SINGLE(IF(_xlfn.SINGLE(INDEX(#REF!,ROWS(Params!AI$2:$AI944)-COUNTA(TAB_Offres[Ressource 1])))=0,NA(),
INDEX(#REF!,ROWS(Params!AI$2:$AI944)-COUNTA(TAB_Offres[Ressource 1])))),
IFERROR(_xlfn.SINGLE(IF(_xlfn.SINGLE(INDEX(#REF!,ROWS(Params!AI$2:$AI944)-COUNTA(#REF!)-COUNTA(TAB_Offres[Ressource 1])))=0,NA(),
INDEX(#REF!,ROWS(Params!AI$2:$AI944)-COUNTA(#REF!)-COUNTA(TAB_Offres[Ressource 1])))),""))
)</f>
        <v/>
      </c>
      <c r="AJ944" s="192" t="str">
        <f>IF(TAB_ressource[[#This Row],[Import Ressource]]="","",MAX(AJ$1:AJ943)+1)</f>
        <v/>
      </c>
      <c r="AK944" s="193" t="str">
        <f>IFERROR(INDEX(TAB_ressource[Import Ressource],MATCH(ROW()-ROW($AK$1),TAB_ressource[ID Import ressources],0)),"")</f>
        <v/>
      </c>
      <c r="BE944" t="s">
        <v>3262</v>
      </c>
      <c r="BF944" t="s">
        <v>3263</v>
      </c>
      <c r="BG944" t="s">
        <v>1157</v>
      </c>
    </row>
    <row r="945" spans="13:59" x14ac:dyDescent="0.25">
      <c r="M945" t="str">
        <f>_xlfn.IFNA(IF(VLOOKUP(TAB_Offres[[#This Row],[Reference]],TAB_Offres[[Reference]:[Request State]],COLUMNS(TAB_Offres[[Reference]:[Request State]]),FALSE)=D$6,TAB_Offres[[#This Row],[Reference]],""),"")</f>
        <v/>
      </c>
      <c r="N945" t="str">
        <f>_xlfn.IFNA(IF(VLOOKUP(TAB_Offres[[#This Row],[Reference]],TAB_Offres[[Reference]:[Has Expenses?]],COLUMNS(TAB_Offres[[Reference]:[Has Expenses?]]),FALSE)=J$2,TAB_Offres[[#This Row],[Reference]],""),"")</f>
        <v/>
      </c>
      <c r="O945" t="str">
        <f>IF(Tableau19[[#This Row],[EXPENSES_REF]]="","",MAX(O$1:O944)+1)</f>
        <v/>
      </c>
      <c r="P945" t="str">
        <f t="shared" si="27"/>
        <v/>
      </c>
      <c r="AI945" s="191" t="str">
        <f>IFERROR(_xlfn.SINGLE(
IF(_xlfn.SINGLE(INDEX(TAB_Offres[Ressource 1],ROWS(Params!AI$2:$AI945)))=0,NA(),
INDEX(TAB_Offres[Ressource 1],ROWS(Params!AI$2:$AI945)))),
IFERROR(_xlfn.SINGLE(IF(_xlfn.SINGLE(INDEX(#REF!,ROWS(Params!AI$2:$AI945)-COUNTA(TAB_Offres[Ressource 1])))=0,NA(),
INDEX(#REF!,ROWS(Params!AI$2:$AI945)-COUNTA(TAB_Offres[Ressource 1])))),
IFERROR(_xlfn.SINGLE(IF(_xlfn.SINGLE(INDEX(#REF!,ROWS(Params!AI$2:$AI945)-COUNTA(#REF!)-COUNTA(TAB_Offres[Ressource 1])))=0,NA(),
INDEX(#REF!,ROWS(Params!AI$2:$AI945)-COUNTA(#REF!)-COUNTA(TAB_Offres[Ressource 1])))),""))
)</f>
        <v/>
      </c>
      <c r="AJ945" s="192" t="str">
        <f>IF(TAB_ressource[[#This Row],[Import Ressource]]="","",MAX(AJ$1:AJ944)+1)</f>
        <v/>
      </c>
      <c r="AK945" s="193" t="str">
        <f>IFERROR(INDEX(TAB_ressource[Import Ressource],MATCH(ROW()-ROW($AK$1),TAB_ressource[ID Import ressources],0)),"")</f>
        <v/>
      </c>
      <c r="BE945" t="s">
        <v>3264</v>
      </c>
      <c r="BF945" t="s">
        <v>3265</v>
      </c>
      <c r="BG945" t="s">
        <v>1160</v>
      </c>
    </row>
    <row r="946" spans="13:59" x14ac:dyDescent="0.25">
      <c r="M946" t="str">
        <f>_xlfn.IFNA(IF(VLOOKUP(TAB_Offres[[#This Row],[Reference]],TAB_Offres[[Reference]:[Request State]],COLUMNS(TAB_Offres[[Reference]:[Request State]]),FALSE)=D$6,TAB_Offres[[#This Row],[Reference]],""),"")</f>
        <v/>
      </c>
      <c r="N946" t="str">
        <f>_xlfn.IFNA(IF(VLOOKUP(TAB_Offres[[#This Row],[Reference]],TAB_Offres[[Reference]:[Has Expenses?]],COLUMNS(TAB_Offres[[Reference]:[Has Expenses?]]),FALSE)=J$2,TAB_Offres[[#This Row],[Reference]],""),"")</f>
        <v/>
      </c>
      <c r="O946" t="str">
        <f>IF(Tableau19[[#This Row],[EXPENSES_REF]]="","",MAX(O$1:O945)+1)</f>
        <v/>
      </c>
      <c r="P946" t="str">
        <f t="shared" si="27"/>
        <v/>
      </c>
      <c r="AI946" s="191" t="str">
        <f>IFERROR(_xlfn.SINGLE(
IF(_xlfn.SINGLE(INDEX(TAB_Offres[Ressource 1],ROWS(Params!AI$2:$AI946)))=0,NA(),
INDEX(TAB_Offres[Ressource 1],ROWS(Params!AI$2:$AI946)))),
IFERROR(_xlfn.SINGLE(IF(_xlfn.SINGLE(INDEX(#REF!,ROWS(Params!AI$2:$AI946)-COUNTA(TAB_Offres[Ressource 1])))=0,NA(),
INDEX(#REF!,ROWS(Params!AI$2:$AI946)-COUNTA(TAB_Offres[Ressource 1])))),
IFERROR(_xlfn.SINGLE(IF(_xlfn.SINGLE(INDEX(#REF!,ROWS(Params!AI$2:$AI946)-COUNTA(#REF!)-COUNTA(TAB_Offres[Ressource 1])))=0,NA(),
INDEX(#REF!,ROWS(Params!AI$2:$AI946)-COUNTA(#REF!)-COUNTA(TAB_Offres[Ressource 1])))),""))
)</f>
        <v/>
      </c>
      <c r="AJ946" s="192" t="str">
        <f>IF(TAB_ressource[[#This Row],[Import Ressource]]="","",MAX(AJ$1:AJ945)+1)</f>
        <v/>
      </c>
      <c r="AK946" s="193" t="str">
        <f>IFERROR(INDEX(TAB_ressource[Import Ressource],MATCH(ROW()-ROW($AK$1),TAB_ressource[ID Import ressources],0)),"")</f>
        <v/>
      </c>
      <c r="BE946" t="s">
        <v>3266</v>
      </c>
      <c r="BF946" t="s">
        <v>3267</v>
      </c>
      <c r="BG946" t="s">
        <v>1163</v>
      </c>
    </row>
    <row r="947" spans="13:59" x14ac:dyDescent="0.25">
      <c r="M947" t="str">
        <f>_xlfn.IFNA(IF(VLOOKUP(TAB_Offres[[#This Row],[Reference]],TAB_Offres[[Reference]:[Request State]],COLUMNS(TAB_Offres[[Reference]:[Request State]]),FALSE)=D$6,TAB_Offres[[#This Row],[Reference]],""),"")</f>
        <v/>
      </c>
      <c r="N947" t="str">
        <f>_xlfn.IFNA(IF(VLOOKUP(TAB_Offres[[#This Row],[Reference]],TAB_Offres[[Reference]:[Has Expenses?]],COLUMNS(TAB_Offres[[Reference]:[Has Expenses?]]),FALSE)=J$2,TAB_Offres[[#This Row],[Reference]],""),"")</f>
        <v/>
      </c>
      <c r="O947" t="str">
        <f>IF(Tableau19[[#This Row],[EXPENSES_REF]]="","",MAX(O$1:O946)+1)</f>
        <v/>
      </c>
      <c r="P947" t="str">
        <f t="shared" si="27"/>
        <v/>
      </c>
      <c r="AI947" s="191" t="str">
        <f>IFERROR(_xlfn.SINGLE(
IF(_xlfn.SINGLE(INDEX(TAB_Offres[Ressource 1],ROWS(Params!AI$2:$AI947)))=0,NA(),
INDEX(TAB_Offres[Ressource 1],ROWS(Params!AI$2:$AI947)))),
IFERROR(_xlfn.SINGLE(IF(_xlfn.SINGLE(INDEX(#REF!,ROWS(Params!AI$2:$AI947)-COUNTA(TAB_Offres[Ressource 1])))=0,NA(),
INDEX(#REF!,ROWS(Params!AI$2:$AI947)-COUNTA(TAB_Offres[Ressource 1])))),
IFERROR(_xlfn.SINGLE(IF(_xlfn.SINGLE(INDEX(#REF!,ROWS(Params!AI$2:$AI947)-COUNTA(#REF!)-COUNTA(TAB_Offres[Ressource 1])))=0,NA(),
INDEX(#REF!,ROWS(Params!AI$2:$AI947)-COUNTA(#REF!)-COUNTA(TAB_Offres[Ressource 1])))),""))
)</f>
        <v/>
      </c>
      <c r="AJ947" s="192" t="str">
        <f>IF(TAB_ressource[[#This Row],[Import Ressource]]="","",MAX(AJ$1:AJ946)+1)</f>
        <v/>
      </c>
      <c r="AK947" s="193" t="str">
        <f>IFERROR(INDEX(TAB_ressource[Import Ressource],MATCH(ROW()-ROW($AK$1),TAB_ressource[ID Import ressources],0)),"")</f>
        <v/>
      </c>
      <c r="BE947" t="s">
        <v>3268</v>
      </c>
      <c r="BF947" t="s">
        <v>3269</v>
      </c>
      <c r="BG947" t="s">
        <v>1166</v>
      </c>
    </row>
    <row r="948" spans="13:59" x14ac:dyDescent="0.25">
      <c r="M948" t="str">
        <f>_xlfn.IFNA(IF(VLOOKUP(TAB_Offres[[#This Row],[Reference]],TAB_Offres[[Reference]:[Request State]],COLUMNS(TAB_Offres[[Reference]:[Request State]]),FALSE)=D$6,TAB_Offres[[#This Row],[Reference]],""),"")</f>
        <v/>
      </c>
      <c r="N948" t="str">
        <f>_xlfn.IFNA(IF(VLOOKUP(TAB_Offres[[#This Row],[Reference]],TAB_Offres[[Reference]:[Has Expenses?]],COLUMNS(TAB_Offres[[Reference]:[Has Expenses?]]),FALSE)=J$2,TAB_Offres[[#This Row],[Reference]],""),"")</f>
        <v/>
      </c>
      <c r="O948" t="str">
        <f>IF(Tableau19[[#This Row],[EXPENSES_REF]]="","",MAX(O$1:O947)+1)</f>
        <v/>
      </c>
      <c r="P948" t="str">
        <f t="shared" si="27"/>
        <v/>
      </c>
      <c r="AI948" s="191" t="str">
        <f>IFERROR(_xlfn.SINGLE(
IF(_xlfn.SINGLE(INDEX(TAB_Offres[Ressource 1],ROWS(Params!AI$2:$AI948)))=0,NA(),
INDEX(TAB_Offres[Ressource 1],ROWS(Params!AI$2:$AI948)))),
IFERROR(_xlfn.SINGLE(IF(_xlfn.SINGLE(INDEX(#REF!,ROWS(Params!AI$2:$AI948)-COUNTA(TAB_Offres[Ressource 1])))=0,NA(),
INDEX(#REF!,ROWS(Params!AI$2:$AI948)-COUNTA(TAB_Offres[Ressource 1])))),
IFERROR(_xlfn.SINGLE(IF(_xlfn.SINGLE(INDEX(#REF!,ROWS(Params!AI$2:$AI948)-COUNTA(#REF!)-COUNTA(TAB_Offres[Ressource 1])))=0,NA(),
INDEX(#REF!,ROWS(Params!AI$2:$AI948)-COUNTA(#REF!)-COUNTA(TAB_Offres[Ressource 1])))),""))
)</f>
        <v/>
      </c>
      <c r="AJ948" s="192" t="str">
        <f>IF(TAB_ressource[[#This Row],[Import Ressource]]="","",MAX(AJ$1:AJ947)+1)</f>
        <v/>
      </c>
      <c r="AK948" s="193" t="str">
        <f>IFERROR(INDEX(TAB_ressource[Import Ressource],MATCH(ROW()-ROW($AK$1),TAB_ressource[ID Import ressources],0)),"")</f>
        <v/>
      </c>
      <c r="BE948" t="s">
        <v>3270</v>
      </c>
      <c r="BF948" t="s">
        <v>3271</v>
      </c>
      <c r="BG948" t="s">
        <v>1169</v>
      </c>
    </row>
    <row r="949" spans="13:59" x14ac:dyDescent="0.25">
      <c r="M949" t="str">
        <f>_xlfn.IFNA(IF(VLOOKUP(TAB_Offres[[#This Row],[Reference]],TAB_Offres[[Reference]:[Request State]],COLUMNS(TAB_Offres[[Reference]:[Request State]]),FALSE)=D$6,TAB_Offres[[#This Row],[Reference]],""),"")</f>
        <v/>
      </c>
      <c r="N949" t="str">
        <f>_xlfn.IFNA(IF(VLOOKUP(TAB_Offres[[#This Row],[Reference]],TAB_Offres[[Reference]:[Has Expenses?]],COLUMNS(TAB_Offres[[Reference]:[Has Expenses?]]),FALSE)=J$2,TAB_Offres[[#This Row],[Reference]],""),"")</f>
        <v/>
      </c>
      <c r="O949" t="str">
        <f>IF(Tableau19[[#This Row],[EXPENSES_REF]]="","",MAX(O$1:O948)+1)</f>
        <v/>
      </c>
      <c r="P949" t="str">
        <f t="shared" si="27"/>
        <v/>
      </c>
      <c r="AI949" s="191" t="str">
        <f>IFERROR(_xlfn.SINGLE(
IF(_xlfn.SINGLE(INDEX(TAB_Offres[Ressource 1],ROWS(Params!AI$2:$AI949)))=0,NA(),
INDEX(TAB_Offres[Ressource 1],ROWS(Params!AI$2:$AI949)))),
IFERROR(_xlfn.SINGLE(IF(_xlfn.SINGLE(INDEX(#REF!,ROWS(Params!AI$2:$AI949)-COUNTA(TAB_Offres[Ressource 1])))=0,NA(),
INDEX(#REF!,ROWS(Params!AI$2:$AI949)-COUNTA(TAB_Offres[Ressource 1])))),
IFERROR(_xlfn.SINGLE(IF(_xlfn.SINGLE(INDEX(#REF!,ROWS(Params!AI$2:$AI949)-COUNTA(#REF!)-COUNTA(TAB_Offres[Ressource 1])))=0,NA(),
INDEX(#REF!,ROWS(Params!AI$2:$AI949)-COUNTA(#REF!)-COUNTA(TAB_Offres[Ressource 1])))),""))
)</f>
        <v/>
      </c>
      <c r="AJ949" s="192" t="str">
        <f>IF(TAB_ressource[[#This Row],[Import Ressource]]="","",MAX(AJ$1:AJ948)+1)</f>
        <v/>
      </c>
      <c r="AK949" s="193" t="str">
        <f>IFERROR(INDEX(TAB_ressource[Import Ressource],MATCH(ROW()-ROW($AK$1),TAB_ressource[ID Import ressources],0)),"")</f>
        <v/>
      </c>
      <c r="BE949" t="s">
        <v>3272</v>
      </c>
      <c r="BF949" t="s">
        <v>3273</v>
      </c>
      <c r="BG949" t="s">
        <v>1172</v>
      </c>
    </row>
    <row r="950" spans="13:59" x14ac:dyDescent="0.25">
      <c r="M950" t="str">
        <f>_xlfn.IFNA(IF(VLOOKUP(TAB_Offres[[#This Row],[Reference]],TAB_Offres[[Reference]:[Request State]],COLUMNS(TAB_Offres[[Reference]:[Request State]]),FALSE)=D$6,TAB_Offres[[#This Row],[Reference]],""),"")</f>
        <v/>
      </c>
      <c r="N950" t="str">
        <f>_xlfn.IFNA(IF(VLOOKUP(TAB_Offres[[#This Row],[Reference]],TAB_Offres[[Reference]:[Has Expenses?]],COLUMNS(TAB_Offres[[Reference]:[Has Expenses?]]),FALSE)=J$2,TAB_Offres[[#This Row],[Reference]],""),"")</f>
        <v/>
      </c>
      <c r="O950" t="str">
        <f>IF(Tableau19[[#This Row],[EXPENSES_REF]]="","",MAX(O$1:O949)+1)</f>
        <v/>
      </c>
      <c r="P950" t="str">
        <f t="shared" si="27"/>
        <v/>
      </c>
      <c r="AI950" s="191" t="str">
        <f>IFERROR(_xlfn.SINGLE(
IF(_xlfn.SINGLE(INDEX(TAB_Offres[Ressource 1],ROWS(Params!AI$2:$AI950)))=0,NA(),
INDEX(TAB_Offres[Ressource 1],ROWS(Params!AI$2:$AI950)))),
IFERROR(_xlfn.SINGLE(IF(_xlfn.SINGLE(INDEX(#REF!,ROWS(Params!AI$2:$AI950)-COUNTA(TAB_Offres[Ressource 1])))=0,NA(),
INDEX(#REF!,ROWS(Params!AI$2:$AI950)-COUNTA(TAB_Offres[Ressource 1])))),
IFERROR(_xlfn.SINGLE(IF(_xlfn.SINGLE(INDEX(#REF!,ROWS(Params!AI$2:$AI950)-COUNTA(#REF!)-COUNTA(TAB_Offres[Ressource 1])))=0,NA(),
INDEX(#REF!,ROWS(Params!AI$2:$AI950)-COUNTA(#REF!)-COUNTA(TAB_Offres[Ressource 1])))),""))
)</f>
        <v/>
      </c>
      <c r="AJ950" s="192" t="str">
        <f>IF(TAB_ressource[[#This Row],[Import Ressource]]="","",MAX(AJ$1:AJ949)+1)</f>
        <v/>
      </c>
      <c r="AK950" s="193" t="str">
        <f>IFERROR(INDEX(TAB_ressource[Import Ressource],MATCH(ROW()-ROW($AK$1),TAB_ressource[ID Import ressources],0)),"")</f>
        <v/>
      </c>
      <c r="BE950" t="s">
        <v>3274</v>
      </c>
      <c r="BF950" t="s">
        <v>3275</v>
      </c>
      <c r="BG950" t="s">
        <v>1175</v>
      </c>
    </row>
    <row r="951" spans="13:59" x14ac:dyDescent="0.25">
      <c r="M951" t="str">
        <f>_xlfn.IFNA(IF(VLOOKUP(TAB_Offres[[#This Row],[Reference]],TAB_Offres[[Reference]:[Request State]],COLUMNS(TAB_Offres[[Reference]:[Request State]]),FALSE)=D$6,TAB_Offres[[#This Row],[Reference]],""),"")</f>
        <v/>
      </c>
      <c r="N951" t="str">
        <f>_xlfn.IFNA(IF(VLOOKUP(TAB_Offres[[#This Row],[Reference]],TAB_Offres[[Reference]:[Has Expenses?]],COLUMNS(TAB_Offres[[Reference]:[Has Expenses?]]),FALSE)=J$2,TAB_Offres[[#This Row],[Reference]],""),"")</f>
        <v/>
      </c>
      <c r="O951" t="str">
        <f>IF(Tableau19[[#This Row],[EXPENSES_REF]]="","",MAX(O$1:O950)+1)</f>
        <v/>
      </c>
      <c r="P951" t="str">
        <f t="shared" si="27"/>
        <v/>
      </c>
      <c r="AI951" s="191" t="str">
        <f>IFERROR(_xlfn.SINGLE(
IF(_xlfn.SINGLE(INDEX(TAB_Offres[Ressource 1],ROWS(Params!AI$2:$AI951)))=0,NA(),
INDEX(TAB_Offres[Ressource 1],ROWS(Params!AI$2:$AI951)))),
IFERROR(_xlfn.SINGLE(IF(_xlfn.SINGLE(INDEX(#REF!,ROWS(Params!AI$2:$AI951)-COUNTA(TAB_Offres[Ressource 1])))=0,NA(),
INDEX(#REF!,ROWS(Params!AI$2:$AI951)-COUNTA(TAB_Offres[Ressource 1])))),
IFERROR(_xlfn.SINGLE(IF(_xlfn.SINGLE(INDEX(#REF!,ROWS(Params!AI$2:$AI951)-COUNTA(#REF!)-COUNTA(TAB_Offres[Ressource 1])))=0,NA(),
INDEX(#REF!,ROWS(Params!AI$2:$AI951)-COUNTA(#REF!)-COUNTA(TAB_Offres[Ressource 1])))),""))
)</f>
        <v/>
      </c>
      <c r="AJ951" s="192" t="str">
        <f>IF(TAB_ressource[[#This Row],[Import Ressource]]="","",MAX(AJ$1:AJ950)+1)</f>
        <v/>
      </c>
      <c r="AK951" s="193" t="str">
        <f>IFERROR(INDEX(TAB_ressource[Import Ressource],MATCH(ROW()-ROW($AK$1),TAB_ressource[ID Import ressources],0)),"")</f>
        <v/>
      </c>
      <c r="BE951" t="s">
        <v>3276</v>
      </c>
      <c r="BF951" t="s">
        <v>3277</v>
      </c>
      <c r="BG951" t="s">
        <v>1178</v>
      </c>
    </row>
    <row r="952" spans="13:59" x14ac:dyDescent="0.25">
      <c r="M952" t="str">
        <f>_xlfn.IFNA(IF(VLOOKUP(TAB_Offres[[#This Row],[Reference]],TAB_Offres[[Reference]:[Request State]],COLUMNS(TAB_Offres[[Reference]:[Request State]]),FALSE)=D$6,TAB_Offres[[#This Row],[Reference]],""),"")</f>
        <v/>
      </c>
      <c r="N952" t="str">
        <f>_xlfn.IFNA(IF(VLOOKUP(TAB_Offres[[#This Row],[Reference]],TAB_Offres[[Reference]:[Has Expenses?]],COLUMNS(TAB_Offres[[Reference]:[Has Expenses?]]),FALSE)=J$2,TAB_Offres[[#This Row],[Reference]],""),"")</f>
        <v/>
      </c>
      <c r="O952" t="str">
        <f>IF(Tableau19[[#This Row],[EXPENSES_REF]]="","",MAX(O$1:O951)+1)</f>
        <v/>
      </c>
      <c r="P952" t="str">
        <f t="shared" si="27"/>
        <v/>
      </c>
      <c r="AI952" s="191" t="str">
        <f>IFERROR(_xlfn.SINGLE(
IF(_xlfn.SINGLE(INDEX(TAB_Offres[Ressource 1],ROWS(Params!AI$2:$AI952)))=0,NA(),
INDEX(TAB_Offres[Ressource 1],ROWS(Params!AI$2:$AI952)))),
IFERROR(_xlfn.SINGLE(IF(_xlfn.SINGLE(INDEX(#REF!,ROWS(Params!AI$2:$AI952)-COUNTA(TAB_Offres[Ressource 1])))=0,NA(),
INDEX(#REF!,ROWS(Params!AI$2:$AI952)-COUNTA(TAB_Offres[Ressource 1])))),
IFERROR(_xlfn.SINGLE(IF(_xlfn.SINGLE(INDEX(#REF!,ROWS(Params!AI$2:$AI952)-COUNTA(#REF!)-COUNTA(TAB_Offres[Ressource 1])))=0,NA(),
INDEX(#REF!,ROWS(Params!AI$2:$AI952)-COUNTA(#REF!)-COUNTA(TAB_Offres[Ressource 1])))),""))
)</f>
        <v/>
      </c>
      <c r="AJ952" s="192" t="str">
        <f>IF(TAB_ressource[[#This Row],[Import Ressource]]="","",MAX(AJ$1:AJ951)+1)</f>
        <v/>
      </c>
      <c r="AK952" s="193" t="str">
        <f>IFERROR(INDEX(TAB_ressource[Import Ressource],MATCH(ROW()-ROW($AK$1),TAB_ressource[ID Import ressources],0)),"")</f>
        <v/>
      </c>
      <c r="BE952" t="s">
        <v>3278</v>
      </c>
      <c r="BF952" t="s">
        <v>3279</v>
      </c>
      <c r="BG952" t="s">
        <v>1181</v>
      </c>
    </row>
    <row r="953" spans="13:59" x14ac:dyDescent="0.25">
      <c r="M953" t="str">
        <f>_xlfn.IFNA(IF(VLOOKUP(TAB_Offres[[#This Row],[Reference]],TAB_Offres[[Reference]:[Request State]],COLUMNS(TAB_Offres[[Reference]:[Request State]]),FALSE)=D$6,TAB_Offres[[#This Row],[Reference]],""),"")</f>
        <v/>
      </c>
      <c r="N953" t="str">
        <f>_xlfn.IFNA(IF(VLOOKUP(TAB_Offres[[#This Row],[Reference]],TAB_Offres[[Reference]:[Has Expenses?]],COLUMNS(TAB_Offres[[Reference]:[Has Expenses?]]),FALSE)=J$2,TAB_Offres[[#This Row],[Reference]],""),"")</f>
        <v/>
      </c>
      <c r="O953" t="str">
        <f>IF(Tableau19[[#This Row],[EXPENSES_REF]]="","",MAX(O$1:O952)+1)</f>
        <v/>
      </c>
      <c r="P953" t="str">
        <f t="shared" si="27"/>
        <v/>
      </c>
      <c r="AI953" s="191" t="str">
        <f>IFERROR(_xlfn.SINGLE(
IF(_xlfn.SINGLE(INDEX(TAB_Offres[Ressource 1],ROWS(Params!AI$2:$AI953)))=0,NA(),
INDEX(TAB_Offres[Ressource 1],ROWS(Params!AI$2:$AI953)))),
IFERROR(_xlfn.SINGLE(IF(_xlfn.SINGLE(INDEX(#REF!,ROWS(Params!AI$2:$AI953)-COUNTA(TAB_Offres[Ressource 1])))=0,NA(),
INDEX(#REF!,ROWS(Params!AI$2:$AI953)-COUNTA(TAB_Offres[Ressource 1])))),
IFERROR(_xlfn.SINGLE(IF(_xlfn.SINGLE(INDEX(#REF!,ROWS(Params!AI$2:$AI953)-COUNTA(#REF!)-COUNTA(TAB_Offres[Ressource 1])))=0,NA(),
INDEX(#REF!,ROWS(Params!AI$2:$AI953)-COUNTA(#REF!)-COUNTA(TAB_Offres[Ressource 1])))),""))
)</f>
        <v/>
      </c>
      <c r="AJ953" s="192" t="str">
        <f>IF(TAB_ressource[[#This Row],[Import Ressource]]="","",MAX(AJ$1:AJ952)+1)</f>
        <v/>
      </c>
      <c r="AK953" s="193" t="str">
        <f>IFERROR(INDEX(TAB_ressource[Import Ressource],MATCH(ROW()-ROW($AK$1),TAB_ressource[ID Import ressources],0)),"")</f>
        <v/>
      </c>
      <c r="BE953" t="s">
        <v>3280</v>
      </c>
      <c r="BF953" t="s">
        <v>3281</v>
      </c>
      <c r="BG953" t="s">
        <v>1184</v>
      </c>
    </row>
    <row r="954" spans="13:59" x14ac:dyDescent="0.25">
      <c r="M954" t="str">
        <f>_xlfn.IFNA(IF(VLOOKUP(TAB_Offres[[#This Row],[Reference]],TAB_Offres[[Reference]:[Request State]],COLUMNS(TAB_Offres[[Reference]:[Request State]]),FALSE)=D$6,TAB_Offres[[#This Row],[Reference]],""),"")</f>
        <v/>
      </c>
      <c r="N954" t="str">
        <f>_xlfn.IFNA(IF(VLOOKUP(TAB_Offres[[#This Row],[Reference]],TAB_Offres[[Reference]:[Has Expenses?]],COLUMNS(TAB_Offres[[Reference]:[Has Expenses?]]),FALSE)=J$2,TAB_Offres[[#This Row],[Reference]],""),"")</f>
        <v/>
      </c>
      <c r="O954" t="str">
        <f>IF(Tableau19[[#This Row],[EXPENSES_REF]]="","",MAX(O$1:O953)+1)</f>
        <v/>
      </c>
      <c r="P954" t="str">
        <f t="shared" si="27"/>
        <v/>
      </c>
      <c r="AI954" s="191" t="str">
        <f>IFERROR(_xlfn.SINGLE(
IF(_xlfn.SINGLE(INDEX(TAB_Offres[Ressource 1],ROWS(Params!AI$2:$AI954)))=0,NA(),
INDEX(TAB_Offres[Ressource 1],ROWS(Params!AI$2:$AI954)))),
IFERROR(_xlfn.SINGLE(IF(_xlfn.SINGLE(INDEX(#REF!,ROWS(Params!AI$2:$AI954)-COUNTA(TAB_Offres[Ressource 1])))=0,NA(),
INDEX(#REF!,ROWS(Params!AI$2:$AI954)-COUNTA(TAB_Offres[Ressource 1])))),
IFERROR(_xlfn.SINGLE(IF(_xlfn.SINGLE(INDEX(#REF!,ROWS(Params!AI$2:$AI954)-COUNTA(#REF!)-COUNTA(TAB_Offres[Ressource 1])))=0,NA(),
INDEX(#REF!,ROWS(Params!AI$2:$AI954)-COUNTA(#REF!)-COUNTA(TAB_Offres[Ressource 1])))),""))
)</f>
        <v/>
      </c>
      <c r="AJ954" s="192" t="str">
        <f>IF(TAB_ressource[[#This Row],[Import Ressource]]="","",MAX(AJ$1:AJ953)+1)</f>
        <v/>
      </c>
      <c r="AK954" s="193" t="str">
        <f>IFERROR(INDEX(TAB_ressource[Import Ressource],MATCH(ROW()-ROW($AK$1),TAB_ressource[ID Import ressources],0)),"")</f>
        <v/>
      </c>
      <c r="BE954" t="s">
        <v>3282</v>
      </c>
      <c r="BF954" t="s">
        <v>3283</v>
      </c>
      <c r="BG954" t="s">
        <v>1187</v>
      </c>
    </row>
    <row r="955" spans="13:59" x14ac:dyDescent="0.25">
      <c r="M955" t="str">
        <f>_xlfn.IFNA(IF(VLOOKUP(TAB_Offres[[#This Row],[Reference]],TAB_Offres[[Reference]:[Request State]],COLUMNS(TAB_Offres[[Reference]:[Request State]]),FALSE)=D$6,TAB_Offres[[#This Row],[Reference]],""),"")</f>
        <v/>
      </c>
      <c r="N955" t="str">
        <f>_xlfn.IFNA(IF(VLOOKUP(TAB_Offres[[#This Row],[Reference]],TAB_Offres[[Reference]:[Has Expenses?]],COLUMNS(TAB_Offres[[Reference]:[Has Expenses?]]),FALSE)=J$2,TAB_Offres[[#This Row],[Reference]],""),"")</f>
        <v/>
      </c>
      <c r="O955" t="str">
        <f>IF(Tableau19[[#This Row],[EXPENSES_REF]]="","",MAX(O$1:O954)+1)</f>
        <v/>
      </c>
      <c r="P955" t="str">
        <f t="shared" si="27"/>
        <v/>
      </c>
      <c r="AI955" s="191" t="str">
        <f>IFERROR(_xlfn.SINGLE(
IF(_xlfn.SINGLE(INDEX(TAB_Offres[Ressource 1],ROWS(Params!AI$2:$AI955)))=0,NA(),
INDEX(TAB_Offres[Ressource 1],ROWS(Params!AI$2:$AI955)))),
IFERROR(_xlfn.SINGLE(IF(_xlfn.SINGLE(INDEX(#REF!,ROWS(Params!AI$2:$AI955)-COUNTA(TAB_Offres[Ressource 1])))=0,NA(),
INDEX(#REF!,ROWS(Params!AI$2:$AI955)-COUNTA(TAB_Offres[Ressource 1])))),
IFERROR(_xlfn.SINGLE(IF(_xlfn.SINGLE(INDEX(#REF!,ROWS(Params!AI$2:$AI955)-COUNTA(#REF!)-COUNTA(TAB_Offres[Ressource 1])))=0,NA(),
INDEX(#REF!,ROWS(Params!AI$2:$AI955)-COUNTA(#REF!)-COUNTA(TAB_Offres[Ressource 1])))),""))
)</f>
        <v/>
      </c>
      <c r="AJ955" s="192" t="str">
        <f>IF(TAB_ressource[[#This Row],[Import Ressource]]="","",MAX(AJ$1:AJ954)+1)</f>
        <v/>
      </c>
      <c r="AK955" s="193" t="str">
        <f>IFERROR(INDEX(TAB_ressource[Import Ressource],MATCH(ROW()-ROW($AK$1),TAB_ressource[ID Import ressources],0)),"")</f>
        <v/>
      </c>
      <c r="BE955" t="s">
        <v>3284</v>
      </c>
      <c r="BF955" t="s">
        <v>3285</v>
      </c>
      <c r="BG955" t="s">
        <v>1190</v>
      </c>
    </row>
    <row r="956" spans="13:59" x14ac:dyDescent="0.25">
      <c r="M956" t="str">
        <f>_xlfn.IFNA(IF(VLOOKUP(TAB_Offres[[#This Row],[Reference]],TAB_Offres[[Reference]:[Request State]],COLUMNS(TAB_Offres[[Reference]:[Request State]]),FALSE)=D$6,TAB_Offres[[#This Row],[Reference]],""),"")</f>
        <v/>
      </c>
      <c r="N956" t="str">
        <f>_xlfn.IFNA(IF(VLOOKUP(TAB_Offres[[#This Row],[Reference]],TAB_Offres[[Reference]:[Has Expenses?]],COLUMNS(TAB_Offres[[Reference]:[Has Expenses?]]),FALSE)=J$2,TAB_Offres[[#This Row],[Reference]],""),"")</f>
        <v/>
      </c>
      <c r="O956" t="str">
        <f>IF(Tableau19[[#This Row],[EXPENSES_REF]]="","",MAX(O$1:O955)+1)</f>
        <v/>
      </c>
      <c r="P956" t="str">
        <f t="shared" si="27"/>
        <v/>
      </c>
      <c r="AI956" s="191" t="str">
        <f>IFERROR(_xlfn.SINGLE(
IF(_xlfn.SINGLE(INDEX(TAB_Offres[Ressource 1],ROWS(Params!AI$2:$AI956)))=0,NA(),
INDEX(TAB_Offres[Ressource 1],ROWS(Params!AI$2:$AI956)))),
IFERROR(_xlfn.SINGLE(IF(_xlfn.SINGLE(INDEX(#REF!,ROWS(Params!AI$2:$AI956)-COUNTA(TAB_Offres[Ressource 1])))=0,NA(),
INDEX(#REF!,ROWS(Params!AI$2:$AI956)-COUNTA(TAB_Offres[Ressource 1])))),
IFERROR(_xlfn.SINGLE(IF(_xlfn.SINGLE(INDEX(#REF!,ROWS(Params!AI$2:$AI956)-COUNTA(#REF!)-COUNTA(TAB_Offres[Ressource 1])))=0,NA(),
INDEX(#REF!,ROWS(Params!AI$2:$AI956)-COUNTA(#REF!)-COUNTA(TAB_Offres[Ressource 1])))),""))
)</f>
        <v/>
      </c>
      <c r="AJ956" s="192" t="str">
        <f>IF(TAB_ressource[[#This Row],[Import Ressource]]="","",MAX(AJ$1:AJ955)+1)</f>
        <v/>
      </c>
      <c r="AK956" s="193" t="str">
        <f>IFERROR(INDEX(TAB_ressource[Import Ressource],MATCH(ROW()-ROW($AK$1),TAB_ressource[ID Import ressources],0)),"")</f>
        <v/>
      </c>
      <c r="BE956" t="s">
        <v>3286</v>
      </c>
      <c r="BF956" t="s">
        <v>3287</v>
      </c>
      <c r="BG956" t="s">
        <v>1193</v>
      </c>
    </row>
    <row r="957" spans="13:59" x14ac:dyDescent="0.25">
      <c r="M957" t="str">
        <f>_xlfn.IFNA(IF(VLOOKUP(TAB_Offres[[#This Row],[Reference]],TAB_Offres[[Reference]:[Request State]],COLUMNS(TAB_Offres[[Reference]:[Request State]]),FALSE)=D$6,TAB_Offres[[#This Row],[Reference]],""),"")</f>
        <v/>
      </c>
      <c r="N957" t="str">
        <f>_xlfn.IFNA(IF(VLOOKUP(TAB_Offres[[#This Row],[Reference]],TAB_Offres[[Reference]:[Has Expenses?]],COLUMNS(TAB_Offres[[Reference]:[Has Expenses?]]),FALSE)=J$2,TAB_Offres[[#This Row],[Reference]],""),"")</f>
        <v/>
      </c>
      <c r="O957" t="str">
        <f>IF(Tableau19[[#This Row],[EXPENSES_REF]]="","",MAX(O$1:O956)+1)</f>
        <v/>
      </c>
      <c r="P957" t="str">
        <f t="shared" si="27"/>
        <v/>
      </c>
      <c r="AI957" s="191" t="str">
        <f>IFERROR(_xlfn.SINGLE(
IF(_xlfn.SINGLE(INDEX(TAB_Offres[Ressource 1],ROWS(Params!AI$2:$AI957)))=0,NA(),
INDEX(TAB_Offres[Ressource 1],ROWS(Params!AI$2:$AI957)))),
IFERROR(_xlfn.SINGLE(IF(_xlfn.SINGLE(INDEX(#REF!,ROWS(Params!AI$2:$AI957)-COUNTA(TAB_Offres[Ressource 1])))=0,NA(),
INDEX(#REF!,ROWS(Params!AI$2:$AI957)-COUNTA(TAB_Offres[Ressource 1])))),
IFERROR(_xlfn.SINGLE(IF(_xlfn.SINGLE(INDEX(#REF!,ROWS(Params!AI$2:$AI957)-COUNTA(#REF!)-COUNTA(TAB_Offres[Ressource 1])))=0,NA(),
INDEX(#REF!,ROWS(Params!AI$2:$AI957)-COUNTA(#REF!)-COUNTA(TAB_Offres[Ressource 1])))),""))
)</f>
        <v/>
      </c>
      <c r="AJ957" s="192" t="str">
        <f>IF(TAB_ressource[[#This Row],[Import Ressource]]="","",MAX(AJ$1:AJ956)+1)</f>
        <v/>
      </c>
      <c r="AK957" s="193" t="str">
        <f>IFERROR(INDEX(TAB_ressource[Import Ressource],MATCH(ROW()-ROW($AK$1),TAB_ressource[ID Import ressources],0)),"")</f>
        <v/>
      </c>
      <c r="BE957" t="s">
        <v>3288</v>
      </c>
      <c r="BF957" t="s">
        <v>3289</v>
      </c>
      <c r="BG957" t="s">
        <v>1196</v>
      </c>
    </row>
    <row r="958" spans="13:59" x14ac:dyDescent="0.25">
      <c r="M958" t="str">
        <f>_xlfn.IFNA(IF(VLOOKUP(TAB_Offres[[#This Row],[Reference]],TAB_Offres[[Reference]:[Request State]],COLUMNS(TAB_Offres[[Reference]:[Request State]]),FALSE)=D$6,TAB_Offres[[#This Row],[Reference]],""),"")</f>
        <v/>
      </c>
      <c r="N958" t="str">
        <f>_xlfn.IFNA(IF(VLOOKUP(TAB_Offres[[#This Row],[Reference]],TAB_Offres[[Reference]:[Has Expenses?]],COLUMNS(TAB_Offres[[Reference]:[Has Expenses?]]),FALSE)=J$2,TAB_Offres[[#This Row],[Reference]],""),"")</f>
        <v/>
      </c>
      <c r="O958" t="str">
        <f>IF(Tableau19[[#This Row],[EXPENSES_REF]]="","",MAX(O$1:O957)+1)</f>
        <v/>
      </c>
      <c r="P958" t="str">
        <f t="shared" si="27"/>
        <v/>
      </c>
      <c r="AI958" s="191" t="str">
        <f>IFERROR(_xlfn.SINGLE(
IF(_xlfn.SINGLE(INDEX(TAB_Offres[Ressource 1],ROWS(Params!AI$2:$AI958)))=0,NA(),
INDEX(TAB_Offres[Ressource 1],ROWS(Params!AI$2:$AI958)))),
IFERROR(_xlfn.SINGLE(IF(_xlfn.SINGLE(INDEX(#REF!,ROWS(Params!AI$2:$AI958)-COUNTA(TAB_Offres[Ressource 1])))=0,NA(),
INDEX(#REF!,ROWS(Params!AI$2:$AI958)-COUNTA(TAB_Offres[Ressource 1])))),
IFERROR(_xlfn.SINGLE(IF(_xlfn.SINGLE(INDEX(#REF!,ROWS(Params!AI$2:$AI958)-COUNTA(#REF!)-COUNTA(TAB_Offres[Ressource 1])))=0,NA(),
INDEX(#REF!,ROWS(Params!AI$2:$AI958)-COUNTA(#REF!)-COUNTA(TAB_Offres[Ressource 1])))),""))
)</f>
        <v/>
      </c>
      <c r="AJ958" s="192" t="str">
        <f>IF(TAB_ressource[[#This Row],[Import Ressource]]="","",MAX(AJ$1:AJ957)+1)</f>
        <v/>
      </c>
      <c r="AK958" s="193" t="str">
        <f>IFERROR(INDEX(TAB_ressource[Import Ressource],MATCH(ROW()-ROW($AK$1),TAB_ressource[ID Import ressources],0)),"")</f>
        <v/>
      </c>
      <c r="BE958" t="s">
        <v>3290</v>
      </c>
      <c r="BF958" t="s">
        <v>3291</v>
      </c>
      <c r="BG958" t="s">
        <v>1199</v>
      </c>
    </row>
    <row r="959" spans="13:59" x14ac:dyDescent="0.25">
      <c r="M959" t="str">
        <f>_xlfn.IFNA(IF(VLOOKUP(TAB_Offres[[#This Row],[Reference]],TAB_Offres[[Reference]:[Request State]],COLUMNS(TAB_Offres[[Reference]:[Request State]]),FALSE)=D$6,TAB_Offres[[#This Row],[Reference]],""),"")</f>
        <v/>
      </c>
      <c r="N959" t="str">
        <f>_xlfn.IFNA(IF(VLOOKUP(TAB_Offres[[#This Row],[Reference]],TAB_Offres[[Reference]:[Has Expenses?]],COLUMNS(TAB_Offres[[Reference]:[Has Expenses?]]),FALSE)=J$2,TAB_Offres[[#This Row],[Reference]],""),"")</f>
        <v/>
      </c>
      <c r="O959" t="str">
        <f>IF(Tableau19[[#This Row],[EXPENSES_REF]]="","",MAX(O$1:O958)+1)</f>
        <v/>
      </c>
      <c r="P959" t="str">
        <f t="shared" si="27"/>
        <v/>
      </c>
      <c r="AI959" s="191" t="str">
        <f>IFERROR(_xlfn.SINGLE(
IF(_xlfn.SINGLE(INDEX(TAB_Offres[Ressource 1],ROWS(Params!AI$2:$AI959)))=0,NA(),
INDEX(TAB_Offres[Ressource 1],ROWS(Params!AI$2:$AI959)))),
IFERROR(_xlfn.SINGLE(IF(_xlfn.SINGLE(INDEX(#REF!,ROWS(Params!AI$2:$AI959)-COUNTA(TAB_Offres[Ressource 1])))=0,NA(),
INDEX(#REF!,ROWS(Params!AI$2:$AI959)-COUNTA(TAB_Offres[Ressource 1])))),
IFERROR(_xlfn.SINGLE(IF(_xlfn.SINGLE(INDEX(#REF!,ROWS(Params!AI$2:$AI959)-COUNTA(#REF!)-COUNTA(TAB_Offres[Ressource 1])))=0,NA(),
INDEX(#REF!,ROWS(Params!AI$2:$AI959)-COUNTA(#REF!)-COUNTA(TAB_Offres[Ressource 1])))),""))
)</f>
        <v/>
      </c>
      <c r="AJ959" s="192" t="str">
        <f>IF(TAB_ressource[[#This Row],[Import Ressource]]="","",MAX(AJ$1:AJ958)+1)</f>
        <v/>
      </c>
      <c r="AK959" s="193" t="str">
        <f>IFERROR(INDEX(TAB_ressource[Import Ressource],MATCH(ROW()-ROW($AK$1),TAB_ressource[ID Import ressources],0)),"")</f>
        <v/>
      </c>
      <c r="BE959" t="s">
        <v>3292</v>
      </c>
      <c r="BF959" t="s">
        <v>3293</v>
      </c>
      <c r="BG959" t="s">
        <v>1202</v>
      </c>
    </row>
    <row r="960" spans="13:59" x14ac:dyDescent="0.25">
      <c r="M960" t="str">
        <f>_xlfn.IFNA(IF(VLOOKUP(TAB_Offres[[#This Row],[Reference]],TAB_Offres[[Reference]:[Request State]],COLUMNS(TAB_Offres[[Reference]:[Request State]]),FALSE)=D$6,TAB_Offres[[#This Row],[Reference]],""),"")</f>
        <v/>
      </c>
      <c r="N960" t="str">
        <f>_xlfn.IFNA(IF(VLOOKUP(TAB_Offres[[#This Row],[Reference]],TAB_Offres[[Reference]:[Has Expenses?]],COLUMNS(TAB_Offres[[Reference]:[Has Expenses?]]),FALSE)=J$2,TAB_Offres[[#This Row],[Reference]],""),"")</f>
        <v/>
      </c>
      <c r="O960" t="str">
        <f>IF(Tableau19[[#This Row],[EXPENSES_REF]]="","",MAX(O$1:O959)+1)</f>
        <v/>
      </c>
      <c r="P960" t="str">
        <f t="shared" si="27"/>
        <v/>
      </c>
      <c r="AI960" s="191" t="str">
        <f>IFERROR(_xlfn.SINGLE(
IF(_xlfn.SINGLE(INDEX(TAB_Offres[Ressource 1],ROWS(Params!AI$2:$AI960)))=0,NA(),
INDEX(TAB_Offres[Ressource 1],ROWS(Params!AI$2:$AI960)))),
IFERROR(_xlfn.SINGLE(IF(_xlfn.SINGLE(INDEX(#REF!,ROWS(Params!AI$2:$AI960)-COUNTA(TAB_Offres[Ressource 1])))=0,NA(),
INDEX(#REF!,ROWS(Params!AI$2:$AI960)-COUNTA(TAB_Offres[Ressource 1])))),
IFERROR(_xlfn.SINGLE(IF(_xlfn.SINGLE(INDEX(#REF!,ROWS(Params!AI$2:$AI960)-COUNTA(#REF!)-COUNTA(TAB_Offres[Ressource 1])))=0,NA(),
INDEX(#REF!,ROWS(Params!AI$2:$AI960)-COUNTA(#REF!)-COUNTA(TAB_Offres[Ressource 1])))),""))
)</f>
        <v/>
      </c>
      <c r="AJ960" s="192" t="str">
        <f>IF(TAB_ressource[[#This Row],[Import Ressource]]="","",MAX(AJ$1:AJ959)+1)</f>
        <v/>
      </c>
      <c r="AK960" s="193" t="str">
        <f>IFERROR(INDEX(TAB_ressource[Import Ressource],MATCH(ROW()-ROW($AK$1),TAB_ressource[ID Import ressources],0)),"")</f>
        <v/>
      </c>
      <c r="BE960" t="s">
        <v>3294</v>
      </c>
      <c r="BF960" t="s">
        <v>3295</v>
      </c>
      <c r="BG960" t="s">
        <v>1205</v>
      </c>
    </row>
    <row r="961" spans="13:59" x14ac:dyDescent="0.25">
      <c r="M961" t="str">
        <f>_xlfn.IFNA(IF(VLOOKUP(TAB_Offres[[#This Row],[Reference]],TAB_Offres[[Reference]:[Request State]],COLUMNS(TAB_Offres[[Reference]:[Request State]]),FALSE)=D$6,TAB_Offres[[#This Row],[Reference]],""),"")</f>
        <v/>
      </c>
      <c r="N961" t="str">
        <f>_xlfn.IFNA(IF(VLOOKUP(TAB_Offres[[#This Row],[Reference]],TAB_Offres[[Reference]:[Has Expenses?]],COLUMNS(TAB_Offres[[Reference]:[Has Expenses?]]),FALSE)=J$2,TAB_Offres[[#This Row],[Reference]],""),"")</f>
        <v/>
      </c>
      <c r="O961" t="str">
        <f>IF(Tableau19[[#This Row],[EXPENSES_REF]]="","",MAX(O$1:O960)+1)</f>
        <v/>
      </c>
      <c r="P961" t="str">
        <f t="shared" si="27"/>
        <v/>
      </c>
      <c r="AI961" s="191" t="str">
        <f>IFERROR(_xlfn.SINGLE(
IF(_xlfn.SINGLE(INDEX(TAB_Offres[Ressource 1],ROWS(Params!AI$2:$AI961)))=0,NA(),
INDEX(TAB_Offres[Ressource 1],ROWS(Params!AI$2:$AI961)))),
IFERROR(_xlfn.SINGLE(IF(_xlfn.SINGLE(INDEX(#REF!,ROWS(Params!AI$2:$AI961)-COUNTA(TAB_Offres[Ressource 1])))=0,NA(),
INDEX(#REF!,ROWS(Params!AI$2:$AI961)-COUNTA(TAB_Offres[Ressource 1])))),
IFERROR(_xlfn.SINGLE(IF(_xlfn.SINGLE(INDEX(#REF!,ROWS(Params!AI$2:$AI961)-COUNTA(#REF!)-COUNTA(TAB_Offres[Ressource 1])))=0,NA(),
INDEX(#REF!,ROWS(Params!AI$2:$AI961)-COUNTA(#REF!)-COUNTA(TAB_Offres[Ressource 1])))),""))
)</f>
        <v/>
      </c>
      <c r="AJ961" s="192" t="str">
        <f>IF(TAB_ressource[[#This Row],[Import Ressource]]="","",MAX(AJ$1:AJ960)+1)</f>
        <v/>
      </c>
      <c r="AK961" s="193" t="str">
        <f>IFERROR(INDEX(TAB_ressource[Import Ressource],MATCH(ROW()-ROW($AK$1),TAB_ressource[ID Import ressources],0)),"")</f>
        <v/>
      </c>
      <c r="BE961" t="s">
        <v>3296</v>
      </c>
      <c r="BF961" t="s">
        <v>3297</v>
      </c>
      <c r="BG961" t="s">
        <v>1208</v>
      </c>
    </row>
    <row r="962" spans="13:59" x14ac:dyDescent="0.25">
      <c r="M962" t="str">
        <f>_xlfn.IFNA(IF(VLOOKUP(TAB_Offres[[#This Row],[Reference]],TAB_Offres[[Reference]:[Request State]],COLUMNS(TAB_Offres[[Reference]:[Request State]]),FALSE)=D$6,TAB_Offres[[#This Row],[Reference]],""),"")</f>
        <v/>
      </c>
      <c r="N962" t="str">
        <f>_xlfn.IFNA(IF(VLOOKUP(TAB_Offres[[#This Row],[Reference]],TAB_Offres[[Reference]:[Has Expenses?]],COLUMNS(TAB_Offres[[Reference]:[Has Expenses?]]),FALSE)=J$2,TAB_Offres[[#This Row],[Reference]],""),"")</f>
        <v/>
      </c>
      <c r="O962" t="str">
        <f>IF(Tableau19[[#This Row],[EXPENSES_REF]]="","",MAX(O$1:O961)+1)</f>
        <v/>
      </c>
      <c r="P962" t="str">
        <f t="shared" ref="P962:P1001" si="28">IFERROR(INDEX($N$2:$N$1001,MATCH(ROW()-ROW($P$1),$O$2:$O$1001,0)),"")</f>
        <v/>
      </c>
      <c r="AI962" s="191" t="str">
        <f>IFERROR(_xlfn.SINGLE(
IF(_xlfn.SINGLE(INDEX(TAB_Offres[Ressource 1],ROWS(Params!AI$2:$AI962)))=0,NA(),
INDEX(TAB_Offres[Ressource 1],ROWS(Params!AI$2:$AI962)))),
IFERROR(_xlfn.SINGLE(IF(_xlfn.SINGLE(INDEX(#REF!,ROWS(Params!AI$2:$AI962)-COUNTA(TAB_Offres[Ressource 1])))=0,NA(),
INDEX(#REF!,ROWS(Params!AI$2:$AI962)-COUNTA(TAB_Offres[Ressource 1])))),
IFERROR(_xlfn.SINGLE(IF(_xlfn.SINGLE(INDEX(#REF!,ROWS(Params!AI$2:$AI962)-COUNTA(#REF!)-COUNTA(TAB_Offres[Ressource 1])))=0,NA(),
INDEX(#REF!,ROWS(Params!AI$2:$AI962)-COUNTA(#REF!)-COUNTA(TAB_Offres[Ressource 1])))),""))
)</f>
        <v/>
      </c>
      <c r="AJ962" s="192" t="str">
        <f>IF(TAB_ressource[[#This Row],[Import Ressource]]="","",MAX(AJ$1:AJ961)+1)</f>
        <v/>
      </c>
      <c r="AK962" s="193" t="str">
        <f>IFERROR(INDEX(TAB_ressource[Import Ressource],MATCH(ROW()-ROW($AK$1),TAB_ressource[ID Import ressources],0)),"")</f>
        <v/>
      </c>
      <c r="BE962" t="s">
        <v>3298</v>
      </c>
      <c r="BF962" t="s">
        <v>3299</v>
      </c>
      <c r="BG962" t="s">
        <v>1211</v>
      </c>
    </row>
    <row r="963" spans="13:59" x14ac:dyDescent="0.25">
      <c r="M963" t="str">
        <f>_xlfn.IFNA(IF(VLOOKUP(TAB_Offres[[#This Row],[Reference]],TAB_Offres[[Reference]:[Request State]],COLUMNS(TAB_Offres[[Reference]:[Request State]]),FALSE)=D$6,TAB_Offres[[#This Row],[Reference]],""),"")</f>
        <v/>
      </c>
      <c r="N963" t="str">
        <f>_xlfn.IFNA(IF(VLOOKUP(TAB_Offres[[#This Row],[Reference]],TAB_Offres[[Reference]:[Has Expenses?]],COLUMNS(TAB_Offres[[Reference]:[Has Expenses?]]),FALSE)=J$2,TAB_Offres[[#This Row],[Reference]],""),"")</f>
        <v/>
      </c>
      <c r="O963" t="str">
        <f>IF(Tableau19[[#This Row],[EXPENSES_REF]]="","",MAX(O$1:O962)+1)</f>
        <v/>
      </c>
      <c r="P963" t="str">
        <f t="shared" si="28"/>
        <v/>
      </c>
      <c r="AI963" s="191" t="str">
        <f>IFERROR(_xlfn.SINGLE(
IF(_xlfn.SINGLE(INDEX(TAB_Offres[Ressource 1],ROWS(Params!AI$2:$AI963)))=0,NA(),
INDEX(TAB_Offres[Ressource 1],ROWS(Params!AI$2:$AI963)))),
IFERROR(_xlfn.SINGLE(IF(_xlfn.SINGLE(INDEX(#REF!,ROWS(Params!AI$2:$AI963)-COUNTA(TAB_Offres[Ressource 1])))=0,NA(),
INDEX(#REF!,ROWS(Params!AI$2:$AI963)-COUNTA(TAB_Offres[Ressource 1])))),
IFERROR(_xlfn.SINGLE(IF(_xlfn.SINGLE(INDEX(#REF!,ROWS(Params!AI$2:$AI963)-COUNTA(#REF!)-COUNTA(TAB_Offres[Ressource 1])))=0,NA(),
INDEX(#REF!,ROWS(Params!AI$2:$AI963)-COUNTA(#REF!)-COUNTA(TAB_Offres[Ressource 1])))),""))
)</f>
        <v/>
      </c>
      <c r="AJ963" s="192" t="str">
        <f>IF(TAB_ressource[[#This Row],[Import Ressource]]="","",MAX(AJ$1:AJ962)+1)</f>
        <v/>
      </c>
      <c r="AK963" s="193" t="str">
        <f>IFERROR(INDEX(TAB_ressource[Import Ressource],MATCH(ROW()-ROW($AK$1),TAB_ressource[ID Import ressources],0)),"")</f>
        <v/>
      </c>
      <c r="BE963" t="s">
        <v>3300</v>
      </c>
      <c r="BF963" t="s">
        <v>3301</v>
      </c>
      <c r="BG963" t="s">
        <v>1214</v>
      </c>
    </row>
    <row r="964" spans="13:59" x14ac:dyDescent="0.25">
      <c r="M964" t="str">
        <f>_xlfn.IFNA(IF(VLOOKUP(TAB_Offres[[#This Row],[Reference]],TAB_Offres[[Reference]:[Request State]],COLUMNS(TAB_Offres[[Reference]:[Request State]]),FALSE)=D$6,TAB_Offres[[#This Row],[Reference]],""),"")</f>
        <v/>
      </c>
      <c r="N964" t="str">
        <f>_xlfn.IFNA(IF(VLOOKUP(TAB_Offres[[#This Row],[Reference]],TAB_Offres[[Reference]:[Has Expenses?]],COLUMNS(TAB_Offres[[Reference]:[Has Expenses?]]),FALSE)=J$2,TAB_Offres[[#This Row],[Reference]],""),"")</f>
        <v/>
      </c>
      <c r="O964" t="str">
        <f>IF(Tableau19[[#This Row],[EXPENSES_REF]]="","",MAX(O$1:O963)+1)</f>
        <v/>
      </c>
      <c r="P964" t="str">
        <f t="shared" si="28"/>
        <v/>
      </c>
      <c r="AI964" s="191" t="str">
        <f>IFERROR(_xlfn.SINGLE(
IF(_xlfn.SINGLE(INDEX(TAB_Offres[Ressource 1],ROWS(Params!AI$2:$AI964)))=0,NA(),
INDEX(TAB_Offres[Ressource 1],ROWS(Params!AI$2:$AI964)))),
IFERROR(_xlfn.SINGLE(IF(_xlfn.SINGLE(INDEX(#REF!,ROWS(Params!AI$2:$AI964)-COUNTA(TAB_Offres[Ressource 1])))=0,NA(),
INDEX(#REF!,ROWS(Params!AI$2:$AI964)-COUNTA(TAB_Offres[Ressource 1])))),
IFERROR(_xlfn.SINGLE(IF(_xlfn.SINGLE(INDEX(#REF!,ROWS(Params!AI$2:$AI964)-COUNTA(#REF!)-COUNTA(TAB_Offres[Ressource 1])))=0,NA(),
INDEX(#REF!,ROWS(Params!AI$2:$AI964)-COUNTA(#REF!)-COUNTA(TAB_Offres[Ressource 1])))),""))
)</f>
        <v/>
      </c>
      <c r="AJ964" s="192" t="str">
        <f>IF(TAB_ressource[[#This Row],[Import Ressource]]="","",MAX(AJ$1:AJ963)+1)</f>
        <v/>
      </c>
      <c r="AK964" s="193" t="str">
        <f>IFERROR(INDEX(TAB_ressource[Import Ressource],MATCH(ROW()-ROW($AK$1),TAB_ressource[ID Import ressources],0)),"")</f>
        <v/>
      </c>
      <c r="BE964" t="s">
        <v>3302</v>
      </c>
      <c r="BF964" t="s">
        <v>3303</v>
      </c>
      <c r="BG964" t="s">
        <v>1217</v>
      </c>
    </row>
    <row r="965" spans="13:59" x14ac:dyDescent="0.25">
      <c r="M965" t="str">
        <f>_xlfn.IFNA(IF(VLOOKUP(TAB_Offres[[#This Row],[Reference]],TAB_Offres[[Reference]:[Request State]],COLUMNS(TAB_Offres[[Reference]:[Request State]]),FALSE)=D$6,TAB_Offres[[#This Row],[Reference]],""),"")</f>
        <v/>
      </c>
      <c r="N965" t="str">
        <f>_xlfn.IFNA(IF(VLOOKUP(TAB_Offres[[#This Row],[Reference]],TAB_Offres[[Reference]:[Has Expenses?]],COLUMNS(TAB_Offres[[Reference]:[Has Expenses?]]),FALSE)=J$2,TAB_Offres[[#This Row],[Reference]],""),"")</f>
        <v/>
      </c>
      <c r="O965" t="str">
        <f>IF(Tableau19[[#This Row],[EXPENSES_REF]]="","",MAX(O$1:O964)+1)</f>
        <v/>
      </c>
      <c r="P965" t="str">
        <f t="shared" si="28"/>
        <v/>
      </c>
      <c r="AI965" s="191" t="str">
        <f>IFERROR(_xlfn.SINGLE(
IF(_xlfn.SINGLE(INDEX(TAB_Offres[Ressource 1],ROWS(Params!AI$2:$AI965)))=0,NA(),
INDEX(TAB_Offres[Ressource 1],ROWS(Params!AI$2:$AI965)))),
IFERROR(_xlfn.SINGLE(IF(_xlfn.SINGLE(INDEX(#REF!,ROWS(Params!AI$2:$AI965)-COUNTA(TAB_Offres[Ressource 1])))=0,NA(),
INDEX(#REF!,ROWS(Params!AI$2:$AI965)-COUNTA(TAB_Offres[Ressource 1])))),
IFERROR(_xlfn.SINGLE(IF(_xlfn.SINGLE(INDEX(#REF!,ROWS(Params!AI$2:$AI965)-COUNTA(#REF!)-COUNTA(TAB_Offres[Ressource 1])))=0,NA(),
INDEX(#REF!,ROWS(Params!AI$2:$AI965)-COUNTA(#REF!)-COUNTA(TAB_Offres[Ressource 1])))),""))
)</f>
        <v/>
      </c>
      <c r="AJ965" s="192" t="str">
        <f>IF(TAB_ressource[[#This Row],[Import Ressource]]="","",MAX(AJ$1:AJ964)+1)</f>
        <v/>
      </c>
      <c r="AK965" s="193" t="str">
        <f>IFERROR(INDEX(TAB_ressource[Import Ressource],MATCH(ROW()-ROW($AK$1),TAB_ressource[ID Import ressources],0)),"")</f>
        <v/>
      </c>
      <c r="BE965" t="s">
        <v>3304</v>
      </c>
      <c r="BF965" t="s">
        <v>3305</v>
      </c>
      <c r="BG965" t="s">
        <v>1220</v>
      </c>
    </row>
    <row r="966" spans="13:59" x14ac:dyDescent="0.25">
      <c r="M966" t="str">
        <f>_xlfn.IFNA(IF(VLOOKUP(TAB_Offres[[#This Row],[Reference]],TAB_Offres[[Reference]:[Request State]],COLUMNS(TAB_Offres[[Reference]:[Request State]]),FALSE)=D$6,TAB_Offres[[#This Row],[Reference]],""),"")</f>
        <v/>
      </c>
      <c r="N966" t="str">
        <f>_xlfn.IFNA(IF(VLOOKUP(TAB_Offres[[#This Row],[Reference]],TAB_Offres[[Reference]:[Has Expenses?]],COLUMNS(TAB_Offres[[Reference]:[Has Expenses?]]),FALSE)=J$2,TAB_Offres[[#This Row],[Reference]],""),"")</f>
        <v/>
      </c>
      <c r="O966" t="str">
        <f>IF(Tableau19[[#This Row],[EXPENSES_REF]]="","",MAX(O$1:O965)+1)</f>
        <v/>
      </c>
      <c r="P966" t="str">
        <f t="shared" si="28"/>
        <v/>
      </c>
      <c r="AI966" s="191" t="str">
        <f>IFERROR(_xlfn.SINGLE(
IF(_xlfn.SINGLE(INDEX(TAB_Offres[Ressource 1],ROWS(Params!AI$2:$AI966)))=0,NA(),
INDEX(TAB_Offres[Ressource 1],ROWS(Params!AI$2:$AI966)))),
IFERROR(_xlfn.SINGLE(IF(_xlfn.SINGLE(INDEX(#REF!,ROWS(Params!AI$2:$AI966)-COUNTA(TAB_Offres[Ressource 1])))=0,NA(),
INDEX(#REF!,ROWS(Params!AI$2:$AI966)-COUNTA(TAB_Offres[Ressource 1])))),
IFERROR(_xlfn.SINGLE(IF(_xlfn.SINGLE(INDEX(#REF!,ROWS(Params!AI$2:$AI966)-COUNTA(#REF!)-COUNTA(TAB_Offres[Ressource 1])))=0,NA(),
INDEX(#REF!,ROWS(Params!AI$2:$AI966)-COUNTA(#REF!)-COUNTA(TAB_Offres[Ressource 1])))),""))
)</f>
        <v/>
      </c>
      <c r="AJ966" s="192" t="str">
        <f>IF(TAB_ressource[[#This Row],[Import Ressource]]="","",MAX(AJ$1:AJ965)+1)</f>
        <v/>
      </c>
      <c r="AK966" s="193" t="str">
        <f>IFERROR(INDEX(TAB_ressource[Import Ressource],MATCH(ROW()-ROW($AK$1),TAB_ressource[ID Import ressources],0)),"")</f>
        <v/>
      </c>
      <c r="BE966" t="s">
        <v>3306</v>
      </c>
      <c r="BF966" t="s">
        <v>3307</v>
      </c>
      <c r="BG966" t="s">
        <v>1223</v>
      </c>
    </row>
    <row r="967" spans="13:59" x14ac:dyDescent="0.25">
      <c r="M967" t="str">
        <f>_xlfn.IFNA(IF(VLOOKUP(TAB_Offres[[#This Row],[Reference]],TAB_Offres[[Reference]:[Request State]],COLUMNS(TAB_Offres[[Reference]:[Request State]]),FALSE)=D$6,TAB_Offres[[#This Row],[Reference]],""),"")</f>
        <v/>
      </c>
      <c r="N967" t="str">
        <f>_xlfn.IFNA(IF(VLOOKUP(TAB_Offres[[#This Row],[Reference]],TAB_Offres[[Reference]:[Has Expenses?]],COLUMNS(TAB_Offres[[Reference]:[Has Expenses?]]),FALSE)=J$2,TAB_Offres[[#This Row],[Reference]],""),"")</f>
        <v/>
      </c>
      <c r="O967" t="str">
        <f>IF(Tableau19[[#This Row],[EXPENSES_REF]]="","",MAX(O$1:O966)+1)</f>
        <v/>
      </c>
      <c r="P967" t="str">
        <f t="shared" si="28"/>
        <v/>
      </c>
      <c r="AI967" s="191" t="str">
        <f>IFERROR(_xlfn.SINGLE(
IF(_xlfn.SINGLE(INDEX(TAB_Offres[Ressource 1],ROWS(Params!AI$2:$AI967)))=0,NA(),
INDEX(TAB_Offres[Ressource 1],ROWS(Params!AI$2:$AI967)))),
IFERROR(_xlfn.SINGLE(IF(_xlfn.SINGLE(INDEX(#REF!,ROWS(Params!AI$2:$AI967)-COUNTA(TAB_Offres[Ressource 1])))=0,NA(),
INDEX(#REF!,ROWS(Params!AI$2:$AI967)-COUNTA(TAB_Offres[Ressource 1])))),
IFERROR(_xlfn.SINGLE(IF(_xlfn.SINGLE(INDEX(#REF!,ROWS(Params!AI$2:$AI967)-COUNTA(#REF!)-COUNTA(TAB_Offres[Ressource 1])))=0,NA(),
INDEX(#REF!,ROWS(Params!AI$2:$AI967)-COUNTA(#REF!)-COUNTA(TAB_Offres[Ressource 1])))),""))
)</f>
        <v/>
      </c>
      <c r="AJ967" s="192" t="str">
        <f>IF(TAB_ressource[[#This Row],[Import Ressource]]="","",MAX(AJ$1:AJ966)+1)</f>
        <v/>
      </c>
      <c r="AK967" s="193" t="str">
        <f>IFERROR(INDEX(TAB_ressource[Import Ressource],MATCH(ROW()-ROW($AK$1),TAB_ressource[ID Import ressources],0)),"")</f>
        <v/>
      </c>
      <c r="BE967" t="s">
        <v>3308</v>
      </c>
      <c r="BF967" t="s">
        <v>3309</v>
      </c>
      <c r="BG967" t="s">
        <v>1226</v>
      </c>
    </row>
    <row r="968" spans="13:59" x14ac:dyDescent="0.25">
      <c r="M968" t="str">
        <f>_xlfn.IFNA(IF(VLOOKUP(TAB_Offres[[#This Row],[Reference]],TAB_Offres[[Reference]:[Request State]],COLUMNS(TAB_Offres[[Reference]:[Request State]]),FALSE)=D$6,TAB_Offres[[#This Row],[Reference]],""),"")</f>
        <v/>
      </c>
      <c r="N968" t="str">
        <f>_xlfn.IFNA(IF(VLOOKUP(TAB_Offres[[#This Row],[Reference]],TAB_Offres[[Reference]:[Has Expenses?]],COLUMNS(TAB_Offres[[Reference]:[Has Expenses?]]),FALSE)=J$2,TAB_Offres[[#This Row],[Reference]],""),"")</f>
        <v/>
      </c>
      <c r="O968" t="str">
        <f>IF(Tableau19[[#This Row],[EXPENSES_REF]]="","",MAX(O$1:O967)+1)</f>
        <v/>
      </c>
      <c r="P968" t="str">
        <f t="shared" si="28"/>
        <v/>
      </c>
      <c r="AI968" s="191" t="str">
        <f>IFERROR(_xlfn.SINGLE(
IF(_xlfn.SINGLE(INDEX(TAB_Offres[Ressource 1],ROWS(Params!AI$2:$AI968)))=0,NA(),
INDEX(TAB_Offres[Ressource 1],ROWS(Params!AI$2:$AI968)))),
IFERROR(_xlfn.SINGLE(IF(_xlfn.SINGLE(INDEX(#REF!,ROWS(Params!AI$2:$AI968)-COUNTA(TAB_Offres[Ressource 1])))=0,NA(),
INDEX(#REF!,ROWS(Params!AI$2:$AI968)-COUNTA(TAB_Offres[Ressource 1])))),
IFERROR(_xlfn.SINGLE(IF(_xlfn.SINGLE(INDEX(#REF!,ROWS(Params!AI$2:$AI968)-COUNTA(#REF!)-COUNTA(TAB_Offres[Ressource 1])))=0,NA(),
INDEX(#REF!,ROWS(Params!AI$2:$AI968)-COUNTA(#REF!)-COUNTA(TAB_Offres[Ressource 1])))),""))
)</f>
        <v/>
      </c>
      <c r="AJ968" s="192" t="str">
        <f>IF(TAB_ressource[[#This Row],[Import Ressource]]="","",MAX(AJ$1:AJ967)+1)</f>
        <v/>
      </c>
      <c r="AK968" s="193" t="str">
        <f>IFERROR(INDEX(TAB_ressource[Import Ressource],MATCH(ROW()-ROW($AK$1),TAB_ressource[ID Import ressources],0)),"")</f>
        <v/>
      </c>
      <c r="BE968" t="s">
        <v>3310</v>
      </c>
      <c r="BF968" t="s">
        <v>3311</v>
      </c>
      <c r="BG968" t="s">
        <v>1229</v>
      </c>
    </row>
    <row r="969" spans="13:59" x14ac:dyDescent="0.25">
      <c r="M969" t="str">
        <f>_xlfn.IFNA(IF(VLOOKUP(TAB_Offres[[#This Row],[Reference]],TAB_Offres[[Reference]:[Request State]],COLUMNS(TAB_Offres[[Reference]:[Request State]]),FALSE)=D$6,TAB_Offres[[#This Row],[Reference]],""),"")</f>
        <v/>
      </c>
      <c r="N969" t="str">
        <f>_xlfn.IFNA(IF(VLOOKUP(TAB_Offres[[#This Row],[Reference]],TAB_Offres[[Reference]:[Has Expenses?]],COLUMNS(TAB_Offres[[Reference]:[Has Expenses?]]),FALSE)=J$2,TAB_Offres[[#This Row],[Reference]],""),"")</f>
        <v/>
      </c>
      <c r="O969" t="str">
        <f>IF(Tableau19[[#This Row],[EXPENSES_REF]]="","",MAX(O$1:O968)+1)</f>
        <v/>
      </c>
      <c r="P969" t="str">
        <f t="shared" si="28"/>
        <v/>
      </c>
      <c r="AI969" s="191" t="str">
        <f>IFERROR(_xlfn.SINGLE(
IF(_xlfn.SINGLE(INDEX(TAB_Offres[Ressource 1],ROWS(Params!AI$2:$AI969)))=0,NA(),
INDEX(TAB_Offres[Ressource 1],ROWS(Params!AI$2:$AI969)))),
IFERROR(_xlfn.SINGLE(IF(_xlfn.SINGLE(INDEX(#REF!,ROWS(Params!AI$2:$AI969)-COUNTA(TAB_Offres[Ressource 1])))=0,NA(),
INDEX(#REF!,ROWS(Params!AI$2:$AI969)-COUNTA(TAB_Offres[Ressource 1])))),
IFERROR(_xlfn.SINGLE(IF(_xlfn.SINGLE(INDEX(#REF!,ROWS(Params!AI$2:$AI969)-COUNTA(#REF!)-COUNTA(TAB_Offres[Ressource 1])))=0,NA(),
INDEX(#REF!,ROWS(Params!AI$2:$AI969)-COUNTA(#REF!)-COUNTA(TAB_Offres[Ressource 1])))),""))
)</f>
        <v/>
      </c>
      <c r="AJ969" s="192" t="str">
        <f>IF(TAB_ressource[[#This Row],[Import Ressource]]="","",MAX(AJ$1:AJ968)+1)</f>
        <v/>
      </c>
      <c r="AK969" s="193" t="str">
        <f>IFERROR(INDEX(TAB_ressource[Import Ressource],MATCH(ROW()-ROW($AK$1),TAB_ressource[ID Import ressources],0)),"")</f>
        <v/>
      </c>
      <c r="BE969" t="s">
        <v>3312</v>
      </c>
      <c r="BF969" t="s">
        <v>3313</v>
      </c>
      <c r="BG969" t="s">
        <v>1232</v>
      </c>
    </row>
    <row r="970" spans="13:59" x14ac:dyDescent="0.25">
      <c r="M970" t="str">
        <f>_xlfn.IFNA(IF(VLOOKUP(TAB_Offres[[#This Row],[Reference]],TAB_Offres[[Reference]:[Request State]],COLUMNS(TAB_Offres[[Reference]:[Request State]]),FALSE)=D$6,TAB_Offres[[#This Row],[Reference]],""),"")</f>
        <v/>
      </c>
      <c r="N970" t="str">
        <f>_xlfn.IFNA(IF(VLOOKUP(TAB_Offres[[#This Row],[Reference]],TAB_Offres[[Reference]:[Has Expenses?]],COLUMNS(TAB_Offres[[Reference]:[Has Expenses?]]),FALSE)=J$2,TAB_Offres[[#This Row],[Reference]],""),"")</f>
        <v/>
      </c>
      <c r="O970" t="str">
        <f>IF(Tableau19[[#This Row],[EXPENSES_REF]]="","",MAX(O$1:O969)+1)</f>
        <v/>
      </c>
      <c r="P970" t="str">
        <f t="shared" si="28"/>
        <v/>
      </c>
      <c r="AI970" s="191" t="str">
        <f>IFERROR(_xlfn.SINGLE(
IF(_xlfn.SINGLE(INDEX(TAB_Offres[Ressource 1],ROWS(Params!AI$2:$AI970)))=0,NA(),
INDEX(TAB_Offres[Ressource 1],ROWS(Params!AI$2:$AI970)))),
IFERROR(_xlfn.SINGLE(IF(_xlfn.SINGLE(INDEX(#REF!,ROWS(Params!AI$2:$AI970)-COUNTA(TAB_Offres[Ressource 1])))=0,NA(),
INDEX(#REF!,ROWS(Params!AI$2:$AI970)-COUNTA(TAB_Offres[Ressource 1])))),
IFERROR(_xlfn.SINGLE(IF(_xlfn.SINGLE(INDEX(#REF!,ROWS(Params!AI$2:$AI970)-COUNTA(#REF!)-COUNTA(TAB_Offres[Ressource 1])))=0,NA(),
INDEX(#REF!,ROWS(Params!AI$2:$AI970)-COUNTA(#REF!)-COUNTA(TAB_Offres[Ressource 1])))),""))
)</f>
        <v/>
      </c>
      <c r="AJ970" s="192" t="str">
        <f>IF(TAB_ressource[[#This Row],[Import Ressource]]="","",MAX(AJ$1:AJ969)+1)</f>
        <v/>
      </c>
      <c r="AK970" s="193" t="str">
        <f>IFERROR(INDEX(TAB_ressource[Import Ressource],MATCH(ROW()-ROW($AK$1),TAB_ressource[ID Import ressources],0)),"")</f>
        <v/>
      </c>
      <c r="BE970" t="s">
        <v>3314</v>
      </c>
      <c r="BF970" t="s">
        <v>3315</v>
      </c>
      <c r="BG970" t="s">
        <v>1235</v>
      </c>
    </row>
    <row r="971" spans="13:59" x14ac:dyDescent="0.25">
      <c r="M971" t="str">
        <f>_xlfn.IFNA(IF(VLOOKUP(TAB_Offres[[#This Row],[Reference]],TAB_Offres[[Reference]:[Request State]],COLUMNS(TAB_Offres[[Reference]:[Request State]]),FALSE)=D$6,TAB_Offres[[#This Row],[Reference]],""),"")</f>
        <v/>
      </c>
      <c r="N971" t="str">
        <f>_xlfn.IFNA(IF(VLOOKUP(TAB_Offres[[#This Row],[Reference]],TAB_Offres[[Reference]:[Has Expenses?]],COLUMNS(TAB_Offres[[Reference]:[Has Expenses?]]),FALSE)=J$2,TAB_Offres[[#This Row],[Reference]],""),"")</f>
        <v/>
      </c>
      <c r="O971" t="str">
        <f>IF(Tableau19[[#This Row],[EXPENSES_REF]]="","",MAX(O$1:O970)+1)</f>
        <v/>
      </c>
      <c r="P971" t="str">
        <f t="shared" si="28"/>
        <v/>
      </c>
      <c r="AI971" s="191" t="str">
        <f>IFERROR(_xlfn.SINGLE(
IF(_xlfn.SINGLE(INDEX(TAB_Offres[Ressource 1],ROWS(Params!AI$2:$AI971)))=0,NA(),
INDEX(TAB_Offres[Ressource 1],ROWS(Params!AI$2:$AI971)))),
IFERROR(_xlfn.SINGLE(IF(_xlfn.SINGLE(INDEX(#REF!,ROWS(Params!AI$2:$AI971)-COUNTA(TAB_Offres[Ressource 1])))=0,NA(),
INDEX(#REF!,ROWS(Params!AI$2:$AI971)-COUNTA(TAB_Offres[Ressource 1])))),
IFERROR(_xlfn.SINGLE(IF(_xlfn.SINGLE(INDEX(#REF!,ROWS(Params!AI$2:$AI971)-COUNTA(#REF!)-COUNTA(TAB_Offres[Ressource 1])))=0,NA(),
INDEX(#REF!,ROWS(Params!AI$2:$AI971)-COUNTA(#REF!)-COUNTA(TAB_Offres[Ressource 1])))),""))
)</f>
        <v/>
      </c>
      <c r="AJ971" s="192" t="str">
        <f>IF(TAB_ressource[[#This Row],[Import Ressource]]="","",MAX(AJ$1:AJ970)+1)</f>
        <v/>
      </c>
      <c r="AK971" s="193" t="str">
        <f>IFERROR(INDEX(TAB_ressource[Import Ressource],MATCH(ROW()-ROW($AK$1),TAB_ressource[ID Import ressources],0)),"")</f>
        <v/>
      </c>
      <c r="BE971" t="s">
        <v>3316</v>
      </c>
      <c r="BF971" t="s">
        <v>3317</v>
      </c>
      <c r="BG971" t="s">
        <v>1238</v>
      </c>
    </row>
    <row r="972" spans="13:59" x14ac:dyDescent="0.25">
      <c r="M972" t="str">
        <f>_xlfn.IFNA(IF(VLOOKUP(TAB_Offres[[#This Row],[Reference]],TAB_Offres[[Reference]:[Request State]],COLUMNS(TAB_Offres[[Reference]:[Request State]]),FALSE)=D$6,TAB_Offres[[#This Row],[Reference]],""),"")</f>
        <v/>
      </c>
      <c r="N972" t="str">
        <f>_xlfn.IFNA(IF(VLOOKUP(TAB_Offres[[#This Row],[Reference]],TAB_Offres[[Reference]:[Has Expenses?]],COLUMNS(TAB_Offres[[Reference]:[Has Expenses?]]),FALSE)=J$2,TAB_Offres[[#This Row],[Reference]],""),"")</f>
        <v/>
      </c>
      <c r="O972" t="str">
        <f>IF(Tableau19[[#This Row],[EXPENSES_REF]]="","",MAX(O$1:O971)+1)</f>
        <v/>
      </c>
      <c r="P972" t="str">
        <f t="shared" si="28"/>
        <v/>
      </c>
      <c r="AI972" s="191" t="str">
        <f>IFERROR(_xlfn.SINGLE(
IF(_xlfn.SINGLE(INDEX(TAB_Offres[Ressource 1],ROWS(Params!AI$2:$AI972)))=0,NA(),
INDEX(TAB_Offres[Ressource 1],ROWS(Params!AI$2:$AI972)))),
IFERROR(_xlfn.SINGLE(IF(_xlfn.SINGLE(INDEX(#REF!,ROWS(Params!AI$2:$AI972)-COUNTA(TAB_Offres[Ressource 1])))=0,NA(),
INDEX(#REF!,ROWS(Params!AI$2:$AI972)-COUNTA(TAB_Offres[Ressource 1])))),
IFERROR(_xlfn.SINGLE(IF(_xlfn.SINGLE(INDEX(#REF!,ROWS(Params!AI$2:$AI972)-COUNTA(#REF!)-COUNTA(TAB_Offres[Ressource 1])))=0,NA(),
INDEX(#REF!,ROWS(Params!AI$2:$AI972)-COUNTA(#REF!)-COUNTA(TAB_Offres[Ressource 1])))),""))
)</f>
        <v/>
      </c>
      <c r="AJ972" s="192" t="str">
        <f>IF(TAB_ressource[[#This Row],[Import Ressource]]="","",MAX(AJ$1:AJ971)+1)</f>
        <v/>
      </c>
      <c r="AK972" s="193" t="str">
        <f>IFERROR(INDEX(TAB_ressource[Import Ressource],MATCH(ROW()-ROW($AK$1),TAB_ressource[ID Import ressources],0)),"")</f>
        <v/>
      </c>
      <c r="BE972" t="s">
        <v>3318</v>
      </c>
      <c r="BF972" t="s">
        <v>3319</v>
      </c>
      <c r="BG972" t="s">
        <v>1241</v>
      </c>
    </row>
    <row r="973" spans="13:59" x14ac:dyDescent="0.25">
      <c r="M973" t="str">
        <f>_xlfn.IFNA(IF(VLOOKUP(TAB_Offres[[#This Row],[Reference]],TAB_Offres[[Reference]:[Request State]],COLUMNS(TAB_Offres[[Reference]:[Request State]]),FALSE)=D$6,TAB_Offres[[#This Row],[Reference]],""),"")</f>
        <v/>
      </c>
      <c r="N973" t="str">
        <f>_xlfn.IFNA(IF(VLOOKUP(TAB_Offres[[#This Row],[Reference]],TAB_Offres[[Reference]:[Has Expenses?]],COLUMNS(TAB_Offres[[Reference]:[Has Expenses?]]),FALSE)=J$2,TAB_Offres[[#This Row],[Reference]],""),"")</f>
        <v/>
      </c>
      <c r="O973" t="str">
        <f>IF(Tableau19[[#This Row],[EXPENSES_REF]]="","",MAX(O$1:O972)+1)</f>
        <v/>
      </c>
      <c r="P973" t="str">
        <f t="shared" si="28"/>
        <v/>
      </c>
      <c r="AI973" s="191" t="str">
        <f>IFERROR(_xlfn.SINGLE(
IF(_xlfn.SINGLE(INDEX(TAB_Offres[Ressource 1],ROWS(Params!AI$2:$AI973)))=0,NA(),
INDEX(TAB_Offres[Ressource 1],ROWS(Params!AI$2:$AI973)))),
IFERROR(_xlfn.SINGLE(IF(_xlfn.SINGLE(INDEX(#REF!,ROWS(Params!AI$2:$AI973)-COUNTA(TAB_Offres[Ressource 1])))=0,NA(),
INDEX(#REF!,ROWS(Params!AI$2:$AI973)-COUNTA(TAB_Offres[Ressource 1])))),
IFERROR(_xlfn.SINGLE(IF(_xlfn.SINGLE(INDEX(#REF!,ROWS(Params!AI$2:$AI973)-COUNTA(#REF!)-COUNTA(TAB_Offres[Ressource 1])))=0,NA(),
INDEX(#REF!,ROWS(Params!AI$2:$AI973)-COUNTA(#REF!)-COUNTA(TAB_Offres[Ressource 1])))),""))
)</f>
        <v/>
      </c>
      <c r="AJ973" s="192" t="str">
        <f>IF(TAB_ressource[[#This Row],[Import Ressource]]="","",MAX(AJ$1:AJ972)+1)</f>
        <v/>
      </c>
      <c r="AK973" s="193" t="str">
        <f>IFERROR(INDEX(TAB_ressource[Import Ressource],MATCH(ROW()-ROW($AK$1),TAB_ressource[ID Import ressources],0)),"")</f>
        <v/>
      </c>
      <c r="BE973" t="s">
        <v>3320</v>
      </c>
      <c r="BF973" t="s">
        <v>3321</v>
      </c>
      <c r="BG973" t="s">
        <v>1244</v>
      </c>
    </row>
    <row r="974" spans="13:59" x14ac:dyDescent="0.25">
      <c r="M974" t="str">
        <f>_xlfn.IFNA(IF(VLOOKUP(TAB_Offres[[#This Row],[Reference]],TAB_Offres[[Reference]:[Request State]],COLUMNS(TAB_Offres[[Reference]:[Request State]]),FALSE)=D$6,TAB_Offres[[#This Row],[Reference]],""),"")</f>
        <v/>
      </c>
      <c r="N974" t="str">
        <f>_xlfn.IFNA(IF(VLOOKUP(TAB_Offres[[#This Row],[Reference]],TAB_Offres[[Reference]:[Has Expenses?]],COLUMNS(TAB_Offres[[Reference]:[Has Expenses?]]),FALSE)=J$2,TAB_Offres[[#This Row],[Reference]],""),"")</f>
        <v/>
      </c>
      <c r="O974" t="str">
        <f>IF(Tableau19[[#This Row],[EXPENSES_REF]]="","",MAX(O$1:O973)+1)</f>
        <v/>
      </c>
      <c r="P974" t="str">
        <f t="shared" si="28"/>
        <v/>
      </c>
      <c r="AI974" s="191" t="str">
        <f>IFERROR(_xlfn.SINGLE(
IF(_xlfn.SINGLE(INDEX(TAB_Offres[Ressource 1],ROWS(Params!AI$2:$AI974)))=0,NA(),
INDEX(TAB_Offres[Ressource 1],ROWS(Params!AI$2:$AI974)))),
IFERROR(_xlfn.SINGLE(IF(_xlfn.SINGLE(INDEX(#REF!,ROWS(Params!AI$2:$AI974)-COUNTA(TAB_Offres[Ressource 1])))=0,NA(),
INDEX(#REF!,ROWS(Params!AI$2:$AI974)-COUNTA(TAB_Offres[Ressource 1])))),
IFERROR(_xlfn.SINGLE(IF(_xlfn.SINGLE(INDEX(#REF!,ROWS(Params!AI$2:$AI974)-COUNTA(#REF!)-COUNTA(TAB_Offres[Ressource 1])))=0,NA(),
INDEX(#REF!,ROWS(Params!AI$2:$AI974)-COUNTA(#REF!)-COUNTA(TAB_Offres[Ressource 1])))),""))
)</f>
        <v/>
      </c>
      <c r="AJ974" s="192" t="str">
        <f>IF(TAB_ressource[[#This Row],[Import Ressource]]="","",MAX(AJ$1:AJ973)+1)</f>
        <v/>
      </c>
      <c r="AK974" s="193" t="str">
        <f>IFERROR(INDEX(TAB_ressource[Import Ressource],MATCH(ROW()-ROW($AK$1),TAB_ressource[ID Import ressources],0)),"")</f>
        <v/>
      </c>
      <c r="BE974" t="s">
        <v>3322</v>
      </c>
      <c r="BF974" t="s">
        <v>3323</v>
      </c>
      <c r="BG974" t="s">
        <v>1247</v>
      </c>
    </row>
    <row r="975" spans="13:59" x14ac:dyDescent="0.25">
      <c r="M975" t="str">
        <f>_xlfn.IFNA(IF(VLOOKUP(TAB_Offres[[#This Row],[Reference]],TAB_Offres[[Reference]:[Request State]],COLUMNS(TAB_Offres[[Reference]:[Request State]]),FALSE)=D$6,TAB_Offres[[#This Row],[Reference]],""),"")</f>
        <v/>
      </c>
      <c r="N975" t="str">
        <f>_xlfn.IFNA(IF(VLOOKUP(TAB_Offres[[#This Row],[Reference]],TAB_Offres[[Reference]:[Has Expenses?]],COLUMNS(TAB_Offres[[Reference]:[Has Expenses?]]),FALSE)=J$2,TAB_Offres[[#This Row],[Reference]],""),"")</f>
        <v/>
      </c>
      <c r="O975" t="str">
        <f>IF(Tableau19[[#This Row],[EXPENSES_REF]]="","",MAX(O$1:O974)+1)</f>
        <v/>
      </c>
      <c r="P975" t="str">
        <f t="shared" si="28"/>
        <v/>
      </c>
      <c r="AI975" s="191" t="str">
        <f>IFERROR(_xlfn.SINGLE(
IF(_xlfn.SINGLE(INDEX(TAB_Offres[Ressource 1],ROWS(Params!AI$2:$AI975)))=0,NA(),
INDEX(TAB_Offres[Ressource 1],ROWS(Params!AI$2:$AI975)))),
IFERROR(_xlfn.SINGLE(IF(_xlfn.SINGLE(INDEX(#REF!,ROWS(Params!AI$2:$AI975)-COUNTA(TAB_Offres[Ressource 1])))=0,NA(),
INDEX(#REF!,ROWS(Params!AI$2:$AI975)-COUNTA(TAB_Offres[Ressource 1])))),
IFERROR(_xlfn.SINGLE(IF(_xlfn.SINGLE(INDEX(#REF!,ROWS(Params!AI$2:$AI975)-COUNTA(#REF!)-COUNTA(TAB_Offres[Ressource 1])))=0,NA(),
INDEX(#REF!,ROWS(Params!AI$2:$AI975)-COUNTA(#REF!)-COUNTA(TAB_Offres[Ressource 1])))),""))
)</f>
        <v/>
      </c>
      <c r="AJ975" s="192" t="str">
        <f>IF(TAB_ressource[[#This Row],[Import Ressource]]="","",MAX(AJ$1:AJ974)+1)</f>
        <v/>
      </c>
      <c r="AK975" s="193" t="str">
        <f>IFERROR(INDEX(TAB_ressource[Import Ressource],MATCH(ROW()-ROW($AK$1),TAB_ressource[ID Import ressources],0)),"")</f>
        <v/>
      </c>
      <c r="BE975" t="s">
        <v>3324</v>
      </c>
      <c r="BF975" t="s">
        <v>3325</v>
      </c>
      <c r="BG975" t="s">
        <v>1250</v>
      </c>
    </row>
    <row r="976" spans="13:59" x14ac:dyDescent="0.25">
      <c r="M976" t="str">
        <f>_xlfn.IFNA(IF(VLOOKUP(TAB_Offres[[#This Row],[Reference]],TAB_Offres[[Reference]:[Request State]],COLUMNS(TAB_Offres[[Reference]:[Request State]]),FALSE)=D$6,TAB_Offres[[#This Row],[Reference]],""),"")</f>
        <v/>
      </c>
      <c r="N976" t="str">
        <f>_xlfn.IFNA(IF(VLOOKUP(TAB_Offres[[#This Row],[Reference]],TAB_Offres[[Reference]:[Has Expenses?]],COLUMNS(TAB_Offres[[Reference]:[Has Expenses?]]),FALSE)=J$2,TAB_Offres[[#This Row],[Reference]],""),"")</f>
        <v/>
      </c>
      <c r="O976" t="str">
        <f>IF(Tableau19[[#This Row],[EXPENSES_REF]]="","",MAX(O$1:O975)+1)</f>
        <v/>
      </c>
      <c r="P976" t="str">
        <f t="shared" si="28"/>
        <v/>
      </c>
      <c r="AI976" s="191" t="str">
        <f>IFERROR(_xlfn.SINGLE(
IF(_xlfn.SINGLE(INDEX(TAB_Offres[Ressource 1],ROWS(Params!AI$2:$AI976)))=0,NA(),
INDEX(TAB_Offres[Ressource 1],ROWS(Params!AI$2:$AI976)))),
IFERROR(_xlfn.SINGLE(IF(_xlfn.SINGLE(INDEX(#REF!,ROWS(Params!AI$2:$AI976)-COUNTA(TAB_Offres[Ressource 1])))=0,NA(),
INDEX(#REF!,ROWS(Params!AI$2:$AI976)-COUNTA(TAB_Offres[Ressource 1])))),
IFERROR(_xlfn.SINGLE(IF(_xlfn.SINGLE(INDEX(#REF!,ROWS(Params!AI$2:$AI976)-COUNTA(#REF!)-COUNTA(TAB_Offres[Ressource 1])))=0,NA(),
INDEX(#REF!,ROWS(Params!AI$2:$AI976)-COUNTA(#REF!)-COUNTA(TAB_Offres[Ressource 1])))),""))
)</f>
        <v/>
      </c>
      <c r="AJ976" s="192" t="str">
        <f>IF(TAB_ressource[[#This Row],[Import Ressource]]="","",MAX(AJ$1:AJ975)+1)</f>
        <v/>
      </c>
      <c r="AK976" s="193" t="str">
        <f>IFERROR(INDEX(TAB_ressource[Import Ressource],MATCH(ROW()-ROW($AK$1),TAB_ressource[ID Import ressources],0)),"")</f>
        <v/>
      </c>
      <c r="BE976" t="s">
        <v>3326</v>
      </c>
      <c r="BF976" t="s">
        <v>3327</v>
      </c>
      <c r="BG976" t="s">
        <v>1253</v>
      </c>
    </row>
    <row r="977" spans="13:59" x14ac:dyDescent="0.25">
      <c r="M977" t="str">
        <f>_xlfn.IFNA(IF(VLOOKUP(TAB_Offres[[#This Row],[Reference]],TAB_Offres[[Reference]:[Request State]],COLUMNS(TAB_Offres[[Reference]:[Request State]]),FALSE)=D$6,TAB_Offres[[#This Row],[Reference]],""),"")</f>
        <v/>
      </c>
      <c r="N977" t="str">
        <f>_xlfn.IFNA(IF(VLOOKUP(TAB_Offres[[#This Row],[Reference]],TAB_Offres[[Reference]:[Has Expenses?]],COLUMNS(TAB_Offres[[Reference]:[Has Expenses?]]),FALSE)=J$2,TAB_Offres[[#This Row],[Reference]],""),"")</f>
        <v/>
      </c>
      <c r="O977" t="str">
        <f>IF(Tableau19[[#This Row],[EXPENSES_REF]]="","",MAX(O$1:O976)+1)</f>
        <v/>
      </c>
      <c r="P977" t="str">
        <f t="shared" si="28"/>
        <v/>
      </c>
      <c r="AI977" s="191" t="str">
        <f>IFERROR(_xlfn.SINGLE(
IF(_xlfn.SINGLE(INDEX(TAB_Offres[Ressource 1],ROWS(Params!AI$2:$AI977)))=0,NA(),
INDEX(TAB_Offres[Ressource 1],ROWS(Params!AI$2:$AI977)))),
IFERROR(_xlfn.SINGLE(IF(_xlfn.SINGLE(INDEX(#REF!,ROWS(Params!AI$2:$AI977)-COUNTA(TAB_Offres[Ressource 1])))=0,NA(),
INDEX(#REF!,ROWS(Params!AI$2:$AI977)-COUNTA(TAB_Offres[Ressource 1])))),
IFERROR(_xlfn.SINGLE(IF(_xlfn.SINGLE(INDEX(#REF!,ROWS(Params!AI$2:$AI977)-COUNTA(#REF!)-COUNTA(TAB_Offres[Ressource 1])))=0,NA(),
INDEX(#REF!,ROWS(Params!AI$2:$AI977)-COUNTA(#REF!)-COUNTA(TAB_Offres[Ressource 1])))),""))
)</f>
        <v/>
      </c>
      <c r="AJ977" s="192" t="str">
        <f>IF(TAB_ressource[[#This Row],[Import Ressource]]="","",MAX(AJ$1:AJ976)+1)</f>
        <v/>
      </c>
      <c r="AK977" s="193" t="str">
        <f>IFERROR(INDEX(TAB_ressource[Import Ressource],MATCH(ROW()-ROW($AK$1),TAB_ressource[ID Import ressources],0)),"")</f>
        <v/>
      </c>
      <c r="BE977" t="s">
        <v>3328</v>
      </c>
      <c r="BF977" t="s">
        <v>3329</v>
      </c>
      <c r="BG977" t="s">
        <v>1256</v>
      </c>
    </row>
    <row r="978" spans="13:59" x14ac:dyDescent="0.25">
      <c r="M978" t="str">
        <f>_xlfn.IFNA(IF(VLOOKUP(TAB_Offres[[#This Row],[Reference]],TAB_Offres[[Reference]:[Request State]],COLUMNS(TAB_Offres[[Reference]:[Request State]]),FALSE)=D$6,TAB_Offres[[#This Row],[Reference]],""),"")</f>
        <v/>
      </c>
      <c r="N978" t="str">
        <f>_xlfn.IFNA(IF(VLOOKUP(TAB_Offres[[#This Row],[Reference]],TAB_Offres[[Reference]:[Has Expenses?]],COLUMNS(TAB_Offres[[Reference]:[Has Expenses?]]),FALSE)=J$2,TAB_Offres[[#This Row],[Reference]],""),"")</f>
        <v/>
      </c>
      <c r="O978" t="str">
        <f>IF(Tableau19[[#This Row],[EXPENSES_REF]]="","",MAX(O$1:O977)+1)</f>
        <v/>
      </c>
      <c r="P978" t="str">
        <f t="shared" si="28"/>
        <v/>
      </c>
      <c r="AI978" s="191" t="str">
        <f>IFERROR(_xlfn.SINGLE(
IF(_xlfn.SINGLE(INDEX(TAB_Offres[Ressource 1],ROWS(Params!AI$2:$AI978)))=0,NA(),
INDEX(TAB_Offres[Ressource 1],ROWS(Params!AI$2:$AI978)))),
IFERROR(_xlfn.SINGLE(IF(_xlfn.SINGLE(INDEX(#REF!,ROWS(Params!AI$2:$AI978)-COUNTA(TAB_Offres[Ressource 1])))=0,NA(),
INDEX(#REF!,ROWS(Params!AI$2:$AI978)-COUNTA(TAB_Offres[Ressource 1])))),
IFERROR(_xlfn.SINGLE(IF(_xlfn.SINGLE(INDEX(#REF!,ROWS(Params!AI$2:$AI978)-COUNTA(#REF!)-COUNTA(TAB_Offres[Ressource 1])))=0,NA(),
INDEX(#REF!,ROWS(Params!AI$2:$AI978)-COUNTA(#REF!)-COUNTA(TAB_Offres[Ressource 1])))),""))
)</f>
        <v/>
      </c>
      <c r="AJ978" s="192" t="str">
        <f>IF(TAB_ressource[[#This Row],[Import Ressource]]="","",MAX(AJ$1:AJ977)+1)</f>
        <v/>
      </c>
      <c r="AK978" s="193" t="str">
        <f>IFERROR(INDEX(TAB_ressource[Import Ressource],MATCH(ROW()-ROW($AK$1),TAB_ressource[ID Import ressources],0)),"")</f>
        <v/>
      </c>
      <c r="BE978" t="s">
        <v>3330</v>
      </c>
      <c r="BF978" t="s">
        <v>3331</v>
      </c>
      <c r="BG978" t="s">
        <v>1259</v>
      </c>
    </row>
    <row r="979" spans="13:59" x14ac:dyDescent="0.25">
      <c r="M979" t="str">
        <f>_xlfn.IFNA(IF(VLOOKUP(TAB_Offres[[#This Row],[Reference]],TAB_Offres[[Reference]:[Request State]],COLUMNS(TAB_Offres[[Reference]:[Request State]]),FALSE)=D$6,TAB_Offres[[#This Row],[Reference]],""),"")</f>
        <v/>
      </c>
      <c r="N979" t="str">
        <f>_xlfn.IFNA(IF(VLOOKUP(TAB_Offres[[#This Row],[Reference]],TAB_Offres[[Reference]:[Has Expenses?]],COLUMNS(TAB_Offres[[Reference]:[Has Expenses?]]),FALSE)=J$2,TAB_Offres[[#This Row],[Reference]],""),"")</f>
        <v/>
      </c>
      <c r="O979" t="str">
        <f>IF(Tableau19[[#This Row],[EXPENSES_REF]]="","",MAX(O$1:O978)+1)</f>
        <v/>
      </c>
      <c r="P979" t="str">
        <f t="shared" si="28"/>
        <v/>
      </c>
      <c r="AI979" s="191" t="str">
        <f>IFERROR(_xlfn.SINGLE(
IF(_xlfn.SINGLE(INDEX(TAB_Offres[Ressource 1],ROWS(Params!AI$2:$AI979)))=0,NA(),
INDEX(TAB_Offres[Ressource 1],ROWS(Params!AI$2:$AI979)))),
IFERROR(_xlfn.SINGLE(IF(_xlfn.SINGLE(INDEX(#REF!,ROWS(Params!AI$2:$AI979)-COUNTA(TAB_Offres[Ressource 1])))=0,NA(),
INDEX(#REF!,ROWS(Params!AI$2:$AI979)-COUNTA(TAB_Offres[Ressource 1])))),
IFERROR(_xlfn.SINGLE(IF(_xlfn.SINGLE(INDEX(#REF!,ROWS(Params!AI$2:$AI979)-COUNTA(#REF!)-COUNTA(TAB_Offres[Ressource 1])))=0,NA(),
INDEX(#REF!,ROWS(Params!AI$2:$AI979)-COUNTA(#REF!)-COUNTA(TAB_Offres[Ressource 1])))),""))
)</f>
        <v/>
      </c>
      <c r="AJ979" s="192" t="str">
        <f>IF(TAB_ressource[[#This Row],[Import Ressource]]="","",MAX(AJ$1:AJ978)+1)</f>
        <v/>
      </c>
      <c r="AK979" s="193" t="str">
        <f>IFERROR(INDEX(TAB_ressource[Import Ressource],MATCH(ROW()-ROW($AK$1),TAB_ressource[ID Import ressources],0)),"")</f>
        <v/>
      </c>
      <c r="BE979" t="s">
        <v>3332</v>
      </c>
      <c r="BF979" t="s">
        <v>3333</v>
      </c>
      <c r="BG979" t="s">
        <v>1262</v>
      </c>
    </row>
    <row r="980" spans="13:59" x14ac:dyDescent="0.25">
      <c r="M980" t="str">
        <f>_xlfn.IFNA(IF(VLOOKUP(TAB_Offres[[#This Row],[Reference]],TAB_Offres[[Reference]:[Request State]],COLUMNS(TAB_Offres[[Reference]:[Request State]]),FALSE)=D$6,TAB_Offres[[#This Row],[Reference]],""),"")</f>
        <v/>
      </c>
      <c r="N980" t="str">
        <f>_xlfn.IFNA(IF(VLOOKUP(TAB_Offres[[#This Row],[Reference]],TAB_Offres[[Reference]:[Has Expenses?]],COLUMNS(TAB_Offres[[Reference]:[Has Expenses?]]),FALSE)=J$2,TAB_Offres[[#This Row],[Reference]],""),"")</f>
        <v/>
      </c>
      <c r="O980" t="str">
        <f>IF(Tableau19[[#This Row],[EXPENSES_REF]]="","",MAX(O$1:O979)+1)</f>
        <v/>
      </c>
      <c r="P980" t="str">
        <f t="shared" si="28"/>
        <v/>
      </c>
      <c r="AI980" s="191" t="str">
        <f>IFERROR(_xlfn.SINGLE(
IF(_xlfn.SINGLE(INDEX(TAB_Offres[Ressource 1],ROWS(Params!AI$2:$AI980)))=0,NA(),
INDEX(TAB_Offres[Ressource 1],ROWS(Params!AI$2:$AI980)))),
IFERROR(_xlfn.SINGLE(IF(_xlfn.SINGLE(INDEX(#REF!,ROWS(Params!AI$2:$AI980)-COUNTA(TAB_Offres[Ressource 1])))=0,NA(),
INDEX(#REF!,ROWS(Params!AI$2:$AI980)-COUNTA(TAB_Offres[Ressource 1])))),
IFERROR(_xlfn.SINGLE(IF(_xlfn.SINGLE(INDEX(#REF!,ROWS(Params!AI$2:$AI980)-COUNTA(#REF!)-COUNTA(TAB_Offres[Ressource 1])))=0,NA(),
INDEX(#REF!,ROWS(Params!AI$2:$AI980)-COUNTA(#REF!)-COUNTA(TAB_Offres[Ressource 1])))),""))
)</f>
        <v/>
      </c>
      <c r="AJ980" s="192" t="str">
        <f>IF(TAB_ressource[[#This Row],[Import Ressource]]="","",MAX(AJ$1:AJ979)+1)</f>
        <v/>
      </c>
      <c r="AK980" s="193" t="str">
        <f>IFERROR(INDEX(TAB_ressource[Import Ressource],MATCH(ROW()-ROW($AK$1),TAB_ressource[ID Import ressources],0)),"")</f>
        <v/>
      </c>
      <c r="BE980" t="s">
        <v>3334</v>
      </c>
      <c r="BF980" t="s">
        <v>3335</v>
      </c>
      <c r="BG980" t="s">
        <v>1265</v>
      </c>
    </row>
    <row r="981" spans="13:59" x14ac:dyDescent="0.25">
      <c r="M981" t="str">
        <f>_xlfn.IFNA(IF(VLOOKUP(TAB_Offres[[#This Row],[Reference]],TAB_Offres[[Reference]:[Request State]],COLUMNS(TAB_Offres[[Reference]:[Request State]]),FALSE)=D$6,TAB_Offres[[#This Row],[Reference]],""),"")</f>
        <v/>
      </c>
      <c r="N981" t="str">
        <f>_xlfn.IFNA(IF(VLOOKUP(TAB_Offres[[#This Row],[Reference]],TAB_Offres[[Reference]:[Has Expenses?]],COLUMNS(TAB_Offres[[Reference]:[Has Expenses?]]),FALSE)=J$2,TAB_Offres[[#This Row],[Reference]],""),"")</f>
        <v/>
      </c>
      <c r="O981" t="str">
        <f>IF(Tableau19[[#This Row],[EXPENSES_REF]]="","",MAX(O$1:O980)+1)</f>
        <v/>
      </c>
      <c r="P981" t="str">
        <f t="shared" si="28"/>
        <v/>
      </c>
      <c r="AI981" s="191" t="str">
        <f>IFERROR(_xlfn.SINGLE(
IF(_xlfn.SINGLE(INDEX(TAB_Offres[Ressource 1],ROWS(Params!AI$2:$AI981)))=0,NA(),
INDEX(TAB_Offres[Ressource 1],ROWS(Params!AI$2:$AI981)))),
IFERROR(_xlfn.SINGLE(IF(_xlfn.SINGLE(INDEX(#REF!,ROWS(Params!AI$2:$AI981)-COUNTA(TAB_Offres[Ressource 1])))=0,NA(),
INDEX(#REF!,ROWS(Params!AI$2:$AI981)-COUNTA(TAB_Offres[Ressource 1])))),
IFERROR(_xlfn.SINGLE(IF(_xlfn.SINGLE(INDEX(#REF!,ROWS(Params!AI$2:$AI981)-COUNTA(#REF!)-COUNTA(TAB_Offres[Ressource 1])))=0,NA(),
INDEX(#REF!,ROWS(Params!AI$2:$AI981)-COUNTA(#REF!)-COUNTA(TAB_Offres[Ressource 1])))),""))
)</f>
        <v/>
      </c>
      <c r="AJ981" s="192" t="str">
        <f>IF(TAB_ressource[[#This Row],[Import Ressource]]="","",MAX(AJ$1:AJ980)+1)</f>
        <v/>
      </c>
      <c r="AK981" s="193" t="str">
        <f>IFERROR(INDEX(TAB_ressource[Import Ressource],MATCH(ROW()-ROW($AK$1),TAB_ressource[ID Import ressources],0)),"")</f>
        <v/>
      </c>
      <c r="BE981" t="s">
        <v>3336</v>
      </c>
      <c r="BF981" t="s">
        <v>3337</v>
      </c>
      <c r="BG981" t="s">
        <v>1268</v>
      </c>
    </row>
    <row r="982" spans="13:59" x14ac:dyDescent="0.25">
      <c r="M982" t="str">
        <f>_xlfn.IFNA(IF(VLOOKUP(TAB_Offres[[#This Row],[Reference]],TAB_Offres[[Reference]:[Request State]],COLUMNS(TAB_Offres[[Reference]:[Request State]]),FALSE)=D$6,TAB_Offres[[#This Row],[Reference]],""),"")</f>
        <v/>
      </c>
      <c r="N982" t="str">
        <f>_xlfn.IFNA(IF(VLOOKUP(TAB_Offres[[#This Row],[Reference]],TAB_Offres[[Reference]:[Has Expenses?]],COLUMNS(TAB_Offres[[Reference]:[Has Expenses?]]),FALSE)=J$2,TAB_Offres[[#This Row],[Reference]],""),"")</f>
        <v/>
      </c>
      <c r="O982" t="str">
        <f>IF(Tableau19[[#This Row],[EXPENSES_REF]]="","",MAX(O$1:O981)+1)</f>
        <v/>
      </c>
      <c r="P982" t="str">
        <f t="shared" si="28"/>
        <v/>
      </c>
      <c r="AI982" s="191" t="str">
        <f>IFERROR(_xlfn.SINGLE(
IF(_xlfn.SINGLE(INDEX(TAB_Offres[Ressource 1],ROWS(Params!AI$2:$AI982)))=0,NA(),
INDEX(TAB_Offres[Ressource 1],ROWS(Params!AI$2:$AI982)))),
IFERROR(_xlfn.SINGLE(IF(_xlfn.SINGLE(INDEX(#REF!,ROWS(Params!AI$2:$AI982)-COUNTA(TAB_Offres[Ressource 1])))=0,NA(),
INDEX(#REF!,ROWS(Params!AI$2:$AI982)-COUNTA(TAB_Offres[Ressource 1])))),
IFERROR(_xlfn.SINGLE(IF(_xlfn.SINGLE(INDEX(#REF!,ROWS(Params!AI$2:$AI982)-COUNTA(#REF!)-COUNTA(TAB_Offres[Ressource 1])))=0,NA(),
INDEX(#REF!,ROWS(Params!AI$2:$AI982)-COUNTA(#REF!)-COUNTA(TAB_Offres[Ressource 1])))),""))
)</f>
        <v/>
      </c>
      <c r="AJ982" s="192" t="str">
        <f>IF(TAB_ressource[[#This Row],[Import Ressource]]="","",MAX(AJ$1:AJ981)+1)</f>
        <v/>
      </c>
      <c r="AK982" s="193" t="str">
        <f>IFERROR(INDEX(TAB_ressource[Import Ressource],MATCH(ROW()-ROW($AK$1),TAB_ressource[ID Import ressources],0)),"")</f>
        <v/>
      </c>
      <c r="BE982" t="s">
        <v>3338</v>
      </c>
      <c r="BF982" t="s">
        <v>3339</v>
      </c>
      <c r="BG982" t="s">
        <v>1271</v>
      </c>
    </row>
    <row r="983" spans="13:59" x14ac:dyDescent="0.25">
      <c r="M983" t="str">
        <f>_xlfn.IFNA(IF(VLOOKUP(TAB_Offres[[#This Row],[Reference]],TAB_Offres[[Reference]:[Request State]],COLUMNS(TAB_Offres[[Reference]:[Request State]]),FALSE)=D$6,TAB_Offres[[#This Row],[Reference]],""),"")</f>
        <v/>
      </c>
      <c r="N983" t="str">
        <f>_xlfn.IFNA(IF(VLOOKUP(TAB_Offres[[#This Row],[Reference]],TAB_Offres[[Reference]:[Has Expenses?]],COLUMNS(TAB_Offres[[Reference]:[Has Expenses?]]),FALSE)=J$2,TAB_Offres[[#This Row],[Reference]],""),"")</f>
        <v/>
      </c>
      <c r="O983" t="str">
        <f>IF(Tableau19[[#This Row],[EXPENSES_REF]]="","",MAX(O$1:O982)+1)</f>
        <v/>
      </c>
      <c r="P983" t="str">
        <f t="shared" si="28"/>
        <v/>
      </c>
      <c r="AI983" s="191" t="str">
        <f>IFERROR(_xlfn.SINGLE(
IF(_xlfn.SINGLE(INDEX(TAB_Offres[Ressource 1],ROWS(Params!AI$2:$AI983)))=0,NA(),
INDEX(TAB_Offres[Ressource 1],ROWS(Params!AI$2:$AI983)))),
IFERROR(_xlfn.SINGLE(IF(_xlfn.SINGLE(INDEX(#REF!,ROWS(Params!AI$2:$AI983)-COUNTA(TAB_Offres[Ressource 1])))=0,NA(),
INDEX(#REF!,ROWS(Params!AI$2:$AI983)-COUNTA(TAB_Offres[Ressource 1])))),
IFERROR(_xlfn.SINGLE(IF(_xlfn.SINGLE(INDEX(#REF!,ROWS(Params!AI$2:$AI983)-COUNTA(#REF!)-COUNTA(TAB_Offres[Ressource 1])))=0,NA(),
INDEX(#REF!,ROWS(Params!AI$2:$AI983)-COUNTA(#REF!)-COUNTA(TAB_Offres[Ressource 1])))),""))
)</f>
        <v/>
      </c>
      <c r="AJ983" s="192" t="str">
        <f>IF(TAB_ressource[[#This Row],[Import Ressource]]="","",MAX(AJ$1:AJ982)+1)</f>
        <v/>
      </c>
      <c r="AK983" s="193" t="str">
        <f>IFERROR(INDEX(TAB_ressource[Import Ressource],MATCH(ROW()-ROW($AK$1),TAB_ressource[ID Import ressources],0)),"")</f>
        <v/>
      </c>
      <c r="BE983" t="s">
        <v>3340</v>
      </c>
      <c r="BF983" t="s">
        <v>3341</v>
      </c>
      <c r="BG983" t="s">
        <v>1274</v>
      </c>
    </row>
    <row r="984" spans="13:59" x14ac:dyDescent="0.25">
      <c r="M984" t="str">
        <f>_xlfn.IFNA(IF(VLOOKUP(TAB_Offres[[#This Row],[Reference]],TAB_Offres[[Reference]:[Request State]],COLUMNS(TAB_Offres[[Reference]:[Request State]]),FALSE)=D$6,TAB_Offres[[#This Row],[Reference]],""),"")</f>
        <v/>
      </c>
      <c r="N984" t="str">
        <f>_xlfn.IFNA(IF(VLOOKUP(TAB_Offres[[#This Row],[Reference]],TAB_Offres[[Reference]:[Has Expenses?]],COLUMNS(TAB_Offres[[Reference]:[Has Expenses?]]),FALSE)=J$2,TAB_Offres[[#This Row],[Reference]],""),"")</f>
        <v/>
      </c>
      <c r="O984" t="str">
        <f>IF(Tableau19[[#This Row],[EXPENSES_REF]]="","",MAX(O$1:O983)+1)</f>
        <v/>
      </c>
      <c r="P984" t="str">
        <f t="shared" si="28"/>
        <v/>
      </c>
      <c r="AI984" s="191" t="str">
        <f>IFERROR(_xlfn.SINGLE(
IF(_xlfn.SINGLE(INDEX(TAB_Offres[Ressource 1],ROWS(Params!AI$2:$AI984)))=0,NA(),
INDEX(TAB_Offres[Ressource 1],ROWS(Params!AI$2:$AI984)))),
IFERROR(_xlfn.SINGLE(IF(_xlfn.SINGLE(INDEX(#REF!,ROWS(Params!AI$2:$AI984)-COUNTA(TAB_Offres[Ressource 1])))=0,NA(),
INDEX(#REF!,ROWS(Params!AI$2:$AI984)-COUNTA(TAB_Offres[Ressource 1])))),
IFERROR(_xlfn.SINGLE(IF(_xlfn.SINGLE(INDEX(#REF!,ROWS(Params!AI$2:$AI984)-COUNTA(#REF!)-COUNTA(TAB_Offres[Ressource 1])))=0,NA(),
INDEX(#REF!,ROWS(Params!AI$2:$AI984)-COUNTA(#REF!)-COUNTA(TAB_Offres[Ressource 1])))),""))
)</f>
        <v/>
      </c>
      <c r="AJ984" s="192" t="str">
        <f>IF(TAB_ressource[[#This Row],[Import Ressource]]="","",MAX(AJ$1:AJ983)+1)</f>
        <v/>
      </c>
      <c r="AK984" s="193" t="str">
        <f>IFERROR(INDEX(TAB_ressource[Import Ressource],MATCH(ROW()-ROW($AK$1),TAB_ressource[ID Import ressources],0)),"")</f>
        <v/>
      </c>
      <c r="BE984" t="s">
        <v>3342</v>
      </c>
      <c r="BF984" t="s">
        <v>3343</v>
      </c>
      <c r="BG984" t="s">
        <v>1277</v>
      </c>
    </row>
    <row r="985" spans="13:59" x14ac:dyDescent="0.25">
      <c r="M985" t="str">
        <f>_xlfn.IFNA(IF(VLOOKUP(TAB_Offres[[#This Row],[Reference]],TAB_Offres[[Reference]:[Request State]],COLUMNS(TAB_Offres[[Reference]:[Request State]]),FALSE)=D$6,TAB_Offres[[#This Row],[Reference]],""),"")</f>
        <v/>
      </c>
      <c r="N985" t="str">
        <f>_xlfn.IFNA(IF(VLOOKUP(TAB_Offres[[#This Row],[Reference]],TAB_Offres[[Reference]:[Has Expenses?]],COLUMNS(TAB_Offres[[Reference]:[Has Expenses?]]),FALSE)=J$2,TAB_Offres[[#This Row],[Reference]],""),"")</f>
        <v/>
      </c>
      <c r="O985" t="str">
        <f>IF(Tableau19[[#This Row],[EXPENSES_REF]]="","",MAX(O$1:O984)+1)</f>
        <v/>
      </c>
      <c r="P985" t="str">
        <f t="shared" si="28"/>
        <v/>
      </c>
      <c r="AI985" s="191" t="str">
        <f>IFERROR(_xlfn.SINGLE(
IF(_xlfn.SINGLE(INDEX(TAB_Offres[Ressource 1],ROWS(Params!AI$2:$AI985)))=0,NA(),
INDEX(TAB_Offres[Ressource 1],ROWS(Params!AI$2:$AI985)))),
IFERROR(_xlfn.SINGLE(IF(_xlfn.SINGLE(INDEX(#REF!,ROWS(Params!AI$2:$AI985)-COUNTA(TAB_Offres[Ressource 1])))=0,NA(),
INDEX(#REF!,ROWS(Params!AI$2:$AI985)-COUNTA(TAB_Offres[Ressource 1])))),
IFERROR(_xlfn.SINGLE(IF(_xlfn.SINGLE(INDEX(#REF!,ROWS(Params!AI$2:$AI985)-COUNTA(#REF!)-COUNTA(TAB_Offres[Ressource 1])))=0,NA(),
INDEX(#REF!,ROWS(Params!AI$2:$AI985)-COUNTA(#REF!)-COUNTA(TAB_Offres[Ressource 1])))),""))
)</f>
        <v/>
      </c>
      <c r="AJ985" s="192" t="str">
        <f>IF(TAB_ressource[[#This Row],[Import Ressource]]="","",MAX(AJ$1:AJ984)+1)</f>
        <v/>
      </c>
      <c r="AK985" s="193" t="str">
        <f>IFERROR(INDEX(TAB_ressource[Import Ressource],MATCH(ROW()-ROW($AK$1),TAB_ressource[ID Import ressources],0)),"")</f>
        <v/>
      </c>
      <c r="BE985" t="s">
        <v>3344</v>
      </c>
      <c r="BF985" t="s">
        <v>3345</v>
      </c>
      <c r="BG985" t="s">
        <v>1280</v>
      </c>
    </row>
    <row r="986" spans="13:59" x14ac:dyDescent="0.25">
      <c r="M986" t="str">
        <f>_xlfn.IFNA(IF(VLOOKUP(TAB_Offres[[#This Row],[Reference]],TAB_Offres[[Reference]:[Request State]],COLUMNS(TAB_Offres[[Reference]:[Request State]]),FALSE)=D$6,TAB_Offres[[#This Row],[Reference]],""),"")</f>
        <v/>
      </c>
      <c r="N986" t="str">
        <f>_xlfn.IFNA(IF(VLOOKUP(TAB_Offres[[#This Row],[Reference]],TAB_Offres[[Reference]:[Has Expenses?]],COLUMNS(TAB_Offres[[Reference]:[Has Expenses?]]),FALSE)=J$2,TAB_Offres[[#This Row],[Reference]],""),"")</f>
        <v/>
      </c>
      <c r="O986" t="str">
        <f>IF(Tableau19[[#This Row],[EXPENSES_REF]]="","",MAX(O$1:O985)+1)</f>
        <v/>
      </c>
      <c r="P986" t="str">
        <f t="shared" si="28"/>
        <v/>
      </c>
      <c r="AI986" s="191" t="str">
        <f>IFERROR(_xlfn.SINGLE(
IF(_xlfn.SINGLE(INDEX(TAB_Offres[Ressource 1],ROWS(Params!AI$2:$AI986)))=0,NA(),
INDEX(TAB_Offres[Ressource 1],ROWS(Params!AI$2:$AI986)))),
IFERROR(_xlfn.SINGLE(IF(_xlfn.SINGLE(INDEX(#REF!,ROWS(Params!AI$2:$AI986)-COUNTA(TAB_Offres[Ressource 1])))=0,NA(),
INDEX(#REF!,ROWS(Params!AI$2:$AI986)-COUNTA(TAB_Offres[Ressource 1])))),
IFERROR(_xlfn.SINGLE(IF(_xlfn.SINGLE(INDEX(#REF!,ROWS(Params!AI$2:$AI986)-COUNTA(#REF!)-COUNTA(TAB_Offres[Ressource 1])))=0,NA(),
INDEX(#REF!,ROWS(Params!AI$2:$AI986)-COUNTA(#REF!)-COUNTA(TAB_Offres[Ressource 1])))),""))
)</f>
        <v/>
      </c>
      <c r="AJ986" s="192" t="str">
        <f>IF(TAB_ressource[[#This Row],[Import Ressource]]="","",MAX(AJ$1:AJ985)+1)</f>
        <v/>
      </c>
      <c r="AK986" s="193" t="str">
        <f>IFERROR(INDEX(TAB_ressource[Import Ressource],MATCH(ROW()-ROW($AK$1),TAB_ressource[ID Import ressources],0)),"")</f>
        <v/>
      </c>
      <c r="BE986" t="s">
        <v>3346</v>
      </c>
      <c r="BF986" t="s">
        <v>3347</v>
      </c>
      <c r="BG986" t="s">
        <v>1283</v>
      </c>
    </row>
    <row r="987" spans="13:59" x14ac:dyDescent="0.25">
      <c r="M987" t="str">
        <f>_xlfn.IFNA(IF(VLOOKUP(TAB_Offres[[#This Row],[Reference]],TAB_Offres[[Reference]:[Request State]],COLUMNS(TAB_Offres[[Reference]:[Request State]]),FALSE)=D$6,TAB_Offres[[#This Row],[Reference]],""),"")</f>
        <v/>
      </c>
      <c r="N987" t="str">
        <f>_xlfn.IFNA(IF(VLOOKUP(TAB_Offres[[#This Row],[Reference]],TAB_Offres[[Reference]:[Has Expenses?]],COLUMNS(TAB_Offres[[Reference]:[Has Expenses?]]),FALSE)=J$2,TAB_Offres[[#This Row],[Reference]],""),"")</f>
        <v/>
      </c>
      <c r="O987" t="str">
        <f>IF(Tableau19[[#This Row],[EXPENSES_REF]]="","",MAX(O$1:O986)+1)</f>
        <v/>
      </c>
      <c r="P987" t="str">
        <f t="shared" si="28"/>
        <v/>
      </c>
      <c r="AI987" s="191" t="str">
        <f>IFERROR(_xlfn.SINGLE(
IF(_xlfn.SINGLE(INDEX(TAB_Offres[Ressource 1],ROWS(Params!AI$2:$AI987)))=0,NA(),
INDEX(TAB_Offres[Ressource 1],ROWS(Params!AI$2:$AI987)))),
IFERROR(_xlfn.SINGLE(IF(_xlfn.SINGLE(INDEX(#REF!,ROWS(Params!AI$2:$AI987)-COUNTA(TAB_Offres[Ressource 1])))=0,NA(),
INDEX(#REF!,ROWS(Params!AI$2:$AI987)-COUNTA(TAB_Offres[Ressource 1])))),
IFERROR(_xlfn.SINGLE(IF(_xlfn.SINGLE(INDEX(#REF!,ROWS(Params!AI$2:$AI987)-COUNTA(#REF!)-COUNTA(TAB_Offres[Ressource 1])))=0,NA(),
INDEX(#REF!,ROWS(Params!AI$2:$AI987)-COUNTA(#REF!)-COUNTA(TAB_Offres[Ressource 1])))),""))
)</f>
        <v/>
      </c>
      <c r="AJ987" s="192" t="str">
        <f>IF(TAB_ressource[[#This Row],[Import Ressource]]="","",MAX(AJ$1:AJ986)+1)</f>
        <v/>
      </c>
      <c r="AK987" s="193" t="str">
        <f>IFERROR(INDEX(TAB_ressource[Import Ressource],MATCH(ROW()-ROW($AK$1),TAB_ressource[ID Import ressources],0)),"")</f>
        <v/>
      </c>
      <c r="BE987" t="s">
        <v>3348</v>
      </c>
      <c r="BF987" t="s">
        <v>3349</v>
      </c>
      <c r="BG987" t="s">
        <v>1286</v>
      </c>
    </row>
    <row r="988" spans="13:59" x14ac:dyDescent="0.25">
      <c r="M988" t="str">
        <f>_xlfn.IFNA(IF(VLOOKUP(TAB_Offres[[#This Row],[Reference]],TAB_Offres[[Reference]:[Request State]],COLUMNS(TAB_Offres[[Reference]:[Request State]]),FALSE)=D$6,TAB_Offres[[#This Row],[Reference]],""),"")</f>
        <v/>
      </c>
      <c r="N988" t="str">
        <f>_xlfn.IFNA(IF(VLOOKUP(TAB_Offres[[#This Row],[Reference]],TAB_Offres[[Reference]:[Has Expenses?]],COLUMNS(TAB_Offres[[Reference]:[Has Expenses?]]),FALSE)=J$2,TAB_Offres[[#This Row],[Reference]],""),"")</f>
        <v/>
      </c>
      <c r="O988" t="str">
        <f>IF(Tableau19[[#This Row],[EXPENSES_REF]]="","",MAX(O$1:O987)+1)</f>
        <v/>
      </c>
      <c r="P988" t="str">
        <f t="shared" si="28"/>
        <v/>
      </c>
      <c r="AI988" s="191" t="str">
        <f>IFERROR(_xlfn.SINGLE(
IF(_xlfn.SINGLE(INDEX(TAB_Offres[Ressource 1],ROWS(Params!AI$2:$AI988)))=0,NA(),
INDEX(TAB_Offres[Ressource 1],ROWS(Params!AI$2:$AI988)))),
IFERROR(_xlfn.SINGLE(IF(_xlfn.SINGLE(INDEX(#REF!,ROWS(Params!AI$2:$AI988)-COUNTA(TAB_Offres[Ressource 1])))=0,NA(),
INDEX(#REF!,ROWS(Params!AI$2:$AI988)-COUNTA(TAB_Offres[Ressource 1])))),
IFERROR(_xlfn.SINGLE(IF(_xlfn.SINGLE(INDEX(#REF!,ROWS(Params!AI$2:$AI988)-COUNTA(#REF!)-COUNTA(TAB_Offres[Ressource 1])))=0,NA(),
INDEX(#REF!,ROWS(Params!AI$2:$AI988)-COUNTA(#REF!)-COUNTA(TAB_Offres[Ressource 1])))),""))
)</f>
        <v/>
      </c>
      <c r="AJ988" s="192" t="str">
        <f>IF(TAB_ressource[[#This Row],[Import Ressource]]="","",MAX(AJ$1:AJ987)+1)</f>
        <v/>
      </c>
      <c r="AK988" s="193" t="str">
        <f>IFERROR(INDEX(TAB_ressource[Import Ressource],MATCH(ROW()-ROW($AK$1),TAB_ressource[ID Import ressources],0)),"")</f>
        <v/>
      </c>
      <c r="BE988" t="s">
        <v>3350</v>
      </c>
      <c r="BF988" t="s">
        <v>3351</v>
      </c>
      <c r="BG988" t="s">
        <v>1289</v>
      </c>
    </row>
    <row r="989" spans="13:59" x14ac:dyDescent="0.25">
      <c r="M989" t="str">
        <f>_xlfn.IFNA(IF(VLOOKUP(TAB_Offres[[#This Row],[Reference]],TAB_Offres[[Reference]:[Request State]],COLUMNS(TAB_Offres[[Reference]:[Request State]]),FALSE)=D$6,TAB_Offres[[#This Row],[Reference]],""),"")</f>
        <v/>
      </c>
      <c r="N989" t="str">
        <f>_xlfn.IFNA(IF(VLOOKUP(TAB_Offres[[#This Row],[Reference]],TAB_Offres[[Reference]:[Has Expenses?]],COLUMNS(TAB_Offres[[Reference]:[Has Expenses?]]),FALSE)=J$2,TAB_Offres[[#This Row],[Reference]],""),"")</f>
        <v/>
      </c>
      <c r="O989" t="str">
        <f>IF(Tableau19[[#This Row],[EXPENSES_REF]]="","",MAX(O$1:O988)+1)</f>
        <v/>
      </c>
      <c r="P989" t="str">
        <f t="shared" si="28"/>
        <v/>
      </c>
      <c r="AI989" s="191" t="str">
        <f>IFERROR(_xlfn.SINGLE(
IF(_xlfn.SINGLE(INDEX(TAB_Offres[Ressource 1],ROWS(Params!AI$2:$AI989)))=0,NA(),
INDEX(TAB_Offres[Ressource 1],ROWS(Params!AI$2:$AI989)))),
IFERROR(_xlfn.SINGLE(IF(_xlfn.SINGLE(INDEX(#REF!,ROWS(Params!AI$2:$AI989)-COUNTA(TAB_Offres[Ressource 1])))=0,NA(),
INDEX(#REF!,ROWS(Params!AI$2:$AI989)-COUNTA(TAB_Offres[Ressource 1])))),
IFERROR(_xlfn.SINGLE(IF(_xlfn.SINGLE(INDEX(#REF!,ROWS(Params!AI$2:$AI989)-COUNTA(#REF!)-COUNTA(TAB_Offres[Ressource 1])))=0,NA(),
INDEX(#REF!,ROWS(Params!AI$2:$AI989)-COUNTA(#REF!)-COUNTA(TAB_Offres[Ressource 1])))),""))
)</f>
        <v/>
      </c>
      <c r="AJ989" s="192" t="str">
        <f>IF(TAB_ressource[[#This Row],[Import Ressource]]="","",MAX(AJ$1:AJ988)+1)</f>
        <v/>
      </c>
      <c r="AK989" s="193" t="str">
        <f>IFERROR(INDEX(TAB_ressource[Import Ressource],MATCH(ROW()-ROW($AK$1),TAB_ressource[ID Import ressources],0)),"")</f>
        <v/>
      </c>
      <c r="BE989" t="s">
        <v>3352</v>
      </c>
      <c r="BF989" t="s">
        <v>3353</v>
      </c>
      <c r="BG989" t="s">
        <v>1292</v>
      </c>
    </row>
    <row r="990" spans="13:59" x14ac:dyDescent="0.25">
      <c r="M990" t="str">
        <f>_xlfn.IFNA(IF(VLOOKUP(TAB_Offres[[#This Row],[Reference]],TAB_Offres[[Reference]:[Request State]],COLUMNS(TAB_Offres[[Reference]:[Request State]]),FALSE)=D$6,TAB_Offres[[#This Row],[Reference]],""),"")</f>
        <v/>
      </c>
      <c r="N990" t="str">
        <f>_xlfn.IFNA(IF(VLOOKUP(TAB_Offres[[#This Row],[Reference]],TAB_Offres[[Reference]:[Has Expenses?]],COLUMNS(TAB_Offres[[Reference]:[Has Expenses?]]),FALSE)=J$2,TAB_Offres[[#This Row],[Reference]],""),"")</f>
        <v/>
      </c>
      <c r="O990" t="str">
        <f>IF(Tableau19[[#This Row],[EXPENSES_REF]]="","",MAX(O$1:O989)+1)</f>
        <v/>
      </c>
      <c r="P990" t="str">
        <f t="shared" si="28"/>
        <v/>
      </c>
      <c r="AI990" s="191" t="str">
        <f>IFERROR(_xlfn.SINGLE(
IF(_xlfn.SINGLE(INDEX(TAB_Offres[Ressource 1],ROWS(Params!AI$2:$AI990)))=0,NA(),
INDEX(TAB_Offres[Ressource 1],ROWS(Params!AI$2:$AI990)))),
IFERROR(_xlfn.SINGLE(IF(_xlfn.SINGLE(INDEX(#REF!,ROWS(Params!AI$2:$AI990)-COUNTA(TAB_Offres[Ressource 1])))=0,NA(),
INDEX(#REF!,ROWS(Params!AI$2:$AI990)-COUNTA(TAB_Offres[Ressource 1])))),
IFERROR(_xlfn.SINGLE(IF(_xlfn.SINGLE(INDEX(#REF!,ROWS(Params!AI$2:$AI990)-COUNTA(#REF!)-COUNTA(TAB_Offres[Ressource 1])))=0,NA(),
INDEX(#REF!,ROWS(Params!AI$2:$AI990)-COUNTA(#REF!)-COUNTA(TAB_Offres[Ressource 1])))),""))
)</f>
        <v/>
      </c>
      <c r="AJ990" s="192" t="str">
        <f>IF(TAB_ressource[[#This Row],[Import Ressource]]="","",MAX(AJ$1:AJ989)+1)</f>
        <v/>
      </c>
      <c r="AK990" s="193" t="str">
        <f>IFERROR(INDEX(TAB_ressource[Import Ressource],MATCH(ROW()-ROW($AK$1),TAB_ressource[ID Import ressources],0)),"")</f>
        <v/>
      </c>
      <c r="BE990" t="s">
        <v>3354</v>
      </c>
      <c r="BF990" t="s">
        <v>3355</v>
      </c>
      <c r="BG990" t="s">
        <v>1295</v>
      </c>
    </row>
    <row r="991" spans="13:59" x14ac:dyDescent="0.25">
      <c r="M991" t="str">
        <f>_xlfn.IFNA(IF(VLOOKUP(TAB_Offres[[#This Row],[Reference]],TAB_Offres[[Reference]:[Request State]],COLUMNS(TAB_Offres[[Reference]:[Request State]]),FALSE)=D$6,TAB_Offres[[#This Row],[Reference]],""),"")</f>
        <v/>
      </c>
      <c r="N991" t="str">
        <f>_xlfn.IFNA(IF(VLOOKUP(TAB_Offres[[#This Row],[Reference]],TAB_Offres[[Reference]:[Has Expenses?]],COLUMNS(TAB_Offres[[Reference]:[Has Expenses?]]),FALSE)=J$2,TAB_Offres[[#This Row],[Reference]],""),"")</f>
        <v/>
      </c>
      <c r="O991" t="str">
        <f>IF(Tableau19[[#This Row],[EXPENSES_REF]]="","",MAX(O$1:O990)+1)</f>
        <v/>
      </c>
      <c r="P991" t="str">
        <f t="shared" si="28"/>
        <v/>
      </c>
      <c r="AI991" s="191" t="str">
        <f>IFERROR(_xlfn.SINGLE(
IF(_xlfn.SINGLE(INDEX(TAB_Offres[Ressource 1],ROWS(Params!AI$2:$AI991)))=0,NA(),
INDEX(TAB_Offres[Ressource 1],ROWS(Params!AI$2:$AI991)))),
IFERROR(_xlfn.SINGLE(IF(_xlfn.SINGLE(INDEX(#REF!,ROWS(Params!AI$2:$AI991)-COUNTA(TAB_Offres[Ressource 1])))=0,NA(),
INDEX(#REF!,ROWS(Params!AI$2:$AI991)-COUNTA(TAB_Offres[Ressource 1])))),
IFERROR(_xlfn.SINGLE(IF(_xlfn.SINGLE(INDEX(#REF!,ROWS(Params!AI$2:$AI991)-COUNTA(#REF!)-COUNTA(TAB_Offres[Ressource 1])))=0,NA(),
INDEX(#REF!,ROWS(Params!AI$2:$AI991)-COUNTA(#REF!)-COUNTA(TAB_Offres[Ressource 1])))),""))
)</f>
        <v/>
      </c>
      <c r="AJ991" s="192" t="str">
        <f>IF(TAB_ressource[[#This Row],[Import Ressource]]="","",MAX(AJ$1:AJ990)+1)</f>
        <v/>
      </c>
      <c r="AK991" s="193" t="str">
        <f>IFERROR(INDEX(TAB_ressource[Import Ressource],MATCH(ROW()-ROW($AK$1),TAB_ressource[ID Import ressources],0)),"")</f>
        <v/>
      </c>
      <c r="BE991" t="s">
        <v>3356</v>
      </c>
      <c r="BF991" t="s">
        <v>3357</v>
      </c>
      <c r="BG991" t="s">
        <v>1298</v>
      </c>
    </row>
    <row r="992" spans="13:59" x14ac:dyDescent="0.25">
      <c r="M992" t="str">
        <f>_xlfn.IFNA(IF(VLOOKUP(TAB_Offres[[#This Row],[Reference]],TAB_Offres[[Reference]:[Request State]],COLUMNS(TAB_Offres[[Reference]:[Request State]]),FALSE)=D$6,TAB_Offres[[#This Row],[Reference]],""),"")</f>
        <v/>
      </c>
      <c r="N992" t="str">
        <f>_xlfn.IFNA(IF(VLOOKUP(TAB_Offres[[#This Row],[Reference]],TAB_Offres[[Reference]:[Has Expenses?]],COLUMNS(TAB_Offres[[Reference]:[Has Expenses?]]),FALSE)=J$2,TAB_Offres[[#This Row],[Reference]],""),"")</f>
        <v/>
      </c>
      <c r="O992" t="str">
        <f>IF(Tableau19[[#This Row],[EXPENSES_REF]]="","",MAX(O$1:O991)+1)</f>
        <v/>
      </c>
      <c r="P992" t="str">
        <f t="shared" si="28"/>
        <v/>
      </c>
      <c r="AI992" s="191" t="str">
        <f>IFERROR(_xlfn.SINGLE(
IF(_xlfn.SINGLE(INDEX(TAB_Offres[Ressource 1],ROWS(Params!AI$2:$AI992)))=0,NA(),
INDEX(TAB_Offres[Ressource 1],ROWS(Params!AI$2:$AI992)))),
IFERROR(_xlfn.SINGLE(IF(_xlfn.SINGLE(INDEX(#REF!,ROWS(Params!AI$2:$AI992)-COUNTA(TAB_Offres[Ressource 1])))=0,NA(),
INDEX(#REF!,ROWS(Params!AI$2:$AI992)-COUNTA(TAB_Offres[Ressource 1])))),
IFERROR(_xlfn.SINGLE(IF(_xlfn.SINGLE(INDEX(#REF!,ROWS(Params!AI$2:$AI992)-COUNTA(#REF!)-COUNTA(TAB_Offres[Ressource 1])))=0,NA(),
INDEX(#REF!,ROWS(Params!AI$2:$AI992)-COUNTA(#REF!)-COUNTA(TAB_Offres[Ressource 1])))),""))
)</f>
        <v/>
      </c>
      <c r="AJ992" s="192" t="str">
        <f>IF(TAB_ressource[[#This Row],[Import Ressource]]="","",MAX(AJ$1:AJ991)+1)</f>
        <v/>
      </c>
      <c r="AK992" s="193" t="str">
        <f>IFERROR(INDEX(TAB_ressource[Import Ressource],MATCH(ROW()-ROW($AK$1),TAB_ressource[ID Import ressources],0)),"")</f>
        <v/>
      </c>
      <c r="BE992" t="s">
        <v>3358</v>
      </c>
      <c r="BF992" t="s">
        <v>3359</v>
      </c>
      <c r="BG992" t="s">
        <v>1301</v>
      </c>
    </row>
    <row r="993" spans="13:59" x14ac:dyDescent="0.25">
      <c r="M993" t="str">
        <f>_xlfn.IFNA(IF(VLOOKUP(TAB_Offres[[#This Row],[Reference]],TAB_Offres[[Reference]:[Request State]],COLUMNS(TAB_Offres[[Reference]:[Request State]]),FALSE)=D$6,TAB_Offres[[#This Row],[Reference]],""),"")</f>
        <v/>
      </c>
      <c r="N993" t="str">
        <f>_xlfn.IFNA(IF(VLOOKUP(TAB_Offres[[#This Row],[Reference]],TAB_Offres[[Reference]:[Has Expenses?]],COLUMNS(TAB_Offres[[Reference]:[Has Expenses?]]),FALSE)=J$2,TAB_Offres[[#This Row],[Reference]],""),"")</f>
        <v/>
      </c>
      <c r="O993" t="str">
        <f>IF(Tableau19[[#This Row],[EXPENSES_REF]]="","",MAX(O$1:O992)+1)</f>
        <v/>
      </c>
      <c r="P993" t="str">
        <f t="shared" si="28"/>
        <v/>
      </c>
      <c r="AI993" s="191" t="str">
        <f>IFERROR(_xlfn.SINGLE(
IF(_xlfn.SINGLE(INDEX(TAB_Offres[Ressource 1],ROWS(Params!AI$2:$AI993)))=0,NA(),
INDEX(TAB_Offres[Ressource 1],ROWS(Params!AI$2:$AI993)))),
IFERROR(_xlfn.SINGLE(IF(_xlfn.SINGLE(INDEX(#REF!,ROWS(Params!AI$2:$AI993)-COUNTA(TAB_Offres[Ressource 1])))=0,NA(),
INDEX(#REF!,ROWS(Params!AI$2:$AI993)-COUNTA(TAB_Offres[Ressource 1])))),
IFERROR(_xlfn.SINGLE(IF(_xlfn.SINGLE(INDEX(#REF!,ROWS(Params!AI$2:$AI993)-COUNTA(#REF!)-COUNTA(TAB_Offres[Ressource 1])))=0,NA(),
INDEX(#REF!,ROWS(Params!AI$2:$AI993)-COUNTA(#REF!)-COUNTA(TAB_Offres[Ressource 1])))),""))
)</f>
        <v/>
      </c>
      <c r="AJ993" s="192" t="str">
        <f>IF(TAB_ressource[[#This Row],[Import Ressource]]="","",MAX(AJ$1:AJ992)+1)</f>
        <v/>
      </c>
      <c r="AK993" s="193" t="str">
        <f>IFERROR(INDEX(TAB_ressource[Import Ressource],MATCH(ROW()-ROW($AK$1),TAB_ressource[ID Import ressources],0)),"")</f>
        <v/>
      </c>
      <c r="BE993" t="s">
        <v>3360</v>
      </c>
      <c r="BF993" t="s">
        <v>3361</v>
      </c>
      <c r="BG993" t="s">
        <v>1304</v>
      </c>
    </row>
    <row r="994" spans="13:59" x14ac:dyDescent="0.25">
      <c r="M994" t="str">
        <f>_xlfn.IFNA(IF(VLOOKUP(TAB_Offres[[#This Row],[Reference]],TAB_Offres[[Reference]:[Request State]],COLUMNS(TAB_Offres[[Reference]:[Request State]]),FALSE)=D$6,TAB_Offres[[#This Row],[Reference]],""),"")</f>
        <v/>
      </c>
      <c r="N994" t="str">
        <f>_xlfn.IFNA(IF(VLOOKUP(TAB_Offres[[#This Row],[Reference]],TAB_Offres[[Reference]:[Has Expenses?]],COLUMNS(TAB_Offres[[Reference]:[Has Expenses?]]),FALSE)=J$2,TAB_Offres[[#This Row],[Reference]],""),"")</f>
        <v/>
      </c>
      <c r="O994" t="str">
        <f>IF(Tableau19[[#This Row],[EXPENSES_REF]]="","",MAX(O$1:O993)+1)</f>
        <v/>
      </c>
      <c r="P994" t="str">
        <f t="shared" si="28"/>
        <v/>
      </c>
      <c r="AI994" s="191" t="str">
        <f>IFERROR(_xlfn.SINGLE(
IF(_xlfn.SINGLE(INDEX(TAB_Offres[Ressource 1],ROWS(Params!AI$2:$AI994)))=0,NA(),
INDEX(TAB_Offres[Ressource 1],ROWS(Params!AI$2:$AI994)))),
IFERROR(_xlfn.SINGLE(IF(_xlfn.SINGLE(INDEX(#REF!,ROWS(Params!AI$2:$AI994)-COUNTA(TAB_Offres[Ressource 1])))=0,NA(),
INDEX(#REF!,ROWS(Params!AI$2:$AI994)-COUNTA(TAB_Offres[Ressource 1])))),
IFERROR(_xlfn.SINGLE(IF(_xlfn.SINGLE(INDEX(#REF!,ROWS(Params!AI$2:$AI994)-COUNTA(#REF!)-COUNTA(TAB_Offres[Ressource 1])))=0,NA(),
INDEX(#REF!,ROWS(Params!AI$2:$AI994)-COUNTA(#REF!)-COUNTA(TAB_Offres[Ressource 1])))),""))
)</f>
        <v/>
      </c>
      <c r="AJ994" s="192" t="str">
        <f>IF(TAB_ressource[[#This Row],[Import Ressource]]="","",MAX(AJ$1:AJ993)+1)</f>
        <v/>
      </c>
      <c r="AK994" s="193" t="str">
        <f>IFERROR(INDEX(TAB_ressource[Import Ressource],MATCH(ROW()-ROW($AK$1),TAB_ressource[ID Import ressources],0)),"")</f>
        <v/>
      </c>
      <c r="BE994" t="s">
        <v>3362</v>
      </c>
      <c r="BF994" t="s">
        <v>3363</v>
      </c>
      <c r="BG994" t="s">
        <v>1307</v>
      </c>
    </row>
    <row r="995" spans="13:59" x14ac:dyDescent="0.25">
      <c r="M995" t="str">
        <f>_xlfn.IFNA(IF(VLOOKUP(TAB_Offres[[#This Row],[Reference]],TAB_Offres[[Reference]:[Request State]],COLUMNS(TAB_Offres[[Reference]:[Request State]]),FALSE)=D$6,TAB_Offres[[#This Row],[Reference]],""),"")</f>
        <v/>
      </c>
      <c r="N995" t="str">
        <f>_xlfn.IFNA(IF(VLOOKUP(TAB_Offres[[#This Row],[Reference]],TAB_Offres[[Reference]:[Has Expenses?]],COLUMNS(TAB_Offres[[Reference]:[Has Expenses?]]),FALSE)=J$2,TAB_Offres[[#This Row],[Reference]],""),"")</f>
        <v/>
      </c>
      <c r="O995" t="str">
        <f>IF(Tableau19[[#This Row],[EXPENSES_REF]]="","",MAX(O$1:O994)+1)</f>
        <v/>
      </c>
      <c r="P995" t="str">
        <f t="shared" si="28"/>
        <v/>
      </c>
      <c r="AI995" s="191" t="str">
        <f>IFERROR(_xlfn.SINGLE(
IF(_xlfn.SINGLE(INDEX(TAB_Offres[Ressource 1],ROWS(Params!AI$2:$AI995)))=0,NA(),
INDEX(TAB_Offres[Ressource 1],ROWS(Params!AI$2:$AI995)))),
IFERROR(_xlfn.SINGLE(IF(_xlfn.SINGLE(INDEX(#REF!,ROWS(Params!AI$2:$AI995)-COUNTA(TAB_Offres[Ressource 1])))=0,NA(),
INDEX(#REF!,ROWS(Params!AI$2:$AI995)-COUNTA(TAB_Offres[Ressource 1])))),
IFERROR(_xlfn.SINGLE(IF(_xlfn.SINGLE(INDEX(#REF!,ROWS(Params!AI$2:$AI995)-COUNTA(#REF!)-COUNTA(TAB_Offres[Ressource 1])))=0,NA(),
INDEX(#REF!,ROWS(Params!AI$2:$AI995)-COUNTA(#REF!)-COUNTA(TAB_Offres[Ressource 1])))),""))
)</f>
        <v/>
      </c>
      <c r="AJ995" s="192" t="str">
        <f>IF(TAB_ressource[[#This Row],[Import Ressource]]="","",MAX(AJ$1:AJ994)+1)</f>
        <v/>
      </c>
      <c r="AK995" s="193" t="str">
        <f>IFERROR(INDEX(TAB_ressource[Import Ressource],MATCH(ROW()-ROW($AK$1),TAB_ressource[ID Import ressources],0)),"")</f>
        <v/>
      </c>
      <c r="BE995" t="s">
        <v>3364</v>
      </c>
      <c r="BF995" t="s">
        <v>3365</v>
      </c>
      <c r="BG995" t="s">
        <v>1310</v>
      </c>
    </row>
    <row r="996" spans="13:59" x14ac:dyDescent="0.25">
      <c r="M996" t="str">
        <f>_xlfn.IFNA(IF(VLOOKUP(TAB_Offres[[#This Row],[Reference]],TAB_Offres[[Reference]:[Request State]],COLUMNS(TAB_Offres[[Reference]:[Request State]]),FALSE)=D$6,TAB_Offres[[#This Row],[Reference]],""),"")</f>
        <v/>
      </c>
      <c r="N996" t="str">
        <f>_xlfn.IFNA(IF(VLOOKUP(TAB_Offres[[#This Row],[Reference]],TAB_Offres[[Reference]:[Has Expenses?]],COLUMNS(TAB_Offres[[Reference]:[Has Expenses?]]),FALSE)=J$2,TAB_Offres[[#This Row],[Reference]],""),"")</f>
        <v/>
      </c>
      <c r="O996" t="str">
        <f>IF(Tableau19[[#This Row],[EXPENSES_REF]]="","",MAX(O$1:O995)+1)</f>
        <v/>
      </c>
      <c r="P996" t="str">
        <f t="shared" si="28"/>
        <v/>
      </c>
      <c r="AI996" s="191" t="str">
        <f>IFERROR(_xlfn.SINGLE(
IF(_xlfn.SINGLE(INDEX(TAB_Offres[Ressource 1],ROWS(Params!AI$2:$AI996)))=0,NA(),
INDEX(TAB_Offres[Ressource 1],ROWS(Params!AI$2:$AI996)))),
IFERROR(_xlfn.SINGLE(IF(_xlfn.SINGLE(INDEX(#REF!,ROWS(Params!AI$2:$AI996)-COUNTA(TAB_Offres[Ressource 1])))=0,NA(),
INDEX(#REF!,ROWS(Params!AI$2:$AI996)-COUNTA(TAB_Offres[Ressource 1])))),
IFERROR(_xlfn.SINGLE(IF(_xlfn.SINGLE(INDEX(#REF!,ROWS(Params!AI$2:$AI996)-COUNTA(#REF!)-COUNTA(TAB_Offres[Ressource 1])))=0,NA(),
INDEX(#REF!,ROWS(Params!AI$2:$AI996)-COUNTA(#REF!)-COUNTA(TAB_Offres[Ressource 1])))),""))
)</f>
        <v/>
      </c>
      <c r="AJ996" s="192" t="str">
        <f>IF(TAB_ressource[[#This Row],[Import Ressource]]="","",MAX(AJ$1:AJ995)+1)</f>
        <v/>
      </c>
      <c r="AK996" s="193" t="str">
        <f>IFERROR(INDEX(TAB_ressource[Import Ressource],MATCH(ROW()-ROW($AK$1),TAB_ressource[ID Import ressources],0)),"")</f>
        <v/>
      </c>
      <c r="BE996" t="s">
        <v>3366</v>
      </c>
      <c r="BF996" t="s">
        <v>3367</v>
      </c>
      <c r="BG996" t="s">
        <v>1313</v>
      </c>
    </row>
    <row r="997" spans="13:59" x14ac:dyDescent="0.25">
      <c r="M997" t="str">
        <f>_xlfn.IFNA(IF(VLOOKUP(TAB_Offres[[#This Row],[Reference]],TAB_Offres[[Reference]:[Request State]],COLUMNS(TAB_Offres[[Reference]:[Request State]]),FALSE)=D$6,TAB_Offres[[#This Row],[Reference]],""),"")</f>
        <v/>
      </c>
      <c r="N997" t="str">
        <f>_xlfn.IFNA(IF(VLOOKUP(TAB_Offres[[#This Row],[Reference]],TAB_Offres[[Reference]:[Has Expenses?]],COLUMNS(TAB_Offres[[Reference]:[Has Expenses?]]),FALSE)=J$2,TAB_Offres[[#This Row],[Reference]],""),"")</f>
        <v/>
      </c>
      <c r="O997" t="str">
        <f>IF(Tableau19[[#This Row],[EXPENSES_REF]]="","",MAX(O$1:O996)+1)</f>
        <v/>
      </c>
      <c r="P997" t="str">
        <f t="shared" si="28"/>
        <v/>
      </c>
      <c r="AI997" s="191" t="str">
        <f>IFERROR(_xlfn.SINGLE(
IF(_xlfn.SINGLE(INDEX(TAB_Offres[Ressource 1],ROWS(Params!AI$2:$AI997)))=0,NA(),
INDEX(TAB_Offres[Ressource 1],ROWS(Params!AI$2:$AI997)))),
IFERROR(_xlfn.SINGLE(IF(_xlfn.SINGLE(INDEX(#REF!,ROWS(Params!AI$2:$AI997)-COUNTA(TAB_Offres[Ressource 1])))=0,NA(),
INDEX(#REF!,ROWS(Params!AI$2:$AI997)-COUNTA(TAB_Offres[Ressource 1])))),
IFERROR(_xlfn.SINGLE(IF(_xlfn.SINGLE(INDEX(#REF!,ROWS(Params!AI$2:$AI997)-COUNTA(#REF!)-COUNTA(TAB_Offres[Ressource 1])))=0,NA(),
INDEX(#REF!,ROWS(Params!AI$2:$AI997)-COUNTA(#REF!)-COUNTA(TAB_Offres[Ressource 1])))),""))
)</f>
        <v/>
      </c>
      <c r="AJ997" s="192" t="str">
        <f>IF(TAB_ressource[[#This Row],[Import Ressource]]="","",MAX(AJ$1:AJ996)+1)</f>
        <v/>
      </c>
      <c r="AK997" s="193" t="str">
        <f>IFERROR(INDEX(TAB_ressource[Import Ressource],MATCH(ROW()-ROW($AK$1),TAB_ressource[ID Import ressources],0)),"")</f>
        <v/>
      </c>
      <c r="BE997" t="s">
        <v>3368</v>
      </c>
      <c r="BF997" t="s">
        <v>3369</v>
      </c>
      <c r="BG997" t="s">
        <v>1316</v>
      </c>
    </row>
    <row r="998" spans="13:59" x14ac:dyDescent="0.25">
      <c r="M998" t="str">
        <f>_xlfn.IFNA(IF(VLOOKUP(TAB_Offres[[#This Row],[Reference]],TAB_Offres[[Reference]:[Request State]],COLUMNS(TAB_Offres[[Reference]:[Request State]]),FALSE)=D$6,TAB_Offres[[#This Row],[Reference]],""),"")</f>
        <v/>
      </c>
      <c r="N998" t="str">
        <f>_xlfn.IFNA(IF(VLOOKUP(TAB_Offres[[#This Row],[Reference]],TAB_Offres[[Reference]:[Has Expenses?]],COLUMNS(TAB_Offres[[Reference]:[Has Expenses?]]),FALSE)=J$2,TAB_Offres[[#This Row],[Reference]],""),"")</f>
        <v/>
      </c>
      <c r="O998" t="str">
        <f>IF(Tableau19[[#This Row],[EXPENSES_REF]]="","",MAX(O$1:O997)+1)</f>
        <v/>
      </c>
      <c r="P998" t="str">
        <f t="shared" si="28"/>
        <v/>
      </c>
      <c r="AI998" s="191" t="str">
        <f>IFERROR(_xlfn.SINGLE(
IF(_xlfn.SINGLE(INDEX(TAB_Offres[Ressource 1],ROWS(Params!AI$2:$AI998)))=0,NA(),
INDEX(TAB_Offres[Ressource 1],ROWS(Params!AI$2:$AI998)))),
IFERROR(_xlfn.SINGLE(IF(_xlfn.SINGLE(INDEX(#REF!,ROWS(Params!AI$2:$AI998)-COUNTA(TAB_Offres[Ressource 1])))=0,NA(),
INDEX(#REF!,ROWS(Params!AI$2:$AI998)-COUNTA(TAB_Offres[Ressource 1])))),
IFERROR(_xlfn.SINGLE(IF(_xlfn.SINGLE(INDEX(#REF!,ROWS(Params!AI$2:$AI998)-COUNTA(#REF!)-COUNTA(TAB_Offres[Ressource 1])))=0,NA(),
INDEX(#REF!,ROWS(Params!AI$2:$AI998)-COUNTA(#REF!)-COUNTA(TAB_Offres[Ressource 1])))),""))
)</f>
        <v/>
      </c>
      <c r="AJ998" s="192" t="str">
        <f>IF(TAB_ressource[[#This Row],[Import Ressource]]="","",MAX(AJ$1:AJ997)+1)</f>
        <v/>
      </c>
      <c r="AK998" s="193" t="str">
        <f>IFERROR(INDEX(TAB_ressource[Import Ressource],MATCH(ROW()-ROW($AK$1),TAB_ressource[ID Import ressources],0)),"")</f>
        <v/>
      </c>
      <c r="BE998" t="s">
        <v>3370</v>
      </c>
      <c r="BF998" t="s">
        <v>3371</v>
      </c>
      <c r="BG998" t="s">
        <v>1319</v>
      </c>
    </row>
    <row r="999" spans="13:59" x14ac:dyDescent="0.25">
      <c r="M999" t="str">
        <f>_xlfn.IFNA(IF(VLOOKUP(TAB_Offres[[#This Row],[Reference]],TAB_Offres[[Reference]:[Request State]],COLUMNS(TAB_Offres[[Reference]:[Request State]]),FALSE)=D$6,TAB_Offres[[#This Row],[Reference]],""),"")</f>
        <v/>
      </c>
      <c r="N999" t="str">
        <f>_xlfn.IFNA(IF(VLOOKUP(TAB_Offres[[#This Row],[Reference]],TAB_Offres[[Reference]:[Has Expenses?]],COLUMNS(TAB_Offres[[Reference]:[Has Expenses?]]),FALSE)=J$2,TAB_Offres[[#This Row],[Reference]],""),"")</f>
        <v/>
      </c>
      <c r="O999" t="str">
        <f>IF(Tableau19[[#This Row],[EXPENSES_REF]]="","",MAX(O$1:O998)+1)</f>
        <v/>
      </c>
      <c r="P999" t="str">
        <f t="shared" si="28"/>
        <v/>
      </c>
      <c r="AI999" s="191" t="str">
        <f>IFERROR(_xlfn.SINGLE(
IF(_xlfn.SINGLE(INDEX(TAB_Offres[Ressource 1],ROWS(Params!AI$2:$AI999)))=0,NA(),
INDEX(TAB_Offres[Ressource 1],ROWS(Params!AI$2:$AI999)))),
IFERROR(_xlfn.SINGLE(IF(_xlfn.SINGLE(INDEX(#REF!,ROWS(Params!AI$2:$AI999)-COUNTA(TAB_Offres[Ressource 1])))=0,NA(),
INDEX(#REF!,ROWS(Params!AI$2:$AI999)-COUNTA(TAB_Offres[Ressource 1])))),
IFERROR(_xlfn.SINGLE(IF(_xlfn.SINGLE(INDEX(#REF!,ROWS(Params!AI$2:$AI999)-COUNTA(#REF!)-COUNTA(TAB_Offres[Ressource 1])))=0,NA(),
INDEX(#REF!,ROWS(Params!AI$2:$AI999)-COUNTA(#REF!)-COUNTA(TAB_Offres[Ressource 1])))),""))
)</f>
        <v/>
      </c>
      <c r="AJ999" s="192" t="str">
        <f>IF(TAB_ressource[[#This Row],[Import Ressource]]="","",MAX(AJ$1:AJ998)+1)</f>
        <v/>
      </c>
      <c r="AK999" s="193" t="str">
        <f>IFERROR(INDEX(TAB_ressource[Import Ressource],MATCH(ROW()-ROW($AK$1),TAB_ressource[ID Import ressources],0)),"")</f>
        <v/>
      </c>
      <c r="BE999" t="s">
        <v>3372</v>
      </c>
      <c r="BF999" t="s">
        <v>3373</v>
      </c>
      <c r="BG999" t="s">
        <v>1322</v>
      </c>
    </row>
    <row r="1000" spans="13:59" x14ac:dyDescent="0.25">
      <c r="M1000" t="e">
        <f>_xlfn.IFNA(IF(VLOOKUP(TAB_Offres[[#This Row],[Reference]],TAB_Offres[[Reference]:[Request State]],COLUMNS(TAB_Offres[[Reference]:[Request State]]),FALSE)=D$6,TAB_Offres[[#This Row],[Reference]],""),"")</f>
        <v>#VALUE!</v>
      </c>
      <c r="N1000" t="e">
        <f>_xlfn.IFNA(IF(VLOOKUP(TAB_Offres[[#This Row],[Reference]],TAB_Offres[[Reference]:[Has Expenses?]],COLUMNS(TAB_Offres[[Reference]:[Has Expenses?]]),FALSE)=J$2,TAB_Offres[[#This Row],[Reference]],""),"")</f>
        <v>#VALUE!</v>
      </c>
      <c r="O1000" t="e">
        <f>IF(Tableau19[[#This Row],[EXPENSES_REF]]="","",MAX(O$1:O999)+1)</f>
        <v>#VALUE!</v>
      </c>
      <c r="P1000" t="str">
        <f t="shared" si="28"/>
        <v/>
      </c>
      <c r="AI1000" s="191" t="str">
        <f>IFERROR(_xlfn.SINGLE(
IF(_xlfn.SINGLE(INDEX(TAB_Offres[Ressource 1],ROWS(Params!AI$2:$AI1000)))=0,NA(),
INDEX(TAB_Offres[Ressource 1],ROWS(Params!AI$2:$AI1000)))),
IFERROR(_xlfn.SINGLE(IF(_xlfn.SINGLE(INDEX(#REF!,ROWS(Params!AI$2:$AI1000)-COUNTA(TAB_Offres[Ressource 1])))=0,NA(),
INDEX(#REF!,ROWS(Params!AI$2:$AI1000)-COUNTA(TAB_Offres[Ressource 1])))),
IFERROR(_xlfn.SINGLE(IF(_xlfn.SINGLE(INDEX(#REF!,ROWS(Params!AI$2:$AI1000)-COUNTA(#REF!)-COUNTA(TAB_Offres[Ressource 1])))=0,NA(),
INDEX(#REF!,ROWS(Params!AI$2:$AI1000)-COUNTA(#REF!)-COUNTA(TAB_Offres[Ressource 1])))),""))
)</f>
        <v/>
      </c>
      <c r="AJ1000" s="192" t="str">
        <f>IF(TAB_ressource[[#This Row],[Import Ressource]]="","",MAX(AJ$1:AJ999)+1)</f>
        <v/>
      </c>
      <c r="AK1000" s="193" t="str">
        <f>IFERROR(INDEX(TAB_ressource[Import Ressource],MATCH(ROW()-ROW($AK$1),TAB_ressource[ID Import ressources],0)),"")</f>
        <v/>
      </c>
      <c r="BE1000" t="s">
        <v>3374</v>
      </c>
      <c r="BF1000" t="s">
        <v>3375</v>
      </c>
      <c r="BG1000" t="s">
        <v>1325</v>
      </c>
    </row>
    <row r="1001" spans="13:59" x14ac:dyDescent="0.25">
      <c r="M1001" t="e">
        <f>_xlfn.IFNA(IF(VLOOKUP(TAB_Offres[[#This Row],[Reference]],TAB_Offres[[Reference]:[Request State]],COLUMNS(TAB_Offres[[Reference]:[Request State]]),FALSE)=D$6,TAB_Offres[[#This Row],[Reference]],""),"")</f>
        <v>#VALUE!</v>
      </c>
      <c r="N1001" t="e">
        <f>_xlfn.IFNA(IF(VLOOKUP(TAB_Offres[[#This Row],[Reference]],TAB_Offres[[Reference]:[Has Expenses?]],COLUMNS(TAB_Offres[[Reference]:[Has Expenses?]]),FALSE)=J$2,TAB_Offres[[#This Row],[Reference]],""),"")</f>
        <v>#VALUE!</v>
      </c>
      <c r="O1001" t="e">
        <f>IF(Tableau19[[#This Row],[EXPENSES_REF]]="","",MAX(O$1:O1000)+1)</f>
        <v>#VALUE!</v>
      </c>
      <c r="P1001" t="str">
        <f t="shared" si="28"/>
        <v/>
      </c>
      <c r="AI1001" s="191" t="str">
        <f>IFERROR(_xlfn.SINGLE(
IF(_xlfn.SINGLE(INDEX(TAB_Offres[Ressource 1],ROWS(Params!AI$2:$AI1001)))=0,NA(),
INDEX(TAB_Offres[Ressource 1],ROWS(Params!AI$2:$AI1001)))),
IFERROR(_xlfn.SINGLE(IF(_xlfn.SINGLE(INDEX(#REF!,ROWS(Params!AI$2:$AI1001)-COUNTA(TAB_Offres[Ressource 1])))=0,NA(),
INDEX(#REF!,ROWS(Params!AI$2:$AI1001)-COUNTA(TAB_Offres[Ressource 1])))),
IFERROR(_xlfn.SINGLE(IF(_xlfn.SINGLE(INDEX(#REF!,ROWS(Params!AI$2:$AI1001)-COUNTA(#REF!)-COUNTA(TAB_Offres[Ressource 1])))=0,NA(),
INDEX(#REF!,ROWS(Params!AI$2:$AI1001)-COUNTA(#REF!)-COUNTA(TAB_Offres[Ressource 1])))),""))
)</f>
        <v/>
      </c>
      <c r="AJ1001" s="192" t="str">
        <f>IF(TAB_ressource[[#This Row],[Import Ressource]]="","",MAX(AJ$1:AJ1000)+1)</f>
        <v/>
      </c>
      <c r="AK1001" s="193" t="str">
        <f>IFERROR(INDEX(TAB_ressource[Import Ressource],MATCH(ROW()-ROW($AK$1),TAB_ressource[ID Import ressources],0)),"")</f>
        <v/>
      </c>
      <c r="BE1001" t="s">
        <v>3376</v>
      </c>
      <c r="BF1001" t="s">
        <v>3377</v>
      </c>
      <c r="BG1001" t="s">
        <v>1328</v>
      </c>
    </row>
    <row r="1002" spans="13:59" x14ac:dyDescent="0.25">
      <c r="AI1002" s="181" t="str">
        <f>IFERROR(_xlfn.SINGLE(
IF(_xlfn.SINGLE(INDEX(TAB_Offres[Ressource 1],ROWS(Params!AI$2:$AI1002)))=0,NA(),
INDEX(TAB_Offres[Ressource 1],ROWS(Params!AI$2:$AI1002)))),
IFERROR(_xlfn.SINGLE(IF(_xlfn.SINGLE(INDEX(#REF!,ROWS(Params!AI$2:$AI1002)-COUNTA(TAB_Offres[Ressource 1])))=0,NA(),
INDEX(#REF!,ROWS(Params!AI$2:$AI1002)-COUNTA(TAB_Offres[Ressource 1])))),
IFERROR(_xlfn.SINGLE(IF(_xlfn.SINGLE(INDEX(#REF!,ROWS(Params!AI$2:$AI1002)-COUNTA(#REF!)-COUNTA(TAB_Offres[Ressource 1])))=0,NA(),
INDEX(#REF!,ROWS(Params!AI$2:$AI1002)-COUNTA(#REF!)-COUNTA(TAB_Offres[Ressource 1])))),""))
)</f>
        <v/>
      </c>
      <c r="AJ1002" s="182" t="str">
        <f>IF(TAB_ressource[[#This Row],[Import Ressource]]="","",MAX(AJ$1:AJ1001)+1)</f>
        <v/>
      </c>
      <c r="AK1002" s="183" t="str">
        <f>IFERROR(INDEX(TAB_ressource[Import Ressource],MATCH(ROW()-ROW($AK$1),TAB_ressource[ID Import ressources],0)),"")</f>
        <v/>
      </c>
      <c r="BE1002" t="s">
        <v>3378</v>
      </c>
      <c r="BF1002" t="s">
        <v>3379</v>
      </c>
      <c r="BG1002" t="s">
        <v>1331</v>
      </c>
    </row>
    <row r="1003" spans="13:59" x14ac:dyDescent="0.25">
      <c r="AI1003" s="152" t="s">
        <v>13</v>
      </c>
      <c r="AJ1003" s="94"/>
      <c r="AK1003" s="178"/>
      <c r="BE1003" t="s">
        <v>3380</v>
      </c>
      <c r="BF1003" t="s">
        <v>3381</v>
      </c>
      <c r="BG1003" t="s">
        <v>1334</v>
      </c>
    </row>
    <row r="1004" spans="13:59" x14ac:dyDescent="0.25">
      <c r="BE1004" t="s">
        <v>3382</v>
      </c>
      <c r="BF1004" t="s">
        <v>3383</v>
      </c>
      <c r="BG1004" t="s">
        <v>1337</v>
      </c>
    </row>
    <row r="1005" spans="13:59" x14ac:dyDescent="0.25">
      <c r="BE1005" t="s">
        <v>3384</v>
      </c>
      <c r="BF1005" t="s">
        <v>3385</v>
      </c>
      <c r="BG1005" t="s">
        <v>1340</v>
      </c>
    </row>
    <row r="1006" spans="13:59" x14ac:dyDescent="0.25">
      <c r="BE1006" t="s">
        <v>3386</v>
      </c>
      <c r="BF1006" t="s">
        <v>3387</v>
      </c>
      <c r="BG1006" t="s">
        <v>1343</v>
      </c>
    </row>
    <row r="1007" spans="13:59" x14ac:dyDescent="0.25">
      <c r="BE1007" t="s">
        <v>3388</v>
      </c>
      <c r="BF1007" t="s">
        <v>3389</v>
      </c>
      <c r="BG1007" t="s">
        <v>1346</v>
      </c>
    </row>
    <row r="1008" spans="13:59" x14ac:dyDescent="0.25">
      <c r="BE1008" t="s">
        <v>3390</v>
      </c>
      <c r="BF1008" t="s">
        <v>3391</v>
      </c>
      <c r="BG1008" t="s">
        <v>1349</v>
      </c>
    </row>
    <row r="1009" spans="57:59" x14ac:dyDescent="0.25">
      <c r="BE1009" t="s">
        <v>3392</v>
      </c>
      <c r="BF1009" t="s">
        <v>3393</v>
      </c>
      <c r="BG1009" t="s">
        <v>1352</v>
      </c>
    </row>
    <row r="1010" spans="57:59" x14ac:dyDescent="0.25">
      <c r="BE1010" t="s">
        <v>3394</v>
      </c>
      <c r="BF1010" t="s">
        <v>3395</v>
      </c>
      <c r="BG1010" t="s">
        <v>1355</v>
      </c>
    </row>
    <row r="1011" spans="57:59" x14ac:dyDescent="0.25">
      <c r="BE1011" t="s">
        <v>3396</v>
      </c>
      <c r="BF1011" t="s">
        <v>3397</v>
      </c>
      <c r="BG1011" t="s">
        <v>1358</v>
      </c>
    </row>
    <row r="1012" spans="57:59" x14ac:dyDescent="0.25">
      <c r="BE1012" t="s">
        <v>3398</v>
      </c>
      <c r="BF1012" t="s">
        <v>3399</v>
      </c>
      <c r="BG1012" t="s">
        <v>1361</v>
      </c>
    </row>
    <row r="1013" spans="57:59" x14ac:dyDescent="0.25">
      <c r="BE1013" t="s">
        <v>3400</v>
      </c>
      <c r="BF1013" t="s">
        <v>3401</v>
      </c>
      <c r="BG1013" t="s">
        <v>1364</v>
      </c>
    </row>
    <row r="1014" spans="57:59" x14ac:dyDescent="0.25">
      <c r="BE1014" t="s">
        <v>3402</v>
      </c>
      <c r="BF1014" t="s">
        <v>3403</v>
      </c>
      <c r="BG1014" t="s">
        <v>1367</v>
      </c>
    </row>
    <row r="1015" spans="57:59" x14ac:dyDescent="0.25">
      <c r="BE1015" t="s">
        <v>3404</v>
      </c>
      <c r="BF1015" t="s">
        <v>3405</v>
      </c>
      <c r="BG1015" t="s">
        <v>1370</v>
      </c>
    </row>
    <row r="1016" spans="57:59" x14ac:dyDescent="0.25">
      <c r="BE1016" t="s">
        <v>3406</v>
      </c>
      <c r="BF1016" t="s">
        <v>3407</v>
      </c>
      <c r="BG1016" t="s">
        <v>1373</v>
      </c>
    </row>
    <row r="1017" spans="57:59" x14ac:dyDescent="0.25">
      <c r="BE1017" t="s">
        <v>3408</v>
      </c>
      <c r="BF1017" t="s">
        <v>3409</v>
      </c>
      <c r="BG1017" t="s">
        <v>1376</v>
      </c>
    </row>
    <row r="1018" spans="57:59" x14ac:dyDescent="0.25">
      <c r="BE1018" t="s">
        <v>3410</v>
      </c>
      <c r="BF1018" t="s">
        <v>3411</v>
      </c>
      <c r="BG1018" t="s">
        <v>1379</v>
      </c>
    </row>
    <row r="1019" spans="57:59" x14ac:dyDescent="0.25">
      <c r="BE1019" t="s">
        <v>3412</v>
      </c>
      <c r="BF1019" t="s">
        <v>3413</v>
      </c>
      <c r="BG1019" t="s">
        <v>1382</v>
      </c>
    </row>
    <row r="1020" spans="57:59" x14ac:dyDescent="0.25">
      <c r="BE1020" t="s">
        <v>3414</v>
      </c>
      <c r="BF1020" t="s">
        <v>3415</v>
      </c>
      <c r="BG1020" t="s">
        <v>1385</v>
      </c>
    </row>
    <row r="1021" spans="57:59" x14ac:dyDescent="0.25">
      <c r="BE1021" t="s">
        <v>3416</v>
      </c>
      <c r="BF1021" t="s">
        <v>3417</v>
      </c>
      <c r="BG1021" t="s">
        <v>1388</v>
      </c>
    </row>
    <row r="1022" spans="57:59" x14ac:dyDescent="0.25">
      <c r="BE1022" t="s">
        <v>3418</v>
      </c>
      <c r="BF1022" t="s">
        <v>3419</v>
      </c>
      <c r="BG1022" t="s">
        <v>1391</v>
      </c>
    </row>
    <row r="1023" spans="57:59" x14ac:dyDescent="0.25">
      <c r="BE1023" t="s">
        <v>3420</v>
      </c>
      <c r="BF1023" t="s">
        <v>3421</v>
      </c>
      <c r="BG1023" t="s">
        <v>1394</v>
      </c>
    </row>
    <row r="1024" spans="57:59" x14ac:dyDescent="0.25">
      <c r="BE1024" t="s">
        <v>3422</v>
      </c>
      <c r="BF1024" t="s">
        <v>3423</v>
      </c>
      <c r="BG1024" t="s">
        <v>1397</v>
      </c>
    </row>
    <row r="1025" spans="57:59" x14ac:dyDescent="0.25">
      <c r="BE1025" t="s">
        <v>3424</v>
      </c>
      <c r="BF1025" t="s">
        <v>3425</v>
      </c>
      <c r="BG1025" t="s">
        <v>1400</v>
      </c>
    </row>
    <row r="1026" spans="57:59" x14ac:dyDescent="0.25">
      <c r="BE1026" t="s">
        <v>3426</v>
      </c>
      <c r="BF1026" t="s">
        <v>3427</v>
      </c>
      <c r="BG1026" t="s">
        <v>1403</v>
      </c>
    </row>
    <row r="1027" spans="57:59" x14ac:dyDescent="0.25">
      <c r="BE1027" t="s">
        <v>3428</v>
      </c>
      <c r="BF1027" t="s">
        <v>3429</v>
      </c>
      <c r="BG1027" t="s">
        <v>1406</v>
      </c>
    </row>
    <row r="1028" spans="57:59" x14ac:dyDescent="0.25">
      <c r="BE1028" t="s">
        <v>3430</v>
      </c>
      <c r="BF1028" t="s">
        <v>3431</v>
      </c>
      <c r="BG1028" t="s">
        <v>1409</v>
      </c>
    </row>
    <row r="1029" spans="57:59" x14ac:dyDescent="0.25">
      <c r="BE1029" t="s">
        <v>3432</v>
      </c>
      <c r="BF1029" t="s">
        <v>3433</v>
      </c>
      <c r="BG1029" t="s">
        <v>1412</v>
      </c>
    </row>
    <row r="1030" spans="57:59" x14ac:dyDescent="0.25">
      <c r="BE1030" t="s">
        <v>3434</v>
      </c>
      <c r="BF1030" t="s">
        <v>3435</v>
      </c>
      <c r="BG1030" t="s">
        <v>1415</v>
      </c>
    </row>
    <row r="1031" spans="57:59" x14ac:dyDescent="0.25">
      <c r="BE1031" t="s">
        <v>3436</v>
      </c>
      <c r="BF1031" t="s">
        <v>3437</v>
      </c>
      <c r="BG1031" t="s">
        <v>1418</v>
      </c>
    </row>
    <row r="1032" spans="57:59" x14ac:dyDescent="0.25">
      <c r="BE1032" t="s">
        <v>3438</v>
      </c>
      <c r="BF1032" t="s">
        <v>3439</v>
      </c>
      <c r="BG1032" t="s">
        <v>1421</v>
      </c>
    </row>
    <row r="1033" spans="57:59" x14ac:dyDescent="0.25">
      <c r="BE1033" t="s">
        <v>3440</v>
      </c>
      <c r="BF1033" t="s">
        <v>3441</v>
      </c>
      <c r="BG1033" t="s">
        <v>1424</v>
      </c>
    </row>
    <row r="1034" spans="57:59" x14ac:dyDescent="0.25">
      <c r="BE1034" t="s">
        <v>3442</v>
      </c>
      <c r="BF1034" t="s">
        <v>3443</v>
      </c>
      <c r="BG1034" t="s">
        <v>1427</v>
      </c>
    </row>
    <row r="1035" spans="57:59" x14ac:dyDescent="0.25">
      <c r="BE1035" t="s">
        <v>3444</v>
      </c>
      <c r="BF1035" t="s">
        <v>3445</v>
      </c>
      <c r="BG1035" t="s">
        <v>1430</v>
      </c>
    </row>
    <row r="1036" spans="57:59" x14ac:dyDescent="0.25">
      <c r="BE1036" t="s">
        <v>3446</v>
      </c>
      <c r="BF1036" t="s">
        <v>3447</v>
      </c>
      <c r="BG1036" t="s">
        <v>1433</v>
      </c>
    </row>
    <row r="1037" spans="57:59" x14ac:dyDescent="0.25">
      <c r="BE1037" t="s">
        <v>3448</v>
      </c>
      <c r="BF1037" t="s">
        <v>3449</v>
      </c>
      <c r="BG1037" t="s">
        <v>1436</v>
      </c>
    </row>
    <row r="1038" spans="57:59" x14ac:dyDescent="0.25">
      <c r="BE1038" t="s">
        <v>3450</v>
      </c>
      <c r="BF1038" t="s">
        <v>3451</v>
      </c>
      <c r="BG1038" t="s">
        <v>1439</v>
      </c>
    </row>
    <row r="1039" spans="57:59" x14ac:dyDescent="0.25">
      <c r="BE1039" t="s">
        <v>3452</v>
      </c>
      <c r="BF1039" t="s">
        <v>3453</v>
      </c>
      <c r="BG1039" t="s">
        <v>1442</v>
      </c>
    </row>
    <row r="1040" spans="57:59" x14ac:dyDescent="0.25">
      <c r="BE1040" t="s">
        <v>3454</v>
      </c>
      <c r="BF1040" t="s">
        <v>3455</v>
      </c>
      <c r="BG1040" t="s">
        <v>1445</v>
      </c>
    </row>
    <row r="1041" spans="57:59" x14ac:dyDescent="0.25">
      <c r="BE1041" t="s">
        <v>3456</v>
      </c>
      <c r="BF1041" t="s">
        <v>3457</v>
      </c>
      <c r="BG1041" t="s">
        <v>1448</v>
      </c>
    </row>
    <row r="1042" spans="57:59" x14ac:dyDescent="0.25">
      <c r="BE1042" t="s">
        <v>3458</v>
      </c>
      <c r="BF1042" t="s">
        <v>3459</v>
      </c>
      <c r="BG1042" t="s">
        <v>1451</v>
      </c>
    </row>
    <row r="1043" spans="57:59" x14ac:dyDescent="0.25">
      <c r="BE1043" t="s">
        <v>3460</v>
      </c>
      <c r="BF1043" t="s">
        <v>3461</v>
      </c>
      <c r="BG1043" t="s">
        <v>1454</v>
      </c>
    </row>
    <row r="1044" spans="57:59" x14ac:dyDescent="0.25">
      <c r="BE1044" t="s">
        <v>3462</v>
      </c>
      <c r="BF1044" t="s">
        <v>3463</v>
      </c>
      <c r="BG1044" t="s">
        <v>1457</v>
      </c>
    </row>
    <row r="1045" spans="57:59" x14ac:dyDescent="0.25">
      <c r="BE1045" t="s">
        <v>3464</v>
      </c>
      <c r="BF1045" t="s">
        <v>3465</v>
      </c>
      <c r="BG1045" t="s">
        <v>1460</v>
      </c>
    </row>
    <row r="1046" spans="57:59" x14ac:dyDescent="0.25">
      <c r="BE1046" t="s">
        <v>3466</v>
      </c>
      <c r="BF1046" t="s">
        <v>3467</v>
      </c>
      <c r="BG1046" t="s">
        <v>1463</v>
      </c>
    </row>
    <row r="1047" spans="57:59" x14ac:dyDescent="0.25">
      <c r="BE1047" t="s">
        <v>3468</v>
      </c>
      <c r="BF1047" t="s">
        <v>3469</v>
      </c>
      <c r="BG1047" t="s">
        <v>1466</v>
      </c>
    </row>
    <row r="1048" spans="57:59" x14ac:dyDescent="0.25">
      <c r="BE1048" t="s">
        <v>3470</v>
      </c>
      <c r="BF1048" t="s">
        <v>3471</v>
      </c>
      <c r="BG1048" t="s">
        <v>1469</v>
      </c>
    </row>
    <row r="1049" spans="57:59" x14ac:dyDescent="0.25">
      <c r="BE1049" t="s">
        <v>3472</v>
      </c>
      <c r="BF1049" t="s">
        <v>3473</v>
      </c>
      <c r="BG1049" t="s">
        <v>1472</v>
      </c>
    </row>
    <row r="1050" spans="57:59" x14ac:dyDescent="0.25">
      <c r="BE1050" t="s">
        <v>3474</v>
      </c>
      <c r="BF1050" t="s">
        <v>3475</v>
      </c>
      <c r="BG1050" t="s">
        <v>1475</v>
      </c>
    </row>
    <row r="1051" spans="57:59" x14ac:dyDescent="0.25">
      <c r="BE1051" t="s">
        <v>3476</v>
      </c>
      <c r="BF1051" t="s">
        <v>3477</v>
      </c>
      <c r="BG1051" t="s">
        <v>1478</v>
      </c>
    </row>
    <row r="1052" spans="57:59" x14ac:dyDescent="0.25">
      <c r="BE1052" t="s">
        <v>3478</v>
      </c>
      <c r="BF1052" t="s">
        <v>3479</v>
      </c>
      <c r="BG1052" t="s">
        <v>1481</v>
      </c>
    </row>
    <row r="1053" spans="57:59" x14ac:dyDescent="0.25">
      <c r="BE1053" t="s">
        <v>3480</v>
      </c>
      <c r="BF1053" t="s">
        <v>3481</v>
      </c>
      <c r="BG1053" t="s">
        <v>1484</v>
      </c>
    </row>
    <row r="1054" spans="57:59" x14ac:dyDescent="0.25">
      <c r="BE1054" t="s">
        <v>3482</v>
      </c>
      <c r="BF1054" t="s">
        <v>3483</v>
      </c>
      <c r="BG1054" t="s">
        <v>1487</v>
      </c>
    </row>
    <row r="1055" spans="57:59" x14ac:dyDescent="0.25">
      <c r="BE1055" t="s">
        <v>3484</v>
      </c>
      <c r="BF1055" t="s">
        <v>3485</v>
      </c>
      <c r="BG1055" t="s">
        <v>1490</v>
      </c>
    </row>
    <row r="1056" spans="57:59" x14ac:dyDescent="0.25">
      <c r="BE1056" t="s">
        <v>3486</v>
      </c>
      <c r="BF1056" t="s">
        <v>3487</v>
      </c>
      <c r="BG1056" t="s">
        <v>1493</v>
      </c>
    </row>
    <row r="1057" spans="57:59" x14ac:dyDescent="0.25">
      <c r="BE1057" t="s">
        <v>3488</v>
      </c>
      <c r="BF1057" t="s">
        <v>3489</v>
      </c>
      <c r="BG1057" t="s">
        <v>1496</v>
      </c>
    </row>
    <row r="1058" spans="57:59" x14ac:dyDescent="0.25">
      <c r="BE1058" t="s">
        <v>3490</v>
      </c>
      <c r="BF1058" t="s">
        <v>3491</v>
      </c>
      <c r="BG1058" t="s">
        <v>1499</v>
      </c>
    </row>
    <row r="1059" spans="57:59" x14ac:dyDescent="0.25">
      <c r="BE1059" t="s">
        <v>3492</v>
      </c>
      <c r="BF1059" t="s">
        <v>3493</v>
      </c>
      <c r="BG1059" t="s">
        <v>1502</v>
      </c>
    </row>
    <row r="1060" spans="57:59" x14ac:dyDescent="0.25">
      <c r="BE1060" t="s">
        <v>3494</v>
      </c>
      <c r="BF1060" t="s">
        <v>3495</v>
      </c>
      <c r="BG1060" t="s">
        <v>1505</v>
      </c>
    </row>
    <row r="1061" spans="57:59" x14ac:dyDescent="0.25">
      <c r="BE1061" t="s">
        <v>3496</v>
      </c>
      <c r="BF1061" t="s">
        <v>3497</v>
      </c>
      <c r="BG1061" t="s">
        <v>1508</v>
      </c>
    </row>
    <row r="1062" spans="57:59" x14ac:dyDescent="0.25">
      <c r="BE1062" t="s">
        <v>3498</v>
      </c>
      <c r="BF1062" t="s">
        <v>3499</v>
      </c>
      <c r="BG1062" t="s">
        <v>1511</v>
      </c>
    </row>
    <row r="1063" spans="57:59" x14ac:dyDescent="0.25">
      <c r="BE1063" t="s">
        <v>3500</v>
      </c>
      <c r="BF1063" t="s">
        <v>3501</v>
      </c>
      <c r="BG1063" t="s">
        <v>1514</v>
      </c>
    </row>
    <row r="1064" spans="57:59" x14ac:dyDescent="0.25">
      <c r="BE1064" t="s">
        <v>3502</v>
      </c>
      <c r="BF1064" t="s">
        <v>3503</v>
      </c>
      <c r="BG1064" t="s">
        <v>1517</v>
      </c>
    </row>
    <row r="1065" spans="57:59" x14ac:dyDescent="0.25">
      <c r="BE1065" t="s">
        <v>3504</v>
      </c>
      <c r="BF1065" t="s">
        <v>3505</v>
      </c>
      <c r="BG1065" t="s">
        <v>1520</v>
      </c>
    </row>
    <row r="1066" spans="57:59" x14ac:dyDescent="0.25">
      <c r="BE1066" t="s">
        <v>3506</v>
      </c>
      <c r="BF1066" t="s">
        <v>3507</v>
      </c>
      <c r="BG1066" t="s">
        <v>1523</v>
      </c>
    </row>
    <row r="1067" spans="57:59" x14ac:dyDescent="0.25">
      <c r="BE1067" t="s">
        <v>3508</v>
      </c>
      <c r="BF1067" t="s">
        <v>3509</v>
      </c>
      <c r="BG1067" t="s">
        <v>1526</v>
      </c>
    </row>
    <row r="1068" spans="57:59" x14ac:dyDescent="0.25">
      <c r="BE1068" t="s">
        <v>3510</v>
      </c>
      <c r="BF1068" t="s">
        <v>3511</v>
      </c>
      <c r="BG1068" t="s">
        <v>1529</v>
      </c>
    </row>
    <row r="1069" spans="57:59" x14ac:dyDescent="0.25">
      <c r="BE1069" t="s">
        <v>3512</v>
      </c>
      <c r="BF1069" t="s">
        <v>3513</v>
      </c>
      <c r="BG1069" t="s">
        <v>1532</v>
      </c>
    </row>
    <row r="1070" spans="57:59" x14ac:dyDescent="0.25">
      <c r="BE1070" t="s">
        <v>3514</v>
      </c>
      <c r="BF1070" t="s">
        <v>3515</v>
      </c>
      <c r="BG1070" t="s">
        <v>1535</v>
      </c>
    </row>
    <row r="1071" spans="57:59" x14ac:dyDescent="0.25">
      <c r="BE1071" t="s">
        <v>3516</v>
      </c>
      <c r="BF1071" t="s">
        <v>3517</v>
      </c>
      <c r="BG1071" t="s">
        <v>1538</v>
      </c>
    </row>
    <row r="1072" spans="57:59" x14ac:dyDescent="0.25">
      <c r="BE1072" t="s">
        <v>3518</v>
      </c>
      <c r="BF1072" t="s">
        <v>3519</v>
      </c>
      <c r="BG1072" t="s">
        <v>1541</v>
      </c>
    </row>
    <row r="1073" spans="57:59" x14ac:dyDescent="0.25">
      <c r="BE1073" t="s">
        <v>3520</v>
      </c>
      <c r="BF1073" t="s">
        <v>3521</v>
      </c>
      <c r="BG1073" t="s">
        <v>1544</v>
      </c>
    </row>
    <row r="1074" spans="57:59" x14ac:dyDescent="0.25">
      <c r="BE1074" t="s">
        <v>3522</v>
      </c>
      <c r="BF1074" t="s">
        <v>3523</v>
      </c>
      <c r="BG1074" t="s">
        <v>1547</v>
      </c>
    </row>
    <row r="1075" spans="57:59" x14ac:dyDescent="0.25">
      <c r="BE1075" t="s">
        <v>3524</v>
      </c>
      <c r="BF1075" t="s">
        <v>3525</v>
      </c>
      <c r="BG1075" t="s">
        <v>1550</v>
      </c>
    </row>
    <row r="1076" spans="57:59" x14ac:dyDescent="0.25">
      <c r="BE1076" t="s">
        <v>3526</v>
      </c>
      <c r="BF1076" t="s">
        <v>3527</v>
      </c>
      <c r="BG1076" t="s">
        <v>1553</v>
      </c>
    </row>
    <row r="1077" spans="57:59" x14ac:dyDescent="0.25">
      <c r="BE1077" t="s">
        <v>3528</v>
      </c>
      <c r="BF1077" t="s">
        <v>3529</v>
      </c>
      <c r="BG1077" t="s">
        <v>1556</v>
      </c>
    </row>
    <row r="1078" spans="57:59" x14ac:dyDescent="0.25">
      <c r="BE1078" t="s">
        <v>3530</v>
      </c>
      <c r="BF1078" t="s">
        <v>3531</v>
      </c>
      <c r="BG1078" t="s">
        <v>1559</v>
      </c>
    </row>
    <row r="1079" spans="57:59" x14ac:dyDescent="0.25">
      <c r="BE1079" t="s">
        <v>3532</v>
      </c>
      <c r="BF1079" t="s">
        <v>3533</v>
      </c>
      <c r="BG1079" t="s">
        <v>1562</v>
      </c>
    </row>
    <row r="1080" spans="57:59" x14ac:dyDescent="0.25">
      <c r="BE1080" t="s">
        <v>3534</v>
      </c>
      <c r="BF1080" t="s">
        <v>3535</v>
      </c>
      <c r="BG1080" t="s">
        <v>1565</v>
      </c>
    </row>
    <row r="1081" spans="57:59" x14ac:dyDescent="0.25">
      <c r="BE1081" t="s">
        <v>3536</v>
      </c>
      <c r="BF1081" t="s">
        <v>3537</v>
      </c>
      <c r="BG1081" t="s">
        <v>1568</v>
      </c>
    </row>
    <row r="1082" spans="57:59" x14ac:dyDescent="0.25">
      <c r="BE1082" t="s">
        <v>3538</v>
      </c>
      <c r="BF1082" t="s">
        <v>3539</v>
      </c>
      <c r="BG1082" t="s">
        <v>1571</v>
      </c>
    </row>
    <row r="1083" spans="57:59" x14ac:dyDescent="0.25">
      <c r="BE1083" t="s">
        <v>3540</v>
      </c>
      <c r="BF1083" t="s">
        <v>3541</v>
      </c>
      <c r="BG1083" t="s">
        <v>1574</v>
      </c>
    </row>
    <row r="1084" spans="57:59" x14ac:dyDescent="0.25">
      <c r="BE1084" t="s">
        <v>3542</v>
      </c>
      <c r="BF1084" t="s">
        <v>3543</v>
      </c>
      <c r="BG1084" t="s">
        <v>1577</v>
      </c>
    </row>
    <row r="1085" spans="57:59" x14ac:dyDescent="0.25">
      <c r="BE1085" t="s">
        <v>3544</v>
      </c>
      <c r="BF1085" t="s">
        <v>3545</v>
      </c>
      <c r="BG1085" t="s">
        <v>1580</v>
      </c>
    </row>
    <row r="1086" spans="57:59" x14ac:dyDescent="0.25">
      <c r="BE1086" t="s">
        <v>3546</v>
      </c>
      <c r="BF1086" t="s">
        <v>3547</v>
      </c>
      <c r="BG1086" t="s">
        <v>1583</v>
      </c>
    </row>
    <row r="1087" spans="57:59" x14ac:dyDescent="0.25">
      <c r="BE1087" t="s">
        <v>3548</v>
      </c>
      <c r="BF1087" t="s">
        <v>3549</v>
      </c>
      <c r="BG1087" t="s">
        <v>1586</v>
      </c>
    </row>
    <row r="1088" spans="57:59" x14ac:dyDescent="0.25">
      <c r="BE1088" t="s">
        <v>3550</v>
      </c>
      <c r="BF1088" t="s">
        <v>3551</v>
      </c>
      <c r="BG1088" t="s">
        <v>1589</v>
      </c>
    </row>
    <row r="1089" spans="57:59" x14ac:dyDescent="0.25">
      <c r="BE1089" t="s">
        <v>3552</v>
      </c>
      <c r="BF1089" t="s">
        <v>3553</v>
      </c>
      <c r="BG1089" t="s">
        <v>1592</v>
      </c>
    </row>
    <row r="1090" spans="57:59" x14ac:dyDescent="0.25">
      <c r="BE1090" t="s">
        <v>3554</v>
      </c>
      <c r="BF1090" t="s">
        <v>3555</v>
      </c>
      <c r="BG1090" t="s">
        <v>1595</v>
      </c>
    </row>
    <row r="1091" spans="57:59" x14ac:dyDescent="0.25">
      <c r="BE1091" t="s">
        <v>3556</v>
      </c>
      <c r="BF1091" t="s">
        <v>3557</v>
      </c>
      <c r="BG1091" t="s">
        <v>1598</v>
      </c>
    </row>
    <row r="1092" spans="57:59" x14ac:dyDescent="0.25">
      <c r="BE1092" t="s">
        <v>3558</v>
      </c>
      <c r="BF1092" t="s">
        <v>3559</v>
      </c>
      <c r="BG1092" t="s">
        <v>1601</v>
      </c>
    </row>
    <row r="1093" spans="57:59" x14ac:dyDescent="0.25">
      <c r="BE1093" t="s">
        <v>3560</v>
      </c>
      <c r="BF1093" t="s">
        <v>3561</v>
      </c>
      <c r="BG1093" t="s">
        <v>1604</v>
      </c>
    </row>
    <row r="1094" spans="57:59" x14ac:dyDescent="0.25">
      <c r="BE1094" t="s">
        <v>3562</v>
      </c>
      <c r="BF1094" t="s">
        <v>3563</v>
      </c>
      <c r="BG1094" t="s">
        <v>1607</v>
      </c>
    </row>
    <row r="1095" spans="57:59" x14ac:dyDescent="0.25">
      <c r="BE1095" t="s">
        <v>3564</v>
      </c>
      <c r="BF1095" t="s">
        <v>3565</v>
      </c>
      <c r="BG1095" t="s">
        <v>1610</v>
      </c>
    </row>
    <row r="1096" spans="57:59" x14ac:dyDescent="0.25">
      <c r="BE1096" t="s">
        <v>3566</v>
      </c>
      <c r="BF1096" t="s">
        <v>3567</v>
      </c>
      <c r="BG1096" t="s">
        <v>1613</v>
      </c>
    </row>
    <row r="1097" spans="57:59" x14ac:dyDescent="0.25">
      <c r="BE1097" t="s">
        <v>3568</v>
      </c>
      <c r="BF1097" t="s">
        <v>3569</v>
      </c>
      <c r="BG1097" t="s">
        <v>1616</v>
      </c>
    </row>
    <row r="1098" spans="57:59" x14ac:dyDescent="0.25">
      <c r="BE1098" t="s">
        <v>3570</v>
      </c>
      <c r="BF1098" t="s">
        <v>3571</v>
      </c>
      <c r="BG1098" t="s">
        <v>1619</v>
      </c>
    </row>
    <row r="1099" spans="57:59" x14ac:dyDescent="0.25">
      <c r="BE1099" t="s">
        <v>3572</v>
      </c>
      <c r="BF1099" t="s">
        <v>3573</v>
      </c>
      <c r="BG1099" t="s">
        <v>1622</v>
      </c>
    </row>
    <row r="1100" spans="57:59" x14ac:dyDescent="0.25">
      <c r="BE1100" t="s">
        <v>3574</v>
      </c>
      <c r="BF1100" t="s">
        <v>3575</v>
      </c>
      <c r="BG1100" t="s">
        <v>1625</v>
      </c>
    </row>
    <row r="1101" spans="57:59" x14ac:dyDescent="0.25">
      <c r="BE1101" t="s">
        <v>3576</v>
      </c>
      <c r="BF1101" t="s">
        <v>3577</v>
      </c>
      <c r="BG1101" t="s">
        <v>1628</v>
      </c>
    </row>
    <row r="1102" spans="57:59" x14ac:dyDescent="0.25">
      <c r="BE1102" t="s">
        <v>3578</v>
      </c>
      <c r="BF1102" t="s">
        <v>3579</v>
      </c>
      <c r="BG1102" t="s">
        <v>1631</v>
      </c>
    </row>
    <row r="1103" spans="57:59" x14ac:dyDescent="0.25">
      <c r="BE1103" t="s">
        <v>3580</v>
      </c>
      <c r="BF1103" t="s">
        <v>3581</v>
      </c>
      <c r="BG1103" t="s">
        <v>1634</v>
      </c>
    </row>
    <row r="1104" spans="57:59" x14ac:dyDescent="0.25">
      <c r="BE1104" t="s">
        <v>3582</v>
      </c>
      <c r="BF1104" t="s">
        <v>3583</v>
      </c>
      <c r="BG1104" t="s">
        <v>1637</v>
      </c>
    </row>
    <row r="1105" spans="57:59" x14ac:dyDescent="0.25">
      <c r="BE1105" t="s">
        <v>3584</v>
      </c>
      <c r="BF1105" t="s">
        <v>3585</v>
      </c>
      <c r="BG1105" t="s">
        <v>1640</v>
      </c>
    </row>
    <row r="1106" spans="57:59" x14ac:dyDescent="0.25">
      <c r="BE1106" t="s">
        <v>3586</v>
      </c>
      <c r="BF1106" t="s">
        <v>3587</v>
      </c>
      <c r="BG1106" t="s">
        <v>1643</v>
      </c>
    </row>
    <row r="1107" spans="57:59" x14ac:dyDescent="0.25">
      <c r="BE1107" t="s">
        <v>3588</v>
      </c>
      <c r="BF1107" t="s">
        <v>3589</v>
      </c>
      <c r="BG1107" t="s">
        <v>1646</v>
      </c>
    </row>
    <row r="1108" spans="57:59" x14ac:dyDescent="0.25">
      <c r="BE1108" t="s">
        <v>3590</v>
      </c>
      <c r="BF1108" t="s">
        <v>3591</v>
      </c>
      <c r="BG1108" t="s">
        <v>1649</v>
      </c>
    </row>
    <row r="1109" spans="57:59" x14ac:dyDescent="0.25">
      <c r="BE1109" t="s">
        <v>3592</v>
      </c>
      <c r="BF1109" t="s">
        <v>3593</v>
      </c>
      <c r="BG1109" t="s">
        <v>1652</v>
      </c>
    </row>
    <row r="1110" spans="57:59" x14ac:dyDescent="0.25">
      <c r="BE1110" t="s">
        <v>3594</v>
      </c>
      <c r="BF1110" t="s">
        <v>3595</v>
      </c>
      <c r="BG1110" t="s">
        <v>1655</v>
      </c>
    </row>
    <row r="1111" spans="57:59" x14ac:dyDescent="0.25">
      <c r="BE1111" t="s">
        <v>3596</v>
      </c>
      <c r="BF1111" t="s">
        <v>3597</v>
      </c>
      <c r="BG1111" t="s">
        <v>1658</v>
      </c>
    </row>
    <row r="1112" spans="57:59" x14ac:dyDescent="0.25">
      <c r="BE1112" t="s">
        <v>3598</v>
      </c>
      <c r="BF1112" t="s">
        <v>3599</v>
      </c>
      <c r="BG1112" t="s">
        <v>1661</v>
      </c>
    </row>
    <row r="1113" spans="57:59" x14ac:dyDescent="0.25">
      <c r="BE1113" t="s">
        <v>3600</v>
      </c>
      <c r="BF1113" t="s">
        <v>3601</v>
      </c>
      <c r="BG1113" t="s">
        <v>1664</v>
      </c>
    </row>
    <row r="1114" spans="57:59" x14ac:dyDescent="0.25">
      <c r="BE1114" t="s">
        <v>3602</v>
      </c>
      <c r="BF1114" t="s">
        <v>3603</v>
      </c>
      <c r="BG1114" t="s">
        <v>1667</v>
      </c>
    </row>
    <row r="1115" spans="57:59" x14ac:dyDescent="0.25">
      <c r="BE1115" t="s">
        <v>3604</v>
      </c>
      <c r="BF1115" t="s">
        <v>3605</v>
      </c>
      <c r="BG1115" t="s">
        <v>1670</v>
      </c>
    </row>
    <row r="1116" spans="57:59" x14ac:dyDescent="0.25">
      <c r="BE1116" t="s">
        <v>3606</v>
      </c>
      <c r="BF1116" t="s">
        <v>3607</v>
      </c>
      <c r="BG1116" t="s">
        <v>1673</v>
      </c>
    </row>
    <row r="1117" spans="57:59" x14ac:dyDescent="0.25">
      <c r="BE1117" t="s">
        <v>3608</v>
      </c>
      <c r="BF1117" t="s">
        <v>3609</v>
      </c>
      <c r="BG1117" t="s">
        <v>1676</v>
      </c>
    </row>
    <row r="1118" spans="57:59" x14ac:dyDescent="0.25">
      <c r="BE1118" t="s">
        <v>3610</v>
      </c>
      <c r="BF1118" t="s">
        <v>3611</v>
      </c>
      <c r="BG1118" t="s">
        <v>1679</v>
      </c>
    </row>
    <row r="1119" spans="57:59" x14ac:dyDescent="0.25">
      <c r="BE1119" t="s">
        <v>3612</v>
      </c>
      <c r="BF1119" t="s">
        <v>3613</v>
      </c>
      <c r="BG1119" t="s">
        <v>1682</v>
      </c>
    </row>
    <row r="1120" spans="57:59" x14ac:dyDescent="0.25">
      <c r="BE1120" t="s">
        <v>3614</v>
      </c>
      <c r="BF1120" t="s">
        <v>3615</v>
      </c>
      <c r="BG1120" t="s">
        <v>1685</v>
      </c>
    </row>
    <row r="1121" spans="57:59" x14ac:dyDescent="0.25">
      <c r="BE1121" t="s">
        <v>3616</v>
      </c>
      <c r="BF1121" t="s">
        <v>3617</v>
      </c>
      <c r="BG1121" t="s">
        <v>1688</v>
      </c>
    </row>
    <row r="1122" spans="57:59" x14ac:dyDescent="0.25">
      <c r="BE1122" t="s">
        <v>3618</v>
      </c>
      <c r="BF1122" t="s">
        <v>3619</v>
      </c>
      <c r="BG1122" t="s">
        <v>1691</v>
      </c>
    </row>
    <row r="1123" spans="57:59" x14ac:dyDescent="0.25">
      <c r="BE1123" t="s">
        <v>3620</v>
      </c>
      <c r="BF1123" t="s">
        <v>3621</v>
      </c>
      <c r="BG1123" t="s">
        <v>1694</v>
      </c>
    </row>
    <row r="1124" spans="57:59" x14ac:dyDescent="0.25">
      <c r="BE1124" t="s">
        <v>3622</v>
      </c>
      <c r="BF1124" t="s">
        <v>3623</v>
      </c>
      <c r="BG1124" t="s">
        <v>1697</v>
      </c>
    </row>
    <row r="1125" spans="57:59" x14ac:dyDescent="0.25">
      <c r="BE1125" t="s">
        <v>3624</v>
      </c>
      <c r="BF1125" t="s">
        <v>3625</v>
      </c>
      <c r="BG1125" t="s">
        <v>1700</v>
      </c>
    </row>
    <row r="1126" spans="57:59" x14ac:dyDescent="0.25">
      <c r="BE1126" t="s">
        <v>3626</v>
      </c>
      <c r="BF1126" t="s">
        <v>3627</v>
      </c>
      <c r="BG1126" t="s">
        <v>1703</v>
      </c>
    </row>
    <row r="1127" spans="57:59" x14ac:dyDescent="0.25">
      <c r="BE1127" t="s">
        <v>3628</v>
      </c>
      <c r="BF1127" t="s">
        <v>3629</v>
      </c>
      <c r="BG1127" t="s">
        <v>1706</v>
      </c>
    </row>
    <row r="1128" spans="57:59" x14ac:dyDescent="0.25">
      <c r="BE1128" t="s">
        <v>3630</v>
      </c>
      <c r="BF1128" t="s">
        <v>3631</v>
      </c>
      <c r="BG1128" t="s">
        <v>1709</v>
      </c>
    </row>
    <row r="1129" spans="57:59" x14ac:dyDescent="0.25">
      <c r="BE1129" t="s">
        <v>3632</v>
      </c>
      <c r="BF1129" t="s">
        <v>3633</v>
      </c>
      <c r="BG1129" t="s">
        <v>1712</v>
      </c>
    </row>
    <row r="1130" spans="57:59" x14ac:dyDescent="0.25">
      <c r="BE1130" t="s">
        <v>3634</v>
      </c>
      <c r="BF1130" t="s">
        <v>3635</v>
      </c>
      <c r="BG1130" t="s">
        <v>1715</v>
      </c>
    </row>
    <row r="1131" spans="57:59" x14ac:dyDescent="0.25">
      <c r="BE1131" t="s">
        <v>3636</v>
      </c>
      <c r="BF1131" t="s">
        <v>3637</v>
      </c>
      <c r="BG1131" t="s">
        <v>1718</v>
      </c>
    </row>
    <row r="1132" spans="57:59" x14ac:dyDescent="0.25">
      <c r="BE1132" t="s">
        <v>3638</v>
      </c>
      <c r="BF1132" t="s">
        <v>3639</v>
      </c>
      <c r="BG1132" t="s">
        <v>1721</v>
      </c>
    </row>
    <row r="1133" spans="57:59" x14ac:dyDescent="0.25">
      <c r="BE1133" t="s">
        <v>3640</v>
      </c>
      <c r="BF1133" t="s">
        <v>3641</v>
      </c>
      <c r="BG1133" t="s">
        <v>1724</v>
      </c>
    </row>
    <row r="1134" spans="57:59" x14ac:dyDescent="0.25">
      <c r="BE1134" t="s">
        <v>3642</v>
      </c>
      <c r="BF1134" t="s">
        <v>3643</v>
      </c>
      <c r="BG1134" t="s">
        <v>1727</v>
      </c>
    </row>
    <row r="1135" spans="57:59" x14ac:dyDescent="0.25">
      <c r="BE1135" t="s">
        <v>3644</v>
      </c>
      <c r="BF1135" t="s">
        <v>3645</v>
      </c>
      <c r="BG1135" t="s">
        <v>1730</v>
      </c>
    </row>
    <row r="1136" spans="57:59" x14ac:dyDescent="0.25">
      <c r="BE1136" t="s">
        <v>3646</v>
      </c>
      <c r="BF1136" t="s">
        <v>3647</v>
      </c>
      <c r="BG1136" t="s">
        <v>1733</v>
      </c>
    </row>
    <row r="1137" spans="57:59" x14ac:dyDescent="0.25">
      <c r="BE1137" t="s">
        <v>3648</v>
      </c>
      <c r="BF1137" t="s">
        <v>3649</v>
      </c>
      <c r="BG1137" t="s">
        <v>1736</v>
      </c>
    </row>
    <row r="1138" spans="57:59" x14ac:dyDescent="0.25">
      <c r="BE1138" t="s">
        <v>3650</v>
      </c>
      <c r="BF1138" t="s">
        <v>3651</v>
      </c>
      <c r="BG1138" t="s">
        <v>1739</v>
      </c>
    </row>
    <row r="1139" spans="57:59" x14ac:dyDescent="0.25">
      <c r="BE1139" t="s">
        <v>3652</v>
      </c>
      <c r="BF1139" t="s">
        <v>3653</v>
      </c>
      <c r="BG1139" t="s">
        <v>1742</v>
      </c>
    </row>
    <row r="1140" spans="57:59" x14ac:dyDescent="0.25">
      <c r="BE1140" t="s">
        <v>3654</v>
      </c>
      <c r="BF1140" t="s">
        <v>3655</v>
      </c>
      <c r="BG1140" t="s">
        <v>1745</v>
      </c>
    </row>
    <row r="1141" spans="57:59" x14ac:dyDescent="0.25">
      <c r="BE1141" t="s">
        <v>3656</v>
      </c>
      <c r="BF1141" t="s">
        <v>3657</v>
      </c>
      <c r="BG1141" t="s">
        <v>1748</v>
      </c>
    </row>
    <row r="1142" spans="57:59" x14ac:dyDescent="0.25">
      <c r="BE1142" t="s">
        <v>3658</v>
      </c>
      <c r="BF1142" t="s">
        <v>3659</v>
      </c>
      <c r="BG1142" t="s">
        <v>1751</v>
      </c>
    </row>
    <row r="1143" spans="57:59" x14ac:dyDescent="0.25">
      <c r="BE1143" t="s">
        <v>3660</v>
      </c>
      <c r="BF1143" t="s">
        <v>3661</v>
      </c>
      <c r="BG1143" t="s">
        <v>1754</v>
      </c>
    </row>
    <row r="1144" spans="57:59" x14ac:dyDescent="0.25">
      <c r="BE1144" t="s">
        <v>3662</v>
      </c>
      <c r="BF1144" t="s">
        <v>3663</v>
      </c>
      <c r="BG1144" t="s">
        <v>1757</v>
      </c>
    </row>
    <row r="1145" spans="57:59" x14ac:dyDescent="0.25">
      <c r="BE1145" t="s">
        <v>3664</v>
      </c>
      <c r="BF1145" t="s">
        <v>3665</v>
      </c>
      <c r="BG1145" t="s">
        <v>1760</v>
      </c>
    </row>
    <row r="1146" spans="57:59" x14ac:dyDescent="0.25">
      <c r="BE1146" t="s">
        <v>3666</v>
      </c>
      <c r="BF1146" t="s">
        <v>3667</v>
      </c>
      <c r="BG1146" t="s">
        <v>1763</v>
      </c>
    </row>
    <row r="1147" spans="57:59" x14ac:dyDescent="0.25">
      <c r="BE1147" t="s">
        <v>3668</v>
      </c>
      <c r="BF1147" t="s">
        <v>3669</v>
      </c>
      <c r="BG1147" t="s">
        <v>1766</v>
      </c>
    </row>
    <row r="1148" spans="57:59" x14ac:dyDescent="0.25">
      <c r="BE1148" t="s">
        <v>3670</v>
      </c>
      <c r="BF1148" t="s">
        <v>3671</v>
      </c>
      <c r="BG1148" t="s">
        <v>1769</v>
      </c>
    </row>
    <row r="1149" spans="57:59" x14ac:dyDescent="0.25">
      <c r="BE1149" t="s">
        <v>3672</v>
      </c>
      <c r="BF1149" t="s">
        <v>3673</v>
      </c>
      <c r="BG1149" t="s">
        <v>1772</v>
      </c>
    </row>
    <row r="1150" spans="57:59" x14ac:dyDescent="0.25">
      <c r="BE1150" t="s">
        <v>3674</v>
      </c>
      <c r="BF1150" t="s">
        <v>3675</v>
      </c>
      <c r="BG1150" t="s">
        <v>1775</v>
      </c>
    </row>
    <row r="1151" spans="57:59" x14ac:dyDescent="0.25">
      <c r="BE1151" t="s">
        <v>3676</v>
      </c>
      <c r="BF1151" t="s">
        <v>3677</v>
      </c>
      <c r="BG1151" t="s">
        <v>1778</v>
      </c>
    </row>
    <row r="1152" spans="57:59" x14ac:dyDescent="0.25">
      <c r="BE1152" t="s">
        <v>3678</v>
      </c>
      <c r="BF1152" t="s">
        <v>3679</v>
      </c>
      <c r="BG1152" t="s">
        <v>1781</v>
      </c>
    </row>
    <row r="1153" spans="57:59" x14ac:dyDescent="0.25">
      <c r="BE1153" t="s">
        <v>3680</v>
      </c>
      <c r="BF1153" t="s">
        <v>3681</v>
      </c>
      <c r="BG1153" t="s">
        <v>1784</v>
      </c>
    </row>
    <row r="1154" spans="57:59" x14ac:dyDescent="0.25">
      <c r="BE1154" t="s">
        <v>3682</v>
      </c>
      <c r="BF1154" t="s">
        <v>3683</v>
      </c>
      <c r="BG1154" t="s">
        <v>1787</v>
      </c>
    </row>
    <row r="1155" spans="57:59" x14ac:dyDescent="0.25">
      <c r="BE1155" t="s">
        <v>3684</v>
      </c>
      <c r="BF1155" t="s">
        <v>3685</v>
      </c>
      <c r="BG1155" t="s">
        <v>1790</v>
      </c>
    </row>
    <row r="1156" spans="57:59" x14ac:dyDescent="0.25">
      <c r="BE1156" t="s">
        <v>3686</v>
      </c>
      <c r="BF1156" t="s">
        <v>3687</v>
      </c>
      <c r="BG1156" t="s">
        <v>1793</v>
      </c>
    </row>
    <row r="1157" spans="57:59" x14ac:dyDescent="0.25">
      <c r="BE1157" t="s">
        <v>3688</v>
      </c>
      <c r="BF1157" t="s">
        <v>3689</v>
      </c>
      <c r="BG1157" t="s">
        <v>1796</v>
      </c>
    </row>
    <row r="1158" spans="57:59" x14ac:dyDescent="0.25">
      <c r="BE1158" t="s">
        <v>3690</v>
      </c>
      <c r="BF1158" t="s">
        <v>3691</v>
      </c>
      <c r="BG1158" t="s">
        <v>1799</v>
      </c>
    </row>
    <row r="1159" spans="57:59" x14ac:dyDescent="0.25">
      <c r="BE1159" t="s">
        <v>3692</v>
      </c>
      <c r="BF1159" t="s">
        <v>3693</v>
      </c>
      <c r="BG1159" t="s">
        <v>1802</v>
      </c>
    </row>
    <row r="1160" spans="57:59" x14ac:dyDescent="0.25">
      <c r="BE1160" t="s">
        <v>3694</v>
      </c>
      <c r="BF1160" t="s">
        <v>3695</v>
      </c>
      <c r="BG1160" t="s">
        <v>1805</v>
      </c>
    </row>
    <row r="1161" spans="57:59" x14ac:dyDescent="0.25">
      <c r="BE1161" t="s">
        <v>3696</v>
      </c>
      <c r="BF1161" t="s">
        <v>3697</v>
      </c>
      <c r="BG1161" t="s">
        <v>1808</v>
      </c>
    </row>
    <row r="1162" spans="57:59" x14ac:dyDescent="0.25">
      <c r="BE1162" t="s">
        <v>3698</v>
      </c>
      <c r="BF1162" t="s">
        <v>3699</v>
      </c>
      <c r="BG1162" t="s">
        <v>1811</v>
      </c>
    </row>
    <row r="1163" spans="57:59" x14ac:dyDescent="0.25">
      <c r="BE1163" t="s">
        <v>3700</v>
      </c>
      <c r="BF1163" t="s">
        <v>3701</v>
      </c>
      <c r="BG1163" t="s">
        <v>1814</v>
      </c>
    </row>
    <row r="1164" spans="57:59" x14ac:dyDescent="0.25">
      <c r="BE1164" t="s">
        <v>3702</v>
      </c>
      <c r="BF1164" t="s">
        <v>3703</v>
      </c>
      <c r="BG1164" t="s">
        <v>1817</v>
      </c>
    </row>
    <row r="1165" spans="57:59" x14ac:dyDescent="0.25">
      <c r="BE1165" t="s">
        <v>3704</v>
      </c>
      <c r="BF1165" t="s">
        <v>3705</v>
      </c>
      <c r="BG1165" t="s">
        <v>1820</v>
      </c>
    </row>
    <row r="1166" spans="57:59" x14ac:dyDescent="0.25">
      <c r="BE1166" t="s">
        <v>3706</v>
      </c>
      <c r="BF1166" t="s">
        <v>3707</v>
      </c>
      <c r="BG1166" t="s">
        <v>1823</v>
      </c>
    </row>
    <row r="1167" spans="57:59" x14ac:dyDescent="0.25">
      <c r="BE1167" t="s">
        <v>3708</v>
      </c>
      <c r="BF1167" t="s">
        <v>3709</v>
      </c>
      <c r="BG1167" t="s">
        <v>1826</v>
      </c>
    </row>
    <row r="1168" spans="57:59" x14ac:dyDescent="0.25">
      <c r="BE1168" t="s">
        <v>3710</v>
      </c>
      <c r="BF1168" t="s">
        <v>3711</v>
      </c>
      <c r="BG1168" t="s">
        <v>1829</v>
      </c>
    </row>
    <row r="1169" spans="57:59" x14ac:dyDescent="0.25">
      <c r="BE1169" t="s">
        <v>3712</v>
      </c>
      <c r="BF1169" t="s">
        <v>3713</v>
      </c>
      <c r="BG1169" t="s">
        <v>1832</v>
      </c>
    </row>
    <row r="1170" spans="57:59" x14ac:dyDescent="0.25">
      <c r="BE1170" t="s">
        <v>3714</v>
      </c>
      <c r="BF1170" t="s">
        <v>3715</v>
      </c>
      <c r="BG1170" t="s">
        <v>1835</v>
      </c>
    </row>
    <row r="1171" spans="57:59" x14ac:dyDescent="0.25">
      <c r="BE1171" t="s">
        <v>3716</v>
      </c>
      <c r="BF1171" t="s">
        <v>3717</v>
      </c>
      <c r="BG1171" t="s">
        <v>1838</v>
      </c>
    </row>
    <row r="1172" spans="57:59" x14ac:dyDescent="0.25">
      <c r="BE1172" t="s">
        <v>3718</v>
      </c>
      <c r="BF1172" t="s">
        <v>3719</v>
      </c>
      <c r="BG1172" t="s">
        <v>1841</v>
      </c>
    </row>
    <row r="1173" spans="57:59" x14ac:dyDescent="0.25">
      <c r="BE1173" t="s">
        <v>3720</v>
      </c>
      <c r="BF1173" t="s">
        <v>3721</v>
      </c>
      <c r="BG1173" t="s">
        <v>1844</v>
      </c>
    </row>
    <row r="1174" spans="57:59" x14ac:dyDescent="0.25">
      <c r="BE1174" t="s">
        <v>3722</v>
      </c>
      <c r="BF1174" t="s">
        <v>3723</v>
      </c>
      <c r="BG1174" t="s">
        <v>1847</v>
      </c>
    </row>
    <row r="1175" spans="57:59" x14ac:dyDescent="0.25">
      <c r="BE1175" t="s">
        <v>3724</v>
      </c>
      <c r="BF1175" t="s">
        <v>3725</v>
      </c>
      <c r="BG1175" t="s">
        <v>1850</v>
      </c>
    </row>
    <row r="1176" spans="57:59" x14ac:dyDescent="0.25">
      <c r="BE1176" t="s">
        <v>3726</v>
      </c>
      <c r="BF1176" t="s">
        <v>3727</v>
      </c>
      <c r="BG1176" t="s">
        <v>1853</v>
      </c>
    </row>
    <row r="1177" spans="57:59" x14ac:dyDescent="0.25">
      <c r="BE1177" t="s">
        <v>3728</v>
      </c>
      <c r="BF1177" t="s">
        <v>3729</v>
      </c>
      <c r="BG1177" t="s">
        <v>1856</v>
      </c>
    </row>
    <row r="1178" spans="57:59" x14ac:dyDescent="0.25">
      <c r="BE1178" t="s">
        <v>3730</v>
      </c>
      <c r="BF1178" t="s">
        <v>3731</v>
      </c>
      <c r="BG1178" t="s">
        <v>1859</v>
      </c>
    </row>
    <row r="1179" spans="57:59" x14ac:dyDescent="0.25">
      <c r="BE1179" t="s">
        <v>3732</v>
      </c>
      <c r="BF1179" t="s">
        <v>3733</v>
      </c>
      <c r="BG1179" t="s">
        <v>1862</v>
      </c>
    </row>
    <row r="1180" spans="57:59" x14ac:dyDescent="0.25">
      <c r="BE1180" t="s">
        <v>3734</v>
      </c>
      <c r="BF1180" t="s">
        <v>3735</v>
      </c>
      <c r="BG1180" t="s">
        <v>1865</v>
      </c>
    </row>
    <row r="1181" spans="57:59" x14ac:dyDescent="0.25">
      <c r="BE1181" t="s">
        <v>3736</v>
      </c>
      <c r="BF1181" t="s">
        <v>3737</v>
      </c>
      <c r="BG1181" t="s">
        <v>1868</v>
      </c>
    </row>
    <row r="1182" spans="57:59" x14ac:dyDescent="0.25">
      <c r="BE1182" t="s">
        <v>3738</v>
      </c>
      <c r="BF1182" t="s">
        <v>3739</v>
      </c>
      <c r="BG1182" t="s">
        <v>1871</v>
      </c>
    </row>
    <row r="1183" spans="57:59" x14ac:dyDescent="0.25">
      <c r="BE1183" t="s">
        <v>3740</v>
      </c>
      <c r="BF1183" t="s">
        <v>3741</v>
      </c>
      <c r="BG1183" t="s">
        <v>1874</v>
      </c>
    </row>
    <row r="1184" spans="57:59" x14ac:dyDescent="0.25">
      <c r="BE1184" t="s">
        <v>3742</v>
      </c>
      <c r="BF1184" t="s">
        <v>3743</v>
      </c>
      <c r="BG1184" t="s">
        <v>1877</v>
      </c>
    </row>
    <row r="1185" spans="57:59" x14ac:dyDescent="0.25">
      <c r="BE1185" t="s">
        <v>3744</v>
      </c>
      <c r="BF1185" t="s">
        <v>3745</v>
      </c>
      <c r="BG1185" t="s">
        <v>1880</v>
      </c>
    </row>
    <row r="1186" spans="57:59" x14ac:dyDescent="0.25">
      <c r="BE1186" t="s">
        <v>3746</v>
      </c>
      <c r="BF1186" t="s">
        <v>3747</v>
      </c>
      <c r="BG1186" t="s">
        <v>1883</v>
      </c>
    </row>
    <row r="1187" spans="57:59" x14ac:dyDescent="0.25">
      <c r="BE1187" t="s">
        <v>3748</v>
      </c>
      <c r="BF1187" t="s">
        <v>3749</v>
      </c>
      <c r="BG1187" t="s">
        <v>1886</v>
      </c>
    </row>
    <row r="1188" spans="57:59" x14ac:dyDescent="0.25">
      <c r="BE1188" t="s">
        <v>3750</v>
      </c>
      <c r="BF1188" t="s">
        <v>3751</v>
      </c>
      <c r="BG1188" t="s">
        <v>1889</v>
      </c>
    </row>
    <row r="1189" spans="57:59" x14ac:dyDescent="0.25">
      <c r="BE1189" t="s">
        <v>3752</v>
      </c>
      <c r="BF1189" t="s">
        <v>3753</v>
      </c>
      <c r="BG1189" t="s">
        <v>1892</v>
      </c>
    </row>
    <row r="1190" spans="57:59" x14ac:dyDescent="0.25">
      <c r="BE1190" t="s">
        <v>3754</v>
      </c>
      <c r="BF1190" t="s">
        <v>3755</v>
      </c>
      <c r="BG1190" t="s">
        <v>1895</v>
      </c>
    </row>
    <row r="1191" spans="57:59" x14ac:dyDescent="0.25">
      <c r="BE1191" t="s">
        <v>3756</v>
      </c>
      <c r="BF1191" t="s">
        <v>3757</v>
      </c>
      <c r="BG1191" t="s">
        <v>1898</v>
      </c>
    </row>
    <row r="1192" spans="57:59" x14ac:dyDescent="0.25">
      <c r="BE1192" t="s">
        <v>3758</v>
      </c>
      <c r="BF1192" t="s">
        <v>3759</v>
      </c>
      <c r="BG1192" t="s">
        <v>1901</v>
      </c>
    </row>
    <row r="1193" spans="57:59" x14ac:dyDescent="0.25">
      <c r="BE1193" t="s">
        <v>3760</v>
      </c>
      <c r="BF1193" t="s">
        <v>3761</v>
      </c>
      <c r="BG1193" t="s">
        <v>1904</v>
      </c>
    </row>
    <row r="1194" spans="57:59" x14ac:dyDescent="0.25">
      <c r="BE1194" t="s">
        <v>3762</v>
      </c>
      <c r="BF1194" t="s">
        <v>3763</v>
      </c>
      <c r="BG1194" t="s">
        <v>1907</v>
      </c>
    </row>
    <row r="1195" spans="57:59" x14ac:dyDescent="0.25">
      <c r="BE1195" t="s">
        <v>3764</v>
      </c>
      <c r="BF1195" t="s">
        <v>3765</v>
      </c>
      <c r="BG1195" t="s">
        <v>1910</v>
      </c>
    </row>
    <row r="1196" spans="57:59" x14ac:dyDescent="0.25">
      <c r="BE1196" t="s">
        <v>3766</v>
      </c>
      <c r="BF1196" t="s">
        <v>3767</v>
      </c>
      <c r="BG1196" t="s">
        <v>1913</v>
      </c>
    </row>
    <row r="1197" spans="57:59" x14ac:dyDescent="0.25">
      <c r="BE1197" t="s">
        <v>3768</v>
      </c>
      <c r="BF1197" t="s">
        <v>3769</v>
      </c>
      <c r="BG1197" t="s">
        <v>1916</v>
      </c>
    </row>
    <row r="1198" spans="57:59" x14ac:dyDescent="0.25">
      <c r="BE1198" t="s">
        <v>3770</v>
      </c>
      <c r="BF1198" t="s">
        <v>3771</v>
      </c>
      <c r="BG1198" t="s">
        <v>1919</v>
      </c>
    </row>
    <row r="1199" spans="57:59" x14ac:dyDescent="0.25">
      <c r="BE1199" t="s">
        <v>3772</v>
      </c>
      <c r="BF1199" t="s">
        <v>3773</v>
      </c>
      <c r="BG1199" t="s">
        <v>1922</v>
      </c>
    </row>
    <row r="1200" spans="57:59" x14ac:dyDescent="0.25">
      <c r="BE1200" t="s">
        <v>3774</v>
      </c>
      <c r="BF1200" t="s">
        <v>3775</v>
      </c>
      <c r="BG1200" t="s">
        <v>1925</v>
      </c>
    </row>
    <row r="1201" spans="57:59" x14ac:dyDescent="0.25">
      <c r="BE1201" t="s">
        <v>3776</v>
      </c>
      <c r="BF1201" t="s">
        <v>3777</v>
      </c>
      <c r="BG1201" t="s">
        <v>1928</v>
      </c>
    </row>
    <row r="1202" spans="57:59" x14ac:dyDescent="0.25">
      <c r="BE1202" t="s">
        <v>3778</v>
      </c>
      <c r="BF1202" t="s">
        <v>3779</v>
      </c>
      <c r="BG1202" t="s">
        <v>1931</v>
      </c>
    </row>
    <row r="1203" spans="57:59" x14ac:dyDescent="0.25">
      <c r="BE1203" t="s">
        <v>3780</v>
      </c>
      <c r="BF1203" t="s">
        <v>3781</v>
      </c>
      <c r="BG1203" t="s">
        <v>1934</v>
      </c>
    </row>
    <row r="1204" spans="57:59" x14ac:dyDescent="0.25">
      <c r="BE1204" t="s">
        <v>3782</v>
      </c>
      <c r="BF1204" t="s">
        <v>3783</v>
      </c>
      <c r="BG1204" t="s">
        <v>1937</v>
      </c>
    </row>
    <row r="1205" spans="57:59" x14ac:dyDescent="0.25">
      <c r="BE1205" t="s">
        <v>3784</v>
      </c>
      <c r="BF1205" t="s">
        <v>3785</v>
      </c>
      <c r="BG1205" t="s">
        <v>1940</v>
      </c>
    </row>
    <row r="1206" spans="57:59" x14ac:dyDescent="0.25">
      <c r="BE1206" t="s">
        <v>3786</v>
      </c>
      <c r="BF1206" t="s">
        <v>3787</v>
      </c>
      <c r="BG1206" t="s">
        <v>1943</v>
      </c>
    </row>
    <row r="1207" spans="57:59" x14ac:dyDescent="0.25">
      <c r="BE1207" t="s">
        <v>3788</v>
      </c>
      <c r="BF1207" t="s">
        <v>3789</v>
      </c>
      <c r="BG1207" t="s">
        <v>1946</v>
      </c>
    </row>
    <row r="1208" spans="57:59" x14ac:dyDescent="0.25">
      <c r="BE1208" t="s">
        <v>3790</v>
      </c>
      <c r="BF1208" t="s">
        <v>3791</v>
      </c>
      <c r="BG1208" t="s">
        <v>1949</v>
      </c>
    </row>
    <row r="1209" spans="57:59" x14ac:dyDescent="0.25">
      <c r="BE1209" t="s">
        <v>3792</v>
      </c>
      <c r="BF1209" t="s">
        <v>3793</v>
      </c>
      <c r="BG1209" t="s">
        <v>1952</v>
      </c>
    </row>
    <row r="1210" spans="57:59" x14ac:dyDescent="0.25">
      <c r="BE1210" t="s">
        <v>3794</v>
      </c>
      <c r="BF1210" t="s">
        <v>3795</v>
      </c>
      <c r="BG1210" t="s">
        <v>1955</v>
      </c>
    </row>
    <row r="1211" spans="57:59" x14ac:dyDescent="0.25">
      <c r="BE1211" t="s">
        <v>3796</v>
      </c>
      <c r="BF1211" t="s">
        <v>3797</v>
      </c>
      <c r="BG1211" t="s">
        <v>1958</v>
      </c>
    </row>
    <row r="1212" spans="57:59" x14ac:dyDescent="0.25">
      <c r="BE1212" t="s">
        <v>3798</v>
      </c>
      <c r="BF1212" t="s">
        <v>3799</v>
      </c>
      <c r="BG1212" t="s">
        <v>1961</v>
      </c>
    </row>
    <row r="1213" spans="57:59" x14ac:dyDescent="0.25">
      <c r="BE1213" t="s">
        <v>3800</v>
      </c>
      <c r="BF1213" t="s">
        <v>3801</v>
      </c>
      <c r="BG1213" t="s">
        <v>1964</v>
      </c>
    </row>
    <row r="1214" spans="57:59" x14ac:dyDescent="0.25">
      <c r="BE1214" t="s">
        <v>3802</v>
      </c>
      <c r="BF1214" t="s">
        <v>3803</v>
      </c>
      <c r="BG1214" t="s">
        <v>1967</v>
      </c>
    </row>
    <row r="1215" spans="57:59" x14ac:dyDescent="0.25">
      <c r="BE1215" t="s">
        <v>3804</v>
      </c>
      <c r="BF1215" t="s">
        <v>3805</v>
      </c>
      <c r="BG1215" t="s">
        <v>1970</v>
      </c>
    </row>
    <row r="1216" spans="57:59" x14ac:dyDescent="0.25">
      <c r="BE1216" t="s">
        <v>3806</v>
      </c>
      <c r="BF1216" t="s">
        <v>3807</v>
      </c>
      <c r="BG1216" t="s">
        <v>1973</v>
      </c>
    </row>
    <row r="1217" spans="57:59" x14ac:dyDescent="0.25">
      <c r="BE1217" t="s">
        <v>3808</v>
      </c>
      <c r="BF1217" t="s">
        <v>3809</v>
      </c>
      <c r="BG1217" t="s">
        <v>1976</v>
      </c>
    </row>
    <row r="1218" spans="57:59" x14ac:dyDescent="0.25">
      <c r="BE1218" t="s">
        <v>3810</v>
      </c>
      <c r="BF1218" t="s">
        <v>3811</v>
      </c>
      <c r="BG1218" t="s">
        <v>1979</v>
      </c>
    </row>
    <row r="1219" spans="57:59" x14ac:dyDescent="0.25">
      <c r="BE1219" t="s">
        <v>3812</v>
      </c>
      <c r="BF1219" t="s">
        <v>3813</v>
      </c>
      <c r="BG1219" t="s">
        <v>1982</v>
      </c>
    </row>
    <row r="1220" spans="57:59" x14ac:dyDescent="0.25">
      <c r="BE1220" t="s">
        <v>3814</v>
      </c>
      <c r="BF1220" t="s">
        <v>3815</v>
      </c>
      <c r="BG1220" t="s">
        <v>1985</v>
      </c>
    </row>
    <row r="1221" spans="57:59" x14ac:dyDescent="0.25">
      <c r="BE1221" t="s">
        <v>3816</v>
      </c>
      <c r="BF1221" t="s">
        <v>3817</v>
      </c>
      <c r="BG1221" t="s">
        <v>1988</v>
      </c>
    </row>
    <row r="1222" spans="57:59" x14ac:dyDescent="0.25">
      <c r="BE1222" t="s">
        <v>3818</v>
      </c>
      <c r="BF1222" t="s">
        <v>3819</v>
      </c>
      <c r="BG1222" t="s">
        <v>1991</v>
      </c>
    </row>
    <row r="1223" spans="57:59" x14ac:dyDescent="0.25">
      <c r="BE1223" t="s">
        <v>3820</v>
      </c>
      <c r="BF1223" t="s">
        <v>3821</v>
      </c>
      <c r="BG1223" t="s">
        <v>1994</v>
      </c>
    </row>
    <row r="1224" spans="57:59" x14ac:dyDescent="0.25">
      <c r="BE1224" t="s">
        <v>3822</v>
      </c>
      <c r="BF1224" t="s">
        <v>3823</v>
      </c>
      <c r="BG1224" t="s">
        <v>1997</v>
      </c>
    </row>
    <row r="1225" spans="57:59" x14ac:dyDescent="0.25">
      <c r="BE1225" t="s">
        <v>3824</v>
      </c>
      <c r="BF1225" t="s">
        <v>3825</v>
      </c>
      <c r="BG1225" t="s">
        <v>2000</v>
      </c>
    </row>
    <row r="1226" spans="57:59" x14ac:dyDescent="0.25">
      <c r="BE1226" t="s">
        <v>3826</v>
      </c>
      <c r="BF1226" t="s">
        <v>3827</v>
      </c>
      <c r="BG1226" t="s">
        <v>2003</v>
      </c>
    </row>
    <row r="1227" spans="57:59" x14ac:dyDescent="0.25">
      <c r="BE1227" t="s">
        <v>3828</v>
      </c>
      <c r="BF1227" t="s">
        <v>3829</v>
      </c>
      <c r="BG1227" t="s">
        <v>2006</v>
      </c>
    </row>
    <row r="1228" spans="57:59" x14ac:dyDescent="0.25">
      <c r="BE1228" t="s">
        <v>3830</v>
      </c>
      <c r="BF1228" t="s">
        <v>3831</v>
      </c>
      <c r="BG1228" t="s">
        <v>2009</v>
      </c>
    </row>
    <row r="1229" spans="57:59" x14ac:dyDescent="0.25">
      <c r="BE1229" t="s">
        <v>3832</v>
      </c>
      <c r="BF1229" t="s">
        <v>3833</v>
      </c>
      <c r="BG1229" t="s">
        <v>2012</v>
      </c>
    </row>
    <row r="1230" spans="57:59" x14ac:dyDescent="0.25">
      <c r="BE1230" t="s">
        <v>3834</v>
      </c>
      <c r="BF1230" t="s">
        <v>3835</v>
      </c>
      <c r="BG1230" t="s">
        <v>2015</v>
      </c>
    </row>
    <row r="1231" spans="57:59" x14ac:dyDescent="0.25">
      <c r="BE1231" t="s">
        <v>3836</v>
      </c>
      <c r="BF1231" t="s">
        <v>3837</v>
      </c>
      <c r="BG1231" t="s">
        <v>2018</v>
      </c>
    </row>
    <row r="1232" spans="57:59" x14ac:dyDescent="0.25">
      <c r="BE1232" t="s">
        <v>3838</v>
      </c>
      <c r="BF1232" t="s">
        <v>3839</v>
      </c>
      <c r="BG1232" t="s">
        <v>2021</v>
      </c>
    </row>
    <row r="1233" spans="57:59" x14ac:dyDescent="0.25">
      <c r="BE1233" t="s">
        <v>3840</v>
      </c>
      <c r="BF1233" t="s">
        <v>3841</v>
      </c>
      <c r="BG1233" t="s">
        <v>2024</v>
      </c>
    </row>
    <row r="1234" spans="57:59" x14ac:dyDescent="0.25">
      <c r="BE1234" t="s">
        <v>3842</v>
      </c>
      <c r="BF1234" t="s">
        <v>3843</v>
      </c>
      <c r="BG1234" t="s">
        <v>2027</v>
      </c>
    </row>
    <row r="1235" spans="57:59" x14ac:dyDescent="0.25">
      <c r="BE1235" t="s">
        <v>3844</v>
      </c>
      <c r="BF1235" t="s">
        <v>3845</v>
      </c>
      <c r="BG1235" t="s">
        <v>2030</v>
      </c>
    </row>
    <row r="1236" spans="57:59" x14ac:dyDescent="0.25">
      <c r="BE1236" t="s">
        <v>3846</v>
      </c>
      <c r="BF1236" t="s">
        <v>3847</v>
      </c>
      <c r="BG1236" t="s">
        <v>2033</v>
      </c>
    </row>
    <row r="1237" spans="57:59" x14ac:dyDescent="0.25">
      <c r="BE1237" t="s">
        <v>3848</v>
      </c>
      <c r="BF1237" t="s">
        <v>3849</v>
      </c>
      <c r="BG1237" t="s">
        <v>2036</v>
      </c>
    </row>
    <row r="1238" spans="57:59" x14ac:dyDescent="0.25">
      <c r="BE1238" t="s">
        <v>3850</v>
      </c>
      <c r="BF1238" t="s">
        <v>3851</v>
      </c>
      <c r="BG1238" t="s">
        <v>2039</v>
      </c>
    </row>
    <row r="1239" spans="57:59" x14ac:dyDescent="0.25">
      <c r="BE1239" t="s">
        <v>3852</v>
      </c>
      <c r="BF1239" t="s">
        <v>3853</v>
      </c>
      <c r="BG1239" t="s">
        <v>2042</v>
      </c>
    </row>
    <row r="1240" spans="57:59" x14ac:dyDescent="0.25">
      <c r="BE1240" t="s">
        <v>3854</v>
      </c>
      <c r="BF1240" t="s">
        <v>3855</v>
      </c>
      <c r="BG1240" t="s">
        <v>2045</v>
      </c>
    </row>
    <row r="1241" spans="57:59" x14ac:dyDescent="0.25">
      <c r="BE1241" t="s">
        <v>3856</v>
      </c>
      <c r="BF1241" t="s">
        <v>3857</v>
      </c>
      <c r="BG1241" t="s">
        <v>2048</v>
      </c>
    </row>
    <row r="1242" spans="57:59" x14ac:dyDescent="0.25">
      <c r="BE1242" t="s">
        <v>3858</v>
      </c>
      <c r="BF1242" t="s">
        <v>3859</v>
      </c>
      <c r="BG1242" t="s">
        <v>2051</v>
      </c>
    </row>
    <row r="1243" spans="57:59" x14ac:dyDescent="0.25">
      <c r="BE1243" t="s">
        <v>3860</v>
      </c>
      <c r="BF1243" t="s">
        <v>3861</v>
      </c>
      <c r="BG1243" t="s">
        <v>2054</v>
      </c>
    </row>
    <row r="1244" spans="57:59" x14ac:dyDescent="0.25">
      <c r="BE1244" t="s">
        <v>3862</v>
      </c>
      <c r="BF1244" t="s">
        <v>3863</v>
      </c>
      <c r="BG1244" t="s">
        <v>2057</v>
      </c>
    </row>
    <row r="1245" spans="57:59" x14ac:dyDescent="0.25">
      <c r="BE1245" t="s">
        <v>3864</v>
      </c>
      <c r="BF1245" t="s">
        <v>3865</v>
      </c>
      <c r="BG1245" t="s">
        <v>2060</v>
      </c>
    </row>
    <row r="1246" spans="57:59" x14ac:dyDescent="0.25">
      <c r="BE1246" t="s">
        <v>3866</v>
      </c>
      <c r="BF1246" t="s">
        <v>3867</v>
      </c>
      <c r="BG1246" t="s">
        <v>2063</v>
      </c>
    </row>
    <row r="1247" spans="57:59" x14ac:dyDescent="0.25">
      <c r="BE1247" t="s">
        <v>3868</v>
      </c>
      <c r="BF1247" t="s">
        <v>3869</v>
      </c>
      <c r="BG1247" t="s">
        <v>2066</v>
      </c>
    </row>
    <row r="1248" spans="57:59" x14ac:dyDescent="0.25">
      <c r="BE1248" t="s">
        <v>3870</v>
      </c>
      <c r="BF1248" t="s">
        <v>3871</v>
      </c>
      <c r="BG1248" t="s">
        <v>2069</v>
      </c>
    </row>
    <row r="1249" spans="57:59" x14ac:dyDescent="0.25">
      <c r="BE1249" t="s">
        <v>3872</v>
      </c>
      <c r="BF1249" t="s">
        <v>3873</v>
      </c>
      <c r="BG1249" t="s">
        <v>2072</v>
      </c>
    </row>
    <row r="1250" spans="57:59" x14ac:dyDescent="0.25">
      <c r="BE1250" t="s">
        <v>3874</v>
      </c>
      <c r="BF1250" t="s">
        <v>3875</v>
      </c>
      <c r="BG1250" t="s">
        <v>2075</v>
      </c>
    </row>
    <row r="1251" spans="57:59" x14ac:dyDescent="0.25">
      <c r="BE1251" t="s">
        <v>3876</v>
      </c>
      <c r="BF1251" t="s">
        <v>3877</v>
      </c>
      <c r="BG1251" t="s">
        <v>2078</v>
      </c>
    </row>
    <row r="1252" spans="57:59" x14ac:dyDescent="0.25">
      <c r="BE1252" t="s">
        <v>3878</v>
      </c>
      <c r="BF1252" t="s">
        <v>3879</v>
      </c>
      <c r="BG1252" t="s">
        <v>2081</v>
      </c>
    </row>
    <row r="1253" spans="57:59" x14ac:dyDescent="0.25">
      <c r="BE1253" t="s">
        <v>3880</v>
      </c>
      <c r="BF1253" t="s">
        <v>3881</v>
      </c>
      <c r="BG1253" t="s">
        <v>2084</v>
      </c>
    </row>
    <row r="1254" spans="57:59" x14ac:dyDescent="0.25">
      <c r="BE1254" t="s">
        <v>3882</v>
      </c>
      <c r="BF1254" t="s">
        <v>3883</v>
      </c>
      <c r="BG1254" t="s">
        <v>2087</v>
      </c>
    </row>
    <row r="1255" spans="57:59" x14ac:dyDescent="0.25">
      <c r="BE1255" t="s">
        <v>3884</v>
      </c>
      <c r="BF1255" t="s">
        <v>3885</v>
      </c>
      <c r="BG1255" t="s">
        <v>2090</v>
      </c>
    </row>
    <row r="1256" spans="57:59" x14ac:dyDescent="0.25">
      <c r="BE1256" t="s">
        <v>3886</v>
      </c>
      <c r="BF1256" t="s">
        <v>3887</v>
      </c>
      <c r="BG1256" t="s">
        <v>2093</v>
      </c>
    </row>
    <row r="1257" spans="57:59" x14ac:dyDescent="0.25">
      <c r="BE1257" t="s">
        <v>3888</v>
      </c>
      <c r="BF1257" t="s">
        <v>3889</v>
      </c>
      <c r="BG1257" t="s">
        <v>2096</v>
      </c>
    </row>
    <row r="1258" spans="57:59" x14ac:dyDescent="0.25">
      <c r="BE1258" t="s">
        <v>3890</v>
      </c>
      <c r="BF1258" t="s">
        <v>3891</v>
      </c>
      <c r="BG1258" t="s">
        <v>2099</v>
      </c>
    </row>
    <row r="1259" spans="57:59" x14ac:dyDescent="0.25">
      <c r="BE1259" t="s">
        <v>3892</v>
      </c>
      <c r="BF1259" t="s">
        <v>3893</v>
      </c>
      <c r="BG1259" t="s">
        <v>2102</v>
      </c>
    </row>
    <row r="1260" spans="57:59" x14ac:dyDescent="0.25">
      <c r="BE1260" t="s">
        <v>3894</v>
      </c>
      <c r="BF1260" t="s">
        <v>3895</v>
      </c>
      <c r="BG1260" t="s">
        <v>2105</v>
      </c>
    </row>
    <row r="1261" spans="57:59" x14ac:dyDescent="0.25">
      <c r="BE1261" t="s">
        <v>3896</v>
      </c>
      <c r="BF1261" t="s">
        <v>3897</v>
      </c>
      <c r="BG1261" t="s">
        <v>2108</v>
      </c>
    </row>
    <row r="1262" spans="57:59" x14ac:dyDescent="0.25">
      <c r="BE1262" t="s">
        <v>3898</v>
      </c>
      <c r="BF1262" t="s">
        <v>3899</v>
      </c>
      <c r="BG1262" t="s">
        <v>2111</v>
      </c>
    </row>
    <row r="1263" spans="57:59" x14ac:dyDescent="0.25">
      <c r="BE1263" t="s">
        <v>3900</v>
      </c>
      <c r="BF1263" t="s">
        <v>3901</v>
      </c>
      <c r="BG1263" t="s">
        <v>2114</v>
      </c>
    </row>
    <row r="1264" spans="57:59" x14ac:dyDescent="0.25">
      <c r="BE1264" t="s">
        <v>3902</v>
      </c>
      <c r="BF1264" t="s">
        <v>3903</v>
      </c>
      <c r="BG1264" t="s">
        <v>2117</v>
      </c>
    </row>
    <row r="1265" spans="57:59" x14ac:dyDescent="0.25">
      <c r="BE1265" t="s">
        <v>3904</v>
      </c>
      <c r="BF1265" t="s">
        <v>3905</v>
      </c>
      <c r="BG1265" t="s">
        <v>2120</v>
      </c>
    </row>
    <row r="1266" spans="57:59" x14ac:dyDescent="0.25">
      <c r="BE1266" t="s">
        <v>3906</v>
      </c>
      <c r="BF1266" t="s">
        <v>3907</v>
      </c>
      <c r="BG1266" t="s">
        <v>2123</v>
      </c>
    </row>
    <row r="1267" spans="57:59" x14ac:dyDescent="0.25">
      <c r="BE1267" t="s">
        <v>3908</v>
      </c>
      <c r="BF1267" t="s">
        <v>3909</v>
      </c>
      <c r="BG1267" t="s">
        <v>2126</v>
      </c>
    </row>
    <row r="1268" spans="57:59" x14ac:dyDescent="0.25">
      <c r="BE1268" t="s">
        <v>3910</v>
      </c>
      <c r="BF1268" t="s">
        <v>3911</v>
      </c>
      <c r="BG1268" t="s">
        <v>2129</v>
      </c>
    </row>
    <row r="1269" spans="57:59" x14ac:dyDescent="0.25">
      <c r="BE1269" t="s">
        <v>3912</v>
      </c>
      <c r="BF1269" t="s">
        <v>3913</v>
      </c>
      <c r="BG1269" t="s">
        <v>2132</v>
      </c>
    </row>
    <row r="1270" spans="57:59" x14ac:dyDescent="0.25">
      <c r="BE1270" t="s">
        <v>3914</v>
      </c>
      <c r="BF1270" t="s">
        <v>3915</v>
      </c>
      <c r="BG1270" t="s">
        <v>2135</v>
      </c>
    </row>
    <row r="1271" spans="57:59" x14ac:dyDescent="0.25">
      <c r="BE1271" t="s">
        <v>3916</v>
      </c>
      <c r="BF1271" t="s">
        <v>3917</v>
      </c>
      <c r="BG1271" t="s">
        <v>2138</v>
      </c>
    </row>
    <row r="1272" spans="57:59" x14ac:dyDescent="0.25">
      <c r="BE1272" t="s">
        <v>3918</v>
      </c>
      <c r="BF1272" t="s">
        <v>3919</v>
      </c>
      <c r="BG1272" t="s">
        <v>2141</v>
      </c>
    </row>
    <row r="1273" spans="57:59" x14ac:dyDescent="0.25">
      <c r="BE1273" t="s">
        <v>3920</v>
      </c>
      <c r="BF1273" t="s">
        <v>3921</v>
      </c>
      <c r="BG1273" t="s">
        <v>2144</v>
      </c>
    </row>
    <row r="1274" spans="57:59" x14ac:dyDescent="0.25">
      <c r="BE1274" t="s">
        <v>3922</v>
      </c>
      <c r="BF1274" t="s">
        <v>3923</v>
      </c>
      <c r="BG1274" t="s">
        <v>2147</v>
      </c>
    </row>
    <row r="1275" spans="57:59" x14ac:dyDescent="0.25">
      <c r="BE1275" t="s">
        <v>3924</v>
      </c>
      <c r="BF1275" t="s">
        <v>3925</v>
      </c>
      <c r="BG1275" t="s">
        <v>2150</v>
      </c>
    </row>
    <row r="1276" spans="57:59" x14ac:dyDescent="0.25">
      <c r="BE1276" t="s">
        <v>3926</v>
      </c>
      <c r="BF1276" t="s">
        <v>3927</v>
      </c>
      <c r="BG1276" t="s">
        <v>2153</v>
      </c>
    </row>
    <row r="1277" spans="57:59" x14ac:dyDescent="0.25">
      <c r="BE1277" t="s">
        <v>3928</v>
      </c>
      <c r="BF1277" t="s">
        <v>3929</v>
      </c>
      <c r="BG1277" t="s">
        <v>2156</v>
      </c>
    </row>
    <row r="1278" spans="57:59" x14ac:dyDescent="0.25">
      <c r="BE1278" t="s">
        <v>3930</v>
      </c>
      <c r="BF1278" t="s">
        <v>3931</v>
      </c>
      <c r="BG1278" t="s">
        <v>2159</v>
      </c>
    </row>
    <row r="1279" spans="57:59" x14ac:dyDescent="0.25">
      <c r="BE1279" t="s">
        <v>3932</v>
      </c>
      <c r="BF1279" t="s">
        <v>3933</v>
      </c>
      <c r="BG1279" t="s">
        <v>2162</v>
      </c>
    </row>
    <row r="1280" spans="57:59" x14ac:dyDescent="0.25">
      <c r="BE1280" t="s">
        <v>3934</v>
      </c>
      <c r="BF1280" t="s">
        <v>3935</v>
      </c>
      <c r="BG1280" t="s">
        <v>2165</v>
      </c>
    </row>
    <row r="1281" spans="57:59" x14ac:dyDescent="0.25">
      <c r="BE1281" t="s">
        <v>3936</v>
      </c>
      <c r="BF1281" t="s">
        <v>3937</v>
      </c>
      <c r="BG1281" t="s">
        <v>2168</v>
      </c>
    </row>
    <row r="1282" spans="57:59" x14ac:dyDescent="0.25">
      <c r="BE1282" t="s">
        <v>3938</v>
      </c>
      <c r="BF1282" t="s">
        <v>3939</v>
      </c>
      <c r="BG1282" t="s">
        <v>2171</v>
      </c>
    </row>
    <row r="1283" spans="57:59" x14ac:dyDescent="0.25">
      <c r="BE1283" t="s">
        <v>3940</v>
      </c>
      <c r="BF1283" t="s">
        <v>3941</v>
      </c>
      <c r="BG1283" t="s">
        <v>2174</v>
      </c>
    </row>
    <row r="1284" spans="57:59" x14ac:dyDescent="0.25">
      <c r="BE1284" t="s">
        <v>3942</v>
      </c>
      <c r="BF1284" t="s">
        <v>3943</v>
      </c>
      <c r="BG1284" t="s">
        <v>2177</v>
      </c>
    </row>
    <row r="1285" spans="57:59" x14ac:dyDescent="0.25">
      <c r="BE1285" t="s">
        <v>3944</v>
      </c>
      <c r="BF1285" t="s">
        <v>3945</v>
      </c>
      <c r="BG1285" t="s">
        <v>2180</v>
      </c>
    </row>
    <row r="1286" spans="57:59" x14ac:dyDescent="0.25">
      <c r="BE1286" t="s">
        <v>3946</v>
      </c>
      <c r="BF1286" t="s">
        <v>3947</v>
      </c>
      <c r="BG1286" t="s">
        <v>2183</v>
      </c>
    </row>
    <row r="1287" spans="57:59" x14ac:dyDescent="0.25">
      <c r="BE1287" t="s">
        <v>3948</v>
      </c>
      <c r="BF1287" t="s">
        <v>3949</v>
      </c>
      <c r="BG1287" t="s">
        <v>2186</v>
      </c>
    </row>
    <row r="1288" spans="57:59" x14ac:dyDescent="0.25">
      <c r="BE1288" t="s">
        <v>3950</v>
      </c>
      <c r="BF1288" t="s">
        <v>3951</v>
      </c>
      <c r="BG1288" t="s">
        <v>2189</v>
      </c>
    </row>
    <row r="1289" spans="57:59" x14ac:dyDescent="0.25">
      <c r="BE1289" t="s">
        <v>3952</v>
      </c>
      <c r="BF1289" t="s">
        <v>3953</v>
      </c>
      <c r="BG1289" t="s">
        <v>2192</v>
      </c>
    </row>
    <row r="1290" spans="57:59" x14ac:dyDescent="0.25">
      <c r="BE1290" t="s">
        <v>3954</v>
      </c>
      <c r="BF1290" t="s">
        <v>3955</v>
      </c>
      <c r="BG1290" t="s">
        <v>2195</v>
      </c>
    </row>
    <row r="1291" spans="57:59" x14ac:dyDescent="0.25">
      <c r="BE1291" t="s">
        <v>3956</v>
      </c>
      <c r="BF1291" t="s">
        <v>3957</v>
      </c>
      <c r="BG1291" t="s">
        <v>2198</v>
      </c>
    </row>
    <row r="1292" spans="57:59" x14ac:dyDescent="0.25">
      <c r="BE1292" t="s">
        <v>3958</v>
      </c>
      <c r="BF1292" t="s">
        <v>3959</v>
      </c>
      <c r="BG1292" t="s">
        <v>2201</v>
      </c>
    </row>
    <row r="1293" spans="57:59" x14ac:dyDescent="0.25">
      <c r="BE1293" t="s">
        <v>3960</v>
      </c>
      <c r="BF1293" t="s">
        <v>3961</v>
      </c>
      <c r="BG1293" t="s">
        <v>2204</v>
      </c>
    </row>
    <row r="1294" spans="57:59" x14ac:dyDescent="0.25">
      <c r="BE1294" t="s">
        <v>3962</v>
      </c>
      <c r="BF1294" t="s">
        <v>3963</v>
      </c>
      <c r="BG1294" t="s">
        <v>2207</v>
      </c>
    </row>
    <row r="1295" spans="57:59" x14ac:dyDescent="0.25">
      <c r="BE1295" t="s">
        <v>3964</v>
      </c>
      <c r="BF1295" t="s">
        <v>3965</v>
      </c>
      <c r="BG1295" t="s">
        <v>2210</v>
      </c>
    </row>
    <row r="1296" spans="57:59" x14ac:dyDescent="0.25">
      <c r="BE1296" t="s">
        <v>3966</v>
      </c>
      <c r="BF1296" t="s">
        <v>3967</v>
      </c>
      <c r="BG1296" t="s">
        <v>2213</v>
      </c>
    </row>
    <row r="1297" spans="57:59" x14ac:dyDescent="0.25">
      <c r="BE1297" t="s">
        <v>3968</v>
      </c>
      <c r="BF1297" t="s">
        <v>3969</v>
      </c>
      <c r="BG1297" t="s">
        <v>2216</v>
      </c>
    </row>
    <row r="1298" spans="57:59" x14ac:dyDescent="0.25">
      <c r="BE1298" t="s">
        <v>3970</v>
      </c>
      <c r="BF1298" t="s">
        <v>3971</v>
      </c>
      <c r="BG1298" t="s">
        <v>2219</v>
      </c>
    </row>
    <row r="1299" spans="57:59" x14ac:dyDescent="0.25">
      <c r="BE1299" t="s">
        <v>3972</v>
      </c>
      <c r="BF1299" t="s">
        <v>3973</v>
      </c>
      <c r="BG1299" t="s">
        <v>2222</v>
      </c>
    </row>
    <row r="1300" spans="57:59" x14ac:dyDescent="0.25">
      <c r="BE1300" t="s">
        <v>3974</v>
      </c>
      <c r="BF1300" t="s">
        <v>3975</v>
      </c>
      <c r="BG1300" t="s">
        <v>2225</v>
      </c>
    </row>
    <row r="1301" spans="57:59" x14ac:dyDescent="0.25">
      <c r="BE1301" t="s">
        <v>3976</v>
      </c>
      <c r="BF1301" t="s">
        <v>3977</v>
      </c>
      <c r="BG1301" t="s">
        <v>2228</v>
      </c>
    </row>
    <row r="1302" spans="57:59" x14ac:dyDescent="0.25">
      <c r="BE1302" t="s">
        <v>3978</v>
      </c>
      <c r="BF1302" t="s">
        <v>3979</v>
      </c>
      <c r="BG1302" t="s">
        <v>2231</v>
      </c>
    </row>
    <row r="1303" spans="57:59" x14ac:dyDescent="0.25">
      <c r="BE1303" t="s">
        <v>3980</v>
      </c>
      <c r="BF1303" t="s">
        <v>3981</v>
      </c>
      <c r="BG1303" t="s">
        <v>2234</v>
      </c>
    </row>
    <row r="1304" spans="57:59" x14ac:dyDescent="0.25">
      <c r="BE1304" t="s">
        <v>3982</v>
      </c>
      <c r="BF1304" t="s">
        <v>3983</v>
      </c>
      <c r="BG1304" t="s">
        <v>2237</v>
      </c>
    </row>
    <row r="1305" spans="57:59" x14ac:dyDescent="0.25">
      <c r="BE1305" t="s">
        <v>3984</v>
      </c>
      <c r="BF1305" t="s">
        <v>3985</v>
      </c>
      <c r="BG1305" t="s">
        <v>2240</v>
      </c>
    </row>
    <row r="1306" spans="57:59" x14ac:dyDescent="0.25">
      <c r="BE1306" t="s">
        <v>3986</v>
      </c>
      <c r="BF1306" t="s">
        <v>3987</v>
      </c>
      <c r="BG1306" t="s">
        <v>2243</v>
      </c>
    </row>
    <row r="1307" spans="57:59" x14ac:dyDescent="0.25">
      <c r="BE1307" t="s">
        <v>3988</v>
      </c>
      <c r="BF1307" t="s">
        <v>3989</v>
      </c>
      <c r="BG1307" t="s">
        <v>2246</v>
      </c>
    </row>
    <row r="1308" spans="57:59" x14ac:dyDescent="0.25">
      <c r="BE1308" t="s">
        <v>3990</v>
      </c>
      <c r="BF1308" t="s">
        <v>3991</v>
      </c>
      <c r="BG1308" t="s">
        <v>2249</v>
      </c>
    </row>
    <row r="1309" spans="57:59" x14ac:dyDescent="0.25">
      <c r="BE1309" t="s">
        <v>3992</v>
      </c>
      <c r="BF1309" t="s">
        <v>3993</v>
      </c>
      <c r="BG1309" t="s">
        <v>2252</v>
      </c>
    </row>
    <row r="1310" spans="57:59" x14ac:dyDescent="0.25">
      <c r="BE1310" t="s">
        <v>3994</v>
      </c>
      <c r="BF1310" t="s">
        <v>3995</v>
      </c>
      <c r="BG1310" t="s">
        <v>2255</v>
      </c>
    </row>
    <row r="1311" spans="57:59" x14ac:dyDescent="0.25">
      <c r="BE1311" t="s">
        <v>3996</v>
      </c>
      <c r="BF1311" t="s">
        <v>3997</v>
      </c>
      <c r="BG1311" t="s">
        <v>2258</v>
      </c>
    </row>
    <row r="1312" spans="57:59" x14ac:dyDescent="0.25">
      <c r="BE1312" t="s">
        <v>3998</v>
      </c>
      <c r="BF1312" t="s">
        <v>3999</v>
      </c>
      <c r="BG1312" t="s">
        <v>2261</v>
      </c>
    </row>
    <row r="1313" spans="57:59" x14ac:dyDescent="0.25">
      <c r="BE1313" t="s">
        <v>4000</v>
      </c>
      <c r="BF1313" t="s">
        <v>4001</v>
      </c>
      <c r="BG1313" t="s">
        <v>2264</v>
      </c>
    </row>
    <row r="1314" spans="57:59" x14ac:dyDescent="0.25">
      <c r="BE1314" t="s">
        <v>4002</v>
      </c>
      <c r="BF1314" t="s">
        <v>4003</v>
      </c>
      <c r="BG1314" t="s">
        <v>2267</v>
      </c>
    </row>
    <row r="1315" spans="57:59" x14ac:dyDescent="0.25">
      <c r="BE1315" t="s">
        <v>4004</v>
      </c>
      <c r="BF1315" t="s">
        <v>4005</v>
      </c>
      <c r="BG1315" t="s">
        <v>2270</v>
      </c>
    </row>
    <row r="1316" spans="57:59" x14ac:dyDescent="0.25">
      <c r="BE1316" t="s">
        <v>4006</v>
      </c>
      <c r="BF1316" t="s">
        <v>4007</v>
      </c>
      <c r="BG1316" t="s">
        <v>2273</v>
      </c>
    </row>
    <row r="1317" spans="57:59" x14ac:dyDescent="0.25">
      <c r="BE1317" t="s">
        <v>4008</v>
      </c>
      <c r="BF1317" t="s">
        <v>4009</v>
      </c>
      <c r="BG1317" t="s">
        <v>2276</v>
      </c>
    </row>
    <row r="1318" spans="57:59" x14ac:dyDescent="0.25">
      <c r="BE1318" t="s">
        <v>4010</v>
      </c>
      <c r="BF1318" t="s">
        <v>4011</v>
      </c>
      <c r="BG1318" t="s">
        <v>2279</v>
      </c>
    </row>
    <row r="1319" spans="57:59" x14ac:dyDescent="0.25">
      <c r="BE1319" t="s">
        <v>4012</v>
      </c>
      <c r="BF1319" t="s">
        <v>4013</v>
      </c>
      <c r="BG1319" t="s">
        <v>2282</v>
      </c>
    </row>
    <row r="1320" spans="57:59" x14ac:dyDescent="0.25">
      <c r="BE1320" t="s">
        <v>4014</v>
      </c>
      <c r="BF1320" t="s">
        <v>4015</v>
      </c>
      <c r="BG1320" t="s">
        <v>2285</v>
      </c>
    </row>
    <row r="1321" spans="57:59" x14ac:dyDescent="0.25">
      <c r="BE1321" t="s">
        <v>4016</v>
      </c>
      <c r="BF1321" t="s">
        <v>4017</v>
      </c>
      <c r="BG1321" t="s">
        <v>2288</v>
      </c>
    </row>
    <row r="1322" spans="57:59" x14ac:dyDescent="0.25">
      <c r="BE1322" t="s">
        <v>4018</v>
      </c>
      <c r="BF1322" t="s">
        <v>4019</v>
      </c>
      <c r="BG1322" t="s">
        <v>2291</v>
      </c>
    </row>
    <row r="1323" spans="57:59" x14ac:dyDescent="0.25">
      <c r="BE1323" t="s">
        <v>4020</v>
      </c>
      <c r="BF1323" t="s">
        <v>4021</v>
      </c>
      <c r="BG1323" t="s">
        <v>2294</v>
      </c>
    </row>
    <row r="1324" spans="57:59" x14ac:dyDescent="0.25">
      <c r="BE1324" t="s">
        <v>4022</v>
      </c>
      <c r="BF1324" t="s">
        <v>4023</v>
      </c>
      <c r="BG1324" t="s">
        <v>2297</v>
      </c>
    </row>
    <row r="1325" spans="57:59" x14ac:dyDescent="0.25">
      <c r="BE1325" t="s">
        <v>4024</v>
      </c>
      <c r="BF1325" t="s">
        <v>4025</v>
      </c>
      <c r="BG1325" t="s">
        <v>2300</v>
      </c>
    </row>
    <row r="1326" spans="57:59" x14ac:dyDescent="0.25">
      <c r="BE1326" t="s">
        <v>4026</v>
      </c>
      <c r="BF1326" t="s">
        <v>4027</v>
      </c>
      <c r="BG1326" t="s">
        <v>2303</v>
      </c>
    </row>
    <row r="1327" spans="57:59" x14ac:dyDescent="0.25">
      <c r="BE1327" t="s">
        <v>4028</v>
      </c>
      <c r="BF1327" t="s">
        <v>4029</v>
      </c>
      <c r="BG1327" t="s">
        <v>2306</v>
      </c>
    </row>
    <row r="1328" spans="57:59" x14ac:dyDescent="0.25">
      <c r="BE1328" t="s">
        <v>4030</v>
      </c>
      <c r="BF1328" t="s">
        <v>4031</v>
      </c>
      <c r="BG1328" t="s">
        <v>2309</v>
      </c>
    </row>
    <row r="1329" spans="57:59" x14ac:dyDescent="0.25">
      <c r="BE1329" t="s">
        <v>4032</v>
      </c>
      <c r="BF1329" t="s">
        <v>4033</v>
      </c>
      <c r="BG1329" t="s">
        <v>2312</v>
      </c>
    </row>
    <row r="1330" spans="57:59" x14ac:dyDescent="0.25">
      <c r="BE1330" t="s">
        <v>4034</v>
      </c>
      <c r="BF1330" t="s">
        <v>4035</v>
      </c>
      <c r="BG1330" t="s">
        <v>2315</v>
      </c>
    </row>
    <row r="1331" spans="57:59" x14ac:dyDescent="0.25">
      <c r="BE1331" t="s">
        <v>4036</v>
      </c>
      <c r="BF1331" t="s">
        <v>4037</v>
      </c>
      <c r="BG1331" t="s">
        <v>2318</v>
      </c>
    </row>
    <row r="1332" spans="57:59" x14ac:dyDescent="0.25">
      <c r="BE1332" t="s">
        <v>4038</v>
      </c>
      <c r="BF1332" t="s">
        <v>4039</v>
      </c>
      <c r="BG1332" t="s">
        <v>2321</v>
      </c>
    </row>
    <row r="1333" spans="57:59" x14ac:dyDescent="0.25">
      <c r="BE1333" t="s">
        <v>4040</v>
      </c>
      <c r="BF1333" t="s">
        <v>4041</v>
      </c>
      <c r="BG1333" t="s">
        <v>2324</v>
      </c>
    </row>
    <row r="1334" spans="57:59" x14ac:dyDescent="0.25">
      <c r="BE1334" t="s">
        <v>4042</v>
      </c>
      <c r="BF1334" t="s">
        <v>4043</v>
      </c>
      <c r="BG1334" t="s">
        <v>2327</v>
      </c>
    </row>
    <row r="1335" spans="57:59" x14ac:dyDescent="0.25">
      <c r="BE1335" t="s">
        <v>4044</v>
      </c>
      <c r="BF1335" t="s">
        <v>4045</v>
      </c>
      <c r="BG1335" t="s">
        <v>2330</v>
      </c>
    </row>
    <row r="1336" spans="57:59" x14ac:dyDescent="0.25">
      <c r="BE1336" t="s">
        <v>4046</v>
      </c>
      <c r="BF1336" t="s">
        <v>4047</v>
      </c>
      <c r="BG1336" t="s">
        <v>2333</v>
      </c>
    </row>
    <row r="1337" spans="57:59" x14ac:dyDescent="0.25">
      <c r="BE1337" t="s">
        <v>4048</v>
      </c>
      <c r="BF1337" t="s">
        <v>4049</v>
      </c>
      <c r="BG1337" t="s">
        <v>2336</v>
      </c>
    </row>
    <row r="1338" spans="57:59" x14ac:dyDescent="0.25">
      <c r="BE1338" t="s">
        <v>4050</v>
      </c>
      <c r="BF1338" t="s">
        <v>4051</v>
      </c>
      <c r="BG1338" t="s">
        <v>2339</v>
      </c>
    </row>
    <row r="1339" spans="57:59" x14ac:dyDescent="0.25">
      <c r="BE1339" t="s">
        <v>4052</v>
      </c>
      <c r="BF1339" t="s">
        <v>4053</v>
      </c>
      <c r="BG1339" t="s">
        <v>2342</v>
      </c>
    </row>
    <row r="1340" spans="57:59" x14ac:dyDescent="0.25">
      <c r="BE1340" t="s">
        <v>4054</v>
      </c>
      <c r="BF1340" t="s">
        <v>4055</v>
      </c>
      <c r="BG1340" t="s">
        <v>2345</v>
      </c>
    </row>
    <row r="1341" spans="57:59" x14ac:dyDescent="0.25">
      <c r="BE1341" t="s">
        <v>4056</v>
      </c>
      <c r="BF1341" t="s">
        <v>4057</v>
      </c>
      <c r="BG1341" t="s">
        <v>2348</v>
      </c>
    </row>
    <row r="1342" spans="57:59" x14ac:dyDescent="0.25">
      <c r="BE1342" t="s">
        <v>4058</v>
      </c>
      <c r="BF1342" t="s">
        <v>4059</v>
      </c>
      <c r="BG1342" t="s">
        <v>2351</v>
      </c>
    </row>
    <row r="1343" spans="57:59" x14ac:dyDescent="0.25">
      <c r="BE1343" t="s">
        <v>4060</v>
      </c>
      <c r="BF1343" t="s">
        <v>4061</v>
      </c>
      <c r="BG1343" t="s">
        <v>2354</v>
      </c>
    </row>
    <row r="1344" spans="57:59" x14ac:dyDescent="0.25">
      <c r="BE1344" t="s">
        <v>4062</v>
      </c>
      <c r="BF1344" t="s">
        <v>4063</v>
      </c>
      <c r="BG1344" t="s">
        <v>2357</v>
      </c>
    </row>
    <row r="1345" spans="57:59" x14ac:dyDescent="0.25">
      <c r="BE1345" t="s">
        <v>4064</v>
      </c>
      <c r="BF1345" t="s">
        <v>4065</v>
      </c>
      <c r="BG1345" t="s">
        <v>2360</v>
      </c>
    </row>
    <row r="1346" spans="57:59" x14ac:dyDescent="0.25">
      <c r="BE1346" t="s">
        <v>4066</v>
      </c>
      <c r="BF1346" t="s">
        <v>4067</v>
      </c>
      <c r="BG1346" t="s">
        <v>2363</v>
      </c>
    </row>
    <row r="1347" spans="57:59" x14ac:dyDescent="0.25">
      <c r="BE1347" t="s">
        <v>4068</v>
      </c>
      <c r="BF1347" t="s">
        <v>4069</v>
      </c>
      <c r="BG1347" t="s">
        <v>2366</v>
      </c>
    </row>
    <row r="1348" spans="57:59" x14ac:dyDescent="0.25">
      <c r="BE1348" t="s">
        <v>4070</v>
      </c>
      <c r="BF1348" t="s">
        <v>4071</v>
      </c>
      <c r="BG1348" t="s">
        <v>2369</v>
      </c>
    </row>
    <row r="1349" spans="57:59" x14ac:dyDescent="0.25">
      <c r="BE1349" t="s">
        <v>4072</v>
      </c>
      <c r="BF1349" t="s">
        <v>4073</v>
      </c>
      <c r="BG1349" t="s">
        <v>2372</v>
      </c>
    </row>
    <row r="1350" spans="57:59" x14ac:dyDescent="0.25">
      <c r="BE1350" t="s">
        <v>4074</v>
      </c>
      <c r="BF1350" t="s">
        <v>4075</v>
      </c>
      <c r="BG1350" t="s">
        <v>2375</v>
      </c>
    </row>
    <row r="1351" spans="57:59" x14ac:dyDescent="0.25">
      <c r="BE1351" t="s">
        <v>4076</v>
      </c>
      <c r="BF1351" t="s">
        <v>4077</v>
      </c>
      <c r="BG1351" t="s">
        <v>2378</v>
      </c>
    </row>
    <row r="1352" spans="57:59" x14ac:dyDescent="0.25">
      <c r="BE1352" t="s">
        <v>4078</v>
      </c>
      <c r="BF1352" t="s">
        <v>4079</v>
      </c>
      <c r="BG1352" t="s">
        <v>2381</v>
      </c>
    </row>
    <row r="1353" spans="57:59" x14ac:dyDescent="0.25">
      <c r="BE1353" t="s">
        <v>4080</v>
      </c>
      <c r="BF1353" t="s">
        <v>4081</v>
      </c>
      <c r="BG1353" t="s">
        <v>2384</v>
      </c>
    </row>
    <row r="1354" spans="57:59" x14ac:dyDescent="0.25">
      <c r="BE1354" t="s">
        <v>4082</v>
      </c>
      <c r="BF1354" t="s">
        <v>4083</v>
      </c>
      <c r="BG1354" t="s">
        <v>2387</v>
      </c>
    </row>
    <row r="1355" spans="57:59" x14ac:dyDescent="0.25">
      <c r="BE1355" t="s">
        <v>4084</v>
      </c>
      <c r="BF1355" t="s">
        <v>4085</v>
      </c>
      <c r="BG1355" t="s">
        <v>2390</v>
      </c>
    </row>
    <row r="1356" spans="57:59" x14ac:dyDescent="0.25">
      <c r="BE1356" t="s">
        <v>4086</v>
      </c>
      <c r="BF1356" t="s">
        <v>4087</v>
      </c>
      <c r="BG1356" t="s">
        <v>2393</v>
      </c>
    </row>
    <row r="1357" spans="57:59" x14ac:dyDescent="0.25">
      <c r="BE1357" t="s">
        <v>4088</v>
      </c>
      <c r="BF1357" t="s">
        <v>4089</v>
      </c>
      <c r="BG1357" t="s">
        <v>2396</v>
      </c>
    </row>
    <row r="1358" spans="57:59" x14ac:dyDescent="0.25">
      <c r="BE1358" t="s">
        <v>4090</v>
      </c>
      <c r="BF1358" t="s">
        <v>4091</v>
      </c>
      <c r="BG1358" t="s">
        <v>2399</v>
      </c>
    </row>
    <row r="1359" spans="57:59" x14ac:dyDescent="0.25">
      <c r="BE1359" t="s">
        <v>4092</v>
      </c>
      <c r="BF1359" t="s">
        <v>4093</v>
      </c>
      <c r="BG1359" t="s">
        <v>2402</v>
      </c>
    </row>
    <row r="1360" spans="57:59" x14ac:dyDescent="0.25">
      <c r="BE1360" t="s">
        <v>4094</v>
      </c>
      <c r="BF1360" t="s">
        <v>4095</v>
      </c>
      <c r="BG1360" t="s">
        <v>2405</v>
      </c>
    </row>
    <row r="1361" spans="57:59" x14ac:dyDescent="0.25">
      <c r="BE1361" t="s">
        <v>4096</v>
      </c>
      <c r="BF1361" t="s">
        <v>4097</v>
      </c>
      <c r="BG1361" t="s">
        <v>2408</v>
      </c>
    </row>
    <row r="1362" spans="57:59" x14ac:dyDescent="0.25">
      <c r="BE1362" t="s">
        <v>4098</v>
      </c>
      <c r="BF1362" t="s">
        <v>4099</v>
      </c>
      <c r="BG1362" t="s">
        <v>2411</v>
      </c>
    </row>
    <row r="1363" spans="57:59" x14ac:dyDescent="0.25">
      <c r="BE1363" t="s">
        <v>4100</v>
      </c>
      <c r="BF1363" t="s">
        <v>4101</v>
      </c>
      <c r="BG1363" t="s">
        <v>2414</v>
      </c>
    </row>
    <row r="1364" spans="57:59" x14ac:dyDescent="0.25">
      <c r="BE1364" t="s">
        <v>4102</v>
      </c>
      <c r="BF1364" t="s">
        <v>4103</v>
      </c>
      <c r="BG1364" t="s">
        <v>2417</v>
      </c>
    </row>
    <row r="1365" spans="57:59" x14ac:dyDescent="0.25">
      <c r="BE1365" t="s">
        <v>4104</v>
      </c>
      <c r="BF1365" t="s">
        <v>4105</v>
      </c>
      <c r="BG1365" t="s">
        <v>2420</v>
      </c>
    </row>
    <row r="1366" spans="57:59" x14ac:dyDescent="0.25">
      <c r="BE1366" t="s">
        <v>4106</v>
      </c>
      <c r="BF1366" t="s">
        <v>4107</v>
      </c>
      <c r="BG1366" t="s">
        <v>2423</v>
      </c>
    </row>
    <row r="1367" spans="57:59" x14ac:dyDescent="0.25">
      <c r="BE1367" t="s">
        <v>4108</v>
      </c>
      <c r="BF1367" t="s">
        <v>4109</v>
      </c>
      <c r="BG1367" t="s">
        <v>2426</v>
      </c>
    </row>
    <row r="1368" spans="57:59" x14ac:dyDescent="0.25">
      <c r="BE1368" t="s">
        <v>4110</v>
      </c>
      <c r="BF1368" t="s">
        <v>4111</v>
      </c>
      <c r="BG1368" t="s">
        <v>2429</v>
      </c>
    </row>
    <row r="1369" spans="57:59" x14ac:dyDescent="0.25">
      <c r="BE1369" t="s">
        <v>4112</v>
      </c>
      <c r="BF1369" t="s">
        <v>4113</v>
      </c>
      <c r="BG1369" t="s">
        <v>2432</v>
      </c>
    </row>
    <row r="1370" spans="57:59" x14ac:dyDescent="0.25">
      <c r="BE1370" t="s">
        <v>4114</v>
      </c>
      <c r="BF1370" t="s">
        <v>4115</v>
      </c>
      <c r="BG1370" t="s">
        <v>2435</v>
      </c>
    </row>
    <row r="1371" spans="57:59" x14ac:dyDescent="0.25">
      <c r="BE1371" t="s">
        <v>4116</v>
      </c>
      <c r="BF1371" t="s">
        <v>4117</v>
      </c>
      <c r="BG1371" t="s">
        <v>2438</v>
      </c>
    </row>
    <row r="1372" spans="57:59" x14ac:dyDescent="0.25">
      <c r="BE1372" t="s">
        <v>4118</v>
      </c>
      <c r="BF1372" t="s">
        <v>4119</v>
      </c>
      <c r="BG1372" t="s">
        <v>2441</v>
      </c>
    </row>
    <row r="1373" spans="57:59" x14ac:dyDescent="0.25">
      <c r="BE1373" t="s">
        <v>4120</v>
      </c>
      <c r="BF1373" t="s">
        <v>4121</v>
      </c>
      <c r="BG1373" t="s">
        <v>2444</v>
      </c>
    </row>
    <row r="1374" spans="57:59" x14ac:dyDescent="0.25">
      <c r="BE1374" t="s">
        <v>4122</v>
      </c>
      <c r="BF1374" t="s">
        <v>4123</v>
      </c>
      <c r="BG1374" t="s">
        <v>2447</v>
      </c>
    </row>
    <row r="1375" spans="57:59" x14ac:dyDescent="0.25">
      <c r="BE1375" t="s">
        <v>4124</v>
      </c>
      <c r="BF1375" t="s">
        <v>4125</v>
      </c>
      <c r="BG1375" t="s">
        <v>2450</v>
      </c>
    </row>
    <row r="1376" spans="57:59" x14ac:dyDescent="0.25">
      <c r="BE1376" t="s">
        <v>4126</v>
      </c>
      <c r="BF1376" t="s">
        <v>4127</v>
      </c>
      <c r="BG1376" t="s">
        <v>2453</v>
      </c>
    </row>
    <row r="1377" spans="57:59" x14ac:dyDescent="0.25">
      <c r="BE1377" t="s">
        <v>4128</v>
      </c>
      <c r="BF1377" t="s">
        <v>4129</v>
      </c>
      <c r="BG1377" t="s">
        <v>2456</v>
      </c>
    </row>
    <row r="1378" spans="57:59" x14ac:dyDescent="0.25">
      <c r="BE1378" t="s">
        <v>4130</v>
      </c>
      <c r="BF1378" t="s">
        <v>4131</v>
      </c>
      <c r="BG1378" t="s">
        <v>2459</v>
      </c>
    </row>
    <row r="1379" spans="57:59" x14ac:dyDescent="0.25">
      <c r="BE1379" t="s">
        <v>4132</v>
      </c>
      <c r="BF1379" t="s">
        <v>4133</v>
      </c>
      <c r="BG1379" t="s">
        <v>2462</v>
      </c>
    </row>
    <row r="1380" spans="57:59" x14ac:dyDescent="0.25">
      <c r="BE1380" t="s">
        <v>4134</v>
      </c>
      <c r="BF1380" t="s">
        <v>4135</v>
      </c>
      <c r="BG1380" t="s">
        <v>2465</v>
      </c>
    </row>
    <row r="1381" spans="57:59" x14ac:dyDescent="0.25">
      <c r="BE1381" t="s">
        <v>4136</v>
      </c>
      <c r="BF1381" t="s">
        <v>4137</v>
      </c>
      <c r="BG1381" t="s">
        <v>2468</v>
      </c>
    </row>
    <row r="1382" spans="57:59" x14ac:dyDescent="0.25">
      <c r="BE1382" t="s">
        <v>4138</v>
      </c>
      <c r="BF1382" t="s">
        <v>4139</v>
      </c>
      <c r="BG1382" t="s">
        <v>2471</v>
      </c>
    </row>
    <row r="1383" spans="57:59" x14ac:dyDescent="0.25">
      <c r="BE1383" t="s">
        <v>4140</v>
      </c>
      <c r="BF1383" t="s">
        <v>4141</v>
      </c>
      <c r="BG1383" t="s">
        <v>2474</v>
      </c>
    </row>
    <row r="1384" spans="57:59" x14ac:dyDescent="0.25">
      <c r="BE1384" t="s">
        <v>4142</v>
      </c>
      <c r="BF1384" t="s">
        <v>4143</v>
      </c>
      <c r="BG1384" t="s">
        <v>2477</v>
      </c>
    </row>
    <row r="1385" spans="57:59" x14ac:dyDescent="0.25">
      <c r="BE1385" t="s">
        <v>4144</v>
      </c>
      <c r="BF1385" t="s">
        <v>4145</v>
      </c>
      <c r="BG1385" t="s">
        <v>2480</v>
      </c>
    </row>
    <row r="1386" spans="57:59" x14ac:dyDescent="0.25">
      <c r="BE1386" t="s">
        <v>4146</v>
      </c>
      <c r="BF1386" t="s">
        <v>4147</v>
      </c>
      <c r="BG1386" t="s">
        <v>2483</v>
      </c>
    </row>
    <row r="1387" spans="57:59" x14ac:dyDescent="0.25">
      <c r="BE1387" t="s">
        <v>4148</v>
      </c>
      <c r="BF1387" t="s">
        <v>4149</v>
      </c>
      <c r="BG1387" t="s">
        <v>2486</v>
      </c>
    </row>
    <row r="1388" spans="57:59" x14ac:dyDescent="0.25">
      <c r="BE1388" t="s">
        <v>4150</v>
      </c>
      <c r="BF1388" t="s">
        <v>4151</v>
      </c>
      <c r="BG1388" t="s">
        <v>2489</v>
      </c>
    </row>
    <row r="1389" spans="57:59" x14ac:dyDescent="0.25">
      <c r="BE1389" t="s">
        <v>4152</v>
      </c>
      <c r="BF1389" t="s">
        <v>4153</v>
      </c>
      <c r="BG1389" t="s">
        <v>2492</v>
      </c>
    </row>
    <row r="1390" spans="57:59" x14ac:dyDescent="0.25">
      <c r="BE1390" t="s">
        <v>4154</v>
      </c>
      <c r="BF1390" t="s">
        <v>4155</v>
      </c>
      <c r="BG1390" t="s">
        <v>2495</v>
      </c>
    </row>
    <row r="1391" spans="57:59" x14ac:dyDescent="0.25">
      <c r="BE1391" t="s">
        <v>4156</v>
      </c>
      <c r="BF1391" t="s">
        <v>4157</v>
      </c>
      <c r="BG1391" t="s">
        <v>2498</v>
      </c>
    </row>
    <row r="1392" spans="57:59" x14ac:dyDescent="0.25">
      <c r="BE1392" t="s">
        <v>4158</v>
      </c>
      <c r="BF1392" t="s">
        <v>4159</v>
      </c>
      <c r="BG1392" t="s">
        <v>2501</v>
      </c>
    </row>
    <row r="1393" spans="57:59" x14ac:dyDescent="0.25">
      <c r="BE1393" t="s">
        <v>4160</v>
      </c>
      <c r="BF1393" t="s">
        <v>4161</v>
      </c>
      <c r="BG1393" t="s">
        <v>2504</v>
      </c>
    </row>
    <row r="1394" spans="57:59" x14ac:dyDescent="0.25">
      <c r="BE1394" t="s">
        <v>4162</v>
      </c>
      <c r="BF1394" t="s">
        <v>4163</v>
      </c>
      <c r="BG1394" t="s">
        <v>2507</v>
      </c>
    </row>
    <row r="1395" spans="57:59" x14ac:dyDescent="0.25">
      <c r="BE1395" t="s">
        <v>4164</v>
      </c>
      <c r="BF1395" t="s">
        <v>4165</v>
      </c>
      <c r="BG1395" t="s">
        <v>2510</v>
      </c>
    </row>
    <row r="1396" spans="57:59" x14ac:dyDescent="0.25">
      <c r="BE1396" t="s">
        <v>4166</v>
      </c>
      <c r="BF1396" t="s">
        <v>4167</v>
      </c>
      <c r="BG1396" t="s">
        <v>2513</v>
      </c>
    </row>
    <row r="1397" spans="57:59" x14ac:dyDescent="0.25">
      <c r="BE1397" t="s">
        <v>4168</v>
      </c>
      <c r="BF1397" t="s">
        <v>4169</v>
      </c>
      <c r="BG1397" t="s">
        <v>2516</v>
      </c>
    </row>
    <row r="1398" spans="57:59" x14ac:dyDescent="0.25">
      <c r="BE1398" t="s">
        <v>4170</v>
      </c>
      <c r="BF1398" t="s">
        <v>4171</v>
      </c>
      <c r="BG1398" t="s">
        <v>2519</v>
      </c>
    </row>
    <row r="1399" spans="57:59" x14ac:dyDescent="0.25">
      <c r="BE1399" t="s">
        <v>4172</v>
      </c>
      <c r="BF1399" t="s">
        <v>4173</v>
      </c>
      <c r="BG1399" t="s">
        <v>2522</v>
      </c>
    </row>
    <row r="1400" spans="57:59" x14ac:dyDescent="0.25">
      <c r="BE1400" t="s">
        <v>4174</v>
      </c>
      <c r="BF1400" t="s">
        <v>4175</v>
      </c>
      <c r="BG1400" t="s">
        <v>2525</v>
      </c>
    </row>
    <row r="1401" spans="57:59" x14ac:dyDescent="0.25">
      <c r="BE1401" t="s">
        <v>4176</v>
      </c>
      <c r="BF1401" t="s">
        <v>4177</v>
      </c>
      <c r="BG1401" t="s">
        <v>2528</v>
      </c>
    </row>
    <row r="1402" spans="57:59" x14ac:dyDescent="0.25">
      <c r="BE1402" t="s">
        <v>4178</v>
      </c>
      <c r="BF1402" t="s">
        <v>4179</v>
      </c>
      <c r="BG1402" t="s">
        <v>2531</v>
      </c>
    </row>
    <row r="1403" spans="57:59" x14ac:dyDescent="0.25">
      <c r="BE1403" t="s">
        <v>4180</v>
      </c>
      <c r="BF1403" t="s">
        <v>4181</v>
      </c>
      <c r="BG1403" t="s">
        <v>2534</v>
      </c>
    </row>
    <row r="1404" spans="57:59" x14ac:dyDescent="0.25">
      <c r="BE1404" t="s">
        <v>4182</v>
      </c>
      <c r="BF1404" t="s">
        <v>4183</v>
      </c>
      <c r="BG1404" t="s">
        <v>2537</v>
      </c>
    </row>
    <row r="1405" spans="57:59" x14ac:dyDescent="0.25">
      <c r="BE1405" t="s">
        <v>4184</v>
      </c>
      <c r="BF1405" t="s">
        <v>4185</v>
      </c>
      <c r="BG1405" t="s">
        <v>2540</v>
      </c>
    </row>
    <row r="1406" spans="57:59" x14ac:dyDescent="0.25">
      <c r="BE1406" t="s">
        <v>4186</v>
      </c>
      <c r="BF1406" t="s">
        <v>4187</v>
      </c>
      <c r="BG1406" t="s">
        <v>2543</v>
      </c>
    </row>
    <row r="1407" spans="57:59" x14ac:dyDescent="0.25">
      <c r="BE1407" t="s">
        <v>4188</v>
      </c>
      <c r="BF1407" t="s">
        <v>4189</v>
      </c>
      <c r="BG1407" t="s">
        <v>2546</v>
      </c>
    </row>
    <row r="1408" spans="57:59" x14ac:dyDescent="0.25">
      <c r="BE1408" t="s">
        <v>4190</v>
      </c>
      <c r="BF1408" t="s">
        <v>4191</v>
      </c>
      <c r="BG1408" t="s">
        <v>2549</v>
      </c>
    </row>
    <row r="1409" spans="57:59" x14ac:dyDescent="0.25">
      <c r="BE1409" t="s">
        <v>4192</v>
      </c>
      <c r="BF1409" t="s">
        <v>4193</v>
      </c>
      <c r="BG1409" t="s">
        <v>2552</v>
      </c>
    </row>
    <row r="1410" spans="57:59" x14ac:dyDescent="0.25">
      <c r="BE1410" t="s">
        <v>4194</v>
      </c>
      <c r="BF1410" t="s">
        <v>4195</v>
      </c>
      <c r="BG1410" t="s">
        <v>2555</v>
      </c>
    </row>
    <row r="1411" spans="57:59" x14ac:dyDescent="0.25">
      <c r="BE1411" t="s">
        <v>4196</v>
      </c>
      <c r="BF1411" t="s">
        <v>4197</v>
      </c>
      <c r="BG1411" t="s">
        <v>2558</v>
      </c>
    </row>
    <row r="1412" spans="57:59" x14ac:dyDescent="0.25">
      <c r="BE1412" t="s">
        <v>4198</v>
      </c>
      <c r="BF1412" t="s">
        <v>4199</v>
      </c>
      <c r="BG1412" t="s">
        <v>2561</v>
      </c>
    </row>
    <row r="1413" spans="57:59" x14ac:dyDescent="0.25">
      <c r="BE1413" t="s">
        <v>4200</v>
      </c>
      <c r="BF1413" t="s">
        <v>4201</v>
      </c>
      <c r="BG1413" t="s">
        <v>2564</v>
      </c>
    </row>
    <row r="1414" spans="57:59" x14ac:dyDescent="0.25">
      <c r="BE1414" t="s">
        <v>4202</v>
      </c>
      <c r="BF1414" t="s">
        <v>4203</v>
      </c>
      <c r="BG1414" t="s">
        <v>2567</v>
      </c>
    </row>
    <row r="1415" spans="57:59" x14ac:dyDescent="0.25">
      <c r="BE1415" t="s">
        <v>4204</v>
      </c>
      <c r="BF1415" t="s">
        <v>4205</v>
      </c>
      <c r="BG1415" t="s">
        <v>2570</v>
      </c>
    </row>
    <row r="1416" spans="57:59" x14ac:dyDescent="0.25">
      <c r="BE1416" t="s">
        <v>4206</v>
      </c>
      <c r="BF1416" t="s">
        <v>4207</v>
      </c>
      <c r="BG1416" t="s">
        <v>2573</v>
      </c>
    </row>
    <row r="1417" spans="57:59" x14ac:dyDescent="0.25">
      <c r="BE1417" t="s">
        <v>4208</v>
      </c>
      <c r="BF1417" t="s">
        <v>4209</v>
      </c>
      <c r="BG1417" t="s">
        <v>2576</v>
      </c>
    </row>
    <row r="1418" spans="57:59" x14ac:dyDescent="0.25">
      <c r="BE1418" t="s">
        <v>4210</v>
      </c>
      <c r="BF1418" t="s">
        <v>4211</v>
      </c>
      <c r="BG1418" t="s">
        <v>2579</v>
      </c>
    </row>
    <row r="1419" spans="57:59" x14ac:dyDescent="0.25">
      <c r="BE1419" t="s">
        <v>4212</v>
      </c>
      <c r="BF1419" t="s">
        <v>4213</v>
      </c>
      <c r="BG1419" t="s">
        <v>2582</v>
      </c>
    </row>
    <row r="1420" spans="57:59" x14ac:dyDescent="0.25">
      <c r="BE1420" t="s">
        <v>4214</v>
      </c>
      <c r="BF1420" t="s">
        <v>4215</v>
      </c>
      <c r="BG1420" t="s">
        <v>2585</v>
      </c>
    </row>
    <row r="1421" spans="57:59" x14ac:dyDescent="0.25">
      <c r="BE1421" t="s">
        <v>4216</v>
      </c>
      <c r="BF1421" t="s">
        <v>4217</v>
      </c>
      <c r="BG1421" t="s">
        <v>2588</v>
      </c>
    </row>
    <row r="1422" spans="57:59" x14ac:dyDescent="0.25">
      <c r="BE1422" t="s">
        <v>4218</v>
      </c>
      <c r="BF1422" t="s">
        <v>4219</v>
      </c>
      <c r="BG1422" t="s">
        <v>2591</v>
      </c>
    </row>
    <row r="1423" spans="57:59" x14ac:dyDescent="0.25">
      <c r="BE1423" t="s">
        <v>4220</v>
      </c>
      <c r="BF1423" t="s">
        <v>4221</v>
      </c>
      <c r="BG1423" t="s">
        <v>2594</v>
      </c>
    </row>
    <row r="1424" spans="57:59" x14ac:dyDescent="0.25">
      <c r="BE1424" t="s">
        <v>4222</v>
      </c>
      <c r="BF1424" t="s">
        <v>4223</v>
      </c>
      <c r="BG1424" t="s">
        <v>2597</v>
      </c>
    </row>
    <row r="1425" spans="57:59" x14ac:dyDescent="0.25">
      <c r="BE1425" t="s">
        <v>4224</v>
      </c>
      <c r="BF1425" t="s">
        <v>4225</v>
      </c>
      <c r="BG1425" t="s">
        <v>2600</v>
      </c>
    </row>
    <row r="1426" spans="57:59" x14ac:dyDescent="0.25">
      <c r="BE1426" t="s">
        <v>4226</v>
      </c>
      <c r="BF1426" t="s">
        <v>4227</v>
      </c>
      <c r="BG1426" t="s">
        <v>2603</v>
      </c>
    </row>
    <row r="1427" spans="57:59" x14ac:dyDescent="0.25">
      <c r="BE1427" t="s">
        <v>4228</v>
      </c>
      <c r="BF1427" t="s">
        <v>4229</v>
      </c>
      <c r="BG1427" t="s">
        <v>2606</v>
      </c>
    </row>
    <row r="1428" spans="57:59" x14ac:dyDescent="0.25">
      <c r="BE1428" t="s">
        <v>4230</v>
      </c>
      <c r="BF1428" t="s">
        <v>4231</v>
      </c>
      <c r="BG1428" t="s">
        <v>2609</v>
      </c>
    </row>
    <row r="1429" spans="57:59" x14ac:dyDescent="0.25">
      <c r="BE1429" t="s">
        <v>4232</v>
      </c>
      <c r="BF1429" t="s">
        <v>4233</v>
      </c>
      <c r="BG1429" t="s">
        <v>2612</v>
      </c>
    </row>
    <row r="1430" spans="57:59" x14ac:dyDescent="0.25">
      <c r="BE1430" t="s">
        <v>4234</v>
      </c>
      <c r="BF1430" t="s">
        <v>4235</v>
      </c>
      <c r="BG1430" t="s">
        <v>2615</v>
      </c>
    </row>
    <row r="1431" spans="57:59" x14ac:dyDescent="0.25">
      <c r="BE1431" t="s">
        <v>4236</v>
      </c>
      <c r="BF1431" t="s">
        <v>4237</v>
      </c>
      <c r="BG1431" t="s">
        <v>2618</v>
      </c>
    </row>
    <row r="1432" spans="57:59" x14ac:dyDescent="0.25">
      <c r="BE1432" t="s">
        <v>4238</v>
      </c>
      <c r="BF1432" t="s">
        <v>4239</v>
      </c>
      <c r="BG1432" t="s">
        <v>2621</v>
      </c>
    </row>
    <row r="1433" spans="57:59" x14ac:dyDescent="0.25">
      <c r="BE1433" t="s">
        <v>4240</v>
      </c>
      <c r="BF1433" t="s">
        <v>4241</v>
      </c>
      <c r="BG1433" t="s">
        <v>2624</v>
      </c>
    </row>
    <row r="1434" spans="57:59" x14ac:dyDescent="0.25">
      <c r="BE1434" t="s">
        <v>4242</v>
      </c>
      <c r="BF1434" t="s">
        <v>4243</v>
      </c>
      <c r="BG1434" t="s">
        <v>2627</v>
      </c>
    </row>
    <row r="1435" spans="57:59" x14ac:dyDescent="0.25">
      <c r="BE1435" t="s">
        <v>4244</v>
      </c>
      <c r="BF1435" t="s">
        <v>4245</v>
      </c>
      <c r="BG1435" t="s">
        <v>2630</v>
      </c>
    </row>
    <row r="1436" spans="57:59" x14ac:dyDescent="0.25">
      <c r="BE1436" t="s">
        <v>4246</v>
      </c>
      <c r="BF1436" t="s">
        <v>4247</v>
      </c>
      <c r="BG1436" t="s">
        <v>2633</v>
      </c>
    </row>
    <row r="1437" spans="57:59" x14ac:dyDescent="0.25">
      <c r="BE1437" t="s">
        <v>4248</v>
      </c>
      <c r="BF1437" t="s">
        <v>4249</v>
      </c>
      <c r="BG1437" t="s">
        <v>2636</v>
      </c>
    </row>
    <row r="1438" spans="57:59" x14ac:dyDescent="0.25">
      <c r="BE1438" t="s">
        <v>4250</v>
      </c>
      <c r="BF1438" t="s">
        <v>4251</v>
      </c>
      <c r="BG1438" t="s">
        <v>2639</v>
      </c>
    </row>
    <row r="1439" spans="57:59" x14ac:dyDescent="0.25">
      <c r="BE1439" t="s">
        <v>4252</v>
      </c>
      <c r="BF1439" t="s">
        <v>4253</v>
      </c>
      <c r="BG1439" t="s">
        <v>2642</v>
      </c>
    </row>
    <row r="1440" spans="57:59" x14ac:dyDescent="0.25">
      <c r="BE1440" t="s">
        <v>4254</v>
      </c>
      <c r="BF1440" t="s">
        <v>4255</v>
      </c>
      <c r="BG1440" t="s">
        <v>2645</v>
      </c>
    </row>
    <row r="1441" spans="57:59" x14ac:dyDescent="0.25">
      <c r="BE1441" t="s">
        <v>4256</v>
      </c>
      <c r="BF1441" t="s">
        <v>4257</v>
      </c>
      <c r="BG1441" t="s">
        <v>2648</v>
      </c>
    </row>
    <row r="1442" spans="57:59" x14ac:dyDescent="0.25">
      <c r="BE1442" t="s">
        <v>4258</v>
      </c>
      <c r="BF1442" t="s">
        <v>4259</v>
      </c>
      <c r="BG1442" t="s">
        <v>2651</v>
      </c>
    </row>
    <row r="1443" spans="57:59" x14ac:dyDescent="0.25">
      <c r="BE1443" t="s">
        <v>4260</v>
      </c>
      <c r="BF1443" t="s">
        <v>4261</v>
      </c>
      <c r="BG1443" t="s">
        <v>2654</v>
      </c>
    </row>
    <row r="1444" spans="57:59" x14ac:dyDescent="0.25">
      <c r="BE1444" t="s">
        <v>4262</v>
      </c>
      <c r="BF1444" t="s">
        <v>4263</v>
      </c>
      <c r="BG1444" t="s">
        <v>2657</v>
      </c>
    </row>
    <row r="1445" spans="57:59" x14ac:dyDescent="0.25">
      <c r="BE1445" t="s">
        <v>4264</v>
      </c>
      <c r="BF1445" t="s">
        <v>4265</v>
      </c>
      <c r="BG1445" t="s">
        <v>2660</v>
      </c>
    </row>
    <row r="1446" spans="57:59" x14ac:dyDescent="0.25">
      <c r="BE1446" t="s">
        <v>4266</v>
      </c>
      <c r="BF1446" t="s">
        <v>4267</v>
      </c>
      <c r="BG1446" t="s">
        <v>2663</v>
      </c>
    </row>
    <row r="1447" spans="57:59" x14ac:dyDescent="0.25">
      <c r="BE1447" t="s">
        <v>4268</v>
      </c>
      <c r="BF1447" t="s">
        <v>4269</v>
      </c>
      <c r="BG1447" t="s">
        <v>2666</v>
      </c>
    </row>
    <row r="1448" spans="57:59" x14ac:dyDescent="0.25">
      <c r="BE1448" t="s">
        <v>4270</v>
      </c>
      <c r="BF1448" t="s">
        <v>4271</v>
      </c>
      <c r="BG1448" t="s">
        <v>2669</v>
      </c>
    </row>
    <row r="1449" spans="57:59" x14ac:dyDescent="0.25">
      <c r="BE1449" t="s">
        <v>4272</v>
      </c>
      <c r="BF1449" t="s">
        <v>4273</v>
      </c>
      <c r="BG1449" t="s">
        <v>2672</v>
      </c>
    </row>
    <row r="1450" spans="57:59" x14ac:dyDescent="0.25">
      <c r="BE1450" t="s">
        <v>4274</v>
      </c>
      <c r="BF1450" t="s">
        <v>4275</v>
      </c>
      <c r="BG1450" t="s">
        <v>2675</v>
      </c>
    </row>
    <row r="1451" spans="57:59" x14ac:dyDescent="0.25">
      <c r="BE1451" t="s">
        <v>4276</v>
      </c>
      <c r="BF1451" t="s">
        <v>4277</v>
      </c>
      <c r="BG1451" t="s">
        <v>2678</v>
      </c>
    </row>
    <row r="1452" spans="57:59" x14ac:dyDescent="0.25">
      <c r="BE1452" t="s">
        <v>4278</v>
      </c>
      <c r="BF1452" t="s">
        <v>4279</v>
      </c>
      <c r="BG1452" t="s">
        <v>2681</v>
      </c>
    </row>
    <row r="1453" spans="57:59" x14ac:dyDescent="0.25">
      <c r="BE1453" t="s">
        <v>4280</v>
      </c>
      <c r="BF1453" t="s">
        <v>4281</v>
      </c>
      <c r="BG1453" t="s">
        <v>2684</v>
      </c>
    </row>
    <row r="1454" spans="57:59" x14ac:dyDescent="0.25">
      <c r="BE1454" t="s">
        <v>4282</v>
      </c>
      <c r="BF1454" t="s">
        <v>4283</v>
      </c>
      <c r="BG1454" t="s">
        <v>2687</v>
      </c>
    </row>
    <row r="1455" spans="57:59" x14ac:dyDescent="0.25">
      <c r="BE1455" t="s">
        <v>4284</v>
      </c>
      <c r="BF1455" t="s">
        <v>4285</v>
      </c>
      <c r="BG1455" t="s">
        <v>2690</v>
      </c>
    </row>
    <row r="1456" spans="57:59" x14ac:dyDescent="0.25">
      <c r="BE1456" t="s">
        <v>4286</v>
      </c>
      <c r="BF1456" t="s">
        <v>4287</v>
      </c>
      <c r="BG1456" t="s">
        <v>2693</v>
      </c>
    </row>
    <row r="1457" spans="57:59" x14ac:dyDescent="0.25">
      <c r="BE1457" t="s">
        <v>4288</v>
      </c>
      <c r="BF1457" t="s">
        <v>4289</v>
      </c>
      <c r="BG1457" t="s">
        <v>2696</v>
      </c>
    </row>
    <row r="1458" spans="57:59" x14ac:dyDescent="0.25">
      <c r="BE1458" t="s">
        <v>4290</v>
      </c>
      <c r="BF1458" t="s">
        <v>4291</v>
      </c>
      <c r="BG1458" t="s">
        <v>2699</v>
      </c>
    </row>
    <row r="1459" spans="57:59" x14ac:dyDescent="0.25">
      <c r="BE1459" t="s">
        <v>4292</v>
      </c>
      <c r="BF1459" t="s">
        <v>4293</v>
      </c>
      <c r="BG1459" t="s">
        <v>2702</v>
      </c>
    </row>
    <row r="1460" spans="57:59" x14ac:dyDescent="0.25">
      <c r="BE1460" t="s">
        <v>4294</v>
      </c>
      <c r="BF1460" t="s">
        <v>4295</v>
      </c>
      <c r="BG1460" t="s">
        <v>2705</v>
      </c>
    </row>
    <row r="1461" spans="57:59" x14ac:dyDescent="0.25">
      <c r="BE1461" t="s">
        <v>4296</v>
      </c>
      <c r="BF1461" t="s">
        <v>4297</v>
      </c>
      <c r="BG1461" t="s">
        <v>2708</v>
      </c>
    </row>
    <row r="1462" spans="57:59" x14ac:dyDescent="0.25">
      <c r="BE1462" t="s">
        <v>4298</v>
      </c>
      <c r="BF1462" t="s">
        <v>4299</v>
      </c>
      <c r="BG1462" t="s">
        <v>2711</v>
      </c>
    </row>
    <row r="1463" spans="57:59" x14ac:dyDescent="0.25">
      <c r="BE1463" t="s">
        <v>4300</v>
      </c>
      <c r="BF1463" t="s">
        <v>4301</v>
      </c>
      <c r="BG1463" t="s">
        <v>2714</v>
      </c>
    </row>
    <row r="1464" spans="57:59" x14ac:dyDescent="0.25">
      <c r="BE1464" t="s">
        <v>4302</v>
      </c>
      <c r="BF1464" t="s">
        <v>4303</v>
      </c>
      <c r="BG1464" t="s">
        <v>2717</v>
      </c>
    </row>
    <row r="1465" spans="57:59" x14ac:dyDescent="0.25">
      <c r="BE1465" t="s">
        <v>4304</v>
      </c>
      <c r="BF1465" t="s">
        <v>4305</v>
      </c>
      <c r="BG1465" t="s">
        <v>2720</v>
      </c>
    </row>
    <row r="1466" spans="57:59" x14ac:dyDescent="0.25">
      <c r="BE1466" t="s">
        <v>4306</v>
      </c>
      <c r="BF1466" t="s">
        <v>4307</v>
      </c>
      <c r="BG1466" t="s">
        <v>2723</v>
      </c>
    </row>
    <row r="1467" spans="57:59" x14ac:dyDescent="0.25">
      <c r="BE1467" t="s">
        <v>4308</v>
      </c>
      <c r="BF1467" t="s">
        <v>4309</v>
      </c>
      <c r="BG1467" t="s">
        <v>2726</v>
      </c>
    </row>
    <row r="1468" spans="57:59" x14ac:dyDescent="0.25">
      <c r="BE1468" t="s">
        <v>4310</v>
      </c>
      <c r="BF1468" t="s">
        <v>4311</v>
      </c>
      <c r="BG1468" t="s">
        <v>2729</v>
      </c>
    </row>
    <row r="1469" spans="57:59" x14ac:dyDescent="0.25">
      <c r="BE1469" t="s">
        <v>4312</v>
      </c>
      <c r="BF1469" t="s">
        <v>4313</v>
      </c>
      <c r="BG1469" t="s">
        <v>2732</v>
      </c>
    </row>
    <row r="1470" spans="57:59" x14ac:dyDescent="0.25">
      <c r="BE1470" t="s">
        <v>4314</v>
      </c>
      <c r="BF1470" t="s">
        <v>4315</v>
      </c>
      <c r="BG1470" t="s">
        <v>2735</v>
      </c>
    </row>
    <row r="1471" spans="57:59" x14ac:dyDescent="0.25">
      <c r="BE1471" t="s">
        <v>4316</v>
      </c>
      <c r="BF1471" t="s">
        <v>4317</v>
      </c>
      <c r="BG1471" t="s">
        <v>2738</v>
      </c>
    </row>
    <row r="1472" spans="57:59" x14ac:dyDescent="0.25">
      <c r="BE1472" t="s">
        <v>4318</v>
      </c>
      <c r="BF1472" t="s">
        <v>4319</v>
      </c>
      <c r="BG1472" t="s">
        <v>2741</v>
      </c>
    </row>
    <row r="1473" spans="57:59" x14ac:dyDescent="0.25">
      <c r="BE1473" t="s">
        <v>4320</v>
      </c>
      <c r="BF1473" t="s">
        <v>4321</v>
      </c>
      <c r="BG1473" t="s">
        <v>2744</v>
      </c>
    </row>
    <row r="1474" spans="57:59" x14ac:dyDescent="0.25">
      <c r="BE1474" t="s">
        <v>4322</v>
      </c>
      <c r="BF1474" t="s">
        <v>4323</v>
      </c>
      <c r="BG1474" t="s">
        <v>2747</v>
      </c>
    </row>
    <row r="1475" spans="57:59" x14ac:dyDescent="0.25">
      <c r="BE1475" t="s">
        <v>4324</v>
      </c>
      <c r="BF1475" t="s">
        <v>4325</v>
      </c>
      <c r="BG1475" t="s">
        <v>2750</v>
      </c>
    </row>
    <row r="1476" spans="57:59" x14ac:dyDescent="0.25">
      <c r="BE1476" t="s">
        <v>4326</v>
      </c>
      <c r="BF1476" t="s">
        <v>4327</v>
      </c>
      <c r="BG1476" t="s">
        <v>2753</v>
      </c>
    </row>
    <row r="1477" spans="57:59" x14ac:dyDescent="0.25">
      <c r="BE1477" t="s">
        <v>4328</v>
      </c>
      <c r="BF1477" t="s">
        <v>4329</v>
      </c>
      <c r="BG1477" t="s">
        <v>2756</v>
      </c>
    </row>
    <row r="1478" spans="57:59" x14ac:dyDescent="0.25">
      <c r="BE1478" t="s">
        <v>4330</v>
      </c>
      <c r="BF1478" t="s">
        <v>4331</v>
      </c>
      <c r="BG1478" t="s">
        <v>2759</v>
      </c>
    </row>
    <row r="1479" spans="57:59" x14ac:dyDescent="0.25">
      <c r="BE1479" t="s">
        <v>4332</v>
      </c>
      <c r="BF1479" t="s">
        <v>4333</v>
      </c>
      <c r="BG1479" t="s">
        <v>2762</v>
      </c>
    </row>
    <row r="1480" spans="57:59" x14ac:dyDescent="0.25">
      <c r="BE1480" t="s">
        <v>4334</v>
      </c>
      <c r="BF1480" t="s">
        <v>4335</v>
      </c>
      <c r="BG1480" t="s">
        <v>2765</v>
      </c>
    </row>
    <row r="1481" spans="57:59" x14ac:dyDescent="0.25">
      <c r="BE1481" t="s">
        <v>4336</v>
      </c>
      <c r="BF1481" t="s">
        <v>4337</v>
      </c>
      <c r="BG1481" t="s">
        <v>2768</v>
      </c>
    </row>
    <row r="1482" spans="57:59" x14ac:dyDescent="0.25">
      <c r="BE1482" t="s">
        <v>4338</v>
      </c>
      <c r="BG1482" t="s">
        <v>2771</v>
      </c>
    </row>
    <row r="1483" spans="57:59" x14ac:dyDescent="0.25">
      <c r="BE1483" t="s">
        <v>4339</v>
      </c>
      <c r="BG1483" t="s">
        <v>2774</v>
      </c>
    </row>
    <row r="1484" spans="57:59" x14ac:dyDescent="0.25">
      <c r="BE1484" t="s">
        <v>4340</v>
      </c>
      <c r="BG1484" t="s">
        <v>2777</v>
      </c>
    </row>
    <row r="1485" spans="57:59" x14ac:dyDescent="0.25">
      <c r="BE1485" t="s">
        <v>4341</v>
      </c>
      <c r="BG1485" t="s">
        <v>2780</v>
      </c>
    </row>
    <row r="1486" spans="57:59" x14ac:dyDescent="0.25">
      <c r="BE1486" t="s">
        <v>4342</v>
      </c>
      <c r="BG1486" t="s">
        <v>2783</v>
      </c>
    </row>
    <row r="1487" spans="57:59" x14ac:dyDescent="0.25">
      <c r="BE1487" t="s">
        <v>4343</v>
      </c>
      <c r="BG1487" t="s">
        <v>2786</v>
      </c>
    </row>
    <row r="1488" spans="57:59" x14ac:dyDescent="0.25">
      <c r="BE1488" t="s">
        <v>4344</v>
      </c>
      <c r="BG1488" t="s">
        <v>2789</v>
      </c>
    </row>
    <row r="1489" spans="57:59" x14ac:dyDescent="0.25">
      <c r="BE1489" t="s">
        <v>4345</v>
      </c>
      <c r="BG1489" t="s">
        <v>2792</v>
      </c>
    </row>
    <row r="1490" spans="57:59" x14ac:dyDescent="0.25">
      <c r="BE1490" t="s">
        <v>4346</v>
      </c>
      <c r="BG1490" t="s">
        <v>2795</v>
      </c>
    </row>
    <row r="1491" spans="57:59" x14ac:dyDescent="0.25">
      <c r="BE1491" t="s">
        <v>4347</v>
      </c>
      <c r="BG1491" t="s">
        <v>2798</v>
      </c>
    </row>
    <row r="1492" spans="57:59" x14ac:dyDescent="0.25">
      <c r="BE1492" t="s">
        <v>4348</v>
      </c>
      <c r="BG1492" t="s">
        <v>2801</v>
      </c>
    </row>
    <row r="1493" spans="57:59" x14ac:dyDescent="0.25">
      <c r="BE1493" t="s">
        <v>4349</v>
      </c>
      <c r="BG1493" t="s">
        <v>2804</v>
      </c>
    </row>
    <row r="1494" spans="57:59" x14ac:dyDescent="0.25">
      <c r="BE1494" t="s">
        <v>4350</v>
      </c>
      <c r="BG1494" t="s">
        <v>2807</v>
      </c>
    </row>
    <row r="1495" spans="57:59" x14ac:dyDescent="0.25">
      <c r="BE1495" t="s">
        <v>4351</v>
      </c>
      <c r="BG1495" t="s">
        <v>2810</v>
      </c>
    </row>
    <row r="1496" spans="57:59" x14ac:dyDescent="0.25">
      <c r="BE1496" t="s">
        <v>4352</v>
      </c>
      <c r="BG1496" t="s">
        <v>2813</v>
      </c>
    </row>
    <row r="1497" spans="57:59" x14ac:dyDescent="0.25">
      <c r="BE1497" t="s">
        <v>4353</v>
      </c>
      <c r="BG1497" t="s">
        <v>2816</v>
      </c>
    </row>
    <row r="1498" spans="57:59" x14ac:dyDescent="0.25">
      <c r="BE1498" t="s">
        <v>4354</v>
      </c>
      <c r="BG1498" t="s">
        <v>2819</v>
      </c>
    </row>
    <row r="1499" spans="57:59" x14ac:dyDescent="0.25">
      <c r="BE1499" t="s">
        <v>4355</v>
      </c>
      <c r="BG1499" t="s">
        <v>2822</v>
      </c>
    </row>
    <row r="1500" spans="57:59" x14ac:dyDescent="0.25">
      <c r="BE1500" t="s">
        <v>4356</v>
      </c>
      <c r="BG1500" t="s">
        <v>2825</v>
      </c>
    </row>
    <row r="1501" spans="57:59" x14ac:dyDescent="0.25">
      <c r="BE1501" t="s">
        <v>4357</v>
      </c>
      <c r="BG1501" t="s">
        <v>2828</v>
      </c>
    </row>
    <row r="1502" spans="57:59" x14ac:dyDescent="0.25">
      <c r="BE1502" t="s">
        <v>4358</v>
      </c>
      <c r="BG1502" t="s">
        <v>2831</v>
      </c>
    </row>
    <row r="1503" spans="57:59" x14ac:dyDescent="0.25">
      <c r="BE1503" t="s">
        <v>4359</v>
      </c>
      <c r="BG1503" t="s">
        <v>2834</v>
      </c>
    </row>
    <row r="1504" spans="57:59" x14ac:dyDescent="0.25">
      <c r="BE1504" t="s">
        <v>4360</v>
      </c>
      <c r="BG1504" t="s">
        <v>2837</v>
      </c>
    </row>
    <row r="1505" spans="57:59" x14ac:dyDescent="0.25">
      <c r="BE1505" t="s">
        <v>4361</v>
      </c>
      <c r="BG1505" t="s">
        <v>2840</v>
      </c>
    </row>
    <row r="1506" spans="57:59" x14ac:dyDescent="0.25">
      <c r="BE1506" t="s">
        <v>4362</v>
      </c>
      <c r="BG1506" t="s">
        <v>2843</v>
      </c>
    </row>
    <row r="1507" spans="57:59" x14ac:dyDescent="0.25">
      <c r="BE1507" t="s">
        <v>4363</v>
      </c>
      <c r="BG1507" t="s">
        <v>2846</v>
      </c>
    </row>
    <row r="1508" spans="57:59" x14ac:dyDescent="0.25">
      <c r="BE1508" t="s">
        <v>4364</v>
      </c>
      <c r="BG1508" t="s">
        <v>2849</v>
      </c>
    </row>
    <row r="1509" spans="57:59" x14ac:dyDescent="0.25">
      <c r="BE1509" t="s">
        <v>4365</v>
      </c>
      <c r="BG1509" t="s">
        <v>2852</v>
      </c>
    </row>
    <row r="1510" spans="57:59" x14ac:dyDescent="0.25">
      <c r="BE1510" t="s">
        <v>4366</v>
      </c>
      <c r="BG1510" t="s">
        <v>2855</v>
      </c>
    </row>
    <row r="1511" spans="57:59" x14ac:dyDescent="0.25">
      <c r="BE1511" t="s">
        <v>4367</v>
      </c>
      <c r="BG1511" t="s">
        <v>2858</v>
      </c>
    </row>
    <row r="1512" spans="57:59" x14ac:dyDescent="0.25">
      <c r="BE1512" t="s">
        <v>4368</v>
      </c>
      <c r="BG1512" t="s">
        <v>2861</v>
      </c>
    </row>
    <row r="1513" spans="57:59" x14ac:dyDescent="0.25">
      <c r="BE1513" t="s">
        <v>4369</v>
      </c>
      <c r="BG1513" t="s">
        <v>2864</v>
      </c>
    </row>
    <row r="1514" spans="57:59" x14ac:dyDescent="0.25">
      <c r="BE1514" t="s">
        <v>4370</v>
      </c>
      <c r="BG1514" t="s">
        <v>2867</v>
      </c>
    </row>
    <row r="1515" spans="57:59" x14ac:dyDescent="0.25">
      <c r="BE1515" t="s">
        <v>4371</v>
      </c>
      <c r="BG1515" t="s">
        <v>2870</v>
      </c>
    </row>
    <row r="1516" spans="57:59" x14ac:dyDescent="0.25">
      <c r="BE1516" t="s">
        <v>4372</v>
      </c>
      <c r="BG1516" t="s">
        <v>2873</v>
      </c>
    </row>
    <row r="1517" spans="57:59" x14ac:dyDescent="0.25">
      <c r="BE1517" t="s">
        <v>4373</v>
      </c>
      <c r="BG1517" t="s">
        <v>2876</v>
      </c>
    </row>
    <row r="1518" spans="57:59" x14ac:dyDescent="0.25">
      <c r="BE1518" t="s">
        <v>4374</v>
      </c>
      <c r="BG1518" t="s">
        <v>2879</v>
      </c>
    </row>
    <row r="1519" spans="57:59" x14ac:dyDescent="0.25">
      <c r="BE1519" t="s">
        <v>4375</v>
      </c>
      <c r="BG1519" t="s">
        <v>2882</v>
      </c>
    </row>
    <row r="1520" spans="57:59" x14ac:dyDescent="0.25">
      <c r="BE1520" t="s">
        <v>4376</v>
      </c>
      <c r="BG1520" t="s">
        <v>2885</v>
      </c>
    </row>
    <row r="1521" spans="57:59" x14ac:dyDescent="0.25">
      <c r="BE1521" t="s">
        <v>4377</v>
      </c>
      <c r="BG1521" t="s">
        <v>2888</v>
      </c>
    </row>
    <row r="1522" spans="57:59" x14ac:dyDescent="0.25">
      <c r="BE1522" t="s">
        <v>4378</v>
      </c>
      <c r="BG1522" t="s">
        <v>2891</v>
      </c>
    </row>
    <row r="1523" spans="57:59" x14ac:dyDescent="0.25">
      <c r="BE1523" t="s">
        <v>4379</v>
      </c>
      <c r="BG1523" t="s">
        <v>2894</v>
      </c>
    </row>
    <row r="1524" spans="57:59" x14ac:dyDescent="0.25">
      <c r="BE1524" t="s">
        <v>4380</v>
      </c>
      <c r="BG1524" t="s">
        <v>2897</v>
      </c>
    </row>
    <row r="1525" spans="57:59" x14ac:dyDescent="0.25">
      <c r="BE1525" t="s">
        <v>4381</v>
      </c>
      <c r="BG1525" t="s">
        <v>2900</v>
      </c>
    </row>
    <row r="1526" spans="57:59" x14ac:dyDescent="0.25">
      <c r="BE1526" t="s">
        <v>4382</v>
      </c>
      <c r="BG1526" t="s">
        <v>2902</v>
      </c>
    </row>
    <row r="1527" spans="57:59" x14ac:dyDescent="0.25">
      <c r="BE1527" t="s">
        <v>4383</v>
      </c>
      <c r="BG1527" t="s">
        <v>2904</v>
      </c>
    </row>
    <row r="1528" spans="57:59" x14ac:dyDescent="0.25">
      <c r="BE1528" t="s">
        <v>4384</v>
      </c>
      <c r="BG1528" t="s">
        <v>2906</v>
      </c>
    </row>
    <row r="1529" spans="57:59" x14ac:dyDescent="0.25">
      <c r="BE1529" t="s">
        <v>4385</v>
      </c>
      <c r="BG1529" t="s">
        <v>2908</v>
      </c>
    </row>
    <row r="1530" spans="57:59" x14ac:dyDescent="0.25">
      <c r="BE1530" t="s">
        <v>4386</v>
      </c>
      <c r="BG1530" t="s">
        <v>2910</v>
      </c>
    </row>
    <row r="1531" spans="57:59" x14ac:dyDescent="0.25">
      <c r="BE1531" t="s">
        <v>4387</v>
      </c>
      <c r="BG1531" t="s">
        <v>2912</v>
      </c>
    </row>
    <row r="1532" spans="57:59" x14ac:dyDescent="0.25">
      <c r="BE1532" t="s">
        <v>4388</v>
      </c>
      <c r="BG1532" t="s">
        <v>2914</v>
      </c>
    </row>
    <row r="1533" spans="57:59" x14ac:dyDescent="0.25">
      <c r="BE1533" t="s">
        <v>4389</v>
      </c>
      <c r="BG1533" t="s">
        <v>2916</v>
      </c>
    </row>
    <row r="1534" spans="57:59" x14ac:dyDescent="0.25">
      <c r="BE1534" t="s">
        <v>4390</v>
      </c>
      <c r="BG1534" t="s">
        <v>2918</v>
      </c>
    </row>
    <row r="1535" spans="57:59" x14ac:dyDescent="0.25">
      <c r="BE1535" t="s">
        <v>4391</v>
      </c>
      <c r="BG1535" t="s">
        <v>2920</v>
      </c>
    </row>
    <row r="1536" spans="57:59" x14ac:dyDescent="0.25">
      <c r="BE1536" t="s">
        <v>4392</v>
      </c>
      <c r="BG1536" t="s">
        <v>2922</v>
      </c>
    </row>
    <row r="1537" spans="57:59" x14ac:dyDescent="0.25">
      <c r="BE1537" t="s">
        <v>4393</v>
      </c>
      <c r="BG1537" t="s">
        <v>2924</v>
      </c>
    </row>
    <row r="1538" spans="57:59" x14ac:dyDescent="0.25">
      <c r="BE1538" t="s">
        <v>4394</v>
      </c>
      <c r="BG1538" t="s">
        <v>2926</v>
      </c>
    </row>
    <row r="1539" spans="57:59" x14ac:dyDescent="0.25">
      <c r="BE1539" t="s">
        <v>4395</v>
      </c>
      <c r="BG1539" t="s">
        <v>2928</v>
      </c>
    </row>
    <row r="1540" spans="57:59" x14ac:dyDescent="0.25">
      <c r="BE1540" t="s">
        <v>4396</v>
      </c>
      <c r="BG1540" t="s">
        <v>2930</v>
      </c>
    </row>
    <row r="1541" spans="57:59" x14ac:dyDescent="0.25">
      <c r="BE1541" t="s">
        <v>4397</v>
      </c>
      <c r="BG1541" t="s">
        <v>2932</v>
      </c>
    </row>
    <row r="1542" spans="57:59" x14ac:dyDescent="0.25">
      <c r="BE1542" t="s">
        <v>4398</v>
      </c>
      <c r="BG1542" t="s">
        <v>2934</v>
      </c>
    </row>
    <row r="1543" spans="57:59" x14ac:dyDescent="0.25">
      <c r="BE1543" t="s">
        <v>4399</v>
      </c>
      <c r="BG1543" t="s">
        <v>2936</v>
      </c>
    </row>
    <row r="1544" spans="57:59" x14ac:dyDescent="0.25">
      <c r="BE1544" t="s">
        <v>4400</v>
      </c>
      <c r="BG1544" t="s">
        <v>2938</v>
      </c>
    </row>
    <row r="1545" spans="57:59" x14ac:dyDescent="0.25">
      <c r="BE1545" t="s">
        <v>4401</v>
      </c>
      <c r="BG1545" t="s">
        <v>2940</v>
      </c>
    </row>
    <row r="1546" spans="57:59" x14ac:dyDescent="0.25">
      <c r="BE1546" t="s">
        <v>4402</v>
      </c>
      <c r="BG1546" t="s">
        <v>2942</v>
      </c>
    </row>
    <row r="1547" spans="57:59" x14ac:dyDescent="0.25">
      <c r="BE1547" t="s">
        <v>4403</v>
      </c>
      <c r="BG1547" t="s">
        <v>2944</v>
      </c>
    </row>
    <row r="1548" spans="57:59" x14ac:dyDescent="0.25">
      <c r="BE1548" t="s">
        <v>4404</v>
      </c>
      <c r="BG1548" t="s">
        <v>2946</v>
      </c>
    </row>
    <row r="1549" spans="57:59" x14ac:dyDescent="0.25">
      <c r="BE1549" t="s">
        <v>4405</v>
      </c>
      <c r="BG1549" t="s">
        <v>2948</v>
      </c>
    </row>
    <row r="1550" spans="57:59" x14ac:dyDescent="0.25">
      <c r="BE1550" t="s">
        <v>4406</v>
      </c>
      <c r="BG1550" t="s">
        <v>2950</v>
      </c>
    </row>
    <row r="1551" spans="57:59" x14ac:dyDescent="0.25">
      <c r="BE1551" t="s">
        <v>4407</v>
      </c>
      <c r="BG1551" t="s">
        <v>2952</v>
      </c>
    </row>
    <row r="1552" spans="57:59" x14ac:dyDescent="0.25">
      <c r="BE1552" t="s">
        <v>4408</v>
      </c>
      <c r="BG1552" t="s">
        <v>2954</v>
      </c>
    </row>
    <row r="1553" spans="57:59" x14ac:dyDescent="0.25">
      <c r="BE1553" t="s">
        <v>4409</v>
      </c>
      <c r="BG1553" t="s">
        <v>2956</v>
      </c>
    </row>
    <row r="1554" spans="57:59" x14ac:dyDescent="0.25">
      <c r="BE1554" t="s">
        <v>4410</v>
      </c>
      <c r="BG1554" t="s">
        <v>2958</v>
      </c>
    </row>
    <row r="1555" spans="57:59" x14ac:dyDescent="0.25">
      <c r="BE1555" t="s">
        <v>4411</v>
      </c>
      <c r="BG1555" t="s">
        <v>2960</v>
      </c>
    </row>
    <row r="1556" spans="57:59" x14ac:dyDescent="0.25">
      <c r="BE1556" t="s">
        <v>4412</v>
      </c>
      <c r="BG1556" t="s">
        <v>2962</v>
      </c>
    </row>
    <row r="1557" spans="57:59" x14ac:dyDescent="0.25">
      <c r="BE1557" t="s">
        <v>4413</v>
      </c>
      <c r="BG1557" t="s">
        <v>2964</v>
      </c>
    </row>
    <row r="1558" spans="57:59" x14ac:dyDescent="0.25">
      <c r="BE1558" t="s">
        <v>4414</v>
      </c>
      <c r="BG1558" t="s">
        <v>2966</v>
      </c>
    </row>
    <row r="1559" spans="57:59" x14ac:dyDescent="0.25">
      <c r="BE1559" t="s">
        <v>4415</v>
      </c>
      <c r="BG1559" t="s">
        <v>2968</v>
      </c>
    </row>
    <row r="1560" spans="57:59" x14ac:dyDescent="0.25">
      <c r="BE1560" t="s">
        <v>4416</v>
      </c>
      <c r="BG1560" t="s">
        <v>2970</v>
      </c>
    </row>
    <row r="1561" spans="57:59" x14ac:dyDescent="0.25">
      <c r="BE1561" t="s">
        <v>4417</v>
      </c>
      <c r="BG1561" t="s">
        <v>2972</v>
      </c>
    </row>
    <row r="1562" spans="57:59" x14ac:dyDescent="0.25">
      <c r="BE1562" t="s">
        <v>4418</v>
      </c>
      <c r="BG1562" t="s">
        <v>2974</v>
      </c>
    </row>
    <row r="1563" spans="57:59" x14ac:dyDescent="0.25">
      <c r="BE1563" t="s">
        <v>4419</v>
      </c>
      <c r="BG1563" t="s">
        <v>2976</v>
      </c>
    </row>
    <row r="1564" spans="57:59" x14ac:dyDescent="0.25">
      <c r="BE1564" t="s">
        <v>4420</v>
      </c>
      <c r="BG1564" t="s">
        <v>2978</v>
      </c>
    </row>
    <row r="1565" spans="57:59" x14ac:dyDescent="0.25">
      <c r="BE1565" t="s">
        <v>4421</v>
      </c>
      <c r="BG1565" t="s">
        <v>2980</v>
      </c>
    </row>
    <row r="1566" spans="57:59" x14ac:dyDescent="0.25">
      <c r="BE1566" t="s">
        <v>4422</v>
      </c>
      <c r="BG1566" t="s">
        <v>2982</v>
      </c>
    </row>
    <row r="1567" spans="57:59" x14ac:dyDescent="0.25">
      <c r="BE1567" t="s">
        <v>4423</v>
      </c>
      <c r="BG1567" t="s">
        <v>2984</v>
      </c>
    </row>
    <row r="1568" spans="57:59" x14ac:dyDescent="0.25">
      <c r="BE1568" t="s">
        <v>4424</v>
      </c>
      <c r="BG1568" t="s">
        <v>2986</v>
      </c>
    </row>
    <row r="1569" spans="57:59" x14ac:dyDescent="0.25">
      <c r="BE1569" t="s">
        <v>4425</v>
      </c>
      <c r="BG1569" t="s">
        <v>2988</v>
      </c>
    </row>
    <row r="1570" spans="57:59" x14ac:dyDescent="0.25">
      <c r="BE1570" t="s">
        <v>4426</v>
      </c>
      <c r="BG1570" t="s">
        <v>2990</v>
      </c>
    </row>
    <row r="1571" spans="57:59" x14ac:dyDescent="0.25">
      <c r="BE1571" t="s">
        <v>4427</v>
      </c>
      <c r="BG1571" t="s">
        <v>2992</v>
      </c>
    </row>
    <row r="1572" spans="57:59" x14ac:dyDescent="0.25">
      <c r="BE1572" t="s">
        <v>4428</v>
      </c>
      <c r="BG1572" t="s">
        <v>2994</v>
      </c>
    </row>
    <row r="1573" spans="57:59" x14ac:dyDescent="0.25">
      <c r="BE1573" t="s">
        <v>4429</v>
      </c>
      <c r="BG1573" t="s">
        <v>2996</v>
      </c>
    </row>
    <row r="1574" spans="57:59" x14ac:dyDescent="0.25">
      <c r="BE1574" t="s">
        <v>4430</v>
      </c>
      <c r="BG1574" t="s">
        <v>2998</v>
      </c>
    </row>
    <row r="1575" spans="57:59" x14ac:dyDescent="0.25">
      <c r="BE1575" t="s">
        <v>4431</v>
      </c>
      <c r="BG1575" t="s">
        <v>3000</v>
      </c>
    </row>
    <row r="1576" spans="57:59" x14ac:dyDescent="0.25">
      <c r="BE1576" t="s">
        <v>4432</v>
      </c>
      <c r="BG1576" t="s">
        <v>3002</v>
      </c>
    </row>
    <row r="1577" spans="57:59" x14ac:dyDescent="0.25">
      <c r="BE1577" t="s">
        <v>4433</v>
      </c>
      <c r="BG1577" t="s">
        <v>3004</v>
      </c>
    </row>
    <row r="1578" spans="57:59" x14ac:dyDescent="0.25">
      <c r="BE1578" t="s">
        <v>4434</v>
      </c>
      <c r="BG1578" t="s">
        <v>3006</v>
      </c>
    </row>
    <row r="1579" spans="57:59" x14ac:dyDescent="0.25">
      <c r="BE1579" t="s">
        <v>4435</v>
      </c>
      <c r="BG1579" t="s">
        <v>3008</v>
      </c>
    </row>
    <row r="1580" spans="57:59" x14ac:dyDescent="0.25">
      <c r="BE1580" t="s">
        <v>4436</v>
      </c>
      <c r="BG1580" t="s">
        <v>3010</v>
      </c>
    </row>
    <row r="1581" spans="57:59" x14ac:dyDescent="0.25">
      <c r="BE1581" t="s">
        <v>4437</v>
      </c>
      <c r="BG1581" t="s">
        <v>3012</v>
      </c>
    </row>
    <row r="1582" spans="57:59" x14ac:dyDescent="0.25">
      <c r="BE1582" t="s">
        <v>4438</v>
      </c>
      <c r="BG1582" t="s">
        <v>3014</v>
      </c>
    </row>
    <row r="1583" spans="57:59" x14ac:dyDescent="0.25">
      <c r="BE1583" t="s">
        <v>4439</v>
      </c>
      <c r="BG1583" t="s">
        <v>3016</v>
      </c>
    </row>
    <row r="1584" spans="57:59" x14ac:dyDescent="0.25">
      <c r="BE1584" t="s">
        <v>4440</v>
      </c>
      <c r="BG1584" t="s">
        <v>3018</v>
      </c>
    </row>
    <row r="1585" spans="57:59" x14ac:dyDescent="0.25">
      <c r="BE1585" t="s">
        <v>4441</v>
      </c>
      <c r="BG1585" t="s">
        <v>3020</v>
      </c>
    </row>
    <row r="1586" spans="57:59" x14ac:dyDescent="0.25">
      <c r="BE1586" t="s">
        <v>4442</v>
      </c>
      <c r="BG1586" t="s">
        <v>3022</v>
      </c>
    </row>
    <row r="1587" spans="57:59" x14ac:dyDescent="0.25">
      <c r="BE1587" t="s">
        <v>4443</v>
      </c>
      <c r="BG1587" t="s">
        <v>3024</v>
      </c>
    </row>
    <row r="1588" spans="57:59" x14ac:dyDescent="0.25">
      <c r="BE1588" t="s">
        <v>4444</v>
      </c>
      <c r="BG1588" t="s">
        <v>3026</v>
      </c>
    </row>
    <row r="1589" spans="57:59" x14ac:dyDescent="0.25">
      <c r="BE1589" t="s">
        <v>4445</v>
      </c>
      <c r="BG1589" t="s">
        <v>3028</v>
      </c>
    </row>
    <row r="1590" spans="57:59" x14ac:dyDescent="0.25">
      <c r="BE1590" t="s">
        <v>4446</v>
      </c>
      <c r="BG1590" t="s">
        <v>3030</v>
      </c>
    </row>
    <row r="1591" spans="57:59" x14ac:dyDescent="0.25">
      <c r="BE1591" t="s">
        <v>4447</v>
      </c>
      <c r="BG1591" t="s">
        <v>3032</v>
      </c>
    </row>
    <row r="1592" spans="57:59" x14ac:dyDescent="0.25">
      <c r="BE1592" t="s">
        <v>4448</v>
      </c>
      <c r="BG1592" t="s">
        <v>3034</v>
      </c>
    </row>
    <row r="1593" spans="57:59" x14ac:dyDescent="0.25">
      <c r="BE1593" t="s">
        <v>4449</v>
      </c>
      <c r="BG1593" t="s">
        <v>3036</v>
      </c>
    </row>
    <row r="1594" spans="57:59" x14ac:dyDescent="0.25">
      <c r="BE1594" t="s">
        <v>4450</v>
      </c>
      <c r="BG1594" t="s">
        <v>3038</v>
      </c>
    </row>
    <row r="1595" spans="57:59" x14ac:dyDescent="0.25">
      <c r="BE1595" t="s">
        <v>4451</v>
      </c>
      <c r="BG1595" t="s">
        <v>3040</v>
      </c>
    </row>
    <row r="1596" spans="57:59" x14ac:dyDescent="0.25">
      <c r="BE1596" t="s">
        <v>4452</v>
      </c>
      <c r="BG1596" t="s">
        <v>3042</v>
      </c>
    </row>
    <row r="1597" spans="57:59" x14ac:dyDescent="0.25">
      <c r="BE1597" t="s">
        <v>4453</v>
      </c>
      <c r="BG1597" t="s">
        <v>3044</v>
      </c>
    </row>
    <row r="1598" spans="57:59" x14ac:dyDescent="0.25">
      <c r="BE1598" t="s">
        <v>4454</v>
      </c>
      <c r="BG1598" t="s">
        <v>3046</v>
      </c>
    </row>
    <row r="1599" spans="57:59" x14ac:dyDescent="0.25">
      <c r="BE1599" t="s">
        <v>4455</v>
      </c>
      <c r="BG1599" t="s">
        <v>3048</v>
      </c>
    </row>
    <row r="1600" spans="57:59" x14ac:dyDescent="0.25">
      <c r="BE1600" t="s">
        <v>4456</v>
      </c>
      <c r="BG1600" t="s">
        <v>3050</v>
      </c>
    </row>
    <row r="1601" spans="57:59" x14ac:dyDescent="0.25">
      <c r="BE1601" t="s">
        <v>4457</v>
      </c>
      <c r="BG1601" t="s">
        <v>3052</v>
      </c>
    </row>
    <row r="1602" spans="57:59" x14ac:dyDescent="0.25">
      <c r="BE1602" t="s">
        <v>4458</v>
      </c>
      <c r="BG1602" t="s">
        <v>3054</v>
      </c>
    </row>
    <row r="1603" spans="57:59" x14ac:dyDescent="0.25">
      <c r="BE1603" t="s">
        <v>4459</v>
      </c>
      <c r="BG1603" t="s">
        <v>3056</v>
      </c>
    </row>
    <row r="1604" spans="57:59" x14ac:dyDescent="0.25">
      <c r="BE1604" t="s">
        <v>4460</v>
      </c>
      <c r="BG1604" t="s">
        <v>3058</v>
      </c>
    </row>
    <row r="1605" spans="57:59" x14ac:dyDescent="0.25">
      <c r="BE1605" t="s">
        <v>4461</v>
      </c>
      <c r="BG1605" t="s">
        <v>3060</v>
      </c>
    </row>
    <row r="1606" spans="57:59" x14ac:dyDescent="0.25">
      <c r="BE1606" t="s">
        <v>4462</v>
      </c>
      <c r="BG1606" t="s">
        <v>3062</v>
      </c>
    </row>
    <row r="1607" spans="57:59" x14ac:dyDescent="0.25">
      <c r="BE1607" t="s">
        <v>4463</v>
      </c>
      <c r="BG1607" t="s">
        <v>3064</v>
      </c>
    </row>
    <row r="1608" spans="57:59" x14ac:dyDescent="0.25">
      <c r="BE1608" t="s">
        <v>4464</v>
      </c>
      <c r="BG1608" t="s">
        <v>3066</v>
      </c>
    </row>
    <row r="1609" spans="57:59" x14ac:dyDescent="0.25">
      <c r="BE1609" t="s">
        <v>4465</v>
      </c>
      <c r="BG1609" t="s">
        <v>3068</v>
      </c>
    </row>
    <row r="1610" spans="57:59" x14ac:dyDescent="0.25">
      <c r="BE1610" t="s">
        <v>4466</v>
      </c>
      <c r="BG1610" t="s">
        <v>3070</v>
      </c>
    </row>
    <row r="1611" spans="57:59" x14ac:dyDescent="0.25">
      <c r="BE1611" t="s">
        <v>4467</v>
      </c>
      <c r="BG1611" t="s">
        <v>3072</v>
      </c>
    </row>
    <row r="1612" spans="57:59" x14ac:dyDescent="0.25">
      <c r="BE1612" t="s">
        <v>4468</v>
      </c>
      <c r="BG1612" t="s">
        <v>3074</v>
      </c>
    </row>
    <row r="1613" spans="57:59" x14ac:dyDescent="0.25">
      <c r="BE1613" t="s">
        <v>4469</v>
      </c>
      <c r="BG1613" t="s">
        <v>3076</v>
      </c>
    </row>
    <row r="1614" spans="57:59" x14ac:dyDescent="0.25">
      <c r="BE1614" t="s">
        <v>4470</v>
      </c>
      <c r="BG1614" t="s">
        <v>3078</v>
      </c>
    </row>
    <row r="1615" spans="57:59" x14ac:dyDescent="0.25">
      <c r="BE1615" t="s">
        <v>4471</v>
      </c>
      <c r="BG1615" t="s">
        <v>3080</v>
      </c>
    </row>
    <row r="1616" spans="57:59" x14ac:dyDescent="0.25">
      <c r="BE1616" t="s">
        <v>4472</v>
      </c>
      <c r="BG1616" t="s">
        <v>3082</v>
      </c>
    </row>
    <row r="1617" spans="57:59" x14ac:dyDescent="0.25">
      <c r="BE1617" t="s">
        <v>4473</v>
      </c>
      <c r="BG1617" t="s">
        <v>3084</v>
      </c>
    </row>
    <row r="1618" spans="57:59" x14ac:dyDescent="0.25">
      <c r="BE1618" t="s">
        <v>4474</v>
      </c>
      <c r="BG1618" t="s">
        <v>3086</v>
      </c>
    </row>
    <row r="1619" spans="57:59" x14ac:dyDescent="0.25">
      <c r="BE1619" t="s">
        <v>4475</v>
      </c>
      <c r="BG1619" t="s">
        <v>3088</v>
      </c>
    </row>
    <row r="1620" spans="57:59" x14ac:dyDescent="0.25">
      <c r="BE1620" t="s">
        <v>4476</v>
      </c>
      <c r="BG1620" t="s">
        <v>3090</v>
      </c>
    </row>
    <row r="1621" spans="57:59" x14ac:dyDescent="0.25">
      <c r="BE1621" t="s">
        <v>4477</v>
      </c>
      <c r="BG1621" t="s">
        <v>3092</v>
      </c>
    </row>
    <row r="1622" spans="57:59" x14ac:dyDescent="0.25">
      <c r="BE1622" t="s">
        <v>4478</v>
      </c>
      <c r="BG1622" t="s">
        <v>3094</v>
      </c>
    </row>
    <row r="1623" spans="57:59" x14ac:dyDescent="0.25">
      <c r="BE1623" t="s">
        <v>4479</v>
      </c>
      <c r="BG1623" t="s">
        <v>3096</v>
      </c>
    </row>
    <row r="1624" spans="57:59" x14ac:dyDescent="0.25">
      <c r="BE1624" t="s">
        <v>4480</v>
      </c>
      <c r="BG1624" t="s">
        <v>3098</v>
      </c>
    </row>
    <row r="1625" spans="57:59" x14ac:dyDescent="0.25">
      <c r="BE1625" t="s">
        <v>4481</v>
      </c>
      <c r="BG1625" t="s">
        <v>3100</v>
      </c>
    </row>
    <row r="1626" spans="57:59" x14ac:dyDescent="0.25">
      <c r="BE1626" t="s">
        <v>4482</v>
      </c>
      <c r="BG1626" t="s">
        <v>3102</v>
      </c>
    </row>
    <row r="1627" spans="57:59" x14ac:dyDescent="0.25">
      <c r="BE1627" t="s">
        <v>4483</v>
      </c>
      <c r="BG1627" t="s">
        <v>3104</v>
      </c>
    </row>
    <row r="1628" spans="57:59" x14ac:dyDescent="0.25">
      <c r="BE1628" t="s">
        <v>4484</v>
      </c>
      <c r="BG1628" t="s">
        <v>3106</v>
      </c>
    </row>
    <row r="1629" spans="57:59" x14ac:dyDescent="0.25">
      <c r="BE1629" t="s">
        <v>4485</v>
      </c>
      <c r="BG1629" t="s">
        <v>3108</v>
      </c>
    </row>
    <row r="1630" spans="57:59" x14ac:dyDescent="0.25">
      <c r="BE1630" t="s">
        <v>4486</v>
      </c>
      <c r="BG1630" t="s">
        <v>3110</v>
      </c>
    </row>
    <row r="1631" spans="57:59" x14ac:dyDescent="0.25">
      <c r="BE1631" t="s">
        <v>4487</v>
      </c>
      <c r="BG1631" t="s">
        <v>3112</v>
      </c>
    </row>
    <row r="1632" spans="57:59" x14ac:dyDescent="0.25">
      <c r="BE1632" t="s">
        <v>4488</v>
      </c>
      <c r="BG1632" t="s">
        <v>3114</v>
      </c>
    </row>
    <row r="1633" spans="57:59" x14ac:dyDescent="0.25">
      <c r="BE1633" t="s">
        <v>4489</v>
      </c>
      <c r="BG1633" t="s">
        <v>3116</v>
      </c>
    </row>
    <row r="1634" spans="57:59" x14ac:dyDescent="0.25">
      <c r="BE1634" t="s">
        <v>4490</v>
      </c>
      <c r="BG1634" t="s">
        <v>3118</v>
      </c>
    </row>
    <row r="1635" spans="57:59" x14ac:dyDescent="0.25">
      <c r="BE1635" t="s">
        <v>4491</v>
      </c>
      <c r="BG1635" t="s">
        <v>3120</v>
      </c>
    </row>
    <row r="1636" spans="57:59" x14ac:dyDescent="0.25">
      <c r="BE1636" t="s">
        <v>4492</v>
      </c>
      <c r="BG1636" t="s">
        <v>3122</v>
      </c>
    </row>
    <row r="1637" spans="57:59" x14ac:dyDescent="0.25">
      <c r="BE1637" t="s">
        <v>4493</v>
      </c>
      <c r="BG1637" t="s">
        <v>3124</v>
      </c>
    </row>
    <row r="1638" spans="57:59" x14ac:dyDescent="0.25">
      <c r="BE1638" t="s">
        <v>4494</v>
      </c>
      <c r="BG1638" t="s">
        <v>3126</v>
      </c>
    </row>
    <row r="1639" spans="57:59" x14ac:dyDescent="0.25">
      <c r="BE1639" t="s">
        <v>4495</v>
      </c>
      <c r="BG1639" t="s">
        <v>3128</v>
      </c>
    </row>
    <row r="1640" spans="57:59" x14ac:dyDescent="0.25">
      <c r="BE1640" t="s">
        <v>4496</v>
      </c>
      <c r="BG1640" t="s">
        <v>3130</v>
      </c>
    </row>
    <row r="1641" spans="57:59" x14ac:dyDescent="0.25">
      <c r="BE1641" t="s">
        <v>4497</v>
      </c>
      <c r="BG1641" t="s">
        <v>3132</v>
      </c>
    </row>
    <row r="1642" spans="57:59" x14ac:dyDescent="0.25">
      <c r="BE1642" t="s">
        <v>4498</v>
      </c>
      <c r="BG1642" t="s">
        <v>3134</v>
      </c>
    </row>
    <row r="1643" spans="57:59" x14ac:dyDescent="0.25">
      <c r="BE1643" t="s">
        <v>4499</v>
      </c>
      <c r="BG1643" t="s">
        <v>3136</v>
      </c>
    </row>
    <row r="1644" spans="57:59" x14ac:dyDescent="0.25">
      <c r="BE1644" t="s">
        <v>4500</v>
      </c>
      <c r="BG1644" t="s">
        <v>3138</v>
      </c>
    </row>
    <row r="1645" spans="57:59" x14ac:dyDescent="0.25">
      <c r="BE1645" t="s">
        <v>4501</v>
      </c>
      <c r="BG1645" t="s">
        <v>3140</v>
      </c>
    </row>
    <row r="1646" spans="57:59" x14ac:dyDescent="0.25">
      <c r="BE1646" t="s">
        <v>4502</v>
      </c>
      <c r="BG1646" t="s">
        <v>3142</v>
      </c>
    </row>
    <row r="1647" spans="57:59" x14ac:dyDescent="0.25">
      <c r="BE1647" t="s">
        <v>4503</v>
      </c>
      <c r="BG1647" t="s">
        <v>3144</v>
      </c>
    </row>
    <row r="1648" spans="57:59" x14ac:dyDescent="0.25">
      <c r="BE1648" t="s">
        <v>4504</v>
      </c>
      <c r="BG1648" t="s">
        <v>3146</v>
      </c>
    </row>
    <row r="1649" spans="57:59" x14ac:dyDescent="0.25">
      <c r="BE1649" t="s">
        <v>4505</v>
      </c>
      <c r="BG1649" t="s">
        <v>3148</v>
      </c>
    </row>
    <row r="1650" spans="57:59" x14ac:dyDescent="0.25">
      <c r="BE1650" t="s">
        <v>4506</v>
      </c>
      <c r="BG1650" t="s">
        <v>3150</v>
      </c>
    </row>
    <row r="1651" spans="57:59" x14ac:dyDescent="0.25">
      <c r="BE1651" t="s">
        <v>4507</v>
      </c>
      <c r="BG1651" t="s">
        <v>3152</v>
      </c>
    </row>
    <row r="1652" spans="57:59" x14ac:dyDescent="0.25">
      <c r="BE1652" t="s">
        <v>4508</v>
      </c>
      <c r="BG1652" t="s">
        <v>3154</v>
      </c>
    </row>
    <row r="1653" spans="57:59" x14ac:dyDescent="0.25">
      <c r="BE1653" t="s">
        <v>4509</v>
      </c>
      <c r="BG1653" t="s">
        <v>3156</v>
      </c>
    </row>
    <row r="1654" spans="57:59" x14ac:dyDescent="0.25">
      <c r="BE1654" t="s">
        <v>4510</v>
      </c>
      <c r="BG1654" t="s">
        <v>3158</v>
      </c>
    </row>
    <row r="1655" spans="57:59" x14ac:dyDescent="0.25">
      <c r="BE1655" t="s">
        <v>4511</v>
      </c>
      <c r="BG1655" t="s">
        <v>3160</v>
      </c>
    </row>
    <row r="1656" spans="57:59" x14ac:dyDescent="0.25">
      <c r="BE1656" t="s">
        <v>4512</v>
      </c>
      <c r="BG1656" t="s">
        <v>3162</v>
      </c>
    </row>
    <row r="1657" spans="57:59" x14ac:dyDescent="0.25">
      <c r="BE1657" t="s">
        <v>4513</v>
      </c>
      <c r="BG1657" t="s">
        <v>3164</v>
      </c>
    </row>
    <row r="1658" spans="57:59" x14ac:dyDescent="0.25">
      <c r="BE1658" t="s">
        <v>4514</v>
      </c>
      <c r="BG1658" t="s">
        <v>3166</v>
      </c>
    </row>
    <row r="1659" spans="57:59" x14ac:dyDescent="0.25">
      <c r="BE1659" t="s">
        <v>4515</v>
      </c>
      <c r="BG1659" t="s">
        <v>3168</v>
      </c>
    </row>
    <row r="1660" spans="57:59" x14ac:dyDescent="0.25">
      <c r="BE1660" t="s">
        <v>4516</v>
      </c>
      <c r="BG1660" t="s">
        <v>3170</v>
      </c>
    </row>
    <row r="1661" spans="57:59" x14ac:dyDescent="0.25">
      <c r="BE1661" t="s">
        <v>4517</v>
      </c>
      <c r="BG1661" t="s">
        <v>3172</v>
      </c>
    </row>
    <row r="1662" spans="57:59" x14ac:dyDescent="0.25">
      <c r="BE1662" t="s">
        <v>4518</v>
      </c>
      <c r="BG1662" t="s">
        <v>3174</v>
      </c>
    </row>
    <row r="1663" spans="57:59" x14ac:dyDescent="0.25">
      <c r="BE1663" t="s">
        <v>4519</v>
      </c>
      <c r="BG1663" t="s">
        <v>3176</v>
      </c>
    </row>
    <row r="1664" spans="57:59" x14ac:dyDescent="0.25">
      <c r="BE1664" t="s">
        <v>4520</v>
      </c>
      <c r="BG1664" t="s">
        <v>3178</v>
      </c>
    </row>
    <row r="1665" spans="57:59" x14ac:dyDescent="0.25">
      <c r="BE1665" t="s">
        <v>4521</v>
      </c>
      <c r="BG1665" t="s">
        <v>3180</v>
      </c>
    </row>
    <row r="1666" spans="57:59" x14ac:dyDescent="0.25">
      <c r="BE1666" t="s">
        <v>4522</v>
      </c>
      <c r="BG1666" t="s">
        <v>3182</v>
      </c>
    </row>
    <row r="1667" spans="57:59" x14ac:dyDescent="0.25">
      <c r="BE1667" t="s">
        <v>4523</v>
      </c>
      <c r="BG1667" t="s">
        <v>3184</v>
      </c>
    </row>
    <row r="1668" spans="57:59" x14ac:dyDescent="0.25">
      <c r="BE1668" t="s">
        <v>4524</v>
      </c>
      <c r="BG1668" t="s">
        <v>3186</v>
      </c>
    </row>
    <row r="1669" spans="57:59" x14ac:dyDescent="0.25">
      <c r="BE1669" t="s">
        <v>4525</v>
      </c>
      <c r="BG1669" t="s">
        <v>3188</v>
      </c>
    </row>
    <row r="1670" spans="57:59" x14ac:dyDescent="0.25">
      <c r="BE1670" t="s">
        <v>4526</v>
      </c>
      <c r="BG1670" t="s">
        <v>3190</v>
      </c>
    </row>
    <row r="1671" spans="57:59" x14ac:dyDescent="0.25">
      <c r="BE1671" t="s">
        <v>4527</v>
      </c>
      <c r="BG1671" t="s">
        <v>3192</v>
      </c>
    </row>
    <row r="1672" spans="57:59" x14ac:dyDescent="0.25">
      <c r="BE1672" t="s">
        <v>4528</v>
      </c>
      <c r="BG1672" t="s">
        <v>3194</v>
      </c>
    </row>
    <row r="1673" spans="57:59" x14ac:dyDescent="0.25">
      <c r="BE1673" t="s">
        <v>4529</v>
      </c>
      <c r="BG1673" t="s">
        <v>3196</v>
      </c>
    </row>
    <row r="1674" spans="57:59" x14ac:dyDescent="0.25">
      <c r="BE1674" t="s">
        <v>4530</v>
      </c>
      <c r="BG1674" t="s">
        <v>3198</v>
      </c>
    </row>
    <row r="1675" spans="57:59" x14ac:dyDescent="0.25">
      <c r="BE1675" t="s">
        <v>4531</v>
      </c>
      <c r="BG1675" t="s">
        <v>3200</v>
      </c>
    </row>
    <row r="1676" spans="57:59" x14ac:dyDescent="0.25">
      <c r="BE1676" t="s">
        <v>4532</v>
      </c>
      <c r="BG1676" t="s">
        <v>3202</v>
      </c>
    </row>
    <row r="1677" spans="57:59" x14ac:dyDescent="0.25">
      <c r="BE1677" t="s">
        <v>4533</v>
      </c>
      <c r="BG1677" t="s">
        <v>3204</v>
      </c>
    </row>
    <row r="1678" spans="57:59" x14ac:dyDescent="0.25">
      <c r="BE1678" t="s">
        <v>4534</v>
      </c>
      <c r="BG1678" t="s">
        <v>3206</v>
      </c>
    </row>
    <row r="1679" spans="57:59" x14ac:dyDescent="0.25">
      <c r="BE1679" t="s">
        <v>4535</v>
      </c>
      <c r="BG1679" t="s">
        <v>3208</v>
      </c>
    </row>
    <row r="1680" spans="57:59" x14ac:dyDescent="0.25">
      <c r="BE1680" t="s">
        <v>4536</v>
      </c>
      <c r="BG1680" t="s">
        <v>3210</v>
      </c>
    </row>
    <row r="1681" spans="57:59" x14ac:dyDescent="0.25">
      <c r="BE1681" t="s">
        <v>4537</v>
      </c>
      <c r="BG1681" t="s">
        <v>3212</v>
      </c>
    </row>
    <row r="1682" spans="57:59" x14ac:dyDescent="0.25">
      <c r="BE1682" t="s">
        <v>4538</v>
      </c>
      <c r="BG1682" t="s">
        <v>3214</v>
      </c>
    </row>
    <row r="1683" spans="57:59" x14ac:dyDescent="0.25">
      <c r="BE1683" t="s">
        <v>4539</v>
      </c>
      <c r="BG1683" t="s">
        <v>3216</v>
      </c>
    </row>
    <row r="1684" spans="57:59" x14ac:dyDescent="0.25">
      <c r="BE1684" t="s">
        <v>4540</v>
      </c>
      <c r="BG1684" t="s">
        <v>3218</v>
      </c>
    </row>
    <row r="1685" spans="57:59" x14ac:dyDescent="0.25">
      <c r="BE1685" t="s">
        <v>4541</v>
      </c>
      <c r="BG1685" t="s">
        <v>3220</v>
      </c>
    </row>
    <row r="1686" spans="57:59" x14ac:dyDescent="0.25">
      <c r="BE1686" t="s">
        <v>4542</v>
      </c>
      <c r="BG1686" t="s">
        <v>3222</v>
      </c>
    </row>
    <row r="1687" spans="57:59" x14ac:dyDescent="0.25">
      <c r="BE1687" t="s">
        <v>4543</v>
      </c>
      <c r="BG1687" t="s">
        <v>3224</v>
      </c>
    </row>
    <row r="1688" spans="57:59" x14ac:dyDescent="0.25">
      <c r="BE1688" t="s">
        <v>4544</v>
      </c>
      <c r="BG1688" t="s">
        <v>3226</v>
      </c>
    </row>
    <row r="1689" spans="57:59" x14ac:dyDescent="0.25">
      <c r="BE1689" t="s">
        <v>4545</v>
      </c>
      <c r="BG1689" t="s">
        <v>3228</v>
      </c>
    </row>
    <row r="1690" spans="57:59" x14ac:dyDescent="0.25">
      <c r="BE1690" t="s">
        <v>4546</v>
      </c>
      <c r="BG1690" t="s">
        <v>3230</v>
      </c>
    </row>
    <row r="1691" spans="57:59" x14ac:dyDescent="0.25">
      <c r="BE1691" t="s">
        <v>4547</v>
      </c>
      <c r="BG1691" t="s">
        <v>3232</v>
      </c>
    </row>
    <row r="1692" spans="57:59" x14ac:dyDescent="0.25">
      <c r="BE1692" t="s">
        <v>4548</v>
      </c>
      <c r="BG1692" t="s">
        <v>3234</v>
      </c>
    </row>
    <row r="1693" spans="57:59" x14ac:dyDescent="0.25">
      <c r="BE1693" t="s">
        <v>4549</v>
      </c>
      <c r="BG1693" t="s">
        <v>3236</v>
      </c>
    </row>
    <row r="1694" spans="57:59" x14ac:dyDescent="0.25">
      <c r="BE1694" t="s">
        <v>4550</v>
      </c>
      <c r="BG1694" t="s">
        <v>3238</v>
      </c>
    </row>
    <row r="1695" spans="57:59" x14ac:dyDescent="0.25">
      <c r="BE1695" t="s">
        <v>4551</v>
      </c>
      <c r="BG1695" t="s">
        <v>3240</v>
      </c>
    </row>
    <row r="1696" spans="57:59" x14ac:dyDescent="0.25">
      <c r="BE1696" t="s">
        <v>4552</v>
      </c>
      <c r="BG1696" t="s">
        <v>3242</v>
      </c>
    </row>
    <row r="1697" spans="57:59" x14ac:dyDescent="0.25">
      <c r="BE1697" t="s">
        <v>4553</v>
      </c>
      <c r="BG1697" t="s">
        <v>3244</v>
      </c>
    </row>
    <row r="1698" spans="57:59" x14ac:dyDescent="0.25">
      <c r="BE1698" t="s">
        <v>4554</v>
      </c>
      <c r="BG1698" t="s">
        <v>3246</v>
      </c>
    </row>
    <row r="1699" spans="57:59" x14ac:dyDescent="0.25">
      <c r="BE1699" t="s">
        <v>4555</v>
      </c>
      <c r="BG1699" t="s">
        <v>3248</v>
      </c>
    </row>
    <row r="1700" spans="57:59" x14ac:dyDescent="0.25">
      <c r="BE1700" t="s">
        <v>4556</v>
      </c>
      <c r="BG1700" t="s">
        <v>3250</v>
      </c>
    </row>
    <row r="1701" spans="57:59" x14ac:dyDescent="0.25">
      <c r="BE1701" t="s">
        <v>4557</v>
      </c>
      <c r="BG1701" t="s">
        <v>3252</v>
      </c>
    </row>
    <row r="1702" spans="57:59" x14ac:dyDescent="0.25">
      <c r="BE1702" t="s">
        <v>4558</v>
      </c>
      <c r="BG1702" t="s">
        <v>3254</v>
      </c>
    </row>
    <row r="1703" spans="57:59" x14ac:dyDescent="0.25">
      <c r="BE1703" t="s">
        <v>4559</v>
      </c>
      <c r="BG1703" t="s">
        <v>3256</v>
      </c>
    </row>
    <row r="1704" spans="57:59" x14ac:dyDescent="0.25">
      <c r="BE1704" t="s">
        <v>4560</v>
      </c>
      <c r="BG1704" t="s">
        <v>3258</v>
      </c>
    </row>
    <row r="1705" spans="57:59" x14ac:dyDescent="0.25">
      <c r="BE1705" t="s">
        <v>4561</v>
      </c>
      <c r="BG1705" t="s">
        <v>3260</v>
      </c>
    </row>
    <row r="1706" spans="57:59" x14ac:dyDescent="0.25">
      <c r="BE1706" t="s">
        <v>4562</v>
      </c>
      <c r="BG1706" t="s">
        <v>3262</v>
      </c>
    </row>
    <row r="1707" spans="57:59" x14ac:dyDescent="0.25">
      <c r="BE1707" t="s">
        <v>4563</v>
      </c>
      <c r="BG1707" t="s">
        <v>3264</v>
      </c>
    </row>
    <row r="1708" spans="57:59" x14ac:dyDescent="0.25">
      <c r="BE1708" t="s">
        <v>4564</v>
      </c>
      <c r="BG1708" t="s">
        <v>3266</v>
      </c>
    </row>
    <row r="1709" spans="57:59" x14ac:dyDescent="0.25">
      <c r="BE1709" t="s">
        <v>4565</v>
      </c>
      <c r="BG1709" t="s">
        <v>3268</v>
      </c>
    </row>
    <row r="1710" spans="57:59" x14ac:dyDescent="0.25">
      <c r="BE1710" t="s">
        <v>4566</v>
      </c>
      <c r="BG1710" t="s">
        <v>3270</v>
      </c>
    </row>
    <row r="1711" spans="57:59" x14ac:dyDescent="0.25">
      <c r="BE1711" t="s">
        <v>4567</v>
      </c>
      <c r="BG1711" t="s">
        <v>3272</v>
      </c>
    </row>
    <row r="1712" spans="57:59" x14ac:dyDescent="0.25">
      <c r="BE1712" t="s">
        <v>4568</v>
      </c>
      <c r="BG1712" t="s">
        <v>3274</v>
      </c>
    </row>
    <row r="1713" spans="57:59" x14ac:dyDescent="0.25">
      <c r="BE1713" t="s">
        <v>4569</v>
      </c>
      <c r="BG1713" t="s">
        <v>3276</v>
      </c>
    </row>
    <row r="1714" spans="57:59" x14ac:dyDescent="0.25">
      <c r="BE1714" t="s">
        <v>4570</v>
      </c>
      <c r="BG1714" t="s">
        <v>3278</v>
      </c>
    </row>
    <row r="1715" spans="57:59" x14ac:dyDescent="0.25">
      <c r="BE1715" t="s">
        <v>4571</v>
      </c>
      <c r="BG1715" t="s">
        <v>3280</v>
      </c>
    </row>
    <row r="1716" spans="57:59" x14ac:dyDescent="0.25">
      <c r="BE1716" t="s">
        <v>4572</v>
      </c>
      <c r="BG1716" t="s">
        <v>3282</v>
      </c>
    </row>
    <row r="1717" spans="57:59" x14ac:dyDescent="0.25">
      <c r="BE1717" t="s">
        <v>4573</v>
      </c>
      <c r="BG1717" t="s">
        <v>3284</v>
      </c>
    </row>
    <row r="1718" spans="57:59" x14ac:dyDescent="0.25">
      <c r="BE1718" t="s">
        <v>4574</v>
      </c>
      <c r="BG1718" t="s">
        <v>3286</v>
      </c>
    </row>
    <row r="1719" spans="57:59" x14ac:dyDescent="0.25">
      <c r="BE1719" t="s">
        <v>4575</v>
      </c>
      <c r="BG1719" t="s">
        <v>3288</v>
      </c>
    </row>
    <row r="1720" spans="57:59" x14ac:dyDescent="0.25">
      <c r="BE1720" t="s">
        <v>4576</v>
      </c>
      <c r="BG1720" t="s">
        <v>3290</v>
      </c>
    </row>
    <row r="1721" spans="57:59" x14ac:dyDescent="0.25">
      <c r="BE1721" t="s">
        <v>4577</v>
      </c>
      <c r="BG1721" t="s">
        <v>3292</v>
      </c>
    </row>
    <row r="1722" spans="57:59" x14ac:dyDescent="0.25">
      <c r="BE1722" t="s">
        <v>4578</v>
      </c>
      <c r="BG1722" t="s">
        <v>3294</v>
      </c>
    </row>
    <row r="1723" spans="57:59" x14ac:dyDescent="0.25">
      <c r="BE1723" t="s">
        <v>4579</v>
      </c>
      <c r="BG1723" t="s">
        <v>3296</v>
      </c>
    </row>
    <row r="1724" spans="57:59" x14ac:dyDescent="0.25">
      <c r="BE1724" t="s">
        <v>4580</v>
      </c>
      <c r="BG1724" t="s">
        <v>3298</v>
      </c>
    </row>
    <row r="1725" spans="57:59" x14ac:dyDescent="0.25">
      <c r="BE1725" t="s">
        <v>4581</v>
      </c>
      <c r="BG1725" t="s">
        <v>3300</v>
      </c>
    </row>
    <row r="1726" spans="57:59" x14ac:dyDescent="0.25">
      <c r="BE1726" t="s">
        <v>4582</v>
      </c>
      <c r="BG1726" t="s">
        <v>3302</v>
      </c>
    </row>
    <row r="1727" spans="57:59" x14ac:dyDescent="0.25">
      <c r="BE1727" t="s">
        <v>4583</v>
      </c>
      <c r="BG1727" t="s">
        <v>3304</v>
      </c>
    </row>
    <row r="1728" spans="57:59" x14ac:dyDescent="0.25">
      <c r="BE1728" t="s">
        <v>4584</v>
      </c>
      <c r="BG1728" t="s">
        <v>3306</v>
      </c>
    </row>
    <row r="1729" spans="57:59" x14ac:dyDescent="0.25">
      <c r="BE1729" t="s">
        <v>4585</v>
      </c>
      <c r="BG1729" t="s">
        <v>3308</v>
      </c>
    </row>
    <row r="1730" spans="57:59" x14ac:dyDescent="0.25">
      <c r="BE1730" t="s">
        <v>4586</v>
      </c>
      <c r="BG1730" t="s">
        <v>3310</v>
      </c>
    </row>
    <row r="1731" spans="57:59" x14ac:dyDescent="0.25">
      <c r="BE1731" t="s">
        <v>4587</v>
      </c>
      <c r="BG1731" t="s">
        <v>3312</v>
      </c>
    </row>
    <row r="1732" spans="57:59" x14ac:dyDescent="0.25">
      <c r="BE1732" t="s">
        <v>4588</v>
      </c>
      <c r="BG1732" t="s">
        <v>3314</v>
      </c>
    </row>
    <row r="1733" spans="57:59" x14ac:dyDescent="0.25">
      <c r="BE1733" t="s">
        <v>4589</v>
      </c>
      <c r="BG1733" t="s">
        <v>3316</v>
      </c>
    </row>
    <row r="1734" spans="57:59" x14ac:dyDescent="0.25">
      <c r="BE1734" t="s">
        <v>4590</v>
      </c>
      <c r="BG1734" t="s">
        <v>3318</v>
      </c>
    </row>
    <row r="1735" spans="57:59" x14ac:dyDescent="0.25">
      <c r="BE1735" t="s">
        <v>4591</v>
      </c>
      <c r="BG1735" t="s">
        <v>3320</v>
      </c>
    </row>
    <row r="1736" spans="57:59" x14ac:dyDescent="0.25">
      <c r="BE1736" t="s">
        <v>4592</v>
      </c>
      <c r="BG1736" t="s">
        <v>3322</v>
      </c>
    </row>
    <row r="1737" spans="57:59" x14ac:dyDescent="0.25">
      <c r="BE1737" t="s">
        <v>4593</v>
      </c>
      <c r="BG1737" t="s">
        <v>3324</v>
      </c>
    </row>
    <row r="1738" spans="57:59" x14ac:dyDescent="0.25">
      <c r="BE1738" t="s">
        <v>4594</v>
      </c>
      <c r="BG1738" t="s">
        <v>3326</v>
      </c>
    </row>
    <row r="1739" spans="57:59" x14ac:dyDescent="0.25">
      <c r="BE1739" t="s">
        <v>4595</v>
      </c>
      <c r="BG1739" t="s">
        <v>3328</v>
      </c>
    </row>
    <row r="1740" spans="57:59" x14ac:dyDescent="0.25">
      <c r="BE1740" t="s">
        <v>4596</v>
      </c>
      <c r="BG1740" t="s">
        <v>3330</v>
      </c>
    </row>
    <row r="1741" spans="57:59" x14ac:dyDescent="0.25">
      <c r="BE1741" t="s">
        <v>4597</v>
      </c>
      <c r="BG1741" t="s">
        <v>3332</v>
      </c>
    </row>
    <row r="1742" spans="57:59" x14ac:dyDescent="0.25">
      <c r="BE1742" t="s">
        <v>4598</v>
      </c>
      <c r="BG1742" t="s">
        <v>3334</v>
      </c>
    </row>
    <row r="1743" spans="57:59" x14ac:dyDescent="0.25">
      <c r="BE1743" t="s">
        <v>4599</v>
      </c>
      <c r="BG1743" t="s">
        <v>3336</v>
      </c>
    </row>
    <row r="1744" spans="57:59" x14ac:dyDescent="0.25">
      <c r="BE1744" t="s">
        <v>4600</v>
      </c>
      <c r="BG1744" t="s">
        <v>3338</v>
      </c>
    </row>
    <row r="1745" spans="57:59" x14ac:dyDescent="0.25">
      <c r="BE1745" t="s">
        <v>4601</v>
      </c>
      <c r="BG1745" t="s">
        <v>3340</v>
      </c>
    </row>
    <row r="1746" spans="57:59" x14ac:dyDescent="0.25">
      <c r="BE1746" t="s">
        <v>4602</v>
      </c>
      <c r="BG1746" t="s">
        <v>3342</v>
      </c>
    </row>
    <row r="1747" spans="57:59" x14ac:dyDescent="0.25">
      <c r="BE1747" t="s">
        <v>4603</v>
      </c>
      <c r="BG1747" t="s">
        <v>3344</v>
      </c>
    </row>
    <row r="1748" spans="57:59" x14ac:dyDescent="0.25">
      <c r="BE1748" t="s">
        <v>4604</v>
      </c>
      <c r="BG1748" t="s">
        <v>3346</v>
      </c>
    </row>
    <row r="1749" spans="57:59" x14ac:dyDescent="0.25">
      <c r="BE1749" t="s">
        <v>4605</v>
      </c>
      <c r="BG1749" t="s">
        <v>3348</v>
      </c>
    </row>
    <row r="1750" spans="57:59" x14ac:dyDescent="0.25">
      <c r="BE1750" t="s">
        <v>4606</v>
      </c>
      <c r="BG1750" t="s">
        <v>3350</v>
      </c>
    </row>
    <row r="1751" spans="57:59" x14ac:dyDescent="0.25">
      <c r="BE1751" t="s">
        <v>4607</v>
      </c>
      <c r="BG1751" t="s">
        <v>3352</v>
      </c>
    </row>
    <row r="1752" spans="57:59" x14ac:dyDescent="0.25">
      <c r="BE1752" t="s">
        <v>4608</v>
      </c>
      <c r="BG1752" t="s">
        <v>3354</v>
      </c>
    </row>
    <row r="1753" spans="57:59" x14ac:dyDescent="0.25">
      <c r="BE1753" t="s">
        <v>4609</v>
      </c>
      <c r="BG1753" t="s">
        <v>3356</v>
      </c>
    </row>
    <row r="1754" spans="57:59" x14ac:dyDescent="0.25">
      <c r="BE1754" t="s">
        <v>4610</v>
      </c>
      <c r="BG1754" t="s">
        <v>3358</v>
      </c>
    </row>
    <row r="1755" spans="57:59" x14ac:dyDescent="0.25">
      <c r="BE1755" t="s">
        <v>4611</v>
      </c>
      <c r="BG1755" t="s">
        <v>3360</v>
      </c>
    </row>
    <row r="1756" spans="57:59" x14ac:dyDescent="0.25">
      <c r="BE1756" t="s">
        <v>4612</v>
      </c>
      <c r="BG1756" t="s">
        <v>3362</v>
      </c>
    </row>
    <row r="1757" spans="57:59" x14ac:dyDescent="0.25">
      <c r="BE1757" t="s">
        <v>4613</v>
      </c>
      <c r="BG1757" t="s">
        <v>3364</v>
      </c>
    </row>
    <row r="1758" spans="57:59" x14ac:dyDescent="0.25">
      <c r="BE1758" t="s">
        <v>4614</v>
      </c>
      <c r="BG1758" t="s">
        <v>3366</v>
      </c>
    </row>
    <row r="1759" spans="57:59" x14ac:dyDescent="0.25">
      <c r="BE1759" t="s">
        <v>4615</v>
      </c>
      <c r="BG1759" t="s">
        <v>3368</v>
      </c>
    </row>
    <row r="1760" spans="57:59" x14ac:dyDescent="0.25">
      <c r="BE1760" t="s">
        <v>4616</v>
      </c>
      <c r="BG1760" t="s">
        <v>3370</v>
      </c>
    </row>
    <row r="1761" spans="57:59" x14ac:dyDescent="0.25">
      <c r="BE1761" t="s">
        <v>4617</v>
      </c>
      <c r="BG1761" t="s">
        <v>3372</v>
      </c>
    </row>
    <row r="1762" spans="57:59" x14ac:dyDescent="0.25">
      <c r="BE1762" t="s">
        <v>4618</v>
      </c>
      <c r="BG1762" t="s">
        <v>3374</v>
      </c>
    </row>
    <row r="1763" spans="57:59" x14ac:dyDescent="0.25">
      <c r="BE1763" t="s">
        <v>4619</v>
      </c>
      <c r="BG1763" t="s">
        <v>3376</v>
      </c>
    </row>
    <row r="1764" spans="57:59" x14ac:dyDescent="0.25">
      <c r="BE1764" t="s">
        <v>4620</v>
      </c>
      <c r="BG1764" t="s">
        <v>3378</v>
      </c>
    </row>
    <row r="1765" spans="57:59" x14ac:dyDescent="0.25">
      <c r="BE1765" t="s">
        <v>4621</v>
      </c>
      <c r="BG1765" t="s">
        <v>3380</v>
      </c>
    </row>
    <row r="1766" spans="57:59" x14ac:dyDescent="0.25">
      <c r="BE1766" t="s">
        <v>4622</v>
      </c>
      <c r="BG1766" t="s">
        <v>3382</v>
      </c>
    </row>
    <row r="1767" spans="57:59" x14ac:dyDescent="0.25">
      <c r="BE1767" t="s">
        <v>4623</v>
      </c>
      <c r="BG1767" t="s">
        <v>3384</v>
      </c>
    </row>
    <row r="1768" spans="57:59" x14ac:dyDescent="0.25">
      <c r="BE1768" t="s">
        <v>4624</v>
      </c>
      <c r="BG1768" t="s">
        <v>3386</v>
      </c>
    </row>
    <row r="1769" spans="57:59" x14ac:dyDescent="0.25">
      <c r="BE1769" t="s">
        <v>4625</v>
      </c>
      <c r="BG1769" t="s">
        <v>3388</v>
      </c>
    </row>
    <row r="1770" spans="57:59" x14ac:dyDescent="0.25">
      <c r="BE1770" t="s">
        <v>4626</v>
      </c>
      <c r="BG1770" t="s">
        <v>3390</v>
      </c>
    </row>
    <row r="1771" spans="57:59" x14ac:dyDescent="0.25">
      <c r="BE1771" t="s">
        <v>4627</v>
      </c>
      <c r="BG1771" t="s">
        <v>3392</v>
      </c>
    </row>
    <row r="1772" spans="57:59" x14ac:dyDescent="0.25">
      <c r="BE1772" t="s">
        <v>4628</v>
      </c>
      <c r="BG1772" t="s">
        <v>3394</v>
      </c>
    </row>
    <row r="1773" spans="57:59" x14ac:dyDescent="0.25">
      <c r="BE1773" t="s">
        <v>4629</v>
      </c>
      <c r="BG1773" t="s">
        <v>3396</v>
      </c>
    </row>
    <row r="1774" spans="57:59" x14ac:dyDescent="0.25">
      <c r="BE1774" t="s">
        <v>4630</v>
      </c>
      <c r="BG1774" t="s">
        <v>3398</v>
      </c>
    </row>
    <row r="1775" spans="57:59" x14ac:dyDescent="0.25">
      <c r="BE1775" t="s">
        <v>4631</v>
      </c>
      <c r="BG1775" t="s">
        <v>3400</v>
      </c>
    </row>
    <row r="1776" spans="57:59" x14ac:dyDescent="0.25">
      <c r="BE1776" t="s">
        <v>4632</v>
      </c>
      <c r="BG1776" t="s">
        <v>3402</v>
      </c>
    </row>
    <row r="1777" spans="57:59" x14ac:dyDescent="0.25">
      <c r="BE1777" t="s">
        <v>4633</v>
      </c>
      <c r="BG1777" t="s">
        <v>3404</v>
      </c>
    </row>
    <row r="1778" spans="57:59" x14ac:dyDescent="0.25">
      <c r="BE1778" t="s">
        <v>4634</v>
      </c>
      <c r="BG1778" t="s">
        <v>3406</v>
      </c>
    </row>
    <row r="1779" spans="57:59" x14ac:dyDescent="0.25">
      <c r="BE1779" t="s">
        <v>4635</v>
      </c>
      <c r="BG1779" t="s">
        <v>3408</v>
      </c>
    </row>
    <row r="1780" spans="57:59" x14ac:dyDescent="0.25">
      <c r="BE1780" t="s">
        <v>4636</v>
      </c>
      <c r="BG1780" t="s">
        <v>3410</v>
      </c>
    </row>
    <row r="1781" spans="57:59" x14ac:dyDescent="0.25">
      <c r="BE1781" t="s">
        <v>4637</v>
      </c>
      <c r="BG1781" t="s">
        <v>3412</v>
      </c>
    </row>
    <row r="1782" spans="57:59" x14ac:dyDescent="0.25">
      <c r="BE1782" t="s">
        <v>4638</v>
      </c>
      <c r="BG1782" t="s">
        <v>3414</v>
      </c>
    </row>
    <row r="1783" spans="57:59" x14ac:dyDescent="0.25">
      <c r="BE1783" t="s">
        <v>4639</v>
      </c>
      <c r="BG1783" t="s">
        <v>3416</v>
      </c>
    </row>
    <row r="1784" spans="57:59" x14ac:dyDescent="0.25">
      <c r="BE1784" t="s">
        <v>4640</v>
      </c>
      <c r="BG1784" t="s">
        <v>3418</v>
      </c>
    </row>
    <row r="1785" spans="57:59" x14ac:dyDescent="0.25">
      <c r="BE1785" t="s">
        <v>4641</v>
      </c>
      <c r="BG1785" t="s">
        <v>3420</v>
      </c>
    </row>
    <row r="1786" spans="57:59" x14ac:dyDescent="0.25">
      <c r="BE1786" t="s">
        <v>4642</v>
      </c>
      <c r="BG1786" t="s">
        <v>3422</v>
      </c>
    </row>
    <row r="1787" spans="57:59" x14ac:dyDescent="0.25">
      <c r="BE1787" t="s">
        <v>4643</v>
      </c>
      <c r="BG1787" t="s">
        <v>3424</v>
      </c>
    </row>
    <row r="1788" spans="57:59" x14ac:dyDescent="0.25">
      <c r="BE1788" t="s">
        <v>4644</v>
      </c>
      <c r="BG1788" t="s">
        <v>3426</v>
      </c>
    </row>
    <row r="1789" spans="57:59" x14ac:dyDescent="0.25">
      <c r="BE1789" t="s">
        <v>4645</v>
      </c>
      <c r="BG1789" t="s">
        <v>3428</v>
      </c>
    </row>
    <row r="1790" spans="57:59" x14ac:dyDescent="0.25">
      <c r="BE1790" t="s">
        <v>4646</v>
      </c>
      <c r="BG1790" t="s">
        <v>3430</v>
      </c>
    </row>
    <row r="1791" spans="57:59" x14ac:dyDescent="0.25">
      <c r="BE1791" t="s">
        <v>4647</v>
      </c>
      <c r="BG1791" t="s">
        <v>3432</v>
      </c>
    </row>
    <row r="1792" spans="57:59" x14ac:dyDescent="0.25">
      <c r="BE1792" t="s">
        <v>4648</v>
      </c>
      <c r="BG1792" t="s">
        <v>3434</v>
      </c>
    </row>
    <row r="1793" spans="57:59" x14ac:dyDescent="0.25">
      <c r="BE1793" t="s">
        <v>4649</v>
      </c>
      <c r="BG1793" t="s">
        <v>3436</v>
      </c>
    </row>
    <row r="1794" spans="57:59" x14ac:dyDescent="0.25">
      <c r="BE1794" t="s">
        <v>4650</v>
      </c>
      <c r="BG1794" t="s">
        <v>3438</v>
      </c>
    </row>
    <row r="1795" spans="57:59" x14ac:dyDescent="0.25">
      <c r="BE1795" t="s">
        <v>4651</v>
      </c>
      <c r="BG1795" t="s">
        <v>3440</v>
      </c>
    </row>
    <row r="1796" spans="57:59" x14ac:dyDescent="0.25">
      <c r="BE1796" t="s">
        <v>4652</v>
      </c>
      <c r="BG1796" t="s">
        <v>3442</v>
      </c>
    </row>
    <row r="1797" spans="57:59" x14ac:dyDescent="0.25">
      <c r="BE1797" t="s">
        <v>4653</v>
      </c>
      <c r="BG1797" t="s">
        <v>3444</v>
      </c>
    </row>
    <row r="1798" spans="57:59" x14ac:dyDescent="0.25">
      <c r="BE1798" t="s">
        <v>4654</v>
      </c>
      <c r="BG1798" t="s">
        <v>3446</v>
      </c>
    </row>
    <row r="1799" spans="57:59" x14ac:dyDescent="0.25">
      <c r="BE1799" t="s">
        <v>4655</v>
      </c>
      <c r="BG1799" t="s">
        <v>3448</v>
      </c>
    </row>
    <row r="1800" spans="57:59" x14ac:dyDescent="0.25">
      <c r="BE1800" t="s">
        <v>4656</v>
      </c>
      <c r="BG1800" t="s">
        <v>3450</v>
      </c>
    </row>
    <row r="1801" spans="57:59" x14ac:dyDescent="0.25">
      <c r="BE1801" t="s">
        <v>4657</v>
      </c>
      <c r="BG1801" t="s">
        <v>3452</v>
      </c>
    </row>
    <row r="1802" spans="57:59" x14ac:dyDescent="0.25">
      <c r="BE1802" t="s">
        <v>4658</v>
      </c>
      <c r="BG1802" t="s">
        <v>3454</v>
      </c>
    </row>
    <row r="1803" spans="57:59" x14ac:dyDescent="0.25">
      <c r="BE1803" t="s">
        <v>4659</v>
      </c>
      <c r="BG1803" t="s">
        <v>3456</v>
      </c>
    </row>
    <row r="1804" spans="57:59" x14ac:dyDescent="0.25">
      <c r="BE1804" t="s">
        <v>4660</v>
      </c>
      <c r="BG1804" t="s">
        <v>3458</v>
      </c>
    </row>
    <row r="1805" spans="57:59" x14ac:dyDescent="0.25">
      <c r="BE1805" t="s">
        <v>4661</v>
      </c>
      <c r="BG1805" t="s">
        <v>3460</v>
      </c>
    </row>
    <row r="1806" spans="57:59" x14ac:dyDescent="0.25">
      <c r="BE1806" t="s">
        <v>4662</v>
      </c>
      <c r="BG1806" t="s">
        <v>3462</v>
      </c>
    </row>
    <row r="1807" spans="57:59" x14ac:dyDescent="0.25">
      <c r="BE1807" t="s">
        <v>4663</v>
      </c>
      <c r="BG1807" t="s">
        <v>3464</v>
      </c>
    </row>
    <row r="1808" spans="57:59" x14ac:dyDescent="0.25">
      <c r="BE1808" t="s">
        <v>4664</v>
      </c>
      <c r="BG1808" t="s">
        <v>3466</v>
      </c>
    </row>
    <row r="1809" spans="57:59" x14ac:dyDescent="0.25">
      <c r="BE1809" t="s">
        <v>4665</v>
      </c>
      <c r="BG1809" t="s">
        <v>3468</v>
      </c>
    </row>
    <row r="1810" spans="57:59" x14ac:dyDescent="0.25">
      <c r="BE1810" t="s">
        <v>4666</v>
      </c>
      <c r="BG1810" t="s">
        <v>3470</v>
      </c>
    </row>
    <row r="1811" spans="57:59" x14ac:dyDescent="0.25">
      <c r="BE1811" t="s">
        <v>4667</v>
      </c>
      <c r="BG1811" t="s">
        <v>3472</v>
      </c>
    </row>
    <row r="1812" spans="57:59" x14ac:dyDescent="0.25">
      <c r="BE1812" t="s">
        <v>4668</v>
      </c>
      <c r="BG1812" t="s">
        <v>3474</v>
      </c>
    </row>
    <row r="1813" spans="57:59" x14ac:dyDescent="0.25">
      <c r="BE1813" t="s">
        <v>4669</v>
      </c>
      <c r="BG1813" t="s">
        <v>3476</v>
      </c>
    </row>
    <row r="1814" spans="57:59" x14ac:dyDescent="0.25">
      <c r="BE1814" t="s">
        <v>4670</v>
      </c>
      <c r="BG1814" t="s">
        <v>3478</v>
      </c>
    </row>
    <row r="1815" spans="57:59" x14ac:dyDescent="0.25">
      <c r="BE1815" t="s">
        <v>4671</v>
      </c>
      <c r="BG1815" t="s">
        <v>3480</v>
      </c>
    </row>
    <row r="1816" spans="57:59" x14ac:dyDescent="0.25">
      <c r="BE1816" t="s">
        <v>4672</v>
      </c>
      <c r="BG1816" t="s">
        <v>3482</v>
      </c>
    </row>
    <row r="1817" spans="57:59" x14ac:dyDescent="0.25">
      <c r="BE1817" t="s">
        <v>4673</v>
      </c>
      <c r="BG1817" t="s">
        <v>3484</v>
      </c>
    </row>
    <row r="1818" spans="57:59" x14ac:dyDescent="0.25">
      <c r="BE1818" t="s">
        <v>4674</v>
      </c>
      <c r="BG1818" t="s">
        <v>3486</v>
      </c>
    </row>
    <row r="1819" spans="57:59" x14ac:dyDescent="0.25">
      <c r="BE1819" t="s">
        <v>4675</v>
      </c>
      <c r="BG1819" t="s">
        <v>3488</v>
      </c>
    </row>
    <row r="1820" spans="57:59" x14ac:dyDescent="0.25">
      <c r="BE1820" t="s">
        <v>4676</v>
      </c>
      <c r="BG1820" t="s">
        <v>3490</v>
      </c>
    </row>
    <row r="1821" spans="57:59" x14ac:dyDescent="0.25">
      <c r="BE1821" t="s">
        <v>4677</v>
      </c>
      <c r="BG1821" t="s">
        <v>3492</v>
      </c>
    </row>
    <row r="1822" spans="57:59" x14ac:dyDescent="0.25">
      <c r="BE1822" t="s">
        <v>4678</v>
      </c>
      <c r="BG1822" t="s">
        <v>3494</v>
      </c>
    </row>
    <row r="1823" spans="57:59" x14ac:dyDescent="0.25">
      <c r="BE1823" t="s">
        <v>4679</v>
      </c>
      <c r="BG1823" t="s">
        <v>3496</v>
      </c>
    </row>
    <row r="1824" spans="57:59" x14ac:dyDescent="0.25">
      <c r="BE1824" t="s">
        <v>4680</v>
      </c>
      <c r="BG1824" t="s">
        <v>3498</v>
      </c>
    </row>
    <row r="1825" spans="57:59" x14ac:dyDescent="0.25">
      <c r="BE1825" t="s">
        <v>4681</v>
      </c>
      <c r="BG1825" t="s">
        <v>3500</v>
      </c>
    </row>
    <row r="1826" spans="57:59" x14ac:dyDescent="0.25">
      <c r="BE1826" t="s">
        <v>4682</v>
      </c>
      <c r="BG1826" t="s">
        <v>3502</v>
      </c>
    </row>
    <row r="1827" spans="57:59" x14ac:dyDescent="0.25">
      <c r="BE1827" t="s">
        <v>4683</v>
      </c>
      <c r="BG1827" t="s">
        <v>3504</v>
      </c>
    </row>
    <row r="1828" spans="57:59" x14ac:dyDescent="0.25">
      <c r="BE1828" t="s">
        <v>4684</v>
      </c>
      <c r="BG1828" t="s">
        <v>3506</v>
      </c>
    </row>
    <row r="1829" spans="57:59" x14ac:dyDescent="0.25">
      <c r="BE1829" t="s">
        <v>4685</v>
      </c>
      <c r="BG1829" t="s">
        <v>3508</v>
      </c>
    </row>
    <row r="1830" spans="57:59" x14ac:dyDescent="0.25">
      <c r="BE1830" t="s">
        <v>4686</v>
      </c>
      <c r="BG1830" t="s">
        <v>3510</v>
      </c>
    </row>
    <row r="1831" spans="57:59" x14ac:dyDescent="0.25">
      <c r="BE1831" t="s">
        <v>4687</v>
      </c>
      <c r="BG1831" t="s">
        <v>3512</v>
      </c>
    </row>
    <row r="1832" spans="57:59" x14ac:dyDescent="0.25">
      <c r="BE1832" t="s">
        <v>4688</v>
      </c>
      <c r="BG1832" t="s">
        <v>3514</v>
      </c>
    </row>
    <row r="1833" spans="57:59" x14ac:dyDescent="0.25">
      <c r="BE1833" t="s">
        <v>4689</v>
      </c>
      <c r="BG1833" t="s">
        <v>3516</v>
      </c>
    </row>
    <row r="1834" spans="57:59" x14ac:dyDescent="0.25">
      <c r="BE1834" t="s">
        <v>4690</v>
      </c>
      <c r="BG1834" t="s">
        <v>3518</v>
      </c>
    </row>
    <row r="1835" spans="57:59" x14ac:dyDescent="0.25">
      <c r="BE1835" t="s">
        <v>4691</v>
      </c>
      <c r="BG1835" t="s">
        <v>3520</v>
      </c>
    </row>
    <row r="1836" spans="57:59" x14ac:dyDescent="0.25">
      <c r="BE1836" t="s">
        <v>4692</v>
      </c>
      <c r="BG1836" t="s">
        <v>3522</v>
      </c>
    </row>
    <row r="1837" spans="57:59" x14ac:dyDescent="0.25">
      <c r="BE1837" t="s">
        <v>4693</v>
      </c>
      <c r="BG1837" t="s">
        <v>3524</v>
      </c>
    </row>
    <row r="1838" spans="57:59" x14ac:dyDescent="0.25">
      <c r="BE1838" t="s">
        <v>4694</v>
      </c>
      <c r="BG1838" t="s">
        <v>3526</v>
      </c>
    </row>
    <row r="1839" spans="57:59" x14ac:dyDescent="0.25">
      <c r="BE1839" t="s">
        <v>4695</v>
      </c>
      <c r="BG1839" t="s">
        <v>3528</v>
      </c>
    </row>
    <row r="1840" spans="57:59" x14ac:dyDescent="0.25">
      <c r="BE1840" t="s">
        <v>4696</v>
      </c>
      <c r="BG1840" t="s">
        <v>3530</v>
      </c>
    </row>
    <row r="1841" spans="57:59" x14ac:dyDescent="0.25">
      <c r="BE1841" t="s">
        <v>4697</v>
      </c>
      <c r="BG1841" t="s">
        <v>3532</v>
      </c>
    </row>
    <row r="1842" spans="57:59" x14ac:dyDescent="0.25">
      <c r="BE1842" t="s">
        <v>4698</v>
      </c>
      <c r="BG1842" t="s">
        <v>3534</v>
      </c>
    </row>
    <row r="1843" spans="57:59" x14ac:dyDescent="0.25">
      <c r="BE1843" t="s">
        <v>4699</v>
      </c>
      <c r="BG1843" t="s">
        <v>3536</v>
      </c>
    </row>
    <row r="1844" spans="57:59" x14ac:dyDescent="0.25">
      <c r="BE1844" t="s">
        <v>4700</v>
      </c>
      <c r="BG1844" t="s">
        <v>3538</v>
      </c>
    </row>
    <row r="1845" spans="57:59" x14ac:dyDescent="0.25">
      <c r="BE1845" t="s">
        <v>4701</v>
      </c>
      <c r="BG1845" t="s">
        <v>3540</v>
      </c>
    </row>
    <row r="1846" spans="57:59" x14ac:dyDescent="0.25">
      <c r="BE1846" t="s">
        <v>4702</v>
      </c>
      <c r="BG1846" t="s">
        <v>3542</v>
      </c>
    </row>
    <row r="1847" spans="57:59" x14ac:dyDescent="0.25">
      <c r="BE1847" t="s">
        <v>4703</v>
      </c>
      <c r="BG1847" t="s">
        <v>3544</v>
      </c>
    </row>
    <row r="1848" spans="57:59" x14ac:dyDescent="0.25">
      <c r="BE1848" t="s">
        <v>4704</v>
      </c>
      <c r="BG1848" t="s">
        <v>3546</v>
      </c>
    </row>
    <row r="1849" spans="57:59" x14ac:dyDescent="0.25">
      <c r="BE1849" t="s">
        <v>4705</v>
      </c>
      <c r="BG1849" t="s">
        <v>3548</v>
      </c>
    </row>
    <row r="1850" spans="57:59" x14ac:dyDescent="0.25">
      <c r="BE1850" t="s">
        <v>4706</v>
      </c>
      <c r="BG1850" t="s">
        <v>3550</v>
      </c>
    </row>
    <row r="1851" spans="57:59" x14ac:dyDescent="0.25">
      <c r="BE1851" t="s">
        <v>4707</v>
      </c>
      <c r="BG1851" t="s">
        <v>3552</v>
      </c>
    </row>
    <row r="1852" spans="57:59" x14ac:dyDescent="0.25">
      <c r="BE1852" t="s">
        <v>4708</v>
      </c>
      <c r="BG1852" t="s">
        <v>3554</v>
      </c>
    </row>
    <row r="1853" spans="57:59" x14ac:dyDescent="0.25">
      <c r="BE1853" t="s">
        <v>4709</v>
      </c>
      <c r="BG1853" t="s">
        <v>3556</v>
      </c>
    </row>
    <row r="1854" spans="57:59" x14ac:dyDescent="0.25">
      <c r="BE1854" t="s">
        <v>4710</v>
      </c>
      <c r="BG1854" t="s">
        <v>3558</v>
      </c>
    </row>
    <row r="1855" spans="57:59" x14ac:dyDescent="0.25">
      <c r="BE1855" t="s">
        <v>4711</v>
      </c>
      <c r="BG1855" t="s">
        <v>3560</v>
      </c>
    </row>
    <row r="1856" spans="57:59" x14ac:dyDescent="0.25">
      <c r="BE1856" t="s">
        <v>4712</v>
      </c>
      <c r="BG1856" t="s">
        <v>3562</v>
      </c>
    </row>
    <row r="1857" spans="57:59" x14ac:dyDescent="0.25">
      <c r="BE1857" t="s">
        <v>4713</v>
      </c>
      <c r="BG1857" t="s">
        <v>3564</v>
      </c>
    </row>
    <row r="1858" spans="57:59" x14ac:dyDescent="0.25">
      <c r="BE1858" t="s">
        <v>4714</v>
      </c>
      <c r="BG1858" t="s">
        <v>3566</v>
      </c>
    </row>
    <row r="1859" spans="57:59" x14ac:dyDescent="0.25">
      <c r="BE1859" t="s">
        <v>4715</v>
      </c>
      <c r="BG1859" t="s">
        <v>3568</v>
      </c>
    </row>
    <row r="1860" spans="57:59" x14ac:dyDescent="0.25">
      <c r="BE1860" t="s">
        <v>4716</v>
      </c>
      <c r="BG1860" t="s">
        <v>3570</v>
      </c>
    </row>
    <row r="1861" spans="57:59" x14ac:dyDescent="0.25">
      <c r="BE1861" t="s">
        <v>4717</v>
      </c>
      <c r="BG1861" t="s">
        <v>3572</v>
      </c>
    </row>
    <row r="1862" spans="57:59" x14ac:dyDescent="0.25">
      <c r="BE1862" t="s">
        <v>4718</v>
      </c>
      <c r="BG1862" t="s">
        <v>3574</v>
      </c>
    </row>
    <row r="1863" spans="57:59" x14ac:dyDescent="0.25">
      <c r="BE1863" t="s">
        <v>4719</v>
      </c>
      <c r="BG1863" t="s">
        <v>3576</v>
      </c>
    </row>
    <row r="1864" spans="57:59" x14ac:dyDescent="0.25">
      <c r="BE1864" t="s">
        <v>4720</v>
      </c>
      <c r="BG1864" t="s">
        <v>3578</v>
      </c>
    </row>
    <row r="1865" spans="57:59" x14ac:dyDescent="0.25">
      <c r="BE1865" t="s">
        <v>4721</v>
      </c>
      <c r="BG1865" t="s">
        <v>3580</v>
      </c>
    </row>
    <row r="1866" spans="57:59" x14ac:dyDescent="0.25">
      <c r="BE1866" t="s">
        <v>4722</v>
      </c>
      <c r="BG1866" t="s">
        <v>3582</v>
      </c>
    </row>
    <row r="1867" spans="57:59" x14ac:dyDescent="0.25">
      <c r="BE1867" t="s">
        <v>4723</v>
      </c>
      <c r="BG1867" t="s">
        <v>3584</v>
      </c>
    </row>
    <row r="1868" spans="57:59" x14ac:dyDescent="0.25">
      <c r="BE1868" t="s">
        <v>4724</v>
      </c>
      <c r="BG1868" t="s">
        <v>3586</v>
      </c>
    </row>
    <row r="1869" spans="57:59" x14ac:dyDescent="0.25">
      <c r="BE1869" t="s">
        <v>4725</v>
      </c>
      <c r="BG1869" t="s">
        <v>3588</v>
      </c>
    </row>
    <row r="1870" spans="57:59" x14ac:dyDescent="0.25">
      <c r="BE1870" t="s">
        <v>4726</v>
      </c>
      <c r="BG1870" t="s">
        <v>3590</v>
      </c>
    </row>
    <row r="1871" spans="57:59" x14ac:dyDescent="0.25">
      <c r="BE1871" t="s">
        <v>4727</v>
      </c>
      <c r="BG1871" t="s">
        <v>3592</v>
      </c>
    </row>
    <row r="1872" spans="57:59" x14ac:dyDescent="0.25">
      <c r="BE1872" t="s">
        <v>4728</v>
      </c>
      <c r="BG1872" t="s">
        <v>3594</v>
      </c>
    </row>
    <row r="1873" spans="57:59" x14ac:dyDescent="0.25">
      <c r="BE1873" t="s">
        <v>4729</v>
      </c>
      <c r="BG1873" t="s">
        <v>3596</v>
      </c>
    </row>
    <row r="1874" spans="57:59" x14ac:dyDescent="0.25">
      <c r="BE1874" t="s">
        <v>4730</v>
      </c>
      <c r="BG1874" t="s">
        <v>3598</v>
      </c>
    </row>
    <row r="1875" spans="57:59" x14ac:dyDescent="0.25">
      <c r="BE1875" t="s">
        <v>4731</v>
      </c>
      <c r="BG1875" t="s">
        <v>3600</v>
      </c>
    </row>
    <row r="1876" spans="57:59" x14ac:dyDescent="0.25">
      <c r="BE1876" t="s">
        <v>4732</v>
      </c>
      <c r="BG1876" t="s">
        <v>3602</v>
      </c>
    </row>
    <row r="1877" spans="57:59" x14ac:dyDescent="0.25">
      <c r="BE1877" t="s">
        <v>4733</v>
      </c>
      <c r="BG1877" t="s">
        <v>3604</v>
      </c>
    </row>
    <row r="1878" spans="57:59" x14ac:dyDescent="0.25">
      <c r="BE1878" t="s">
        <v>4734</v>
      </c>
      <c r="BG1878" t="s">
        <v>3606</v>
      </c>
    </row>
    <row r="1879" spans="57:59" x14ac:dyDescent="0.25">
      <c r="BE1879" t="s">
        <v>4735</v>
      </c>
      <c r="BG1879" t="s">
        <v>3608</v>
      </c>
    </row>
    <row r="1880" spans="57:59" x14ac:dyDescent="0.25">
      <c r="BE1880" t="s">
        <v>4736</v>
      </c>
      <c r="BG1880" t="s">
        <v>3610</v>
      </c>
    </row>
    <row r="1881" spans="57:59" x14ac:dyDescent="0.25">
      <c r="BE1881" t="s">
        <v>4737</v>
      </c>
      <c r="BG1881" t="s">
        <v>3612</v>
      </c>
    </row>
    <row r="1882" spans="57:59" x14ac:dyDescent="0.25">
      <c r="BE1882" t="s">
        <v>4738</v>
      </c>
      <c r="BG1882" t="s">
        <v>3614</v>
      </c>
    </row>
    <row r="1883" spans="57:59" x14ac:dyDescent="0.25">
      <c r="BE1883" t="s">
        <v>4739</v>
      </c>
      <c r="BG1883" t="s">
        <v>3616</v>
      </c>
    </row>
    <row r="1884" spans="57:59" x14ac:dyDescent="0.25">
      <c r="BE1884" t="s">
        <v>4740</v>
      </c>
      <c r="BG1884" t="s">
        <v>3618</v>
      </c>
    </row>
    <row r="1885" spans="57:59" x14ac:dyDescent="0.25">
      <c r="BE1885" t="s">
        <v>4741</v>
      </c>
      <c r="BG1885" t="s">
        <v>3620</v>
      </c>
    </row>
    <row r="1886" spans="57:59" x14ac:dyDescent="0.25">
      <c r="BE1886" t="s">
        <v>4742</v>
      </c>
      <c r="BG1886" t="s">
        <v>3622</v>
      </c>
    </row>
    <row r="1887" spans="57:59" x14ac:dyDescent="0.25">
      <c r="BE1887" t="s">
        <v>4743</v>
      </c>
      <c r="BG1887" t="s">
        <v>3624</v>
      </c>
    </row>
    <row r="1888" spans="57:59" x14ac:dyDescent="0.25">
      <c r="BE1888" t="s">
        <v>4744</v>
      </c>
      <c r="BG1888" t="s">
        <v>3626</v>
      </c>
    </row>
    <row r="1889" spans="57:59" x14ac:dyDescent="0.25">
      <c r="BE1889" t="s">
        <v>4745</v>
      </c>
      <c r="BG1889" t="s">
        <v>3628</v>
      </c>
    </row>
    <row r="1890" spans="57:59" x14ac:dyDescent="0.25">
      <c r="BE1890" t="s">
        <v>4746</v>
      </c>
      <c r="BG1890" t="s">
        <v>3630</v>
      </c>
    </row>
    <row r="1891" spans="57:59" x14ac:dyDescent="0.25">
      <c r="BE1891" t="s">
        <v>4747</v>
      </c>
      <c r="BG1891" t="s">
        <v>3632</v>
      </c>
    </row>
    <row r="1892" spans="57:59" x14ac:dyDescent="0.25">
      <c r="BE1892" t="s">
        <v>4748</v>
      </c>
      <c r="BG1892" t="s">
        <v>3634</v>
      </c>
    </row>
    <row r="1893" spans="57:59" x14ac:dyDescent="0.25">
      <c r="BE1893" t="s">
        <v>4749</v>
      </c>
      <c r="BG1893" t="s">
        <v>3636</v>
      </c>
    </row>
    <row r="1894" spans="57:59" x14ac:dyDescent="0.25">
      <c r="BE1894" t="s">
        <v>4750</v>
      </c>
      <c r="BG1894" t="s">
        <v>3638</v>
      </c>
    </row>
    <row r="1895" spans="57:59" x14ac:dyDescent="0.25">
      <c r="BE1895" t="s">
        <v>4751</v>
      </c>
      <c r="BG1895" t="s">
        <v>3640</v>
      </c>
    </row>
    <row r="1896" spans="57:59" x14ac:dyDescent="0.25">
      <c r="BE1896" t="s">
        <v>4752</v>
      </c>
      <c r="BG1896" t="s">
        <v>3642</v>
      </c>
    </row>
    <row r="1897" spans="57:59" x14ac:dyDescent="0.25">
      <c r="BE1897" t="s">
        <v>4753</v>
      </c>
      <c r="BG1897" t="s">
        <v>3644</v>
      </c>
    </row>
    <row r="1898" spans="57:59" x14ac:dyDescent="0.25">
      <c r="BE1898" t="s">
        <v>4754</v>
      </c>
      <c r="BG1898" t="s">
        <v>3646</v>
      </c>
    </row>
    <row r="1899" spans="57:59" x14ac:dyDescent="0.25">
      <c r="BE1899" t="s">
        <v>4755</v>
      </c>
      <c r="BG1899" t="s">
        <v>3648</v>
      </c>
    </row>
    <row r="1900" spans="57:59" x14ac:dyDescent="0.25">
      <c r="BE1900" t="s">
        <v>4756</v>
      </c>
      <c r="BG1900" t="s">
        <v>3650</v>
      </c>
    </row>
    <row r="1901" spans="57:59" x14ac:dyDescent="0.25">
      <c r="BE1901" t="s">
        <v>4757</v>
      </c>
      <c r="BG1901" t="s">
        <v>3652</v>
      </c>
    </row>
    <row r="1902" spans="57:59" x14ac:dyDescent="0.25">
      <c r="BE1902" t="s">
        <v>4758</v>
      </c>
      <c r="BG1902" t="s">
        <v>3654</v>
      </c>
    </row>
    <row r="1903" spans="57:59" x14ac:dyDescent="0.25">
      <c r="BE1903" t="s">
        <v>4759</v>
      </c>
      <c r="BG1903" t="s">
        <v>3656</v>
      </c>
    </row>
    <row r="1904" spans="57:59" x14ac:dyDescent="0.25">
      <c r="BE1904" t="s">
        <v>4760</v>
      </c>
      <c r="BG1904" t="s">
        <v>3658</v>
      </c>
    </row>
    <row r="1905" spans="57:59" x14ac:dyDescent="0.25">
      <c r="BE1905" t="s">
        <v>4761</v>
      </c>
      <c r="BG1905" t="s">
        <v>3660</v>
      </c>
    </row>
    <row r="1906" spans="57:59" x14ac:dyDescent="0.25">
      <c r="BE1906" t="s">
        <v>4762</v>
      </c>
      <c r="BG1906" t="s">
        <v>3662</v>
      </c>
    </row>
    <row r="1907" spans="57:59" x14ac:dyDescent="0.25">
      <c r="BE1907" t="s">
        <v>4763</v>
      </c>
      <c r="BG1907" t="s">
        <v>3664</v>
      </c>
    </row>
    <row r="1908" spans="57:59" x14ac:dyDescent="0.25">
      <c r="BE1908" t="s">
        <v>4764</v>
      </c>
      <c r="BG1908" t="s">
        <v>3666</v>
      </c>
    </row>
    <row r="1909" spans="57:59" x14ac:dyDescent="0.25">
      <c r="BE1909" t="s">
        <v>4765</v>
      </c>
      <c r="BG1909" t="s">
        <v>3668</v>
      </c>
    </row>
    <row r="1910" spans="57:59" x14ac:dyDescent="0.25">
      <c r="BE1910" t="s">
        <v>4766</v>
      </c>
      <c r="BG1910" t="s">
        <v>3670</v>
      </c>
    </row>
    <row r="1911" spans="57:59" x14ac:dyDescent="0.25">
      <c r="BE1911" t="s">
        <v>4767</v>
      </c>
      <c r="BG1911" t="s">
        <v>3672</v>
      </c>
    </row>
    <row r="1912" spans="57:59" x14ac:dyDescent="0.25">
      <c r="BE1912" t="s">
        <v>4768</v>
      </c>
      <c r="BG1912" t="s">
        <v>3674</v>
      </c>
    </row>
    <row r="1913" spans="57:59" x14ac:dyDescent="0.25">
      <c r="BE1913" t="s">
        <v>4769</v>
      </c>
      <c r="BG1913" t="s">
        <v>3676</v>
      </c>
    </row>
    <row r="1914" spans="57:59" x14ac:dyDescent="0.25">
      <c r="BE1914" t="s">
        <v>4770</v>
      </c>
      <c r="BG1914" t="s">
        <v>3678</v>
      </c>
    </row>
    <row r="1915" spans="57:59" x14ac:dyDescent="0.25">
      <c r="BE1915" t="s">
        <v>4771</v>
      </c>
      <c r="BG1915" t="s">
        <v>3680</v>
      </c>
    </row>
    <row r="1916" spans="57:59" x14ac:dyDescent="0.25">
      <c r="BE1916" t="s">
        <v>4772</v>
      </c>
      <c r="BG1916" t="s">
        <v>3682</v>
      </c>
    </row>
    <row r="1917" spans="57:59" x14ac:dyDescent="0.25">
      <c r="BE1917" t="s">
        <v>4773</v>
      </c>
      <c r="BG1917" t="s">
        <v>3684</v>
      </c>
    </row>
    <row r="1918" spans="57:59" x14ac:dyDescent="0.25">
      <c r="BE1918" t="s">
        <v>4774</v>
      </c>
      <c r="BG1918" t="s">
        <v>3686</v>
      </c>
    </row>
    <row r="1919" spans="57:59" x14ac:dyDescent="0.25">
      <c r="BE1919" t="s">
        <v>4775</v>
      </c>
      <c r="BG1919" t="s">
        <v>3688</v>
      </c>
    </row>
    <row r="1920" spans="57:59" x14ac:dyDescent="0.25">
      <c r="BE1920" t="s">
        <v>4776</v>
      </c>
      <c r="BG1920" t="s">
        <v>3690</v>
      </c>
    </row>
    <row r="1921" spans="57:59" x14ac:dyDescent="0.25">
      <c r="BE1921" t="s">
        <v>4777</v>
      </c>
      <c r="BG1921" t="s">
        <v>3692</v>
      </c>
    </row>
    <row r="1922" spans="57:59" x14ac:dyDescent="0.25">
      <c r="BE1922" t="s">
        <v>4778</v>
      </c>
      <c r="BG1922" t="s">
        <v>3694</v>
      </c>
    </row>
    <row r="1923" spans="57:59" x14ac:dyDescent="0.25">
      <c r="BE1923" t="s">
        <v>4779</v>
      </c>
      <c r="BG1923" t="s">
        <v>3696</v>
      </c>
    </row>
    <row r="1924" spans="57:59" x14ac:dyDescent="0.25">
      <c r="BE1924" t="s">
        <v>4780</v>
      </c>
      <c r="BG1924" t="s">
        <v>3698</v>
      </c>
    </row>
    <row r="1925" spans="57:59" x14ac:dyDescent="0.25">
      <c r="BE1925" t="s">
        <v>4781</v>
      </c>
      <c r="BG1925" t="s">
        <v>3700</v>
      </c>
    </row>
    <row r="1926" spans="57:59" x14ac:dyDescent="0.25">
      <c r="BE1926" t="s">
        <v>4782</v>
      </c>
      <c r="BG1926" t="s">
        <v>3702</v>
      </c>
    </row>
    <row r="1927" spans="57:59" x14ac:dyDescent="0.25">
      <c r="BE1927" t="s">
        <v>4783</v>
      </c>
      <c r="BG1927" t="s">
        <v>3704</v>
      </c>
    </row>
    <row r="1928" spans="57:59" x14ac:dyDescent="0.25">
      <c r="BE1928" t="s">
        <v>4784</v>
      </c>
      <c r="BG1928" t="s">
        <v>3706</v>
      </c>
    </row>
    <row r="1929" spans="57:59" x14ac:dyDescent="0.25">
      <c r="BE1929" t="s">
        <v>4785</v>
      </c>
      <c r="BG1929" t="s">
        <v>3708</v>
      </c>
    </row>
    <row r="1930" spans="57:59" x14ac:dyDescent="0.25">
      <c r="BE1930" t="s">
        <v>4786</v>
      </c>
      <c r="BG1930" t="s">
        <v>3710</v>
      </c>
    </row>
    <row r="1931" spans="57:59" x14ac:dyDescent="0.25">
      <c r="BE1931" t="s">
        <v>4787</v>
      </c>
      <c r="BG1931" t="s">
        <v>3712</v>
      </c>
    </row>
    <row r="1932" spans="57:59" x14ac:dyDescent="0.25">
      <c r="BE1932" t="s">
        <v>4788</v>
      </c>
      <c r="BG1932" t="s">
        <v>3714</v>
      </c>
    </row>
    <row r="1933" spans="57:59" x14ac:dyDescent="0.25">
      <c r="BE1933" t="s">
        <v>4789</v>
      </c>
      <c r="BG1933" t="s">
        <v>3716</v>
      </c>
    </row>
    <row r="1934" spans="57:59" x14ac:dyDescent="0.25">
      <c r="BE1934" t="s">
        <v>4790</v>
      </c>
      <c r="BG1934" t="s">
        <v>3718</v>
      </c>
    </row>
    <row r="1935" spans="57:59" x14ac:dyDescent="0.25">
      <c r="BE1935" t="s">
        <v>4791</v>
      </c>
      <c r="BG1935" t="s">
        <v>3720</v>
      </c>
    </row>
    <row r="1936" spans="57:59" x14ac:dyDescent="0.25">
      <c r="BE1936" t="s">
        <v>4792</v>
      </c>
      <c r="BG1936" t="s">
        <v>3722</v>
      </c>
    </row>
    <row r="1937" spans="57:59" x14ac:dyDescent="0.25">
      <c r="BE1937" t="s">
        <v>4793</v>
      </c>
      <c r="BG1937" t="s">
        <v>3724</v>
      </c>
    </row>
    <row r="1938" spans="57:59" x14ac:dyDescent="0.25">
      <c r="BE1938" t="s">
        <v>4794</v>
      </c>
      <c r="BG1938" t="s">
        <v>3726</v>
      </c>
    </row>
    <row r="1939" spans="57:59" x14ac:dyDescent="0.25">
      <c r="BE1939" t="s">
        <v>4795</v>
      </c>
      <c r="BG1939" t="s">
        <v>3728</v>
      </c>
    </row>
    <row r="1940" spans="57:59" x14ac:dyDescent="0.25">
      <c r="BE1940" t="s">
        <v>4796</v>
      </c>
      <c r="BG1940" t="s">
        <v>3730</v>
      </c>
    </row>
    <row r="1941" spans="57:59" x14ac:dyDescent="0.25">
      <c r="BE1941" t="s">
        <v>4797</v>
      </c>
      <c r="BG1941" t="s">
        <v>3732</v>
      </c>
    </row>
    <row r="1942" spans="57:59" x14ac:dyDescent="0.25">
      <c r="BE1942" t="s">
        <v>4798</v>
      </c>
      <c r="BG1942" t="s">
        <v>3734</v>
      </c>
    </row>
    <row r="1943" spans="57:59" x14ac:dyDescent="0.25">
      <c r="BE1943" t="s">
        <v>4799</v>
      </c>
      <c r="BG1943" t="s">
        <v>3736</v>
      </c>
    </row>
    <row r="1944" spans="57:59" x14ac:dyDescent="0.25">
      <c r="BE1944" t="s">
        <v>4800</v>
      </c>
      <c r="BG1944" t="s">
        <v>3738</v>
      </c>
    </row>
    <row r="1945" spans="57:59" x14ac:dyDescent="0.25">
      <c r="BE1945" t="s">
        <v>4801</v>
      </c>
      <c r="BG1945" t="s">
        <v>3740</v>
      </c>
    </row>
    <row r="1946" spans="57:59" x14ac:dyDescent="0.25">
      <c r="BE1946" t="s">
        <v>4802</v>
      </c>
      <c r="BG1946" t="s">
        <v>3742</v>
      </c>
    </row>
    <row r="1947" spans="57:59" x14ac:dyDescent="0.25">
      <c r="BE1947" t="s">
        <v>4803</v>
      </c>
      <c r="BG1947" t="s">
        <v>3744</v>
      </c>
    </row>
    <row r="1948" spans="57:59" x14ac:dyDescent="0.25">
      <c r="BE1948" t="s">
        <v>4804</v>
      </c>
      <c r="BG1948" t="s">
        <v>3746</v>
      </c>
    </row>
    <row r="1949" spans="57:59" x14ac:dyDescent="0.25">
      <c r="BE1949" t="s">
        <v>4805</v>
      </c>
      <c r="BG1949" t="s">
        <v>3748</v>
      </c>
    </row>
    <row r="1950" spans="57:59" x14ac:dyDescent="0.25">
      <c r="BE1950" t="s">
        <v>4806</v>
      </c>
      <c r="BG1950" t="s">
        <v>3750</v>
      </c>
    </row>
    <row r="1951" spans="57:59" x14ac:dyDescent="0.25">
      <c r="BE1951" t="s">
        <v>4807</v>
      </c>
      <c r="BG1951" t="s">
        <v>3752</v>
      </c>
    </row>
    <row r="1952" spans="57:59" x14ac:dyDescent="0.25">
      <c r="BE1952" t="s">
        <v>4808</v>
      </c>
      <c r="BG1952" t="s">
        <v>3754</v>
      </c>
    </row>
    <row r="1953" spans="57:59" x14ac:dyDescent="0.25">
      <c r="BE1953" t="s">
        <v>4809</v>
      </c>
      <c r="BG1953" t="s">
        <v>3756</v>
      </c>
    </row>
    <row r="1954" spans="57:59" x14ac:dyDescent="0.25">
      <c r="BE1954" t="s">
        <v>4810</v>
      </c>
      <c r="BG1954" t="s">
        <v>3758</v>
      </c>
    </row>
    <row r="1955" spans="57:59" x14ac:dyDescent="0.25">
      <c r="BE1955" t="s">
        <v>4811</v>
      </c>
      <c r="BG1955" t="s">
        <v>3760</v>
      </c>
    </row>
    <row r="1956" spans="57:59" x14ac:dyDescent="0.25">
      <c r="BE1956" t="s">
        <v>4812</v>
      </c>
      <c r="BG1956" t="s">
        <v>3762</v>
      </c>
    </row>
    <row r="1957" spans="57:59" x14ac:dyDescent="0.25">
      <c r="BE1957" t="s">
        <v>4813</v>
      </c>
      <c r="BG1957" t="s">
        <v>3764</v>
      </c>
    </row>
    <row r="1958" spans="57:59" x14ac:dyDescent="0.25">
      <c r="BE1958" t="s">
        <v>4814</v>
      </c>
      <c r="BG1958" t="s">
        <v>3766</v>
      </c>
    </row>
    <row r="1959" spans="57:59" x14ac:dyDescent="0.25">
      <c r="BE1959" t="s">
        <v>4815</v>
      </c>
      <c r="BG1959" t="s">
        <v>3768</v>
      </c>
    </row>
    <row r="1960" spans="57:59" x14ac:dyDescent="0.25">
      <c r="BE1960" t="s">
        <v>4816</v>
      </c>
      <c r="BG1960" t="s">
        <v>3770</v>
      </c>
    </row>
    <row r="1961" spans="57:59" x14ac:dyDescent="0.25">
      <c r="BE1961" t="s">
        <v>4817</v>
      </c>
      <c r="BG1961" t="s">
        <v>3772</v>
      </c>
    </row>
    <row r="1962" spans="57:59" x14ac:dyDescent="0.25">
      <c r="BE1962" t="s">
        <v>4818</v>
      </c>
      <c r="BG1962" t="s">
        <v>3774</v>
      </c>
    </row>
    <row r="1963" spans="57:59" x14ac:dyDescent="0.25">
      <c r="BE1963" t="s">
        <v>4819</v>
      </c>
      <c r="BG1963" t="s">
        <v>3776</v>
      </c>
    </row>
    <row r="1964" spans="57:59" x14ac:dyDescent="0.25">
      <c r="BE1964" t="s">
        <v>4820</v>
      </c>
      <c r="BG1964" t="s">
        <v>3778</v>
      </c>
    </row>
    <row r="1965" spans="57:59" x14ac:dyDescent="0.25">
      <c r="BE1965" t="s">
        <v>4821</v>
      </c>
      <c r="BG1965" t="s">
        <v>3780</v>
      </c>
    </row>
    <row r="1966" spans="57:59" x14ac:dyDescent="0.25">
      <c r="BE1966" t="s">
        <v>4822</v>
      </c>
      <c r="BG1966" t="s">
        <v>3782</v>
      </c>
    </row>
    <row r="1967" spans="57:59" x14ac:dyDescent="0.25">
      <c r="BE1967" t="s">
        <v>4823</v>
      </c>
      <c r="BG1967" t="s">
        <v>3784</v>
      </c>
    </row>
    <row r="1968" spans="57:59" x14ac:dyDescent="0.25">
      <c r="BE1968" t="s">
        <v>4824</v>
      </c>
      <c r="BG1968" t="s">
        <v>3786</v>
      </c>
    </row>
    <row r="1969" spans="57:59" x14ac:dyDescent="0.25">
      <c r="BE1969" t="s">
        <v>4825</v>
      </c>
      <c r="BG1969" t="s">
        <v>3788</v>
      </c>
    </row>
    <row r="1970" spans="57:59" x14ac:dyDescent="0.25">
      <c r="BE1970" t="s">
        <v>4826</v>
      </c>
      <c r="BG1970" t="s">
        <v>3790</v>
      </c>
    </row>
    <row r="1971" spans="57:59" x14ac:dyDescent="0.25">
      <c r="BE1971" t="s">
        <v>4827</v>
      </c>
      <c r="BG1971" t="s">
        <v>3792</v>
      </c>
    </row>
    <row r="1972" spans="57:59" x14ac:dyDescent="0.25">
      <c r="BE1972" t="s">
        <v>4828</v>
      </c>
      <c r="BG1972" t="s">
        <v>3794</v>
      </c>
    </row>
    <row r="1973" spans="57:59" x14ac:dyDescent="0.25">
      <c r="BE1973" t="s">
        <v>4829</v>
      </c>
      <c r="BG1973" t="s">
        <v>3796</v>
      </c>
    </row>
    <row r="1974" spans="57:59" x14ac:dyDescent="0.25">
      <c r="BE1974" t="s">
        <v>4830</v>
      </c>
      <c r="BG1974" t="s">
        <v>3798</v>
      </c>
    </row>
    <row r="1975" spans="57:59" x14ac:dyDescent="0.25">
      <c r="BE1975" t="s">
        <v>4831</v>
      </c>
      <c r="BG1975" t="s">
        <v>3800</v>
      </c>
    </row>
    <row r="1976" spans="57:59" x14ac:dyDescent="0.25">
      <c r="BE1976" t="s">
        <v>4832</v>
      </c>
      <c r="BG1976" t="s">
        <v>3802</v>
      </c>
    </row>
    <row r="1977" spans="57:59" x14ac:dyDescent="0.25">
      <c r="BE1977" t="s">
        <v>4833</v>
      </c>
      <c r="BG1977" t="s">
        <v>3804</v>
      </c>
    </row>
    <row r="1978" spans="57:59" x14ac:dyDescent="0.25">
      <c r="BE1978" t="s">
        <v>4834</v>
      </c>
      <c r="BG1978" t="s">
        <v>3806</v>
      </c>
    </row>
    <row r="1979" spans="57:59" x14ac:dyDescent="0.25">
      <c r="BE1979" t="s">
        <v>4835</v>
      </c>
      <c r="BG1979" t="s">
        <v>3808</v>
      </c>
    </row>
    <row r="1980" spans="57:59" x14ac:dyDescent="0.25">
      <c r="BE1980" t="s">
        <v>4836</v>
      </c>
      <c r="BG1980" t="s">
        <v>3810</v>
      </c>
    </row>
    <row r="1981" spans="57:59" x14ac:dyDescent="0.25">
      <c r="BE1981" t="s">
        <v>4837</v>
      </c>
      <c r="BG1981" t="s">
        <v>3812</v>
      </c>
    </row>
    <row r="1982" spans="57:59" x14ac:dyDescent="0.25">
      <c r="BE1982" t="s">
        <v>4838</v>
      </c>
      <c r="BG1982" t="s">
        <v>3814</v>
      </c>
    </row>
    <row r="1983" spans="57:59" x14ac:dyDescent="0.25">
      <c r="BE1983" t="s">
        <v>4839</v>
      </c>
      <c r="BG1983" t="s">
        <v>3816</v>
      </c>
    </row>
    <row r="1984" spans="57:59" x14ac:dyDescent="0.25">
      <c r="BE1984" t="s">
        <v>4840</v>
      </c>
      <c r="BG1984" t="s">
        <v>3818</v>
      </c>
    </row>
    <row r="1985" spans="57:59" x14ac:dyDescent="0.25">
      <c r="BE1985" t="s">
        <v>4841</v>
      </c>
      <c r="BG1985" t="s">
        <v>3820</v>
      </c>
    </row>
    <row r="1986" spans="57:59" x14ac:dyDescent="0.25">
      <c r="BE1986" t="s">
        <v>4842</v>
      </c>
      <c r="BG1986" t="s">
        <v>3822</v>
      </c>
    </row>
    <row r="1987" spans="57:59" x14ac:dyDescent="0.25">
      <c r="BE1987" t="s">
        <v>4843</v>
      </c>
      <c r="BG1987" t="s">
        <v>3824</v>
      </c>
    </row>
    <row r="1988" spans="57:59" x14ac:dyDescent="0.25">
      <c r="BE1988" t="s">
        <v>4844</v>
      </c>
      <c r="BG1988" t="s">
        <v>3826</v>
      </c>
    </row>
    <row r="1989" spans="57:59" x14ac:dyDescent="0.25">
      <c r="BE1989" t="s">
        <v>4845</v>
      </c>
      <c r="BG1989" t="s">
        <v>3828</v>
      </c>
    </row>
    <row r="1990" spans="57:59" x14ac:dyDescent="0.25">
      <c r="BE1990" t="s">
        <v>4846</v>
      </c>
      <c r="BG1990" t="s">
        <v>3830</v>
      </c>
    </row>
    <row r="1991" spans="57:59" x14ac:dyDescent="0.25">
      <c r="BE1991" t="s">
        <v>4847</v>
      </c>
      <c r="BG1991" t="s">
        <v>3832</v>
      </c>
    </row>
    <row r="1992" spans="57:59" x14ac:dyDescent="0.25">
      <c r="BE1992" t="s">
        <v>4848</v>
      </c>
      <c r="BG1992" t="s">
        <v>3834</v>
      </c>
    </row>
    <row r="1993" spans="57:59" x14ac:dyDescent="0.25">
      <c r="BE1993" t="s">
        <v>4849</v>
      </c>
      <c r="BG1993" t="s">
        <v>3836</v>
      </c>
    </row>
    <row r="1994" spans="57:59" x14ac:dyDescent="0.25">
      <c r="BE1994" t="s">
        <v>4850</v>
      </c>
      <c r="BG1994" t="s">
        <v>3838</v>
      </c>
    </row>
    <row r="1995" spans="57:59" x14ac:dyDescent="0.25">
      <c r="BE1995" t="s">
        <v>4851</v>
      </c>
      <c r="BG1995" t="s">
        <v>3840</v>
      </c>
    </row>
    <row r="1996" spans="57:59" x14ac:dyDescent="0.25">
      <c r="BE1996" t="s">
        <v>4852</v>
      </c>
      <c r="BG1996" t="s">
        <v>3842</v>
      </c>
    </row>
    <row r="1997" spans="57:59" x14ac:dyDescent="0.25">
      <c r="BE1997" t="s">
        <v>4853</v>
      </c>
      <c r="BG1997" t="s">
        <v>3844</v>
      </c>
    </row>
    <row r="1998" spans="57:59" x14ac:dyDescent="0.25">
      <c r="BE1998" t="s">
        <v>4854</v>
      </c>
      <c r="BG1998" t="s">
        <v>3846</v>
      </c>
    </row>
    <row r="1999" spans="57:59" x14ac:dyDescent="0.25">
      <c r="BE1999" t="s">
        <v>4855</v>
      </c>
      <c r="BG1999" t="s">
        <v>3848</v>
      </c>
    </row>
    <row r="2000" spans="57:59" x14ac:dyDescent="0.25">
      <c r="BE2000" t="s">
        <v>4856</v>
      </c>
      <c r="BG2000" t="s">
        <v>3850</v>
      </c>
    </row>
    <row r="2001" spans="57:59" x14ac:dyDescent="0.25">
      <c r="BE2001" t="s">
        <v>4857</v>
      </c>
      <c r="BG2001" t="s">
        <v>3852</v>
      </c>
    </row>
    <row r="2002" spans="57:59" x14ac:dyDescent="0.25">
      <c r="BE2002" t="s">
        <v>4858</v>
      </c>
      <c r="BG2002" t="s">
        <v>3854</v>
      </c>
    </row>
    <row r="2003" spans="57:59" x14ac:dyDescent="0.25">
      <c r="BE2003" t="s">
        <v>4859</v>
      </c>
      <c r="BG2003" t="s">
        <v>3856</v>
      </c>
    </row>
    <row r="2004" spans="57:59" x14ac:dyDescent="0.25">
      <c r="BE2004" t="s">
        <v>4860</v>
      </c>
      <c r="BG2004" t="s">
        <v>3858</v>
      </c>
    </row>
    <row r="2005" spans="57:59" x14ac:dyDescent="0.25">
      <c r="BE2005" t="s">
        <v>4861</v>
      </c>
      <c r="BG2005" t="s">
        <v>3860</v>
      </c>
    </row>
    <row r="2006" spans="57:59" x14ac:dyDescent="0.25">
      <c r="BE2006" t="s">
        <v>4862</v>
      </c>
      <c r="BG2006" t="s">
        <v>3862</v>
      </c>
    </row>
    <row r="2007" spans="57:59" x14ac:dyDescent="0.25">
      <c r="BE2007" t="s">
        <v>4863</v>
      </c>
      <c r="BG2007" t="s">
        <v>3864</v>
      </c>
    </row>
    <row r="2008" spans="57:59" x14ac:dyDescent="0.25">
      <c r="BE2008" t="s">
        <v>4864</v>
      </c>
      <c r="BG2008" t="s">
        <v>3866</v>
      </c>
    </row>
    <row r="2009" spans="57:59" x14ac:dyDescent="0.25">
      <c r="BE2009" t="s">
        <v>4865</v>
      </c>
      <c r="BG2009" t="s">
        <v>3868</v>
      </c>
    </row>
    <row r="2010" spans="57:59" x14ac:dyDescent="0.25">
      <c r="BE2010" t="s">
        <v>4866</v>
      </c>
      <c r="BG2010" t="s">
        <v>3870</v>
      </c>
    </row>
    <row r="2011" spans="57:59" x14ac:dyDescent="0.25">
      <c r="BE2011" t="s">
        <v>4867</v>
      </c>
      <c r="BG2011" t="s">
        <v>3872</v>
      </c>
    </row>
    <row r="2012" spans="57:59" x14ac:dyDescent="0.25">
      <c r="BE2012" t="s">
        <v>4868</v>
      </c>
      <c r="BG2012" t="s">
        <v>3874</v>
      </c>
    </row>
    <row r="2013" spans="57:59" x14ac:dyDescent="0.25">
      <c r="BE2013" t="s">
        <v>4869</v>
      </c>
      <c r="BG2013" t="s">
        <v>3876</v>
      </c>
    </row>
    <row r="2014" spans="57:59" x14ac:dyDescent="0.25">
      <c r="BE2014" t="s">
        <v>4870</v>
      </c>
      <c r="BG2014" t="s">
        <v>3878</v>
      </c>
    </row>
    <row r="2015" spans="57:59" x14ac:dyDescent="0.25">
      <c r="BE2015" t="s">
        <v>4871</v>
      </c>
      <c r="BG2015" t="s">
        <v>3880</v>
      </c>
    </row>
    <row r="2016" spans="57:59" x14ac:dyDescent="0.25">
      <c r="BE2016" t="s">
        <v>4872</v>
      </c>
      <c r="BG2016" t="s">
        <v>3882</v>
      </c>
    </row>
    <row r="2017" spans="57:59" x14ac:dyDescent="0.25">
      <c r="BE2017" t="s">
        <v>4873</v>
      </c>
      <c r="BG2017" t="s">
        <v>3884</v>
      </c>
    </row>
    <row r="2018" spans="57:59" x14ac:dyDescent="0.25">
      <c r="BE2018" t="s">
        <v>4874</v>
      </c>
      <c r="BG2018" t="s">
        <v>3886</v>
      </c>
    </row>
    <row r="2019" spans="57:59" x14ac:dyDescent="0.25">
      <c r="BE2019" t="s">
        <v>4875</v>
      </c>
      <c r="BG2019" t="s">
        <v>3888</v>
      </c>
    </row>
    <row r="2020" spans="57:59" x14ac:dyDescent="0.25">
      <c r="BE2020" t="s">
        <v>4876</v>
      </c>
      <c r="BG2020" t="s">
        <v>3890</v>
      </c>
    </row>
    <row r="2021" spans="57:59" x14ac:dyDescent="0.25">
      <c r="BE2021" t="s">
        <v>4877</v>
      </c>
      <c r="BG2021" t="s">
        <v>3892</v>
      </c>
    </row>
    <row r="2022" spans="57:59" x14ac:dyDescent="0.25">
      <c r="BE2022" t="s">
        <v>4878</v>
      </c>
      <c r="BG2022" t="s">
        <v>3894</v>
      </c>
    </row>
    <row r="2023" spans="57:59" x14ac:dyDescent="0.25">
      <c r="BE2023" t="s">
        <v>4879</v>
      </c>
      <c r="BG2023" t="s">
        <v>3896</v>
      </c>
    </row>
    <row r="2024" spans="57:59" x14ac:dyDescent="0.25">
      <c r="BE2024" t="s">
        <v>4880</v>
      </c>
      <c r="BG2024" t="s">
        <v>3898</v>
      </c>
    </row>
    <row r="2025" spans="57:59" x14ac:dyDescent="0.25">
      <c r="BE2025" t="s">
        <v>4881</v>
      </c>
      <c r="BG2025" t="s">
        <v>3900</v>
      </c>
    </row>
    <row r="2026" spans="57:59" x14ac:dyDescent="0.25">
      <c r="BE2026" t="s">
        <v>4882</v>
      </c>
      <c r="BG2026" t="s">
        <v>3902</v>
      </c>
    </row>
    <row r="2027" spans="57:59" x14ac:dyDescent="0.25">
      <c r="BE2027" t="s">
        <v>4883</v>
      </c>
      <c r="BG2027" t="s">
        <v>3904</v>
      </c>
    </row>
    <row r="2028" spans="57:59" x14ac:dyDescent="0.25">
      <c r="BE2028" t="s">
        <v>4884</v>
      </c>
      <c r="BG2028" t="s">
        <v>3906</v>
      </c>
    </row>
    <row r="2029" spans="57:59" x14ac:dyDescent="0.25">
      <c r="BE2029" t="s">
        <v>4885</v>
      </c>
      <c r="BG2029" t="s">
        <v>3908</v>
      </c>
    </row>
    <row r="2030" spans="57:59" x14ac:dyDescent="0.25">
      <c r="BE2030" t="s">
        <v>4886</v>
      </c>
      <c r="BG2030" t="s">
        <v>3910</v>
      </c>
    </row>
    <row r="2031" spans="57:59" x14ac:dyDescent="0.25">
      <c r="BE2031" t="s">
        <v>4887</v>
      </c>
      <c r="BG2031" t="s">
        <v>3912</v>
      </c>
    </row>
    <row r="2032" spans="57:59" x14ac:dyDescent="0.25">
      <c r="BE2032" t="s">
        <v>4888</v>
      </c>
      <c r="BG2032" t="s">
        <v>3914</v>
      </c>
    </row>
    <row r="2033" spans="57:59" x14ac:dyDescent="0.25">
      <c r="BE2033" t="s">
        <v>4889</v>
      </c>
      <c r="BG2033" t="s">
        <v>3916</v>
      </c>
    </row>
    <row r="2034" spans="57:59" x14ac:dyDescent="0.25">
      <c r="BE2034" t="s">
        <v>4890</v>
      </c>
      <c r="BG2034" t="s">
        <v>3918</v>
      </c>
    </row>
    <row r="2035" spans="57:59" x14ac:dyDescent="0.25">
      <c r="BE2035" t="s">
        <v>4891</v>
      </c>
      <c r="BG2035" t="s">
        <v>3920</v>
      </c>
    </row>
    <row r="2036" spans="57:59" x14ac:dyDescent="0.25">
      <c r="BE2036" t="s">
        <v>4892</v>
      </c>
      <c r="BG2036" t="s">
        <v>3922</v>
      </c>
    </row>
    <row r="2037" spans="57:59" x14ac:dyDescent="0.25">
      <c r="BE2037" t="s">
        <v>4893</v>
      </c>
      <c r="BG2037" t="s">
        <v>3924</v>
      </c>
    </row>
    <row r="2038" spans="57:59" x14ac:dyDescent="0.25">
      <c r="BE2038" t="s">
        <v>4894</v>
      </c>
      <c r="BG2038" t="s">
        <v>3926</v>
      </c>
    </row>
    <row r="2039" spans="57:59" x14ac:dyDescent="0.25">
      <c r="BE2039" t="s">
        <v>4895</v>
      </c>
      <c r="BG2039" t="s">
        <v>3928</v>
      </c>
    </row>
    <row r="2040" spans="57:59" x14ac:dyDescent="0.25">
      <c r="BE2040" t="s">
        <v>4896</v>
      </c>
      <c r="BG2040" t="s">
        <v>3930</v>
      </c>
    </row>
    <row r="2041" spans="57:59" x14ac:dyDescent="0.25">
      <c r="BE2041" t="s">
        <v>4897</v>
      </c>
      <c r="BG2041" t="s">
        <v>3932</v>
      </c>
    </row>
    <row r="2042" spans="57:59" x14ac:dyDescent="0.25">
      <c r="BE2042" t="s">
        <v>4898</v>
      </c>
      <c r="BG2042" t="s">
        <v>3934</v>
      </c>
    </row>
    <row r="2043" spans="57:59" x14ac:dyDescent="0.25">
      <c r="BE2043" t="s">
        <v>4899</v>
      </c>
      <c r="BG2043" t="s">
        <v>3936</v>
      </c>
    </row>
    <row r="2044" spans="57:59" x14ac:dyDescent="0.25">
      <c r="BE2044" t="s">
        <v>4900</v>
      </c>
      <c r="BG2044" t="s">
        <v>3938</v>
      </c>
    </row>
    <row r="2045" spans="57:59" x14ac:dyDescent="0.25">
      <c r="BE2045" t="s">
        <v>4901</v>
      </c>
      <c r="BG2045" t="s">
        <v>3940</v>
      </c>
    </row>
    <row r="2046" spans="57:59" x14ac:dyDescent="0.25">
      <c r="BE2046" t="s">
        <v>4902</v>
      </c>
      <c r="BG2046" t="s">
        <v>3942</v>
      </c>
    </row>
    <row r="2047" spans="57:59" x14ac:dyDescent="0.25">
      <c r="BE2047" t="s">
        <v>4903</v>
      </c>
      <c r="BG2047" t="s">
        <v>3944</v>
      </c>
    </row>
    <row r="2048" spans="57:59" x14ac:dyDescent="0.25">
      <c r="BE2048" t="s">
        <v>4904</v>
      </c>
      <c r="BG2048" t="s">
        <v>3946</v>
      </c>
    </row>
    <row r="2049" spans="57:59" x14ac:dyDescent="0.25">
      <c r="BE2049" t="s">
        <v>4905</v>
      </c>
      <c r="BG2049" t="s">
        <v>3948</v>
      </c>
    </row>
    <row r="2050" spans="57:59" x14ac:dyDescent="0.25">
      <c r="BE2050" t="s">
        <v>4906</v>
      </c>
      <c r="BG2050" t="s">
        <v>3950</v>
      </c>
    </row>
    <row r="2051" spans="57:59" x14ac:dyDescent="0.25">
      <c r="BE2051" t="s">
        <v>4907</v>
      </c>
      <c r="BG2051" t="s">
        <v>3952</v>
      </c>
    </row>
    <row r="2052" spans="57:59" x14ac:dyDescent="0.25">
      <c r="BE2052" t="s">
        <v>4908</v>
      </c>
      <c r="BG2052" t="s">
        <v>3954</v>
      </c>
    </row>
    <row r="2053" spans="57:59" x14ac:dyDescent="0.25">
      <c r="BE2053" t="s">
        <v>4909</v>
      </c>
      <c r="BG2053" t="s">
        <v>3956</v>
      </c>
    </row>
    <row r="2054" spans="57:59" x14ac:dyDescent="0.25">
      <c r="BE2054" t="s">
        <v>4910</v>
      </c>
      <c r="BG2054" t="s">
        <v>3958</v>
      </c>
    </row>
    <row r="2055" spans="57:59" x14ac:dyDescent="0.25">
      <c r="BE2055" t="s">
        <v>4911</v>
      </c>
      <c r="BG2055" t="s">
        <v>3960</v>
      </c>
    </row>
    <row r="2056" spans="57:59" x14ac:dyDescent="0.25">
      <c r="BE2056" t="s">
        <v>4912</v>
      </c>
      <c r="BG2056" t="s">
        <v>3962</v>
      </c>
    </row>
    <row r="2057" spans="57:59" x14ac:dyDescent="0.25">
      <c r="BE2057" t="s">
        <v>4913</v>
      </c>
      <c r="BG2057" t="s">
        <v>3964</v>
      </c>
    </row>
    <row r="2058" spans="57:59" x14ac:dyDescent="0.25">
      <c r="BE2058" t="s">
        <v>4914</v>
      </c>
      <c r="BG2058" t="s">
        <v>3966</v>
      </c>
    </row>
    <row r="2059" spans="57:59" x14ac:dyDescent="0.25">
      <c r="BE2059" t="s">
        <v>4915</v>
      </c>
      <c r="BG2059" t="s">
        <v>3968</v>
      </c>
    </row>
    <row r="2060" spans="57:59" x14ac:dyDescent="0.25">
      <c r="BE2060" t="s">
        <v>4916</v>
      </c>
      <c r="BG2060" t="s">
        <v>3970</v>
      </c>
    </row>
    <row r="2061" spans="57:59" x14ac:dyDescent="0.25">
      <c r="BE2061" t="s">
        <v>4917</v>
      </c>
      <c r="BG2061" t="s">
        <v>3972</v>
      </c>
    </row>
    <row r="2062" spans="57:59" x14ac:dyDescent="0.25">
      <c r="BE2062" t="s">
        <v>4918</v>
      </c>
      <c r="BG2062" t="s">
        <v>3974</v>
      </c>
    </row>
    <row r="2063" spans="57:59" x14ac:dyDescent="0.25">
      <c r="BE2063" t="s">
        <v>4919</v>
      </c>
      <c r="BG2063" t="s">
        <v>3976</v>
      </c>
    </row>
    <row r="2064" spans="57:59" x14ac:dyDescent="0.25">
      <c r="BE2064" t="s">
        <v>4920</v>
      </c>
      <c r="BG2064" t="s">
        <v>3978</v>
      </c>
    </row>
    <row r="2065" spans="57:59" x14ac:dyDescent="0.25">
      <c r="BE2065" t="s">
        <v>4921</v>
      </c>
      <c r="BG2065" t="s">
        <v>3980</v>
      </c>
    </row>
    <row r="2066" spans="57:59" x14ac:dyDescent="0.25">
      <c r="BE2066" t="s">
        <v>4922</v>
      </c>
      <c r="BG2066" t="s">
        <v>3982</v>
      </c>
    </row>
    <row r="2067" spans="57:59" x14ac:dyDescent="0.25">
      <c r="BE2067" t="s">
        <v>4923</v>
      </c>
      <c r="BG2067" t="s">
        <v>3984</v>
      </c>
    </row>
    <row r="2068" spans="57:59" x14ac:dyDescent="0.25">
      <c r="BE2068" t="s">
        <v>4924</v>
      </c>
      <c r="BG2068" t="s">
        <v>3986</v>
      </c>
    </row>
    <row r="2069" spans="57:59" x14ac:dyDescent="0.25">
      <c r="BE2069" t="s">
        <v>4925</v>
      </c>
      <c r="BG2069" t="s">
        <v>3988</v>
      </c>
    </row>
    <row r="2070" spans="57:59" x14ac:dyDescent="0.25">
      <c r="BE2070" t="s">
        <v>4926</v>
      </c>
      <c r="BG2070" t="s">
        <v>3990</v>
      </c>
    </row>
    <row r="2071" spans="57:59" x14ac:dyDescent="0.25">
      <c r="BE2071" t="s">
        <v>4927</v>
      </c>
      <c r="BG2071" t="s">
        <v>3992</v>
      </c>
    </row>
    <row r="2072" spans="57:59" x14ac:dyDescent="0.25">
      <c r="BE2072" t="s">
        <v>4928</v>
      </c>
      <c r="BG2072" t="s">
        <v>3994</v>
      </c>
    </row>
    <row r="2073" spans="57:59" x14ac:dyDescent="0.25">
      <c r="BE2073" t="s">
        <v>4929</v>
      </c>
      <c r="BG2073" t="s">
        <v>3996</v>
      </c>
    </row>
    <row r="2074" spans="57:59" x14ac:dyDescent="0.25">
      <c r="BE2074" t="s">
        <v>4930</v>
      </c>
      <c r="BG2074" t="s">
        <v>3998</v>
      </c>
    </row>
    <row r="2075" spans="57:59" x14ac:dyDescent="0.25">
      <c r="BE2075" t="s">
        <v>4931</v>
      </c>
      <c r="BG2075" t="s">
        <v>4000</v>
      </c>
    </row>
    <row r="2076" spans="57:59" x14ac:dyDescent="0.25">
      <c r="BE2076" t="s">
        <v>4932</v>
      </c>
      <c r="BG2076" t="s">
        <v>4002</v>
      </c>
    </row>
    <row r="2077" spans="57:59" x14ac:dyDescent="0.25">
      <c r="BE2077" t="s">
        <v>4933</v>
      </c>
      <c r="BG2077" t="s">
        <v>4004</v>
      </c>
    </row>
    <row r="2078" spans="57:59" x14ac:dyDescent="0.25">
      <c r="BE2078" t="s">
        <v>4934</v>
      </c>
      <c r="BG2078" t="s">
        <v>4006</v>
      </c>
    </row>
    <row r="2079" spans="57:59" x14ac:dyDescent="0.25">
      <c r="BE2079" t="s">
        <v>4935</v>
      </c>
      <c r="BG2079" t="s">
        <v>4008</v>
      </c>
    </row>
    <row r="2080" spans="57:59" x14ac:dyDescent="0.25">
      <c r="BE2080" t="s">
        <v>4936</v>
      </c>
      <c r="BG2080" t="s">
        <v>4010</v>
      </c>
    </row>
    <row r="2081" spans="57:59" x14ac:dyDescent="0.25">
      <c r="BE2081" t="s">
        <v>4937</v>
      </c>
      <c r="BG2081" t="s">
        <v>4012</v>
      </c>
    </row>
    <row r="2082" spans="57:59" x14ac:dyDescent="0.25">
      <c r="BE2082" t="s">
        <v>4938</v>
      </c>
      <c r="BG2082" t="s">
        <v>4014</v>
      </c>
    </row>
    <row r="2083" spans="57:59" x14ac:dyDescent="0.25">
      <c r="BE2083" t="s">
        <v>4939</v>
      </c>
      <c r="BG2083" t="s">
        <v>4016</v>
      </c>
    </row>
    <row r="2084" spans="57:59" x14ac:dyDescent="0.25">
      <c r="BE2084" t="s">
        <v>4940</v>
      </c>
      <c r="BG2084" t="s">
        <v>4018</v>
      </c>
    </row>
    <row r="2085" spans="57:59" x14ac:dyDescent="0.25">
      <c r="BE2085" t="s">
        <v>4941</v>
      </c>
      <c r="BG2085" t="s">
        <v>4020</v>
      </c>
    </row>
    <row r="2086" spans="57:59" x14ac:dyDescent="0.25">
      <c r="BE2086" t="s">
        <v>4942</v>
      </c>
      <c r="BG2086" t="s">
        <v>4022</v>
      </c>
    </row>
    <row r="2087" spans="57:59" x14ac:dyDescent="0.25">
      <c r="BE2087" t="s">
        <v>4943</v>
      </c>
      <c r="BG2087" t="s">
        <v>4024</v>
      </c>
    </row>
    <row r="2088" spans="57:59" x14ac:dyDescent="0.25">
      <c r="BE2088" t="s">
        <v>4944</v>
      </c>
      <c r="BG2088" t="s">
        <v>4026</v>
      </c>
    </row>
    <row r="2089" spans="57:59" x14ac:dyDescent="0.25">
      <c r="BE2089" t="s">
        <v>4945</v>
      </c>
      <c r="BG2089" t="s">
        <v>4028</v>
      </c>
    </row>
    <row r="2090" spans="57:59" x14ac:dyDescent="0.25">
      <c r="BE2090" t="s">
        <v>4946</v>
      </c>
      <c r="BG2090" t="s">
        <v>4030</v>
      </c>
    </row>
    <row r="2091" spans="57:59" x14ac:dyDescent="0.25">
      <c r="BE2091" t="s">
        <v>4947</v>
      </c>
      <c r="BG2091" t="s">
        <v>4032</v>
      </c>
    </row>
    <row r="2092" spans="57:59" x14ac:dyDescent="0.25">
      <c r="BE2092" t="s">
        <v>4948</v>
      </c>
      <c r="BG2092" t="s">
        <v>4034</v>
      </c>
    </row>
    <row r="2093" spans="57:59" x14ac:dyDescent="0.25">
      <c r="BE2093" t="s">
        <v>4949</v>
      </c>
      <c r="BG2093" t="s">
        <v>4036</v>
      </c>
    </row>
    <row r="2094" spans="57:59" x14ac:dyDescent="0.25">
      <c r="BE2094" t="s">
        <v>4950</v>
      </c>
      <c r="BG2094" t="s">
        <v>4038</v>
      </c>
    </row>
    <row r="2095" spans="57:59" x14ac:dyDescent="0.25">
      <c r="BE2095" t="s">
        <v>4951</v>
      </c>
      <c r="BG2095" t="s">
        <v>4040</v>
      </c>
    </row>
    <row r="2096" spans="57:59" x14ac:dyDescent="0.25">
      <c r="BE2096" t="s">
        <v>4952</v>
      </c>
      <c r="BG2096" t="s">
        <v>4042</v>
      </c>
    </row>
    <row r="2097" spans="57:59" x14ac:dyDescent="0.25">
      <c r="BE2097" t="s">
        <v>4953</v>
      </c>
      <c r="BG2097" t="s">
        <v>4044</v>
      </c>
    </row>
    <row r="2098" spans="57:59" x14ac:dyDescent="0.25">
      <c r="BE2098" t="s">
        <v>4954</v>
      </c>
      <c r="BG2098" t="s">
        <v>4046</v>
      </c>
    </row>
    <row r="2099" spans="57:59" x14ac:dyDescent="0.25">
      <c r="BE2099" t="s">
        <v>4955</v>
      </c>
      <c r="BG2099" t="s">
        <v>4048</v>
      </c>
    </row>
    <row r="2100" spans="57:59" x14ac:dyDescent="0.25">
      <c r="BE2100" t="s">
        <v>4956</v>
      </c>
      <c r="BG2100" t="s">
        <v>4050</v>
      </c>
    </row>
    <row r="2101" spans="57:59" x14ac:dyDescent="0.25">
      <c r="BE2101" t="s">
        <v>4957</v>
      </c>
      <c r="BG2101" t="s">
        <v>4052</v>
      </c>
    </row>
    <row r="2102" spans="57:59" x14ac:dyDescent="0.25">
      <c r="BE2102" t="s">
        <v>4958</v>
      </c>
      <c r="BG2102" t="s">
        <v>4054</v>
      </c>
    </row>
    <row r="2103" spans="57:59" x14ac:dyDescent="0.25">
      <c r="BE2103" t="s">
        <v>4959</v>
      </c>
      <c r="BG2103" t="s">
        <v>4056</v>
      </c>
    </row>
    <row r="2104" spans="57:59" x14ac:dyDescent="0.25">
      <c r="BE2104" t="s">
        <v>4960</v>
      </c>
      <c r="BG2104" t="s">
        <v>4058</v>
      </c>
    </row>
    <row r="2105" spans="57:59" x14ac:dyDescent="0.25">
      <c r="BE2105" t="s">
        <v>4961</v>
      </c>
      <c r="BG2105" t="s">
        <v>4060</v>
      </c>
    </row>
    <row r="2106" spans="57:59" x14ac:dyDescent="0.25">
      <c r="BE2106" t="s">
        <v>4962</v>
      </c>
      <c r="BG2106" t="s">
        <v>4062</v>
      </c>
    </row>
    <row r="2107" spans="57:59" x14ac:dyDescent="0.25">
      <c r="BE2107" t="s">
        <v>4963</v>
      </c>
      <c r="BG2107" t="s">
        <v>4064</v>
      </c>
    </row>
    <row r="2108" spans="57:59" x14ac:dyDescent="0.25">
      <c r="BE2108" t="s">
        <v>4964</v>
      </c>
      <c r="BG2108" t="s">
        <v>4066</v>
      </c>
    </row>
    <row r="2109" spans="57:59" x14ac:dyDescent="0.25">
      <c r="BE2109" t="s">
        <v>4965</v>
      </c>
      <c r="BG2109" t="s">
        <v>4068</v>
      </c>
    </row>
    <row r="2110" spans="57:59" x14ac:dyDescent="0.25">
      <c r="BE2110" t="s">
        <v>4966</v>
      </c>
      <c r="BG2110" t="s">
        <v>4070</v>
      </c>
    </row>
    <row r="2111" spans="57:59" x14ac:dyDescent="0.25">
      <c r="BE2111" t="s">
        <v>4967</v>
      </c>
      <c r="BG2111" t="s">
        <v>4072</v>
      </c>
    </row>
    <row r="2112" spans="57:59" x14ac:dyDescent="0.25">
      <c r="BE2112" t="s">
        <v>4968</v>
      </c>
      <c r="BG2112" t="s">
        <v>4074</v>
      </c>
    </row>
    <row r="2113" spans="57:59" x14ac:dyDescent="0.25">
      <c r="BE2113" t="s">
        <v>4969</v>
      </c>
      <c r="BG2113" t="s">
        <v>4076</v>
      </c>
    </row>
    <row r="2114" spans="57:59" x14ac:dyDescent="0.25">
      <c r="BE2114" t="s">
        <v>4970</v>
      </c>
      <c r="BG2114" t="s">
        <v>4078</v>
      </c>
    </row>
    <row r="2115" spans="57:59" x14ac:dyDescent="0.25">
      <c r="BE2115" t="s">
        <v>4971</v>
      </c>
      <c r="BG2115" t="s">
        <v>4080</v>
      </c>
    </row>
    <row r="2116" spans="57:59" x14ac:dyDescent="0.25">
      <c r="BE2116" t="s">
        <v>4972</v>
      </c>
      <c r="BG2116" t="s">
        <v>4082</v>
      </c>
    </row>
    <row r="2117" spans="57:59" x14ac:dyDescent="0.25">
      <c r="BE2117" t="s">
        <v>4973</v>
      </c>
      <c r="BG2117" t="s">
        <v>4084</v>
      </c>
    </row>
    <row r="2118" spans="57:59" x14ac:dyDescent="0.25">
      <c r="BE2118" t="s">
        <v>4974</v>
      </c>
      <c r="BG2118" t="s">
        <v>4086</v>
      </c>
    </row>
    <row r="2119" spans="57:59" x14ac:dyDescent="0.25">
      <c r="BE2119" t="s">
        <v>4975</v>
      </c>
      <c r="BG2119" t="s">
        <v>4088</v>
      </c>
    </row>
    <row r="2120" spans="57:59" x14ac:dyDescent="0.25">
      <c r="BE2120" t="s">
        <v>4976</v>
      </c>
      <c r="BG2120" t="s">
        <v>4090</v>
      </c>
    </row>
    <row r="2121" spans="57:59" x14ac:dyDescent="0.25">
      <c r="BE2121" t="s">
        <v>4977</v>
      </c>
      <c r="BG2121" t="s">
        <v>4092</v>
      </c>
    </row>
    <row r="2122" spans="57:59" x14ac:dyDescent="0.25">
      <c r="BE2122" t="s">
        <v>4978</v>
      </c>
      <c r="BG2122" t="s">
        <v>4094</v>
      </c>
    </row>
    <row r="2123" spans="57:59" x14ac:dyDescent="0.25">
      <c r="BE2123" t="s">
        <v>4979</v>
      </c>
      <c r="BG2123" t="s">
        <v>4096</v>
      </c>
    </row>
    <row r="2124" spans="57:59" x14ac:dyDescent="0.25">
      <c r="BE2124" t="s">
        <v>4980</v>
      </c>
      <c r="BG2124" t="s">
        <v>4098</v>
      </c>
    </row>
    <row r="2125" spans="57:59" x14ac:dyDescent="0.25">
      <c r="BE2125" t="s">
        <v>4981</v>
      </c>
      <c r="BG2125" t="s">
        <v>4100</v>
      </c>
    </row>
    <row r="2126" spans="57:59" x14ac:dyDescent="0.25">
      <c r="BE2126" t="s">
        <v>4982</v>
      </c>
      <c r="BG2126" t="s">
        <v>4102</v>
      </c>
    </row>
    <row r="2127" spans="57:59" x14ac:dyDescent="0.25">
      <c r="BE2127" t="s">
        <v>4983</v>
      </c>
      <c r="BG2127" t="s">
        <v>4104</v>
      </c>
    </row>
    <row r="2128" spans="57:59" x14ac:dyDescent="0.25">
      <c r="BE2128" t="s">
        <v>4984</v>
      </c>
      <c r="BG2128" t="s">
        <v>4106</v>
      </c>
    </row>
    <row r="2129" spans="57:59" x14ac:dyDescent="0.25">
      <c r="BE2129" t="s">
        <v>4985</v>
      </c>
      <c r="BG2129" t="s">
        <v>4108</v>
      </c>
    </row>
    <row r="2130" spans="57:59" x14ac:dyDescent="0.25">
      <c r="BE2130" t="s">
        <v>4986</v>
      </c>
      <c r="BG2130" t="s">
        <v>4110</v>
      </c>
    </row>
    <row r="2131" spans="57:59" x14ac:dyDescent="0.25">
      <c r="BE2131" t="s">
        <v>4987</v>
      </c>
      <c r="BG2131" t="s">
        <v>4112</v>
      </c>
    </row>
    <row r="2132" spans="57:59" x14ac:dyDescent="0.25">
      <c r="BE2132" t="s">
        <v>4988</v>
      </c>
      <c r="BG2132" t="s">
        <v>4114</v>
      </c>
    </row>
    <row r="2133" spans="57:59" x14ac:dyDescent="0.25">
      <c r="BE2133" t="s">
        <v>4989</v>
      </c>
      <c r="BG2133" t="s">
        <v>4116</v>
      </c>
    </row>
    <row r="2134" spans="57:59" x14ac:dyDescent="0.25">
      <c r="BE2134" t="s">
        <v>4990</v>
      </c>
      <c r="BG2134" t="s">
        <v>4118</v>
      </c>
    </row>
    <row r="2135" spans="57:59" x14ac:dyDescent="0.25">
      <c r="BE2135" t="s">
        <v>4991</v>
      </c>
      <c r="BG2135" t="s">
        <v>4120</v>
      </c>
    </row>
    <row r="2136" spans="57:59" x14ac:dyDescent="0.25">
      <c r="BE2136" t="s">
        <v>4992</v>
      </c>
      <c r="BG2136" t="s">
        <v>4122</v>
      </c>
    </row>
    <row r="2137" spans="57:59" x14ac:dyDescent="0.25">
      <c r="BE2137" t="s">
        <v>4993</v>
      </c>
      <c r="BG2137" t="s">
        <v>4124</v>
      </c>
    </row>
    <row r="2138" spans="57:59" x14ac:dyDescent="0.25">
      <c r="BE2138" t="s">
        <v>4994</v>
      </c>
      <c r="BG2138" t="s">
        <v>4126</v>
      </c>
    </row>
    <row r="2139" spans="57:59" x14ac:dyDescent="0.25">
      <c r="BE2139" t="s">
        <v>4995</v>
      </c>
      <c r="BG2139" t="s">
        <v>4128</v>
      </c>
    </row>
    <row r="2140" spans="57:59" x14ac:dyDescent="0.25">
      <c r="BE2140" t="s">
        <v>4996</v>
      </c>
      <c r="BG2140" t="s">
        <v>4130</v>
      </c>
    </row>
    <row r="2141" spans="57:59" x14ac:dyDescent="0.25">
      <c r="BE2141" t="s">
        <v>4997</v>
      </c>
      <c r="BG2141" t="s">
        <v>4132</v>
      </c>
    </row>
    <row r="2142" spans="57:59" x14ac:dyDescent="0.25">
      <c r="BE2142" t="s">
        <v>4998</v>
      </c>
      <c r="BG2142" t="s">
        <v>4134</v>
      </c>
    </row>
    <row r="2143" spans="57:59" x14ac:dyDescent="0.25">
      <c r="BE2143" t="s">
        <v>4999</v>
      </c>
      <c r="BG2143" t="s">
        <v>4136</v>
      </c>
    </row>
    <row r="2144" spans="57:59" x14ac:dyDescent="0.25">
      <c r="BE2144" t="s">
        <v>5000</v>
      </c>
      <c r="BG2144" t="s">
        <v>4138</v>
      </c>
    </row>
    <row r="2145" spans="57:59" x14ac:dyDescent="0.25">
      <c r="BE2145" t="s">
        <v>5001</v>
      </c>
      <c r="BG2145" t="s">
        <v>4140</v>
      </c>
    </row>
    <row r="2146" spans="57:59" x14ac:dyDescent="0.25">
      <c r="BE2146" t="s">
        <v>5002</v>
      </c>
      <c r="BG2146" t="s">
        <v>4142</v>
      </c>
    </row>
    <row r="2147" spans="57:59" x14ac:dyDescent="0.25">
      <c r="BE2147" t="s">
        <v>5003</v>
      </c>
      <c r="BG2147" t="s">
        <v>4144</v>
      </c>
    </row>
    <row r="2148" spans="57:59" x14ac:dyDescent="0.25">
      <c r="BE2148" t="s">
        <v>5004</v>
      </c>
      <c r="BG2148" t="s">
        <v>4146</v>
      </c>
    </row>
    <row r="2149" spans="57:59" x14ac:dyDescent="0.25">
      <c r="BE2149" t="s">
        <v>5005</v>
      </c>
      <c r="BG2149" t="s">
        <v>4148</v>
      </c>
    </row>
    <row r="2150" spans="57:59" x14ac:dyDescent="0.25">
      <c r="BE2150" t="s">
        <v>5006</v>
      </c>
      <c r="BG2150" t="s">
        <v>4150</v>
      </c>
    </row>
    <row r="2151" spans="57:59" x14ac:dyDescent="0.25">
      <c r="BE2151" t="s">
        <v>5007</v>
      </c>
      <c r="BG2151" t="s">
        <v>4152</v>
      </c>
    </row>
    <row r="2152" spans="57:59" x14ac:dyDescent="0.25">
      <c r="BE2152" t="s">
        <v>5008</v>
      </c>
      <c r="BG2152" t="s">
        <v>4154</v>
      </c>
    </row>
    <row r="2153" spans="57:59" x14ac:dyDescent="0.25">
      <c r="BE2153" t="s">
        <v>5009</v>
      </c>
      <c r="BG2153" t="s">
        <v>4156</v>
      </c>
    </row>
    <row r="2154" spans="57:59" x14ac:dyDescent="0.25">
      <c r="BE2154" t="s">
        <v>5010</v>
      </c>
      <c r="BG2154" t="s">
        <v>4158</v>
      </c>
    </row>
    <row r="2155" spans="57:59" x14ac:dyDescent="0.25">
      <c r="BE2155" t="s">
        <v>5011</v>
      </c>
      <c r="BG2155" t="s">
        <v>4160</v>
      </c>
    </row>
    <row r="2156" spans="57:59" x14ac:dyDescent="0.25">
      <c r="BE2156" t="s">
        <v>5012</v>
      </c>
      <c r="BG2156" t="s">
        <v>4162</v>
      </c>
    </row>
    <row r="2157" spans="57:59" x14ac:dyDescent="0.25">
      <c r="BE2157" t="s">
        <v>5013</v>
      </c>
      <c r="BG2157" t="s">
        <v>4164</v>
      </c>
    </row>
    <row r="2158" spans="57:59" x14ac:dyDescent="0.25">
      <c r="BE2158" t="s">
        <v>5014</v>
      </c>
      <c r="BG2158" t="s">
        <v>4166</v>
      </c>
    </row>
    <row r="2159" spans="57:59" x14ac:dyDescent="0.25">
      <c r="BE2159" t="s">
        <v>5015</v>
      </c>
      <c r="BG2159" t="s">
        <v>4168</v>
      </c>
    </row>
    <row r="2160" spans="57:59" x14ac:dyDescent="0.25">
      <c r="BE2160" t="s">
        <v>5016</v>
      </c>
      <c r="BG2160" t="s">
        <v>4170</v>
      </c>
    </row>
    <row r="2161" spans="57:59" x14ac:dyDescent="0.25">
      <c r="BE2161" t="s">
        <v>5017</v>
      </c>
      <c r="BG2161" t="s">
        <v>4172</v>
      </c>
    </row>
    <row r="2162" spans="57:59" x14ac:dyDescent="0.25">
      <c r="BE2162" t="s">
        <v>5018</v>
      </c>
      <c r="BG2162" t="s">
        <v>4174</v>
      </c>
    </row>
    <row r="2163" spans="57:59" x14ac:dyDescent="0.25">
      <c r="BE2163" t="s">
        <v>5019</v>
      </c>
      <c r="BG2163" t="s">
        <v>4176</v>
      </c>
    </row>
    <row r="2164" spans="57:59" x14ac:dyDescent="0.25">
      <c r="BE2164" t="s">
        <v>5020</v>
      </c>
      <c r="BG2164" t="s">
        <v>4178</v>
      </c>
    </row>
    <row r="2165" spans="57:59" x14ac:dyDescent="0.25">
      <c r="BE2165" t="s">
        <v>5021</v>
      </c>
      <c r="BG2165" t="s">
        <v>4180</v>
      </c>
    </row>
    <row r="2166" spans="57:59" x14ac:dyDescent="0.25">
      <c r="BE2166" t="s">
        <v>5022</v>
      </c>
      <c r="BG2166" t="s">
        <v>4182</v>
      </c>
    </row>
    <row r="2167" spans="57:59" x14ac:dyDescent="0.25">
      <c r="BE2167" t="s">
        <v>5023</v>
      </c>
      <c r="BG2167" t="s">
        <v>4184</v>
      </c>
    </row>
    <row r="2168" spans="57:59" x14ac:dyDescent="0.25">
      <c r="BE2168" t="s">
        <v>5024</v>
      </c>
      <c r="BG2168" t="s">
        <v>4186</v>
      </c>
    </row>
    <row r="2169" spans="57:59" x14ac:dyDescent="0.25">
      <c r="BE2169" t="s">
        <v>5025</v>
      </c>
      <c r="BG2169" t="s">
        <v>4188</v>
      </c>
    </row>
    <row r="2170" spans="57:59" x14ac:dyDescent="0.25">
      <c r="BE2170" t="s">
        <v>5026</v>
      </c>
      <c r="BG2170" t="s">
        <v>4190</v>
      </c>
    </row>
    <row r="2171" spans="57:59" x14ac:dyDescent="0.25">
      <c r="BE2171" t="s">
        <v>5027</v>
      </c>
      <c r="BG2171" t="s">
        <v>4192</v>
      </c>
    </row>
    <row r="2172" spans="57:59" x14ac:dyDescent="0.25">
      <c r="BE2172" t="s">
        <v>5028</v>
      </c>
      <c r="BG2172" t="s">
        <v>4194</v>
      </c>
    </row>
    <row r="2173" spans="57:59" x14ac:dyDescent="0.25">
      <c r="BE2173" t="s">
        <v>5029</v>
      </c>
      <c r="BG2173" t="s">
        <v>4196</v>
      </c>
    </row>
    <row r="2174" spans="57:59" x14ac:dyDescent="0.25">
      <c r="BE2174" t="s">
        <v>5030</v>
      </c>
      <c r="BG2174" t="s">
        <v>4198</v>
      </c>
    </row>
    <row r="2175" spans="57:59" x14ac:dyDescent="0.25">
      <c r="BE2175" t="s">
        <v>5031</v>
      </c>
      <c r="BG2175" t="s">
        <v>4200</v>
      </c>
    </row>
    <row r="2176" spans="57:59" x14ac:dyDescent="0.25">
      <c r="BE2176" t="s">
        <v>5032</v>
      </c>
      <c r="BG2176" t="s">
        <v>4202</v>
      </c>
    </row>
    <row r="2177" spans="57:59" x14ac:dyDescent="0.25">
      <c r="BE2177" t="s">
        <v>5033</v>
      </c>
      <c r="BG2177" t="s">
        <v>4204</v>
      </c>
    </row>
    <row r="2178" spans="57:59" x14ac:dyDescent="0.25">
      <c r="BE2178" t="s">
        <v>5034</v>
      </c>
      <c r="BG2178" t="s">
        <v>4206</v>
      </c>
    </row>
    <row r="2179" spans="57:59" x14ac:dyDescent="0.25">
      <c r="BE2179" t="s">
        <v>5035</v>
      </c>
      <c r="BG2179" t="s">
        <v>4208</v>
      </c>
    </row>
    <row r="2180" spans="57:59" x14ac:dyDescent="0.25">
      <c r="BE2180" t="s">
        <v>5036</v>
      </c>
      <c r="BG2180" t="s">
        <v>4210</v>
      </c>
    </row>
    <row r="2181" spans="57:59" x14ac:dyDescent="0.25">
      <c r="BE2181" t="s">
        <v>5037</v>
      </c>
      <c r="BG2181" t="s">
        <v>4212</v>
      </c>
    </row>
    <row r="2182" spans="57:59" x14ac:dyDescent="0.25">
      <c r="BE2182" t="s">
        <v>5038</v>
      </c>
      <c r="BG2182" t="s">
        <v>4214</v>
      </c>
    </row>
    <row r="2183" spans="57:59" x14ac:dyDescent="0.25">
      <c r="BE2183" t="s">
        <v>5039</v>
      </c>
      <c r="BG2183" t="s">
        <v>4216</v>
      </c>
    </row>
    <row r="2184" spans="57:59" x14ac:dyDescent="0.25">
      <c r="BE2184" t="s">
        <v>5040</v>
      </c>
      <c r="BG2184" t="s">
        <v>4218</v>
      </c>
    </row>
    <row r="2185" spans="57:59" x14ac:dyDescent="0.25">
      <c r="BE2185" t="s">
        <v>5041</v>
      </c>
      <c r="BG2185" t="s">
        <v>4220</v>
      </c>
    </row>
    <row r="2186" spans="57:59" x14ac:dyDescent="0.25">
      <c r="BE2186" t="s">
        <v>5042</v>
      </c>
      <c r="BG2186" t="s">
        <v>4222</v>
      </c>
    </row>
    <row r="2187" spans="57:59" x14ac:dyDescent="0.25">
      <c r="BE2187" t="s">
        <v>5043</v>
      </c>
      <c r="BG2187" t="s">
        <v>4224</v>
      </c>
    </row>
    <row r="2188" spans="57:59" x14ac:dyDescent="0.25">
      <c r="BE2188" t="s">
        <v>5044</v>
      </c>
      <c r="BG2188" t="s">
        <v>4226</v>
      </c>
    </row>
    <row r="2189" spans="57:59" x14ac:dyDescent="0.25">
      <c r="BE2189" t="s">
        <v>5045</v>
      </c>
      <c r="BG2189" t="s">
        <v>4228</v>
      </c>
    </row>
    <row r="2190" spans="57:59" x14ac:dyDescent="0.25">
      <c r="BE2190" t="s">
        <v>5046</v>
      </c>
      <c r="BG2190" t="s">
        <v>4230</v>
      </c>
    </row>
    <row r="2191" spans="57:59" x14ac:dyDescent="0.25">
      <c r="BE2191" t="s">
        <v>5047</v>
      </c>
      <c r="BG2191" t="s">
        <v>4232</v>
      </c>
    </row>
    <row r="2192" spans="57:59" x14ac:dyDescent="0.25">
      <c r="BE2192" t="s">
        <v>5048</v>
      </c>
      <c r="BG2192" t="s">
        <v>4234</v>
      </c>
    </row>
    <row r="2193" spans="57:59" x14ac:dyDescent="0.25">
      <c r="BE2193" t="s">
        <v>5049</v>
      </c>
      <c r="BG2193" t="s">
        <v>4236</v>
      </c>
    </row>
    <row r="2194" spans="57:59" x14ac:dyDescent="0.25">
      <c r="BE2194" t="s">
        <v>5050</v>
      </c>
      <c r="BG2194" t="s">
        <v>4238</v>
      </c>
    </row>
    <row r="2195" spans="57:59" x14ac:dyDescent="0.25">
      <c r="BE2195" t="s">
        <v>5051</v>
      </c>
      <c r="BG2195" t="s">
        <v>4240</v>
      </c>
    </row>
    <row r="2196" spans="57:59" x14ac:dyDescent="0.25">
      <c r="BE2196" t="s">
        <v>5052</v>
      </c>
      <c r="BG2196" t="s">
        <v>4242</v>
      </c>
    </row>
    <row r="2197" spans="57:59" x14ac:dyDescent="0.25">
      <c r="BE2197" t="s">
        <v>5053</v>
      </c>
      <c r="BG2197" t="s">
        <v>4244</v>
      </c>
    </row>
    <row r="2198" spans="57:59" x14ac:dyDescent="0.25">
      <c r="BE2198" t="s">
        <v>5054</v>
      </c>
      <c r="BG2198" t="s">
        <v>4246</v>
      </c>
    </row>
    <row r="2199" spans="57:59" x14ac:dyDescent="0.25">
      <c r="BE2199" t="s">
        <v>5055</v>
      </c>
      <c r="BG2199" t="s">
        <v>4248</v>
      </c>
    </row>
    <row r="2200" spans="57:59" x14ac:dyDescent="0.25">
      <c r="BE2200" t="s">
        <v>5056</v>
      </c>
      <c r="BG2200" t="s">
        <v>4250</v>
      </c>
    </row>
    <row r="2201" spans="57:59" x14ac:dyDescent="0.25">
      <c r="BE2201" t="s">
        <v>5057</v>
      </c>
      <c r="BG2201" t="s">
        <v>4252</v>
      </c>
    </row>
    <row r="2202" spans="57:59" x14ac:dyDescent="0.25">
      <c r="BE2202" t="s">
        <v>5058</v>
      </c>
      <c r="BG2202" t="s">
        <v>4254</v>
      </c>
    </row>
    <row r="2203" spans="57:59" x14ac:dyDescent="0.25">
      <c r="BE2203" t="s">
        <v>5059</v>
      </c>
      <c r="BG2203" t="s">
        <v>4256</v>
      </c>
    </row>
    <row r="2204" spans="57:59" x14ac:dyDescent="0.25">
      <c r="BE2204" t="s">
        <v>5060</v>
      </c>
      <c r="BG2204" t="s">
        <v>4258</v>
      </c>
    </row>
    <row r="2205" spans="57:59" x14ac:dyDescent="0.25">
      <c r="BE2205" t="s">
        <v>5061</v>
      </c>
      <c r="BG2205" t="s">
        <v>4260</v>
      </c>
    </row>
    <row r="2206" spans="57:59" x14ac:dyDescent="0.25">
      <c r="BE2206" t="s">
        <v>5062</v>
      </c>
      <c r="BG2206" t="s">
        <v>4262</v>
      </c>
    </row>
    <row r="2207" spans="57:59" x14ac:dyDescent="0.25">
      <c r="BE2207" t="s">
        <v>5063</v>
      </c>
      <c r="BG2207" t="s">
        <v>4264</v>
      </c>
    </row>
    <row r="2208" spans="57:59" x14ac:dyDescent="0.25">
      <c r="BE2208" t="s">
        <v>5064</v>
      </c>
      <c r="BG2208" t="s">
        <v>4266</v>
      </c>
    </row>
    <row r="2209" spans="57:59" x14ac:dyDescent="0.25">
      <c r="BE2209" t="s">
        <v>5065</v>
      </c>
      <c r="BG2209" t="s">
        <v>4268</v>
      </c>
    </row>
    <row r="2210" spans="57:59" x14ac:dyDescent="0.25">
      <c r="BE2210" t="s">
        <v>5066</v>
      </c>
      <c r="BG2210" t="s">
        <v>4270</v>
      </c>
    </row>
    <row r="2211" spans="57:59" x14ac:dyDescent="0.25">
      <c r="BE2211" t="s">
        <v>5067</v>
      </c>
      <c r="BG2211" t="s">
        <v>4272</v>
      </c>
    </row>
    <row r="2212" spans="57:59" x14ac:dyDescent="0.25">
      <c r="BE2212" t="s">
        <v>5068</v>
      </c>
      <c r="BG2212" t="s">
        <v>4274</v>
      </c>
    </row>
    <row r="2213" spans="57:59" x14ac:dyDescent="0.25">
      <c r="BE2213" t="s">
        <v>5069</v>
      </c>
      <c r="BG2213" t="s">
        <v>4276</v>
      </c>
    </row>
    <row r="2214" spans="57:59" x14ac:dyDescent="0.25">
      <c r="BE2214" t="s">
        <v>5070</v>
      </c>
      <c r="BG2214" t="s">
        <v>4278</v>
      </c>
    </row>
    <row r="2215" spans="57:59" x14ac:dyDescent="0.25">
      <c r="BE2215" t="s">
        <v>5071</v>
      </c>
      <c r="BG2215" t="s">
        <v>4280</v>
      </c>
    </row>
    <row r="2216" spans="57:59" x14ac:dyDescent="0.25">
      <c r="BE2216" t="s">
        <v>5072</v>
      </c>
      <c r="BG2216" t="s">
        <v>4282</v>
      </c>
    </row>
    <row r="2217" spans="57:59" x14ac:dyDescent="0.25">
      <c r="BE2217" t="s">
        <v>5073</v>
      </c>
      <c r="BG2217" t="s">
        <v>4284</v>
      </c>
    </row>
    <row r="2218" spans="57:59" x14ac:dyDescent="0.25">
      <c r="BE2218" t="s">
        <v>5074</v>
      </c>
      <c r="BG2218" t="s">
        <v>4286</v>
      </c>
    </row>
    <row r="2219" spans="57:59" x14ac:dyDescent="0.25">
      <c r="BE2219" t="s">
        <v>5075</v>
      </c>
      <c r="BG2219" t="s">
        <v>4288</v>
      </c>
    </row>
    <row r="2220" spans="57:59" x14ac:dyDescent="0.25">
      <c r="BE2220" t="s">
        <v>5076</v>
      </c>
      <c r="BG2220" t="s">
        <v>4290</v>
      </c>
    </row>
    <row r="2221" spans="57:59" x14ac:dyDescent="0.25">
      <c r="BE2221" t="s">
        <v>5077</v>
      </c>
      <c r="BG2221" t="s">
        <v>4292</v>
      </c>
    </row>
    <row r="2222" spans="57:59" x14ac:dyDescent="0.25">
      <c r="BE2222" t="s">
        <v>5078</v>
      </c>
      <c r="BG2222" t="s">
        <v>4294</v>
      </c>
    </row>
    <row r="2223" spans="57:59" x14ac:dyDescent="0.25">
      <c r="BE2223" t="s">
        <v>5079</v>
      </c>
      <c r="BG2223" t="s">
        <v>4296</v>
      </c>
    </row>
    <row r="2224" spans="57:59" x14ac:dyDescent="0.25">
      <c r="BE2224" t="s">
        <v>5080</v>
      </c>
      <c r="BG2224" t="s">
        <v>4298</v>
      </c>
    </row>
    <row r="2225" spans="57:59" x14ac:dyDescent="0.25">
      <c r="BE2225" t="s">
        <v>5081</v>
      </c>
      <c r="BG2225" t="s">
        <v>4300</v>
      </c>
    </row>
    <row r="2226" spans="57:59" x14ac:dyDescent="0.25">
      <c r="BE2226" t="s">
        <v>5082</v>
      </c>
      <c r="BG2226" t="s">
        <v>4302</v>
      </c>
    </row>
    <row r="2227" spans="57:59" x14ac:dyDescent="0.25">
      <c r="BE2227" t="s">
        <v>5083</v>
      </c>
      <c r="BG2227" t="s">
        <v>4304</v>
      </c>
    </row>
    <row r="2228" spans="57:59" x14ac:dyDescent="0.25">
      <c r="BE2228" t="s">
        <v>5084</v>
      </c>
      <c r="BG2228" t="s">
        <v>4306</v>
      </c>
    </row>
    <row r="2229" spans="57:59" x14ac:dyDescent="0.25">
      <c r="BE2229" t="s">
        <v>5085</v>
      </c>
      <c r="BG2229" t="s">
        <v>4308</v>
      </c>
    </row>
    <row r="2230" spans="57:59" x14ac:dyDescent="0.25">
      <c r="BE2230" t="s">
        <v>5086</v>
      </c>
      <c r="BG2230" t="s">
        <v>4310</v>
      </c>
    </row>
    <row r="2231" spans="57:59" x14ac:dyDescent="0.25">
      <c r="BE2231" t="s">
        <v>5087</v>
      </c>
      <c r="BG2231" t="s">
        <v>4312</v>
      </c>
    </row>
    <row r="2232" spans="57:59" x14ac:dyDescent="0.25">
      <c r="BE2232" t="s">
        <v>5088</v>
      </c>
      <c r="BG2232" t="s">
        <v>4314</v>
      </c>
    </row>
    <row r="2233" spans="57:59" x14ac:dyDescent="0.25">
      <c r="BE2233" t="s">
        <v>5089</v>
      </c>
      <c r="BG2233" t="s">
        <v>4316</v>
      </c>
    </row>
    <row r="2234" spans="57:59" x14ac:dyDescent="0.25">
      <c r="BE2234" t="s">
        <v>5090</v>
      </c>
      <c r="BG2234" t="s">
        <v>4318</v>
      </c>
    </row>
    <row r="2235" spans="57:59" x14ac:dyDescent="0.25">
      <c r="BE2235" t="s">
        <v>5091</v>
      </c>
      <c r="BG2235" t="s">
        <v>4320</v>
      </c>
    </row>
    <row r="2236" spans="57:59" x14ac:dyDescent="0.25">
      <c r="BE2236" t="s">
        <v>5092</v>
      </c>
      <c r="BG2236" t="s">
        <v>4322</v>
      </c>
    </row>
    <row r="2237" spans="57:59" x14ac:dyDescent="0.25">
      <c r="BE2237" t="s">
        <v>5093</v>
      </c>
      <c r="BG2237" t="s">
        <v>4324</v>
      </c>
    </row>
    <row r="2238" spans="57:59" x14ac:dyDescent="0.25">
      <c r="BE2238" t="s">
        <v>5094</v>
      </c>
      <c r="BG2238" t="s">
        <v>4326</v>
      </c>
    </row>
    <row r="2239" spans="57:59" x14ac:dyDescent="0.25">
      <c r="BE2239" t="s">
        <v>5095</v>
      </c>
      <c r="BG2239" t="s">
        <v>4328</v>
      </c>
    </row>
    <row r="2240" spans="57:59" x14ac:dyDescent="0.25">
      <c r="BE2240" t="s">
        <v>5096</v>
      </c>
      <c r="BG2240" t="s">
        <v>4330</v>
      </c>
    </row>
    <row r="2241" spans="57:59" x14ac:dyDescent="0.25">
      <c r="BE2241" t="s">
        <v>5097</v>
      </c>
      <c r="BG2241" t="s">
        <v>4332</v>
      </c>
    </row>
    <row r="2242" spans="57:59" x14ac:dyDescent="0.25">
      <c r="BE2242" t="s">
        <v>5098</v>
      </c>
      <c r="BG2242" t="s">
        <v>4334</v>
      </c>
    </row>
    <row r="2243" spans="57:59" x14ac:dyDescent="0.25">
      <c r="BE2243" t="s">
        <v>5099</v>
      </c>
      <c r="BG2243" t="s">
        <v>4336</v>
      </c>
    </row>
    <row r="2244" spans="57:59" x14ac:dyDescent="0.25">
      <c r="BE2244" t="s">
        <v>5100</v>
      </c>
      <c r="BG2244" t="s">
        <v>4338</v>
      </c>
    </row>
    <row r="2245" spans="57:59" x14ac:dyDescent="0.25">
      <c r="BE2245" t="s">
        <v>5101</v>
      </c>
      <c r="BG2245" t="s">
        <v>4339</v>
      </c>
    </row>
    <row r="2246" spans="57:59" x14ac:dyDescent="0.25">
      <c r="BE2246" t="s">
        <v>5102</v>
      </c>
      <c r="BG2246" t="s">
        <v>4340</v>
      </c>
    </row>
    <row r="2247" spans="57:59" x14ac:dyDescent="0.25">
      <c r="BE2247" t="s">
        <v>5103</v>
      </c>
      <c r="BG2247" t="s">
        <v>4341</v>
      </c>
    </row>
    <row r="2248" spans="57:59" x14ac:dyDescent="0.25">
      <c r="BE2248" t="s">
        <v>5104</v>
      </c>
      <c r="BG2248" t="s">
        <v>4342</v>
      </c>
    </row>
    <row r="2249" spans="57:59" x14ac:dyDescent="0.25">
      <c r="BE2249" t="s">
        <v>5105</v>
      </c>
      <c r="BG2249" t="s">
        <v>4343</v>
      </c>
    </row>
    <row r="2250" spans="57:59" x14ac:dyDescent="0.25">
      <c r="BE2250" t="s">
        <v>5106</v>
      </c>
      <c r="BG2250" t="s">
        <v>4344</v>
      </c>
    </row>
    <row r="2251" spans="57:59" x14ac:dyDescent="0.25">
      <c r="BE2251" t="s">
        <v>5107</v>
      </c>
      <c r="BG2251" t="s">
        <v>4345</v>
      </c>
    </row>
    <row r="2252" spans="57:59" x14ac:dyDescent="0.25">
      <c r="BE2252" t="s">
        <v>5108</v>
      </c>
      <c r="BG2252" t="s">
        <v>4346</v>
      </c>
    </row>
    <row r="2253" spans="57:59" x14ac:dyDescent="0.25">
      <c r="BE2253" t="s">
        <v>5109</v>
      </c>
      <c r="BG2253" t="s">
        <v>4347</v>
      </c>
    </row>
    <row r="2254" spans="57:59" x14ac:dyDescent="0.25">
      <c r="BE2254" t="s">
        <v>5110</v>
      </c>
      <c r="BG2254" t="s">
        <v>4348</v>
      </c>
    </row>
    <row r="2255" spans="57:59" x14ac:dyDescent="0.25">
      <c r="BE2255" t="s">
        <v>5111</v>
      </c>
      <c r="BG2255" t="s">
        <v>4349</v>
      </c>
    </row>
    <row r="2256" spans="57:59" x14ac:dyDescent="0.25">
      <c r="BE2256" t="s">
        <v>5112</v>
      </c>
      <c r="BG2256" t="s">
        <v>4350</v>
      </c>
    </row>
    <row r="2257" spans="57:59" x14ac:dyDescent="0.25">
      <c r="BE2257" t="s">
        <v>5113</v>
      </c>
      <c r="BG2257" t="s">
        <v>4351</v>
      </c>
    </row>
    <row r="2258" spans="57:59" x14ac:dyDescent="0.25">
      <c r="BE2258" t="s">
        <v>5114</v>
      </c>
      <c r="BG2258" t="s">
        <v>4352</v>
      </c>
    </row>
    <row r="2259" spans="57:59" x14ac:dyDescent="0.25">
      <c r="BE2259" t="s">
        <v>5115</v>
      </c>
      <c r="BG2259" t="s">
        <v>4353</v>
      </c>
    </row>
    <row r="2260" spans="57:59" x14ac:dyDescent="0.25">
      <c r="BE2260" t="s">
        <v>5116</v>
      </c>
      <c r="BG2260" t="s">
        <v>4354</v>
      </c>
    </row>
    <row r="2261" spans="57:59" x14ac:dyDescent="0.25">
      <c r="BE2261" t="s">
        <v>5117</v>
      </c>
      <c r="BG2261" t="s">
        <v>4355</v>
      </c>
    </row>
    <row r="2262" spans="57:59" x14ac:dyDescent="0.25">
      <c r="BE2262" t="s">
        <v>5118</v>
      </c>
      <c r="BG2262" t="s">
        <v>4356</v>
      </c>
    </row>
    <row r="2263" spans="57:59" x14ac:dyDescent="0.25">
      <c r="BE2263" t="s">
        <v>5119</v>
      </c>
      <c r="BG2263" t="s">
        <v>4357</v>
      </c>
    </row>
    <row r="2264" spans="57:59" x14ac:dyDescent="0.25">
      <c r="BE2264" t="s">
        <v>5120</v>
      </c>
      <c r="BG2264" t="s">
        <v>4358</v>
      </c>
    </row>
    <row r="2265" spans="57:59" x14ac:dyDescent="0.25">
      <c r="BE2265" t="s">
        <v>5121</v>
      </c>
      <c r="BG2265" t="s">
        <v>4359</v>
      </c>
    </row>
    <row r="2266" spans="57:59" x14ac:dyDescent="0.25">
      <c r="BE2266" t="s">
        <v>5122</v>
      </c>
      <c r="BG2266" t="s">
        <v>4360</v>
      </c>
    </row>
    <row r="2267" spans="57:59" x14ac:dyDescent="0.25">
      <c r="BE2267" t="s">
        <v>5123</v>
      </c>
      <c r="BG2267" t="s">
        <v>4361</v>
      </c>
    </row>
    <row r="2268" spans="57:59" x14ac:dyDescent="0.25">
      <c r="BE2268" t="s">
        <v>5124</v>
      </c>
      <c r="BG2268" t="s">
        <v>4362</v>
      </c>
    </row>
    <row r="2269" spans="57:59" x14ac:dyDescent="0.25">
      <c r="BE2269" t="s">
        <v>5125</v>
      </c>
      <c r="BG2269" t="s">
        <v>4363</v>
      </c>
    </row>
    <row r="2270" spans="57:59" x14ac:dyDescent="0.25">
      <c r="BE2270" t="s">
        <v>5126</v>
      </c>
      <c r="BG2270" t="s">
        <v>4364</v>
      </c>
    </row>
    <row r="2271" spans="57:59" x14ac:dyDescent="0.25">
      <c r="BE2271" t="s">
        <v>5127</v>
      </c>
      <c r="BG2271" t="s">
        <v>4365</v>
      </c>
    </row>
    <row r="2272" spans="57:59" x14ac:dyDescent="0.25">
      <c r="BE2272" t="s">
        <v>5128</v>
      </c>
      <c r="BG2272" t="s">
        <v>4366</v>
      </c>
    </row>
    <row r="2273" spans="57:59" x14ac:dyDescent="0.25">
      <c r="BE2273" t="s">
        <v>5129</v>
      </c>
      <c r="BG2273" t="s">
        <v>4367</v>
      </c>
    </row>
    <row r="2274" spans="57:59" x14ac:dyDescent="0.25">
      <c r="BE2274" t="s">
        <v>5130</v>
      </c>
      <c r="BG2274" t="s">
        <v>4368</v>
      </c>
    </row>
    <row r="2275" spans="57:59" x14ac:dyDescent="0.25">
      <c r="BE2275" t="s">
        <v>5131</v>
      </c>
      <c r="BG2275" t="s">
        <v>4369</v>
      </c>
    </row>
    <row r="2276" spans="57:59" x14ac:dyDescent="0.25">
      <c r="BE2276" t="s">
        <v>5132</v>
      </c>
      <c r="BG2276" t="s">
        <v>4370</v>
      </c>
    </row>
    <row r="2277" spans="57:59" x14ac:dyDescent="0.25">
      <c r="BE2277" t="s">
        <v>5133</v>
      </c>
      <c r="BG2277" t="s">
        <v>4371</v>
      </c>
    </row>
    <row r="2278" spans="57:59" x14ac:dyDescent="0.25">
      <c r="BE2278" t="s">
        <v>5134</v>
      </c>
      <c r="BG2278" t="s">
        <v>4372</v>
      </c>
    </row>
    <row r="2279" spans="57:59" x14ac:dyDescent="0.25">
      <c r="BE2279" t="s">
        <v>5135</v>
      </c>
      <c r="BG2279" t="s">
        <v>4373</v>
      </c>
    </row>
    <row r="2280" spans="57:59" x14ac:dyDescent="0.25">
      <c r="BE2280" t="s">
        <v>5136</v>
      </c>
      <c r="BG2280" t="s">
        <v>4374</v>
      </c>
    </row>
    <row r="2281" spans="57:59" x14ac:dyDescent="0.25">
      <c r="BE2281" t="s">
        <v>5137</v>
      </c>
      <c r="BG2281" t="s">
        <v>4375</v>
      </c>
    </row>
    <row r="2282" spans="57:59" x14ac:dyDescent="0.25">
      <c r="BE2282" t="s">
        <v>5138</v>
      </c>
      <c r="BG2282" t="s">
        <v>4376</v>
      </c>
    </row>
    <row r="2283" spans="57:59" x14ac:dyDescent="0.25">
      <c r="BE2283" t="s">
        <v>5139</v>
      </c>
      <c r="BG2283" t="s">
        <v>4377</v>
      </c>
    </row>
    <row r="2284" spans="57:59" x14ac:dyDescent="0.25">
      <c r="BE2284" t="s">
        <v>5140</v>
      </c>
      <c r="BG2284" t="s">
        <v>4378</v>
      </c>
    </row>
    <row r="2285" spans="57:59" x14ac:dyDescent="0.25">
      <c r="BE2285" t="s">
        <v>5141</v>
      </c>
      <c r="BG2285" t="s">
        <v>4379</v>
      </c>
    </row>
    <row r="2286" spans="57:59" x14ac:dyDescent="0.25">
      <c r="BE2286" t="s">
        <v>5142</v>
      </c>
      <c r="BG2286" t="s">
        <v>4380</v>
      </c>
    </row>
    <row r="2287" spans="57:59" x14ac:dyDescent="0.25">
      <c r="BE2287" t="s">
        <v>5143</v>
      </c>
      <c r="BG2287" t="s">
        <v>4381</v>
      </c>
    </row>
    <row r="2288" spans="57:59" x14ac:dyDescent="0.25">
      <c r="BE2288" t="s">
        <v>5144</v>
      </c>
      <c r="BG2288" t="s">
        <v>4382</v>
      </c>
    </row>
    <row r="2289" spans="57:59" x14ac:dyDescent="0.25">
      <c r="BE2289" t="s">
        <v>5145</v>
      </c>
      <c r="BG2289" t="s">
        <v>4383</v>
      </c>
    </row>
    <row r="2290" spans="57:59" x14ac:dyDescent="0.25">
      <c r="BE2290" t="s">
        <v>5146</v>
      </c>
      <c r="BG2290" t="s">
        <v>4384</v>
      </c>
    </row>
    <row r="2291" spans="57:59" x14ac:dyDescent="0.25">
      <c r="BE2291" t="s">
        <v>5147</v>
      </c>
      <c r="BG2291" t="s">
        <v>4385</v>
      </c>
    </row>
    <row r="2292" spans="57:59" x14ac:dyDescent="0.25">
      <c r="BE2292" t="s">
        <v>5148</v>
      </c>
      <c r="BG2292" t="s">
        <v>4386</v>
      </c>
    </row>
    <row r="2293" spans="57:59" x14ac:dyDescent="0.25">
      <c r="BE2293" t="s">
        <v>5149</v>
      </c>
      <c r="BG2293" t="s">
        <v>4387</v>
      </c>
    </row>
    <row r="2294" spans="57:59" x14ac:dyDescent="0.25">
      <c r="BE2294" t="s">
        <v>5150</v>
      </c>
      <c r="BG2294" t="s">
        <v>4388</v>
      </c>
    </row>
    <row r="2295" spans="57:59" x14ac:dyDescent="0.25">
      <c r="BE2295" t="s">
        <v>5151</v>
      </c>
      <c r="BG2295" t="s">
        <v>4389</v>
      </c>
    </row>
    <row r="2296" spans="57:59" x14ac:dyDescent="0.25">
      <c r="BE2296" t="s">
        <v>5152</v>
      </c>
      <c r="BG2296" t="s">
        <v>4390</v>
      </c>
    </row>
    <row r="2297" spans="57:59" x14ac:dyDescent="0.25">
      <c r="BE2297" t="s">
        <v>5153</v>
      </c>
      <c r="BG2297" t="s">
        <v>4391</v>
      </c>
    </row>
    <row r="2298" spans="57:59" x14ac:dyDescent="0.25">
      <c r="BE2298" t="s">
        <v>5154</v>
      </c>
      <c r="BG2298" t="s">
        <v>4392</v>
      </c>
    </row>
    <row r="2299" spans="57:59" x14ac:dyDescent="0.25">
      <c r="BE2299" t="s">
        <v>5155</v>
      </c>
      <c r="BG2299" t="s">
        <v>4393</v>
      </c>
    </row>
    <row r="2300" spans="57:59" x14ac:dyDescent="0.25">
      <c r="BE2300" t="s">
        <v>5156</v>
      </c>
      <c r="BG2300" t="s">
        <v>4394</v>
      </c>
    </row>
    <row r="2301" spans="57:59" x14ac:dyDescent="0.25">
      <c r="BE2301" t="s">
        <v>5157</v>
      </c>
      <c r="BG2301" t="s">
        <v>4395</v>
      </c>
    </row>
    <row r="2302" spans="57:59" x14ac:dyDescent="0.25">
      <c r="BE2302" t="s">
        <v>5158</v>
      </c>
      <c r="BG2302" t="s">
        <v>4396</v>
      </c>
    </row>
    <row r="2303" spans="57:59" x14ac:dyDescent="0.25">
      <c r="BE2303" t="s">
        <v>5159</v>
      </c>
      <c r="BG2303" t="s">
        <v>4397</v>
      </c>
    </row>
    <row r="2304" spans="57:59" x14ac:dyDescent="0.25">
      <c r="BE2304" t="s">
        <v>5160</v>
      </c>
      <c r="BG2304" t="s">
        <v>4398</v>
      </c>
    </row>
    <row r="2305" spans="57:59" x14ac:dyDescent="0.25">
      <c r="BE2305" t="s">
        <v>5161</v>
      </c>
      <c r="BG2305" t="s">
        <v>4399</v>
      </c>
    </row>
    <row r="2306" spans="57:59" x14ac:dyDescent="0.25">
      <c r="BE2306" t="s">
        <v>5162</v>
      </c>
      <c r="BG2306" t="s">
        <v>4400</v>
      </c>
    </row>
    <row r="2307" spans="57:59" x14ac:dyDescent="0.25">
      <c r="BE2307" t="s">
        <v>5163</v>
      </c>
      <c r="BG2307" t="s">
        <v>4401</v>
      </c>
    </row>
    <row r="2308" spans="57:59" x14ac:dyDescent="0.25">
      <c r="BE2308" t="s">
        <v>5164</v>
      </c>
      <c r="BG2308" t="s">
        <v>4402</v>
      </c>
    </row>
    <row r="2309" spans="57:59" x14ac:dyDescent="0.25">
      <c r="BE2309" t="s">
        <v>5165</v>
      </c>
      <c r="BG2309" t="s">
        <v>4403</v>
      </c>
    </row>
    <row r="2310" spans="57:59" x14ac:dyDescent="0.25">
      <c r="BE2310" t="s">
        <v>5166</v>
      </c>
      <c r="BG2310" t="s">
        <v>4404</v>
      </c>
    </row>
    <row r="2311" spans="57:59" x14ac:dyDescent="0.25">
      <c r="BE2311" t="s">
        <v>5167</v>
      </c>
      <c r="BG2311" t="s">
        <v>4405</v>
      </c>
    </row>
    <row r="2312" spans="57:59" x14ac:dyDescent="0.25">
      <c r="BE2312" t="s">
        <v>5168</v>
      </c>
      <c r="BG2312" t="s">
        <v>4406</v>
      </c>
    </row>
    <row r="2313" spans="57:59" x14ac:dyDescent="0.25">
      <c r="BE2313" t="s">
        <v>5169</v>
      </c>
      <c r="BG2313" t="s">
        <v>4407</v>
      </c>
    </row>
    <row r="2314" spans="57:59" x14ac:dyDescent="0.25">
      <c r="BE2314" t="s">
        <v>5170</v>
      </c>
      <c r="BG2314" t="s">
        <v>4408</v>
      </c>
    </row>
    <row r="2315" spans="57:59" x14ac:dyDescent="0.25">
      <c r="BE2315" t="s">
        <v>5171</v>
      </c>
      <c r="BG2315" t="s">
        <v>4409</v>
      </c>
    </row>
    <row r="2316" spans="57:59" x14ac:dyDescent="0.25">
      <c r="BE2316" t="s">
        <v>5172</v>
      </c>
      <c r="BG2316" t="s">
        <v>4410</v>
      </c>
    </row>
    <row r="2317" spans="57:59" x14ac:dyDescent="0.25">
      <c r="BE2317" t="s">
        <v>5173</v>
      </c>
      <c r="BG2317" t="s">
        <v>4411</v>
      </c>
    </row>
    <row r="2318" spans="57:59" x14ac:dyDescent="0.25">
      <c r="BE2318" t="s">
        <v>5174</v>
      </c>
      <c r="BG2318" t="s">
        <v>4412</v>
      </c>
    </row>
    <row r="2319" spans="57:59" x14ac:dyDescent="0.25">
      <c r="BE2319" t="s">
        <v>5175</v>
      </c>
      <c r="BG2319" t="s">
        <v>4413</v>
      </c>
    </row>
    <row r="2320" spans="57:59" x14ac:dyDescent="0.25">
      <c r="BE2320" t="s">
        <v>5176</v>
      </c>
      <c r="BG2320" t="s">
        <v>4414</v>
      </c>
    </row>
    <row r="2321" spans="57:59" x14ac:dyDescent="0.25">
      <c r="BE2321" t="s">
        <v>5177</v>
      </c>
      <c r="BG2321" t="s">
        <v>4415</v>
      </c>
    </row>
    <row r="2322" spans="57:59" x14ac:dyDescent="0.25">
      <c r="BE2322" t="s">
        <v>5178</v>
      </c>
      <c r="BG2322" t="s">
        <v>4416</v>
      </c>
    </row>
    <row r="2323" spans="57:59" x14ac:dyDescent="0.25">
      <c r="BE2323" t="s">
        <v>5179</v>
      </c>
      <c r="BG2323" t="s">
        <v>4417</v>
      </c>
    </row>
    <row r="2324" spans="57:59" x14ac:dyDescent="0.25">
      <c r="BE2324" t="s">
        <v>5180</v>
      </c>
      <c r="BG2324" t="s">
        <v>4418</v>
      </c>
    </row>
    <row r="2325" spans="57:59" x14ac:dyDescent="0.25">
      <c r="BE2325" t="s">
        <v>5181</v>
      </c>
      <c r="BG2325" t="s">
        <v>4419</v>
      </c>
    </row>
    <row r="2326" spans="57:59" x14ac:dyDescent="0.25">
      <c r="BE2326" t="s">
        <v>5182</v>
      </c>
      <c r="BG2326" t="s">
        <v>4420</v>
      </c>
    </row>
    <row r="2327" spans="57:59" x14ac:dyDescent="0.25">
      <c r="BE2327" t="s">
        <v>5183</v>
      </c>
      <c r="BG2327" t="s">
        <v>4421</v>
      </c>
    </row>
    <row r="2328" spans="57:59" x14ac:dyDescent="0.25">
      <c r="BE2328" t="s">
        <v>5184</v>
      </c>
      <c r="BG2328" t="s">
        <v>4422</v>
      </c>
    </row>
    <row r="2329" spans="57:59" x14ac:dyDescent="0.25">
      <c r="BE2329" t="s">
        <v>5185</v>
      </c>
      <c r="BG2329" t="s">
        <v>4423</v>
      </c>
    </row>
    <row r="2330" spans="57:59" x14ac:dyDescent="0.25">
      <c r="BE2330" t="s">
        <v>5186</v>
      </c>
      <c r="BG2330" t="s">
        <v>4424</v>
      </c>
    </row>
    <row r="2331" spans="57:59" x14ac:dyDescent="0.25">
      <c r="BE2331" t="s">
        <v>5187</v>
      </c>
      <c r="BG2331" t="s">
        <v>4425</v>
      </c>
    </row>
    <row r="2332" spans="57:59" x14ac:dyDescent="0.25">
      <c r="BE2332" t="s">
        <v>5188</v>
      </c>
      <c r="BG2332" t="s">
        <v>4426</v>
      </c>
    </row>
    <row r="2333" spans="57:59" x14ac:dyDescent="0.25">
      <c r="BE2333" t="s">
        <v>5189</v>
      </c>
      <c r="BG2333" t="s">
        <v>4427</v>
      </c>
    </row>
    <row r="2334" spans="57:59" x14ac:dyDescent="0.25">
      <c r="BE2334" t="s">
        <v>5190</v>
      </c>
      <c r="BG2334" t="s">
        <v>4428</v>
      </c>
    </row>
    <row r="2335" spans="57:59" x14ac:dyDescent="0.25">
      <c r="BE2335" t="s">
        <v>5191</v>
      </c>
      <c r="BG2335" t="s">
        <v>4429</v>
      </c>
    </row>
    <row r="2336" spans="57:59" x14ac:dyDescent="0.25">
      <c r="BE2336" t="s">
        <v>5192</v>
      </c>
      <c r="BG2336" t="s">
        <v>4430</v>
      </c>
    </row>
    <row r="2337" spans="57:59" x14ac:dyDescent="0.25">
      <c r="BE2337" t="s">
        <v>5193</v>
      </c>
      <c r="BG2337" t="s">
        <v>4431</v>
      </c>
    </row>
    <row r="2338" spans="57:59" x14ac:dyDescent="0.25">
      <c r="BE2338" t="s">
        <v>5194</v>
      </c>
      <c r="BG2338" t="s">
        <v>4432</v>
      </c>
    </row>
    <row r="2339" spans="57:59" x14ac:dyDescent="0.25">
      <c r="BE2339" t="s">
        <v>5195</v>
      </c>
      <c r="BG2339" t="s">
        <v>4433</v>
      </c>
    </row>
    <row r="2340" spans="57:59" x14ac:dyDescent="0.25">
      <c r="BE2340" t="s">
        <v>5196</v>
      </c>
      <c r="BG2340" t="s">
        <v>4434</v>
      </c>
    </row>
    <row r="2341" spans="57:59" x14ac:dyDescent="0.25">
      <c r="BE2341" t="s">
        <v>5197</v>
      </c>
      <c r="BG2341" t="s">
        <v>4435</v>
      </c>
    </row>
    <row r="2342" spans="57:59" x14ac:dyDescent="0.25">
      <c r="BE2342" t="s">
        <v>5198</v>
      </c>
      <c r="BG2342" t="s">
        <v>4436</v>
      </c>
    </row>
    <row r="2343" spans="57:59" x14ac:dyDescent="0.25">
      <c r="BE2343" t="s">
        <v>5199</v>
      </c>
      <c r="BG2343" t="s">
        <v>4437</v>
      </c>
    </row>
    <row r="2344" spans="57:59" x14ac:dyDescent="0.25">
      <c r="BE2344" t="s">
        <v>5200</v>
      </c>
      <c r="BG2344" t="s">
        <v>4438</v>
      </c>
    </row>
    <row r="2345" spans="57:59" x14ac:dyDescent="0.25">
      <c r="BE2345" t="s">
        <v>5201</v>
      </c>
      <c r="BG2345" t="s">
        <v>4439</v>
      </c>
    </row>
    <row r="2346" spans="57:59" x14ac:dyDescent="0.25">
      <c r="BE2346" t="s">
        <v>5202</v>
      </c>
      <c r="BG2346" t="s">
        <v>4440</v>
      </c>
    </row>
    <row r="2347" spans="57:59" x14ac:dyDescent="0.25">
      <c r="BE2347" t="s">
        <v>5203</v>
      </c>
      <c r="BG2347" t="s">
        <v>4441</v>
      </c>
    </row>
    <row r="2348" spans="57:59" x14ac:dyDescent="0.25">
      <c r="BE2348" t="s">
        <v>5204</v>
      </c>
      <c r="BG2348" t="s">
        <v>4442</v>
      </c>
    </row>
    <row r="2349" spans="57:59" x14ac:dyDescent="0.25">
      <c r="BE2349" t="s">
        <v>5205</v>
      </c>
      <c r="BG2349" t="s">
        <v>4443</v>
      </c>
    </row>
    <row r="2350" spans="57:59" x14ac:dyDescent="0.25">
      <c r="BE2350" t="s">
        <v>5206</v>
      </c>
      <c r="BG2350" t="s">
        <v>4444</v>
      </c>
    </row>
    <row r="2351" spans="57:59" x14ac:dyDescent="0.25">
      <c r="BE2351" t="s">
        <v>5207</v>
      </c>
      <c r="BG2351" t="s">
        <v>4445</v>
      </c>
    </row>
    <row r="2352" spans="57:59" x14ac:dyDescent="0.25">
      <c r="BE2352" t="s">
        <v>5208</v>
      </c>
      <c r="BG2352" t="s">
        <v>4446</v>
      </c>
    </row>
    <row r="2353" spans="57:59" x14ac:dyDescent="0.25">
      <c r="BE2353" t="s">
        <v>5209</v>
      </c>
      <c r="BG2353" t="s">
        <v>4447</v>
      </c>
    </row>
    <row r="2354" spans="57:59" x14ac:dyDescent="0.25">
      <c r="BE2354" t="s">
        <v>5210</v>
      </c>
      <c r="BG2354" t="s">
        <v>4448</v>
      </c>
    </row>
    <row r="2355" spans="57:59" x14ac:dyDescent="0.25">
      <c r="BE2355" t="s">
        <v>5211</v>
      </c>
      <c r="BG2355" t="s">
        <v>4449</v>
      </c>
    </row>
    <row r="2356" spans="57:59" x14ac:dyDescent="0.25">
      <c r="BE2356" t="s">
        <v>5212</v>
      </c>
      <c r="BG2356" t="s">
        <v>4450</v>
      </c>
    </row>
    <row r="2357" spans="57:59" x14ac:dyDescent="0.25">
      <c r="BE2357" t="s">
        <v>5213</v>
      </c>
      <c r="BG2357" t="s">
        <v>4451</v>
      </c>
    </row>
    <row r="2358" spans="57:59" x14ac:dyDescent="0.25">
      <c r="BE2358" t="s">
        <v>5214</v>
      </c>
      <c r="BG2358" t="s">
        <v>4452</v>
      </c>
    </row>
    <row r="2359" spans="57:59" x14ac:dyDescent="0.25">
      <c r="BE2359" t="s">
        <v>5215</v>
      </c>
      <c r="BG2359" t="s">
        <v>4453</v>
      </c>
    </row>
    <row r="2360" spans="57:59" x14ac:dyDescent="0.25">
      <c r="BE2360" t="s">
        <v>5216</v>
      </c>
      <c r="BG2360" t="s">
        <v>4454</v>
      </c>
    </row>
    <row r="2361" spans="57:59" x14ac:dyDescent="0.25">
      <c r="BE2361" t="s">
        <v>5217</v>
      </c>
      <c r="BG2361" t="s">
        <v>4455</v>
      </c>
    </row>
    <row r="2362" spans="57:59" x14ac:dyDescent="0.25">
      <c r="BE2362" t="s">
        <v>5218</v>
      </c>
      <c r="BG2362" t="s">
        <v>4456</v>
      </c>
    </row>
    <row r="2363" spans="57:59" x14ac:dyDescent="0.25">
      <c r="BE2363" t="s">
        <v>5219</v>
      </c>
      <c r="BG2363" t="s">
        <v>4457</v>
      </c>
    </row>
    <row r="2364" spans="57:59" x14ac:dyDescent="0.25">
      <c r="BE2364" t="s">
        <v>5220</v>
      </c>
      <c r="BG2364" t="s">
        <v>4458</v>
      </c>
    </row>
    <row r="2365" spans="57:59" x14ac:dyDescent="0.25">
      <c r="BE2365" t="s">
        <v>5221</v>
      </c>
      <c r="BG2365" t="s">
        <v>4459</v>
      </c>
    </row>
    <row r="2366" spans="57:59" x14ac:dyDescent="0.25">
      <c r="BE2366" t="s">
        <v>5222</v>
      </c>
      <c r="BG2366" t="s">
        <v>4460</v>
      </c>
    </row>
    <row r="2367" spans="57:59" x14ac:dyDescent="0.25">
      <c r="BE2367" t="s">
        <v>5223</v>
      </c>
      <c r="BG2367" t="s">
        <v>4461</v>
      </c>
    </row>
    <row r="2368" spans="57:59" x14ac:dyDescent="0.25">
      <c r="BE2368" t="s">
        <v>5224</v>
      </c>
      <c r="BG2368" t="s">
        <v>4462</v>
      </c>
    </row>
    <row r="2369" spans="57:59" x14ac:dyDescent="0.25">
      <c r="BE2369" t="s">
        <v>5225</v>
      </c>
      <c r="BG2369" t="s">
        <v>4463</v>
      </c>
    </row>
    <row r="2370" spans="57:59" x14ac:dyDescent="0.25">
      <c r="BE2370" t="s">
        <v>5226</v>
      </c>
      <c r="BG2370" t="s">
        <v>4464</v>
      </c>
    </row>
    <row r="2371" spans="57:59" x14ac:dyDescent="0.25">
      <c r="BE2371" t="s">
        <v>5227</v>
      </c>
      <c r="BG2371" t="s">
        <v>4465</v>
      </c>
    </row>
    <row r="2372" spans="57:59" x14ac:dyDescent="0.25">
      <c r="BE2372" t="s">
        <v>5228</v>
      </c>
      <c r="BG2372" t="s">
        <v>4466</v>
      </c>
    </row>
    <row r="2373" spans="57:59" x14ac:dyDescent="0.25">
      <c r="BE2373" t="s">
        <v>5229</v>
      </c>
      <c r="BG2373" t="s">
        <v>4467</v>
      </c>
    </row>
    <row r="2374" spans="57:59" x14ac:dyDescent="0.25">
      <c r="BE2374" t="s">
        <v>5230</v>
      </c>
      <c r="BG2374" t="s">
        <v>4468</v>
      </c>
    </row>
    <row r="2375" spans="57:59" x14ac:dyDescent="0.25">
      <c r="BE2375" t="s">
        <v>5231</v>
      </c>
      <c r="BG2375" t="s">
        <v>4469</v>
      </c>
    </row>
    <row r="2376" spans="57:59" x14ac:dyDescent="0.25">
      <c r="BE2376" t="s">
        <v>5232</v>
      </c>
      <c r="BG2376" t="s">
        <v>4470</v>
      </c>
    </row>
    <row r="2377" spans="57:59" x14ac:dyDescent="0.25">
      <c r="BE2377" t="s">
        <v>5233</v>
      </c>
      <c r="BG2377" t="s">
        <v>4471</v>
      </c>
    </row>
    <row r="2378" spans="57:59" x14ac:dyDescent="0.25">
      <c r="BE2378" t="s">
        <v>5234</v>
      </c>
      <c r="BG2378" t="s">
        <v>4472</v>
      </c>
    </row>
    <row r="2379" spans="57:59" x14ac:dyDescent="0.25">
      <c r="BE2379" t="s">
        <v>5235</v>
      </c>
      <c r="BG2379" t="s">
        <v>4473</v>
      </c>
    </row>
    <row r="2380" spans="57:59" x14ac:dyDescent="0.25">
      <c r="BE2380" t="s">
        <v>5236</v>
      </c>
      <c r="BG2380" t="s">
        <v>4474</v>
      </c>
    </row>
    <row r="2381" spans="57:59" x14ac:dyDescent="0.25">
      <c r="BE2381" t="s">
        <v>5237</v>
      </c>
      <c r="BG2381" t="s">
        <v>4475</v>
      </c>
    </row>
    <row r="2382" spans="57:59" x14ac:dyDescent="0.25">
      <c r="BE2382" t="s">
        <v>5238</v>
      </c>
      <c r="BG2382" t="s">
        <v>4476</v>
      </c>
    </row>
    <row r="2383" spans="57:59" x14ac:dyDescent="0.25">
      <c r="BE2383" t="s">
        <v>5239</v>
      </c>
      <c r="BG2383" t="s">
        <v>4477</v>
      </c>
    </row>
    <row r="2384" spans="57:59" x14ac:dyDescent="0.25">
      <c r="BE2384" t="s">
        <v>5240</v>
      </c>
      <c r="BG2384" t="s">
        <v>4478</v>
      </c>
    </row>
    <row r="2385" spans="57:59" x14ac:dyDescent="0.25">
      <c r="BE2385" t="s">
        <v>5241</v>
      </c>
      <c r="BG2385" t="s">
        <v>4479</v>
      </c>
    </row>
    <row r="2386" spans="57:59" x14ac:dyDescent="0.25">
      <c r="BE2386" t="s">
        <v>5242</v>
      </c>
      <c r="BG2386" t="s">
        <v>4480</v>
      </c>
    </row>
    <row r="2387" spans="57:59" x14ac:dyDescent="0.25">
      <c r="BE2387" t="s">
        <v>5243</v>
      </c>
      <c r="BG2387" t="s">
        <v>4481</v>
      </c>
    </row>
    <row r="2388" spans="57:59" x14ac:dyDescent="0.25">
      <c r="BE2388" t="s">
        <v>5244</v>
      </c>
      <c r="BG2388" t="s">
        <v>4482</v>
      </c>
    </row>
    <row r="2389" spans="57:59" x14ac:dyDescent="0.25">
      <c r="BE2389" t="s">
        <v>5245</v>
      </c>
      <c r="BG2389" t="s">
        <v>4483</v>
      </c>
    </row>
    <row r="2390" spans="57:59" x14ac:dyDescent="0.25">
      <c r="BE2390" t="s">
        <v>5246</v>
      </c>
      <c r="BG2390" t="s">
        <v>4484</v>
      </c>
    </row>
    <row r="2391" spans="57:59" x14ac:dyDescent="0.25">
      <c r="BE2391" t="s">
        <v>5247</v>
      </c>
      <c r="BG2391" t="s">
        <v>4485</v>
      </c>
    </row>
    <row r="2392" spans="57:59" x14ac:dyDescent="0.25">
      <c r="BE2392" t="s">
        <v>5248</v>
      </c>
      <c r="BG2392" t="s">
        <v>4486</v>
      </c>
    </row>
    <row r="2393" spans="57:59" x14ac:dyDescent="0.25">
      <c r="BE2393" t="s">
        <v>5249</v>
      </c>
      <c r="BG2393" t="s">
        <v>4487</v>
      </c>
    </row>
    <row r="2394" spans="57:59" x14ac:dyDescent="0.25">
      <c r="BE2394" t="s">
        <v>5250</v>
      </c>
      <c r="BG2394" t="s">
        <v>4488</v>
      </c>
    </row>
    <row r="2395" spans="57:59" x14ac:dyDescent="0.25">
      <c r="BE2395" t="s">
        <v>5251</v>
      </c>
      <c r="BG2395" t="s">
        <v>4489</v>
      </c>
    </row>
    <row r="2396" spans="57:59" x14ac:dyDescent="0.25">
      <c r="BE2396" t="s">
        <v>5252</v>
      </c>
      <c r="BG2396" t="s">
        <v>4490</v>
      </c>
    </row>
    <row r="2397" spans="57:59" x14ac:dyDescent="0.25">
      <c r="BE2397" t="s">
        <v>5253</v>
      </c>
      <c r="BG2397" t="s">
        <v>4491</v>
      </c>
    </row>
    <row r="2398" spans="57:59" x14ac:dyDescent="0.25">
      <c r="BE2398" t="s">
        <v>5254</v>
      </c>
      <c r="BG2398" t="s">
        <v>4492</v>
      </c>
    </row>
    <row r="2399" spans="57:59" x14ac:dyDescent="0.25">
      <c r="BE2399" t="s">
        <v>5255</v>
      </c>
      <c r="BG2399" t="s">
        <v>4493</v>
      </c>
    </row>
    <row r="2400" spans="57:59" x14ac:dyDescent="0.25">
      <c r="BE2400" t="s">
        <v>5256</v>
      </c>
      <c r="BG2400" t="s">
        <v>4494</v>
      </c>
    </row>
    <row r="2401" spans="57:59" x14ac:dyDescent="0.25">
      <c r="BE2401" t="s">
        <v>5257</v>
      </c>
      <c r="BG2401" t="s">
        <v>4495</v>
      </c>
    </row>
    <row r="2402" spans="57:59" x14ac:dyDescent="0.25">
      <c r="BE2402" t="s">
        <v>5258</v>
      </c>
      <c r="BG2402" t="s">
        <v>4496</v>
      </c>
    </row>
    <row r="2403" spans="57:59" x14ac:dyDescent="0.25">
      <c r="BE2403" t="s">
        <v>5259</v>
      </c>
      <c r="BG2403" t="s">
        <v>4497</v>
      </c>
    </row>
    <row r="2404" spans="57:59" x14ac:dyDescent="0.25">
      <c r="BE2404" t="s">
        <v>5260</v>
      </c>
      <c r="BG2404" t="s">
        <v>4498</v>
      </c>
    </row>
    <row r="2405" spans="57:59" x14ac:dyDescent="0.25">
      <c r="BE2405" t="s">
        <v>5261</v>
      </c>
      <c r="BG2405" t="s">
        <v>4499</v>
      </c>
    </row>
    <row r="2406" spans="57:59" x14ac:dyDescent="0.25">
      <c r="BE2406" t="s">
        <v>5262</v>
      </c>
      <c r="BG2406" t="s">
        <v>4500</v>
      </c>
    </row>
    <row r="2407" spans="57:59" x14ac:dyDescent="0.25">
      <c r="BE2407" t="s">
        <v>5263</v>
      </c>
      <c r="BG2407" t="s">
        <v>4501</v>
      </c>
    </row>
    <row r="2408" spans="57:59" x14ac:dyDescent="0.25">
      <c r="BE2408" t="s">
        <v>5264</v>
      </c>
      <c r="BG2408" t="s">
        <v>4502</v>
      </c>
    </row>
    <row r="2409" spans="57:59" x14ac:dyDescent="0.25">
      <c r="BE2409" t="s">
        <v>5265</v>
      </c>
      <c r="BG2409" t="s">
        <v>4503</v>
      </c>
    </row>
    <row r="2410" spans="57:59" x14ac:dyDescent="0.25">
      <c r="BE2410" t="s">
        <v>5266</v>
      </c>
      <c r="BG2410" t="s">
        <v>4504</v>
      </c>
    </row>
    <row r="2411" spans="57:59" x14ac:dyDescent="0.25">
      <c r="BE2411" t="s">
        <v>5267</v>
      </c>
      <c r="BG2411" t="s">
        <v>4505</v>
      </c>
    </row>
    <row r="2412" spans="57:59" x14ac:dyDescent="0.25">
      <c r="BE2412" t="s">
        <v>5268</v>
      </c>
      <c r="BG2412" t="s">
        <v>4506</v>
      </c>
    </row>
    <row r="2413" spans="57:59" x14ac:dyDescent="0.25">
      <c r="BE2413" t="s">
        <v>5269</v>
      </c>
      <c r="BG2413" t="s">
        <v>4507</v>
      </c>
    </row>
    <row r="2414" spans="57:59" x14ac:dyDescent="0.25">
      <c r="BE2414" t="s">
        <v>5270</v>
      </c>
      <c r="BG2414" t="s">
        <v>4508</v>
      </c>
    </row>
    <row r="2415" spans="57:59" x14ac:dyDescent="0.25">
      <c r="BE2415" t="s">
        <v>5271</v>
      </c>
      <c r="BG2415" t="s">
        <v>4509</v>
      </c>
    </row>
    <row r="2416" spans="57:59" x14ac:dyDescent="0.25">
      <c r="BE2416" t="s">
        <v>5272</v>
      </c>
      <c r="BG2416" t="s">
        <v>4510</v>
      </c>
    </row>
    <row r="2417" spans="57:59" x14ac:dyDescent="0.25">
      <c r="BE2417" t="s">
        <v>5273</v>
      </c>
      <c r="BG2417" t="s">
        <v>4511</v>
      </c>
    </row>
    <row r="2418" spans="57:59" x14ac:dyDescent="0.25">
      <c r="BE2418" t="s">
        <v>5274</v>
      </c>
      <c r="BG2418" t="s">
        <v>4512</v>
      </c>
    </row>
    <row r="2419" spans="57:59" x14ac:dyDescent="0.25">
      <c r="BE2419" t="s">
        <v>5275</v>
      </c>
      <c r="BG2419" t="s">
        <v>4513</v>
      </c>
    </row>
    <row r="2420" spans="57:59" x14ac:dyDescent="0.25">
      <c r="BE2420" t="s">
        <v>5276</v>
      </c>
      <c r="BG2420" t="s">
        <v>4514</v>
      </c>
    </row>
    <row r="2421" spans="57:59" x14ac:dyDescent="0.25">
      <c r="BE2421" t="s">
        <v>5277</v>
      </c>
      <c r="BG2421" t="s">
        <v>4515</v>
      </c>
    </row>
    <row r="2422" spans="57:59" x14ac:dyDescent="0.25">
      <c r="BE2422" t="s">
        <v>5278</v>
      </c>
      <c r="BG2422" t="s">
        <v>4516</v>
      </c>
    </row>
    <row r="2423" spans="57:59" x14ac:dyDescent="0.25">
      <c r="BE2423" t="s">
        <v>5279</v>
      </c>
      <c r="BG2423" t="s">
        <v>4517</v>
      </c>
    </row>
    <row r="2424" spans="57:59" x14ac:dyDescent="0.25">
      <c r="BE2424" t="s">
        <v>5280</v>
      </c>
      <c r="BG2424" t="s">
        <v>4518</v>
      </c>
    </row>
    <row r="2425" spans="57:59" x14ac:dyDescent="0.25">
      <c r="BE2425" t="s">
        <v>5281</v>
      </c>
      <c r="BG2425" t="s">
        <v>4519</v>
      </c>
    </row>
    <row r="2426" spans="57:59" x14ac:dyDescent="0.25">
      <c r="BE2426" t="s">
        <v>5282</v>
      </c>
      <c r="BG2426" t="s">
        <v>4520</v>
      </c>
    </row>
    <row r="2427" spans="57:59" x14ac:dyDescent="0.25">
      <c r="BE2427" t="s">
        <v>5283</v>
      </c>
      <c r="BG2427" t="s">
        <v>4521</v>
      </c>
    </row>
    <row r="2428" spans="57:59" x14ac:dyDescent="0.25">
      <c r="BE2428" t="s">
        <v>5284</v>
      </c>
      <c r="BG2428" t="s">
        <v>4522</v>
      </c>
    </row>
    <row r="2429" spans="57:59" x14ac:dyDescent="0.25">
      <c r="BE2429" t="s">
        <v>5285</v>
      </c>
      <c r="BG2429" t="s">
        <v>4523</v>
      </c>
    </row>
    <row r="2430" spans="57:59" x14ac:dyDescent="0.25">
      <c r="BE2430" t="s">
        <v>5286</v>
      </c>
      <c r="BG2430" t="s">
        <v>4524</v>
      </c>
    </row>
    <row r="2431" spans="57:59" x14ac:dyDescent="0.25">
      <c r="BE2431" t="s">
        <v>5287</v>
      </c>
      <c r="BG2431" t="s">
        <v>4525</v>
      </c>
    </row>
    <row r="2432" spans="57:59" x14ac:dyDescent="0.25">
      <c r="BE2432" t="s">
        <v>5288</v>
      </c>
      <c r="BG2432" t="s">
        <v>4526</v>
      </c>
    </row>
    <row r="2433" spans="57:59" x14ac:dyDescent="0.25">
      <c r="BE2433" t="s">
        <v>5289</v>
      </c>
      <c r="BG2433" t="s">
        <v>4527</v>
      </c>
    </row>
    <row r="2434" spans="57:59" x14ac:dyDescent="0.25">
      <c r="BE2434" t="s">
        <v>5290</v>
      </c>
      <c r="BG2434" t="s">
        <v>4528</v>
      </c>
    </row>
    <row r="2435" spans="57:59" x14ac:dyDescent="0.25">
      <c r="BE2435" t="s">
        <v>5291</v>
      </c>
      <c r="BG2435" t="s">
        <v>4529</v>
      </c>
    </row>
    <row r="2436" spans="57:59" x14ac:dyDescent="0.25">
      <c r="BE2436" t="s">
        <v>5292</v>
      </c>
      <c r="BG2436" t="s">
        <v>4530</v>
      </c>
    </row>
    <row r="2437" spans="57:59" x14ac:dyDescent="0.25">
      <c r="BE2437" t="s">
        <v>5293</v>
      </c>
      <c r="BG2437" t="s">
        <v>4531</v>
      </c>
    </row>
    <row r="2438" spans="57:59" x14ac:dyDescent="0.25">
      <c r="BE2438" t="s">
        <v>5294</v>
      </c>
      <c r="BG2438" t="s">
        <v>4532</v>
      </c>
    </row>
    <row r="2439" spans="57:59" x14ac:dyDescent="0.25">
      <c r="BE2439" t="s">
        <v>5295</v>
      </c>
      <c r="BG2439" t="s">
        <v>4533</v>
      </c>
    </row>
    <row r="2440" spans="57:59" x14ac:dyDescent="0.25">
      <c r="BE2440" t="s">
        <v>5296</v>
      </c>
      <c r="BG2440" t="s">
        <v>4534</v>
      </c>
    </row>
    <row r="2441" spans="57:59" x14ac:dyDescent="0.25">
      <c r="BE2441" t="s">
        <v>5297</v>
      </c>
      <c r="BG2441" t="s">
        <v>4535</v>
      </c>
    </row>
    <row r="2442" spans="57:59" x14ac:dyDescent="0.25">
      <c r="BE2442" t="s">
        <v>5298</v>
      </c>
      <c r="BG2442" t="s">
        <v>4536</v>
      </c>
    </row>
    <row r="2443" spans="57:59" x14ac:dyDescent="0.25">
      <c r="BE2443" t="s">
        <v>5299</v>
      </c>
      <c r="BG2443" t="s">
        <v>4537</v>
      </c>
    </row>
    <row r="2444" spans="57:59" x14ac:dyDescent="0.25">
      <c r="BE2444" t="s">
        <v>5300</v>
      </c>
      <c r="BG2444" t="s">
        <v>4538</v>
      </c>
    </row>
    <row r="2445" spans="57:59" x14ac:dyDescent="0.25">
      <c r="BE2445" t="s">
        <v>5301</v>
      </c>
      <c r="BG2445" t="s">
        <v>4539</v>
      </c>
    </row>
    <row r="2446" spans="57:59" x14ac:dyDescent="0.25">
      <c r="BE2446" t="s">
        <v>5302</v>
      </c>
      <c r="BG2446" t="s">
        <v>4540</v>
      </c>
    </row>
    <row r="2447" spans="57:59" x14ac:dyDescent="0.25">
      <c r="BE2447" t="s">
        <v>5303</v>
      </c>
      <c r="BG2447" t="s">
        <v>4541</v>
      </c>
    </row>
    <row r="2448" spans="57:59" x14ac:dyDescent="0.25">
      <c r="BE2448" t="s">
        <v>5304</v>
      </c>
      <c r="BG2448" t="s">
        <v>4542</v>
      </c>
    </row>
    <row r="2449" spans="57:59" x14ac:dyDescent="0.25">
      <c r="BE2449" t="s">
        <v>5305</v>
      </c>
      <c r="BG2449" t="s">
        <v>4543</v>
      </c>
    </row>
    <row r="2450" spans="57:59" x14ac:dyDescent="0.25">
      <c r="BE2450" t="s">
        <v>5306</v>
      </c>
      <c r="BG2450" t="s">
        <v>4544</v>
      </c>
    </row>
    <row r="2451" spans="57:59" x14ac:dyDescent="0.25">
      <c r="BE2451" t="s">
        <v>5307</v>
      </c>
      <c r="BG2451" t="s">
        <v>4545</v>
      </c>
    </row>
    <row r="2452" spans="57:59" x14ac:dyDescent="0.25">
      <c r="BE2452" t="s">
        <v>5308</v>
      </c>
      <c r="BG2452" t="s">
        <v>4546</v>
      </c>
    </row>
    <row r="2453" spans="57:59" x14ac:dyDescent="0.25">
      <c r="BE2453" t="s">
        <v>5309</v>
      </c>
      <c r="BG2453" t="s">
        <v>4547</v>
      </c>
    </row>
    <row r="2454" spans="57:59" x14ac:dyDescent="0.25">
      <c r="BE2454" t="s">
        <v>5310</v>
      </c>
      <c r="BG2454" t="s">
        <v>4548</v>
      </c>
    </row>
    <row r="2455" spans="57:59" x14ac:dyDescent="0.25">
      <c r="BE2455" t="s">
        <v>5311</v>
      </c>
      <c r="BG2455" t="s">
        <v>4549</v>
      </c>
    </row>
    <row r="2456" spans="57:59" x14ac:dyDescent="0.25">
      <c r="BE2456" t="s">
        <v>5312</v>
      </c>
      <c r="BG2456" t="s">
        <v>4550</v>
      </c>
    </row>
    <row r="2457" spans="57:59" x14ac:dyDescent="0.25">
      <c r="BE2457" t="s">
        <v>5313</v>
      </c>
      <c r="BG2457" t="s">
        <v>4551</v>
      </c>
    </row>
    <row r="2458" spans="57:59" x14ac:dyDescent="0.25">
      <c r="BE2458" t="s">
        <v>5314</v>
      </c>
      <c r="BG2458" t="s">
        <v>4552</v>
      </c>
    </row>
    <row r="2459" spans="57:59" x14ac:dyDescent="0.25">
      <c r="BE2459" t="s">
        <v>5315</v>
      </c>
      <c r="BG2459" t="s">
        <v>4553</v>
      </c>
    </row>
    <row r="2460" spans="57:59" x14ac:dyDescent="0.25">
      <c r="BE2460" t="s">
        <v>5316</v>
      </c>
      <c r="BG2460" t="s">
        <v>4554</v>
      </c>
    </row>
    <row r="2461" spans="57:59" x14ac:dyDescent="0.25">
      <c r="BE2461" t="s">
        <v>5317</v>
      </c>
      <c r="BG2461" t="s">
        <v>4555</v>
      </c>
    </row>
    <row r="2462" spans="57:59" x14ac:dyDescent="0.25">
      <c r="BE2462" t="s">
        <v>5318</v>
      </c>
      <c r="BG2462" t="s">
        <v>4556</v>
      </c>
    </row>
    <row r="2463" spans="57:59" x14ac:dyDescent="0.25">
      <c r="BE2463" t="s">
        <v>5319</v>
      </c>
      <c r="BG2463" t="s">
        <v>4557</v>
      </c>
    </row>
    <row r="2464" spans="57:59" x14ac:dyDescent="0.25">
      <c r="BE2464" t="s">
        <v>5320</v>
      </c>
      <c r="BG2464" t="s">
        <v>4558</v>
      </c>
    </row>
    <row r="2465" spans="57:59" x14ac:dyDescent="0.25">
      <c r="BE2465" t="s">
        <v>5321</v>
      </c>
      <c r="BG2465" t="s">
        <v>4559</v>
      </c>
    </row>
    <row r="2466" spans="57:59" x14ac:dyDescent="0.25">
      <c r="BE2466" t="s">
        <v>5322</v>
      </c>
      <c r="BG2466" t="s">
        <v>4560</v>
      </c>
    </row>
    <row r="2467" spans="57:59" x14ac:dyDescent="0.25">
      <c r="BE2467" t="s">
        <v>5323</v>
      </c>
      <c r="BG2467" t="s">
        <v>4561</v>
      </c>
    </row>
    <row r="2468" spans="57:59" x14ac:dyDescent="0.25">
      <c r="BE2468" t="s">
        <v>5324</v>
      </c>
      <c r="BG2468" t="s">
        <v>4562</v>
      </c>
    </row>
    <row r="2469" spans="57:59" x14ac:dyDescent="0.25">
      <c r="BE2469" t="s">
        <v>5325</v>
      </c>
      <c r="BG2469" t="s">
        <v>4563</v>
      </c>
    </row>
    <row r="2470" spans="57:59" x14ac:dyDescent="0.25">
      <c r="BE2470" t="s">
        <v>5326</v>
      </c>
      <c r="BG2470" t="s">
        <v>4564</v>
      </c>
    </row>
    <row r="2471" spans="57:59" x14ac:dyDescent="0.25">
      <c r="BE2471" t="s">
        <v>5327</v>
      </c>
      <c r="BG2471" t="s">
        <v>4565</v>
      </c>
    </row>
    <row r="2472" spans="57:59" x14ac:dyDescent="0.25">
      <c r="BE2472" t="s">
        <v>5328</v>
      </c>
      <c r="BG2472" t="s">
        <v>4566</v>
      </c>
    </row>
    <row r="2473" spans="57:59" x14ac:dyDescent="0.25">
      <c r="BE2473" t="s">
        <v>5329</v>
      </c>
      <c r="BG2473" t="s">
        <v>4567</v>
      </c>
    </row>
    <row r="2474" spans="57:59" x14ac:dyDescent="0.25">
      <c r="BE2474" t="s">
        <v>5330</v>
      </c>
      <c r="BG2474" t="s">
        <v>4568</v>
      </c>
    </row>
    <row r="2475" spans="57:59" x14ac:dyDescent="0.25">
      <c r="BE2475" t="s">
        <v>5331</v>
      </c>
      <c r="BG2475" t="s">
        <v>4569</v>
      </c>
    </row>
    <row r="2476" spans="57:59" x14ac:dyDescent="0.25">
      <c r="BE2476" t="s">
        <v>5332</v>
      </c>
      <c r="BG2476" t="s">
        <v>4570</v>
      </c>
    </row>
    <row r="2477" spans="57:59" x14ac:dyDescent="0.25">
      <c r="BE2477" t="s">
        <v>5333</v>
      </c>
      <c r="BG2477" t="s">
        <v>4571</v>
      </c>
    </row>
    <row r="2478" spans="57:59" x14ac:dyDescent="0.25">
      <c r="BE2478" t="s">
        <v>5334</v>
      </c>
      <c r="BG2478" t="s">
        <v>4572</v>
      </c>
    </row>
    <row r="2479" spans="57:59" x14ac:dyDescent="0.25">
      <c r="BE2479" t="s">
        <v>5335</v>
      </c>
      <c r="BG2479" t="s">
        <v>4573</v>
      </c>
    </row>
    <row r="2480" spans="57:59" x14ac:dyDescent="0.25">
      <c r="BE2480" t="s">
        <v>5336</v>
      </c>
      <c r="BG2480" t="s">
        <v>4574</v>
      </c>
    </row>
    <row r="2481" spans="57:59" x14ac:dyDescent="0.25">
      <c r="BE2481" t="s">
        <v>5337</v>
      </c>
      <c r="BG2481" t="s">
        <v>4575</v>
      </c>
    </row>
    <row r="2482" spans="57:59" x14ac:dyDescent="0.25">
      <c r="BE2482" t="s">
        <v>5338</v>
      </c>
      <c r="BG2482" t="s">
        <v>4576</v>
      </c>
    </row>
    <row r="2483" spans="57:59" x14ac:dyDescent="0.25">
      <c r="BE2483" t="s">
        <v>5339</v>
      </c>
      <c r="BG2483" t="s">
        <v>4577</v>
      </c>
    </row>
    <row r="2484" spans="57:59" x14ac:dyDescent="0.25">
      <c r="BE2484" t="s">
        <v>5340</v>
      </c>
      <c r="BG2484" t="s">
        <v>4578</v>
      </c>
    </row>
    <row r="2485" spans="57:59" x14ac:dyDescent="0.25">
      <c r="BE2485" t="s">
        <v>5341</v>
      </c>
      <c r="BG2485" t="s">
        <v>4579</v>
      </c>
    </row>
    <row r="2486" spans="57:59" x14ac:dyDescent="0.25">
      <c r="BE2486" t="s">
        <v>5342</v>
      </c>
      <c r="BG2486" t="s">
        <v>4580</v>
      </c>
    </row>
    <row r="2487" spans="57:59" x14ac:dyDescent="0.25">
      <c r="BE2487" t="s">
        <v>5343</v>
      </c>
      <c r="BG2487" t="s">
        <v>4581</v>
      </c>
    </row>
    <row r="2488" spans="57:59" x14ac:dyDescent="0.25">
      <c r="BE2488" t="s">
        <v>5344</v>
      </c>
      <c r="BG2488" t="s">
        <v>4582</v>
      </c>
    </row>
    <row r="2489" spans="57:59" x14ac:dyDescent="0.25">
      <c r="BE2489" t="s">
        <v>5345</v>
      </c>
      <c r="BG2489" t="s">
        <v>4583</v>
      </c>
    </row>
    <row r="2490" spans="57:59" x14ac:dyDescent="0.25">
      <c r="BE2490" t="s">
        <v>5346</v>
      </c>
      <c r="BG2490" t="s">
        <v>4584</v>
      </c>
    </row>
    <row r="2491" spans="57:59" x14ac:dyDescent="0.25">
      <c r="BE2491" t="s">
        <v>5347</v>
      </c>
      <c r="BG2491" t="s">
        <v>4585</v>
      </c>
    </row>
    <row r="2492" spans="57:59" x14ac:dyDescent="0.25">
      <c r="BE2492" t="s">
        <v>5348</v>
      </c>
      <c r="BG2492" t="s">
        <v>4586</v>
      </c>
    </row>
    <row r="2493" spans="57:59" x14ac:dyDescent="0.25">
      <c r="BE2493" t="s">
        <v>5349</v>
      </c>
      <c r="BG2493" t="s">
        <v>4587</v>
      </c>
    </row>
    <row r="2494" spans="57:59" x14ac:dyDescent="0.25">
      <c r="BE2494" t="s">
        <v>5350</v>
      </c>
      <c r="BG2494" t="s">
        <v>4588</v>
      </c>
    </row>
    <row r="2495" spans="57:59" x14ac:dyDescent="0.25">
      <c r="BE2495" t="s">
        <v>5351</v>
      </c>
      <c r="BG2495" t="s">
        <v>4589</v>
      </c>
    </row>
    <row r="2496" spans="57:59" x14ac:dyDescent="0.25">
      <c r="BE2496" t="s">
        <v>5352</v>
      </c>
      <c r="BG2496" t="s">
        <v>4590</v>
      </c>
    </row>
    <row r="2497" spans="57:59" x14ac:dyDescent="0.25">
      <c r="BE2497" t="s">
        <v>5353</v>
      </c>
      <c r="BG2497" t="s">
        <v>4591</v>
      </c>
    </row>
    <row r="2498" spans="57:59" x14ac:dyDescent="0.25">
      <c r="BE2498" t="s">
        <v>5354</v>
      </c>
      <c r="BG2498" t="s">
        <v>4592</v>
      </c>
    </row>
    <row r="2499" spans="57:59" x14ac:dyDescent="0.25">
      <c r="BE2499" t="s">
        <v>5355</v>
      </c>
      <c r="BG2499" t="s">
        <v>4593</v>
      </c>
    </row>
    <row r="2500" spans="57:59" x14ac:dyDescent="0.25">
      <c r="BE2500" t="s">
        <v>5356</v>
      </c>
      <c r="BG2500" t="s">
        <v>4594</v>
      </c>
    </row>
    <row r="2501" spans="57:59" x14ac:dyDescent="0.25">
      <c r="BE2501" t="s">
        <v>5357</v>
      </c>
      <c r="BG2501" t="s">
        <v>4595</v>
      </c>
    </row>
    <row r="2502" spans="57:59" x14ac:dyDescent="0.25">
      <c r="BE2502" t="s">
        <v>5358</v>
      </c>
      <c r="BG2502" t="s">
        <v>4596</v>
      </c>
    </row>
    <row r="2503" spans="57:59" x14ac:dyDescent="0.25">
      <c r="BE2503" t="s">
        <v>5359</v>
      </c>
      <c r="BG2503" t="s">
        <v>4597</v>
      </c>
    </row>
    <row r="2504" spans="57:59" x14ac:dyDescent="0.25">
      <c r="BE2504" t="s">
        <v>5360</v>
      </c>
      <c r="BG2504" t="s">
        <v>4598</v>
      </c>
    </row>
    <row r="2505" spans="57:59" x14ac:dyDescent="0.25">
      <c r="BE2505" t="s">
        <v>5361</v>
      </c>
      <c r="BG2505" t="s">
        <v>4599</v>
      </c>
    </row>
    <row r="2506" spans="57:59" x14ac:dyDescent="0.25">
      <c r="BG2506" t="s">
        <v>4600</v>
      </c>
    </row>
    <row r="2507" spans="57:59" x14ac:dyDescent="0.25">
      <c r="BG2507" t="s">
        <v>4601</v>
      </c>
    </row>
    <row r="2508" spans="57:59" x14ac:dyDescent="0.25">
      <c r="BG2508" t="s">
        <v>4602</v>
      </c>
    </row>
    <row r="2509" spans="57:59" x14ac:dyDescent="0.25">
      <c r="BG2509" t="s">
        <v>4603</v>
      </c>
    </row>
    <row r="2510" spans="57:59" x14ac:dyDescent="0.25">
      <c r="BG2510" t="s">
        <v>4604</v>
      </c>
    </row>
    <row r="2511" spans="57:59" x14ac:dyDescent="0.25">
      <c r="BG2511" t="s">
        <v>4605</v>
      </c>
    </row>
    <row r="2512" spans="57:59" x14ac:dyDescent="0.25">
      <c r="BG2512" t="s">
        <v>4606</v>
      </c>
    </row>
    <row r="2513" spans="59:59" x14ac:dyDescent="0.25">
      <c r="BG2513" t="s">
        <v>4607</v>
      </c>
    </row>
    <row r="2514" spans="59:59" x14ac:dyDescent="0.25">
      <c r="BG2514" t="s">
        <v>4608</v>
      </c>
    </row>
    <row r="2515" spans="59:59" x14ac:dyDescent="0.25">
      <c r="BG2515" t="s">
        <v>4609</v>
      </c>
    </row>
    <row r="2516" spans="59:59" x14ac:dyDescent="0.25">
      <c r="BG2516" t="s">
        <v>4610</v>
      </c>
    </row>
    <row r="2517" spans="59:59" x14ac:dyDescent="0.25">
      <c r="BG2517" t="s">
        <v>4611</v>
      </c>
    </row>
    <row r="2518" spans="59:59" x14ac:dyDescent="0.25">
      <c r="BG2518" t="s">
        <v>4612</v>
      </c>
    </row>
    <row r="2519" spans="59:59" x14ac:dyDescent="0.25">
      <c r="BG2519" t="s">
        <v>4613</v>
      </c>
    </row>
    <row r="2520" spans="59:59" x14ac:dyDescent="0.25">
      <c r="BG2520" t="s">
        <v>4614</v>
      </c>
    </row>
    <row r="2521" spans="59:59" x14ac:dyDescent="0.25">
      <c r="BG2521" t="s">
        <v>4615</v>
      </c>
    </row>
    <row r="2522" spans="59:59" x14ac:dyDescent="0.25">
      <c r="BG2522" t="s">
        <v>4616</v>
      </c>
    </row>
    <row r="2523" spans="59:59" x14ac:dyDescent="0.25">
      <c r="BG2523" t="s">
        <v>4617</v>
      </c>
    </row>
    <row r="2524" spans="59:59" x14ac:dyDescent="0.25">
      <c r="BG2524" t="s">
        <v>4618</v>
      </c>
    </row>
    <row r="2525" spans="59:59" x14ac:dyDescent="0.25">
      <c r="BG2525" t="s">
        <v>4619</v>
      </c>
    </row>
    <row r="2526" spans="59:59" x14ac:dyDescent="0.25">
      <c r="BG2526" t="s">
        <v>4620</v>
      </c>
    </row>
    <row r="2527" spans="59:59" x14ac:dyDescent="0.25">
      <c r="BG2527" t="s">
        <v>4621</v>
      </c>
    </row>
    <row r="2528" spans="59:59" x14ac:dyDescent="0.25">
      <c r="BG2528" t="s">
        <v>4622</v>
      </c>
    </row>
    <row r="2529" spans="59:59" x14ac:dyDescent="0.25">
      <c r="BG2529" t="s">
        <v>4623</v>
      </c>
    </row>
    <row r="2530" spans="59:59" x14ac:dyDescent="0.25">
      <c r="BG2530" t="s">
        <v>4624</v>
      </c>
    </row>
    <row r="2531" spans="59:59" x14ac:dyDescent="0.25">
      <c r="BG2531" t="s">
        <v>4625</v>
      </c>
    </row>
    <row r="2532" spans="59:59" x14ac:dyDescent="0.25">
      <c r="BG2532" t="s">
        <v>4626</v>
      </c>
    </row>
    <row r="2533" spans="59:59" x14ac:dyDescent="0.25">
      <c r="BG2533" t="s">
        <v>4627</v>
      </c>
    </row>
    <row r="2534" spans="59:59" x14ac:dyDescent="0.25">
      <c r="BG2534" t="s">
        <v>4628</v>
      </c>
    </row>
    <row r="2535" spans="59:59" x14ac:dyDescent="0.25">
      <c r="BG2535" t="s">
        <v>4629</v>
      </c>
    </row>
    <row r="2536" spans="59:59" x14ac:dyDescent="0.25">
      <c r="BG2536" t="s">
        <v>4630</v>
      </c>
    </row>
    <row r="2537" spans="59:59" x14ac:dyDescent="0.25">
      <c r="BG2537" t="s">
        <v>4631</v>
      </c>
    </row>
    <row r="2538" spans="59:59" x14ac:dyDescent="0.25">
      <c r="BG2538" t="s">
        <v>4632</v>
      </c>
    </row>
    <row r="2539" spans="59:59" x14ac:dyDescent="0.25">
      <c r="BG2539" t="s">
        <v>4633</v>
      </c>
    </row>
    <row r="2540" spans="59:59" x14ac:dyDescent="0.25">
      <c r="BG2540" t="s">
        <v>4634</v>
      </c>
    </row>
    <row r="2541" spans="59:59" x14ac:dyDescent="0.25">
      <c r="BG2541" t="s">
        <v>4635</v>
      </c>
    </row>
    <row r="2542" spans="59:59" x14ac:dyDescent="0.25">
      <c r="BG2542" t="s">
        <v>4636</v>
      </c>
    </row>
    <row r="2543" spans="59:59" x14ac:dyDescent="0.25">
      <c r="BG2543" t="s">
        <v>4637</v>
      </c>
    </row>
    <row r="2544" spans="59:59" x14ac:dyDescent="0.25">
      <c r="BG2544" t="s">
        <v>4638</v>
      </c>
    </row>
    <row r="2545" spans="59:59" x14ac:dyDescent="0.25">
      <c r="BG2545" t="s">
        <v>4639</v>
      </c>
    </row>
    <row r="2546" spans="59:59" x14ac:dyDescent="0.25">
      <c r="BG2546" t="s">
        <v>4640</v>
      </c>
    </row>
    <row r="2547" spans="59:59" x14ac:dyDescent="0.25">
      <c r="BG2547" t="s">
        <v>4641</v>
      </c>
    </row>
    <row r="2548" spans="59:59" x14ac:dyDescent="0.25">
      <c r="BG2548" t="s">
        <v>4642</v>
      </c>
    </row>
    <row r="2549" spans="59:59" x14ac:dyDescent="0.25">
      <c r="BG2549" t="s">
        <v>4643</v>
      </c>
    </row>
    <row r="2550" spans="59:59" x14ac:dyDescent="0.25">
      <c r="BG2550" t="s">
        <v>4644</v>
      </c>
    </row>
    <row r="2551" spans="59:59" x14ac:dyDescent="0.25">
      <c r="BG2551" t="s">
        <v>4645</v>
      </c>
    </row>
    <row r="2552" spans="59:59" x14ac:dyDescent="0.25">
      <c r="BG2552" t="s">
        <v>4646</v>
      </c>
    </row>
    <row r="2553" spans="59:59" x14ac:dyDescent="0.25">
      <c r="BG2553" t="s">
        <v>4647</v>
      </c>
    </row>
    <row r="2554" spans="59:59" x14ac:dyDescent="0.25">
      <c r="BG2554" t="s">
        <v>4648</v>
      </c>
    </row>
    <row r="2555" spans="59:59" x14ac:dyDescent="0.25">
      <c r="BG2555" t="s">
        <v>4649</v>
      </c>
    </row>
    <row r="2556" spans="59:59" x14ac:dyDescent="0.25">
      <c r="BG2556" t="s">
        <v>4650</v>
      </c>
    </row>
    <row r="2557" spans="59:59" x14ac:dyDescent="0.25">
      <c r="BG2557" t="s">
        <v>4651</v>
      </c>
    </row>
    <row r="2558" spans="59:59" x14ac:dyDescent="0.25">
      <c r="BG2558" t="s">
        <v>4652</v>
      </c>
    </row>
    <row r="2559" spans="59:59" x14ac:dyDescent="0.25">
      <c r="BG2559" t="s">
        <v>4653</v>
      </c>
    </row>
    <row r="2560" spans="59:59" x14ac:dyDescent="0.25">
      <c r="BG2560" t="s">
        <v>4654</v>
      </c>
    </row>
    <row r="2561" spans="59:59" x14ac:dyDescent="0.25">
      <c r="BG2561" t="s">
        <v>4655</v>
      </c>
    </row>
    <row r="2562" spans="59:59" x14ac:dyDescent="0.25">
      <c r="BG2562" t="s">
        <v>4656</v>
      </c>
    </row>
    <row r="2563" spans="59:59" x14ac:dyDescent="0.25">
      <c r="BG2563" t="s">
        <v>4657</v>
      </c>
    </row>
    <row r="2564" spans="59:59" x14ac:dyDescent="0.25">
      <c r="BG2564" t="s">
        <v>4658</v>
      </c>
    </row>
    <row r="2565" spans="59:59" x14ac:dyDescent="0.25">
      <c r="BG2565" t="s">
        <v>4659</v>
      </c>
    </row>
    <row r="2566" spans="59:59" x14ac:dyDescent="0.25">
      <c r="BG2566" t="s">
        <v>4660</v>
      </c>
    </row>
    <row r="2567" spans="59:59" x14ac:dyDescent="0.25">
      <c r="BG2567" t="s">
        <v>4661</v>
      </c>
    </row>
    <row r="2568" spans="59:59" x14ac:dyDescent="0.25">
      <c r="BG2568" t="s">
        <v>4662</v>
      </c>
    </row>
    <row r="2569" spans="59:59" x14ac:dyDescent="0.25">
      <c r="BG2569" t="s">
        <v>4663</v>
      </c>
    </row>
    <row r="2570" spans="59:59" x14ac:dyDescent="0.25">
      <c r="BG2570" t="s">
        <v>4664</v>
      </c>
    </row>
    <row r="2571" spans="59:59" x14ac:dyDescent="0.25">
      <c r="BG2571" t="s">
        <v>4665</v>
      </c>
    </row>
    <row r="2572" spans="59:59" x14ac:dyDescent="0.25">
      <c r="BG2572" t="s">
        <v>4666</v>
      </c>
    </row>
    <row r="2573" spans="59:59" x14ac:dyDescent="0.25">
      <c r="BG2573" t="s">
        <v>4667</v>
      </c>
    </row>
    <row r="2574" spans="59:59" x14ac:dyDescent="0.25">
      <c r="BG2574" t="s">
        <v>4668</v>
      </c>
    </row>
    <row r="2575" spans="59:59" x14ac:dyDescent="0.25">
      <c r="BG2575" t="s">
        <v>4669</v>
      </c>
    </row>
    <row r="2576" spans="59:59" x14ac:dyDescent="0.25">
      <c r="BG2576" t="s">
        <v>4670</v>
      </c>
    </row>
    <row r="2577" spans="59:59" x14ac:dyDescent="0.25">
      <c r="BG2577" t="s">
        <v>4671</v>
      </c>
    </row>
    <row r="2578" spans="59:59" x14ac:dyDescent="0.25">
      <c r="BG2578" t="s">
        <v>4672</v>
      </c>
    </row>
    <row r="2579" spans="59:59" x14ac:dyDescent="0.25">
      <c r="BG2579" t="s">
        <v>4673</v>
      </c>
    </row>
    <row r="2580" spans="59:59" x14ac:dyDescent="0.25">
      <c r="BG2580" t="s">
        <v>4674</v>
      </c>
    </row>
    <row r="2581" spans="59:59" x14ac:dyDescent="0.25">
      <c r="BG2581" t="s">
        <v>4675</v>
      </c>
    </row>
    <row r="2582" spans="59:59" x14ac:dyDescent="0.25">
      <c r="BG2582" t="s">
        <v>4676</v>
      </c>
    </row>
    <row r="2583" spans="59:59" x14ac:dyDescent="0.25">
      <c r="BG2583" t="s">
        <v>4677</v>
      </c>
    </row>
    <row r="2584" spans="59:59" x14ac:dyDescent="0.25">
      <c r="BG2584" t="s">
        <v>4678</v>
      </c>
    </row>
    <row r="2585" spans="59:59" x14ac:dyDescent="0.25">
      <c r="BG2585" t="s">
        <v>4679</v>
      </c>
    </row>
    <row r="2586" spans="59:59" x14ac:dyDescent="0.25">
      <c r="BG2586" t="s">
        <v>4680</v>
      </c>
    </row>
    <row r="2587" spans="59:59" x14ac:dyDescent="0.25">
      <c r="BG2587" t="s">
        <v>4681</v>
      </c>
    </row>
    <row r="2588" spans="59:59" x14ac:dyDescent="0.25">
      <c r="BG2588" t="s">
        <v>4682</v>
      </c>
    </row>
    <row r="2589" spans="59:59" x14ac:dyDescent="0.25">
      <c r="BG2589" t="s">
        <v>4683</v>
      </c>
    </row>
    <row r="2590" spans="59:59" x14ac:dyDescent="0.25">
      <c r="BG2590" t="s">
        <v>4684</v>
      </c>
    </row>
    <row r="2591" spans="59:59" x14ac:dyDescent="0.25">
      <c r="BG2591" t="s">
        <v>4685</v>
      </c>
    </row>
    <row r="2592" spans="59:59" x14ac:dyDescent="0.25">
      <c r="BG2592" t="s">
        <v>4686</v>
      </c>
    </row>
    <row r="2593" spans="59:59" x14ac:dyDescent="0.25">
      <c r="BG2593" t="s">
        <v>4687</v>
      </c>
    </row>
    <row r="2594" spans="59:59" x14ac:dyDescent="0.25">
      <c r="BG2594" t="s">
        <v>4688</v>
      </c>
    </row>
    <row r="2595" spans="59:59" x14ac:dyDescent="0.25">
      <c r="BG2595" t="s">
        <v>4689</v>
      </c>
    </row>
    <row r="2596" spans="59:59" x14ac:dyDescent="0.25">
      <c r="BG2596" t="s">
        <v>4690</v>
      </c>
    </row>
    <row r="2597" spans="59:59" x14ac:dyDescent="0.25">
      <c r="BG2597" t="s">
        <v>4691</v>
      </c>
    </row>
    <row r="2598" spans="59:59" x14ac:dyDescent="0.25">
      <c r="BG2598" t="s">
        <v>4692</v>
      </c>
    </row>
    <row r="2599" spans="59:59" x14ac:dyDescent="0.25">
      <c r="BG2599" t="s">
        <v>4693</v>
      </c>
    </row>
    <row r="2600" spans="59:59" x14ac:dyDescent="0.25">
      <c r="BG2600" t="s">
        <v>4694</v>
      </c>
    </row>
    <row r="2601" spans="59:59" x14ac:dyDescent="0.25">
      <c r="BG2601" t="s">
        <v>4695</v>
      </c>
    </row>
    <row r="2602" spans="59:59" x14ac:dyDescent="0.25">
      <c r="BG2602" t="s">
        <v>4696</v>
      </c>
    </row>
    <row r="2603" spans="59:59" x14ac:dyDescent="0.25">
      <c r="BG2603" t="s">
        <v>4697</v>
      </c>
    </row>
    <row r="2604" spans="59:59" x14ac:dyDescent="0.25">
      <c r="BG2604" t="s">
        <v>4698</v>
      </c>
    </row>
    <row r="2605" spans="59:59" x14ac:dyDescent="0.25">
      <c r="BG2605" t="s">
        <v>4699</v>
      </c>
    </row>
    <row r="2606" spans="59:59" x14ac:dyDescent="0.25">
      <c r="BG2606" t="s">
        <v>4700</v>
      </c>
    </row>
    <row r="2607" spans="59:59" x14ac:dyDescent="0.25">
      <c r="BG2607" t="s">
        <v>4701</v>
      </c>
    </row>
    <row r="2608" spans="59:59" x14ac:dyDescent="0.25">
      <c r="BG2608" t="s">
        <v>4702</v>
      </c>
    </row>
    <row r="2609" spans="59:59" x14ac:dyDescent="0.25">
      <c r="BG2609" t="s">
        <v>4703</v>
      </c>
    </row>
    <row r="2610" spans="59:59" x14ac:dyDescent="0.25">
      <c r="BG2610" t="s">
        <v>4704</v>
      </c>
    </row>
    <row r="2611" spans="59:59" x14ac:dyDescent="0.25">
      <c r="BG2611" t="s">
        <v>4705</v>
      </c>
    </row>
    <row r="2612" spans="59:59" x14ac:dyDescent="0.25">
      <c r="BG2612" t="s">
        <v>4706</v>
      </c>
    </row>
    <row r="2613" spans="59:59" x14ac:dyDescent="0.25">
      <c r="BG2613" t="s">
        <v>4707</v>
      </c>
    </row>
    <row r="2614" spans="59:59" x14ac:dyDescent="0.25">
      <c r="BG2614" t="s">
        <v>4708</v>
      </c>
    </row>
    <row r="2615" spans="59:59" x14ac:dyDescent="0.25">
      <c r="BG2615" t="s">
        <v>4709</v>
      </c>
    </row>
    <row r="2616" spans="59:59" x14ac:dyDescent="0.25">
      <c r="BG2616" t="s">
        <v>4710</v>
      </c>
    </row>
    <row r="2617" spans="59:59" x14ac:dyDescent="0.25">
      <c r="BG2617" t="s">
        <v>4711</v>
      </c>
    </row>
    <row r="2618" spans="59:59" x14ac:dyDescent="0.25">
      <c r="BG2618" t="s">
        <v>4712</v>
      </c>
    </row>
    <row r="2619" spans="59:59" x14ac:dyDescent="0.25">
      <c r="BG2619" t="s">
        <v>4713</v>
      </c>
    </row>
    <row r="2620" spans="59:59" x14ac:dyDescent="0.25">
      <c r="BG2620" t="s">
        <v>4714</v>
      </c>
    </row>
    <row r="2621" spans="59:59" x14ac:dyDescent="0.25">
      <c r="BG2621" t="s">
        <v>4715</v>
      </c>
    </row>
    <row r="2622" spans="59:59" x14ac:dyDescent="0.25">
      <c r="BG2622" t="s">
        <v>4716</v>
      </c>
    </row>
    <row r="2623" spans="59:59" x14ac:dyDescent="0.25">
      <c r="BG2623" t="s">
        <v>4717</v>
      </c>
    </row>
    <row r="2624" spans="59:59" x14ac:dyDescent="0.25">
      <c r="BG2624" t="s">
        <v>4718</v>
      </c>
    </row>
    <row r="2625" spans="59:59" x14ac:dyDescent="0.25">
      <c r="BG2625" t="s">
        <v>4719</v>
      </c>
    </row>
    <row r="2626" spans="59:59" x14ac:dyDescent="0.25">
      <c r="BG2626" t="s">
        <v>4720</v>
      </c>
    </row>
    <row r="2627" spans="59:59" x14ac:dyDescent="0.25">
      <c r="BG2627" t="s">
        <v>4721</v>
      </c>
    </row>
    <row r="2628" spans="59:59" x14ac:dyDescent="0.25">
      <c r="BG2628" t="s">
        <v>4722</v>
      </c>
    </row>
    <row r="2629" spans="59:59" x14ac:dyDescent="0.25">
      <c r="BG2629" t="s">
        <v>4723</v>
      </c>
    </row>
    <row r="2630" spans="59:59" x14ac:dyDescent="0.25">
      <c r="BG2630" t="s">
        <v>4724</v>
      </c>
    </row>
    <row r="2631" spans="59:59" x14ac:dyDescent="0.25">
      <c r="BG2631" t="s">
        <v>4725</v>
      </c>
    </row>
    <row r="2632" spans="59:59" x14ac:dyDescent="0.25">
      <c r="BG2632" t="s">
        <v>4726</v>
      </c>
    </row>
    <row r="2633" spans="59:59" x14ac:dyDescent="0.25">
      <c r="BG2633" t="s">
        <v>4727</v>
      </c>
    </row>
    <row r="2634" spans="59:59" x14ac:dyDescent="0.25">
      <c r="BG2634" t="s">
        <v>4728</v>
      </c>
    </row>
    <row r="2635" spans="59:59" x14ac:dyDescent="0.25">
      <c r="BG2635" t="s">
        <v>4729</v>
      </c>
    </row>
    <row r="2636" spans="59:59" x14ac:dyDescent="0.25">
      <c r="BG2636" t="s">
        <v>4730</v>
      </c>
    </row>
    <row r="2637" spans="59:59" x14ac:dyDescent="0.25">
      <c r="BG2637" t="s">
        <v>4731</v>
      </c>
    </row>
    <row r="2638" spans="59:59" x14ac:dyDescent="0.25">
      <c r="BG2638" t="s">
        <v>4732</v>
      </c>
    </row>
    <row r="2639" spans="59:59" x14ac:dyDescent="0.25">
      <c r="BG2639" t="s">
        <v>4733</v>
      </c>
    </row>
    <row r="2640" spans="59:59" x14ac:dyDescent="0.25">
      <c r="BG2640" t="s">
        <v>4734</v>
      </c>
    </row>
    <row r="2641" spans="59:59" x14ac:dyDescent="0.25">
      <c r="BG2641" t="s">
        <v>4735</v>
      </c>
    </row>
    <row r="2642" spans="59:59" x14ac:dyDescent="0.25">
      <c r="BG2642" t="s">
        <v>4736</v>
      </c>
    </row>
    <row r="2643" spans="59:59" x14ac:dyDescent="0.25">
      <c r="BG2643" t="s">
        <v>4737</v>
      </c>
    </row>
    <row r="2644" spans="59:59" x14ac:dyDescent="0.25">
      <c r="BG2644" t="s">
        <v>4738</v>
      </c>
    </row>
    <row r="2645" spans="59:59" x14ac:dyDescent="0.25">
      <c r="BG2645" t="s">
        <v>4739</v>
      </c>
    </row>
    <row r="2646" spans="59:59" x14ac:dyDescent="0.25">
      <c r="BG2646" t="s">
        <v>4740</v>
      </c>
    </row>
    <row r="2647" spans="59:59" x14ac:dyDescent="0.25">
      <c r="BG2647" t="s">
        <v>4741</v>
      </c>
    </row>
    <row r="2648" spans="59:59" x14ac:dyDescent="0.25">
      <c r="BG2648" t="s">
        <v>4742</v>
      </c>
    </row>
    <row r="2649" spans="59:59" x14ac:dyDescent="0.25">
      <c r="BG2649" t="s">
        <v>4743</v>
      </c>
    </row>
    <row r="2650" spans="59:59" x14ac:dyDescent="0.25">
      <c r="BG2650" t="s">
        <v>4744</v>
      </c>
    </row>
    <row r="2651" spans="59:59" x14ac:dyDescent="0.25">
      <c r="BG2651" t="s">
        <v>4745</v>
      </c>
    </row>
    <row r="2652" spans="59:59" x14ac:dyDescent="0.25">
      <c r="BG2652" t="s">
        <v>4746</v>
      </c>
    </row>
    <row r="2653" spans="59:59" x14ac:dyDescent="0.25">
      <c r="BG2653" t="s">
        <v>4747</v>
      </c>
    </row>
    <row r="2654" spans="59:59" x14ac:dyDescent="0.25">
      <c r="BG2654" t="s">
        <v>4748</v>
      </c>
    </row>
    <row r="2655" spans="59:59" x14ac:dyDescent="0.25">
      <c r="BG2655" t="s">
        <v>4749</v>
      </c>
    </row>
    <row r="2656" spans="59:59" x14ac:dyDescent="0.25">
      <c r="BG2656" t="s">
        <v>4750</v>
      </c>
    </row>
    <row r="2657" spans="59:59" x14ac:dyDescent="0.25">
      <c r="BG2657" t="s">
        <v>4751</v>
      </c>
    </row>
    <row r="2658" spans="59:59" x14ac:dyDescent="0.25">
      <c r="BG2658" t="s">
        <v>4752</v>
      </c>
    </row>
    <row r="2659" spans="59:59" x14ac:dyDescent="0.25">
      <c r="BG2659" t="s">
        <v>4753</v>
      </c>
    </row>
    <row r="2660" spans="59:59" x14ac:dyDescent="0.25">
      <c r="BG2660" t="s">
        <v>4754</v>
      </c>
    </row>
    <row r="2661" spans="59:59" x14ac:dyDescent="0.25">
      <c r="BG2661" t="s">
        <v>4755</v>
      </c>
    </row>
    <row r="2662" spans="59:59" x14ac:dyDescent="0.25">
      <c r="BG2662" t="s">
        <v>4756</v>
      </c>
    </row>
    <row r="2663" spans="59:59" x14ac:dyDescent="0.25">
      <c r="BG2663" t="s">
        <v>4757</v>
      </c>
    </row>
    <row r="2664" spans="59:59" x14ac:dyDescent="0.25">
      <c r="BG2664" t="s">
        <v>4758</v>
      </c>
    </row>
    <row r="2665" spans="59:59" x14ac:dyDescent="0.25">
      <c r="BG2665" t="s">
        <v>4759</v>
      </c>
    </row>
    <row r="2666" spans="59:59" x14ac:dyDescent="0.25">
      <c r="BG2666" t="s">
        <v>4760</v>
      </c>
    </row>
    <row r="2667" spans="59:59" x14ac:dyDescent="0.25">
      <c r="BG2667" t="s">
        <v>4761</v>
      </c>
    </row>
    <row r="2668" spans="59:59" x14ac:dyDescent="0.25">
      <c r="BG2668" t="s">
        <v>4762</v>
      </c>
    </row>
    <row r="2669" spans="59:59" x14ac:dyDescent="0.25">
      <c r="BG2669" t="s">
        <v>4763</v>
      </c>
    </row>
    <row r="2670" spans="59:59" x14ac:dyDescent="0.25">
      <c r="BG2670" t="s">
        <v>4764</v>
      </c>
    </row>
    <row r="2671" spans="59:59" x14ac:dyDescent="0.25">
      <c r="BG2671" t="s">
        <v>4765</v>
      </c>
    </row>
    <row r="2672" spans="59:59" x14ac:dyDescent="0.25">
      <c r="BG2672" t="s">
        <v>4766</v>
      </c>
    </row>
    <row r="2673" spans="59:59" x14ac:dyDescent="0.25">
      <c r="BG2673" t="s">
        <v>4767</v>
      </c>
    </row>
    <row r="2674" spans="59:59" x14ac:dyDescent="0.25">
      <c r="BG2674" t="s">
        <v>4768</v>
      </c>
    </row>
    <row r="2675" spans="59:59" x14ac:dyDescent="0.25">
      <c r="BG2675" t="s">
        <v>4769</v>
      </c>
    </row>
    <row r="2676" spans="59:59" x14ac:dyDescent="0.25">
      <c r="BG2676" t="s">
        <v>4770</v>
      </c>
    </row>
    <row r="2677" spans="59:59" x14ac:dyDescent="0.25">
      <c r="BG2677" t="s">
        <v>4771</v>
      </c>
    </row>
    <row r="2678" spans="59:59" x14ac:dyDescent="0.25">
      <c r="BG2678" t="s">
        <v>4772</v>
      </c>
    </row>
    <row r="2679" spans="59:59" x14ac:dyDescent="0.25">
      <c r="BG2679" t="s">
        <v>4773</v>
      </c>
    </row>
    <row r="2680" spans="59:59" x14ac:dyDescent="0.25">
      <c r="BG2680" t="s">
        <v>4774</v>
      </c>
    </row>
    <row r="2681" spans="59:59" x14ac:dyDescent="0.25">
      <c r="BG2681" t="s">
        <v>4775</v>
      </c>
    </row>
    <row r="2682" spans="59:59" x14ac:dyDescent="0.25">
      <c r="BG2682" t="s">
        <v>4776</v>
      </c>
    </row>
    <row r="2683" spans="59:59" x14ac:dyDescent="0.25">
      <c r="BG2683" t="s">
        <v>4777</v>
      </c>
    </row>
    <row r="2684" spans="59:59" x14ac:dyDescent="0.25">
      <c r="BG2684" t="s">
        <v>4778</v>
      </c>
    </row>
    <row r="2685" spans="59:59" x14ac:dyDescent="0.25">
      <c r="BG2685" t="s">
        <v>4779</v>
      </c>
    </row>
    <row r="2686" spans="59:59" x14ac:dyDescent="0.25">
      <c r="BG2686" t="s">
        <v>4780</v>
      </c>
    </row>
    <row r="2687" spans="59:59" x14ac:dyDescent="0.25">
      <c r="BG2687" t="s">
        <v>4781</v>
      </c>
    </row>
    <row r="2688" spans="59:59" x14ac:dyDescent="0.25">
      <c r="BG2688" t="s">
        <v>4782</v>
      </c>
    </row>
    <row r="2689" spans="59:59" x14ac:dyDescent="0.25">
      <c r="BG2689" t="s">
        <v>4783</v>
      </c>
    </row>
    <row r="2690" spans="59:59" x14ac:dyDescent="0.25">
      <c r="BG2690" t="s">
        <v>4784</v>
      </c>
    </row>
    <row r="2691" spans="59:59" x14ac:dyDescent="0.25">
      <c r="BG2691" t="s">
        <v>4785</v>
      </c>
    </row>
    <row r="2692" spans="59:59" x14ac:dyDescent="0.25">
      <c r="BG2692" t="s">
        <v>4786</v>
      </c>
    </row>
    <row r="2693" spans="59:59" x14ac:dyDescent="0.25">
      <c r="BG2693" t="s">
        <v>4787</v>
      </c>
    </row>
    <row r="2694" spans="59:59" x14ac:dyDescent="0.25">
      <c r="BG2694" t="s">
        <v>4788</v>
      </c>
    </row>
    <row r="2695" spans="59:59" x14ac:dyDescent="0.25">
      <c r="BG2695" t="s">
        <v>4789</v>
      </c>
    </row>
    <row r="2696" spans="59:59" x14ac:dyDescent="0.25">
      <c r="BG2696" t="s">
        <v>4790</v>
      </c>
    </row>
    <row r="2697" spans="59:59" x14ac:dyDescent="0.25">
      <c r="BG2697" t="s">
        <v>4791</v>
      </c>
    </row>
    <row r="2698" spans="59:59" x14ac:dyDescent="0.25">
      <c r="BG2698" t="s">
        <v>4792</v>
      </c>
    </row>
    <row r="2699" spans="59:59" x14ac:dyDescent="0.25">
      <c r="BG2699" t="s">
        <v>4793</v>
      </c>
    </row>
    <row r="2700" spans="59:59" x14ac:dyDescent="0.25">
      <c r="BG2700" t="s">
        <v>4794</v>
      </c>
    </row>
    <row r="2701" spans="59:59" x14ac:dyDescent="0.25">
      <c r="BG2701" t="s">
        <v>4795</v>
      </c>
    </row>
    <row r="2702" spans="59:59" x14ac:dyDescent="0.25">
      <c r="BG2702" t="s">
        <v>4796</v>
      </c>
    </row>
    <row r="2703" spans="59:59" x14ac:dyDescent="0.25">
      <c r="BG2703" t="s">
        <v>4797</v>
      </c>
    </row>
    <row r="2704" spans="59:59" x14ac:dyDescent="0.25">
      <c r="BG2704" t="s">
        <v>4798</v>
      </c>
    </row>
    <row r="2705" spans="59:59" x14ac:dyDescent="0.25">
      <c r="BG2705" t="s">
        <v>4799</v>
      </c>
    </row>
    <row r="2706" spans="59:59" x14ac:dyDescent="0.25">
      <c r="BG2706" t="s">
        <v>4800</v>
      </c>
    </row>
    <row r="2707" spans="59:59" x14ac:dyDescent="0.25">
      <c r="BG2707" t="s">
        <v>4801</v>
      </c>
    </row>
    <row r="2708" spans="59:59" x14ac:dyDescent="0.25">
      <c r="BG2708" t="s">
        <v>4802</v>
      </c>
    </row>
    <row r="2709" spans="59:59" x14ac:dyDescent="0.25">
      <c r="BG2709" t="s">
        <v>4803</v>
      </c>
    </row>
    <row r="2710" spans="59:59" x14ac:dyDescent="0.25">
      <c r="BG2710" t="s">
        <v>4804</v>
      </c>
    </row>
    <row r="2711" spans="59:59" x14ac:dyDescent="0.25">
      <c r="BG2711" t="s">
        <v>4805</v>
      </c>
    </row>
    <row r="2712" spans="59:59" x14ac:dyDescent="0.25">
      <c r="BG2712" t="s">
        <v>4806</v>
      </c>
    </row>
    <row r="2713" spans="59:59" x14ac:dyDescent="0.25">
      <c r="BG2713" t="s">
        <v>4807</v>
      </c>
    </row>
    <row r="2714" spans="59:59" x14ac:dyDescent="0.25">
      <c r="BG2714" t="s">
        <v>4808</v>
      </c>
    </row>
    <row r="2715" spans="59:59" x14ac:dyDescent="0.25">
      <c r="BG2715" t="s">
        <v>4809</v>
      </c>
    </row>
    <row r="2716" spans="59:59" x14ac:dyDescent="0.25">
      <c r="BG2716" t="s">
        <v>4810</v>
      </c>
    </row>
    <row r="2717" spans="59:59" x14ac:dyDescent="0.25">
      <c r="BG2717" t="s">
        <v>4811</v>
      </c>
    </row>
    <row r="2718" spans="59:59" x14ac:dyDescent="0.25">
      <c r="BG2718" t="s">
        <v>4812</v>
      </c>
    </row>
    <row r="2719" spans="59:59" x14ac:dyDescent="0.25">
      <c r="BG2719" t="s">
        <v>4813</v>
      </c>
    </row>
    <row r="2720" spans="59:59" x14ac:dyDescent="0.25">
      <c r="BG2720" t="s">
        <v>4814</v>
      </c>
    </row>
    <row r="2721" spans="59:59" x14ac:dyDescent="0.25">
      <c r="BG2721" t="s">
        <v>4815</v>
      </c>
    </row>
    <row r="2722" spans="59:59" x14ac:dyDescent="0.25">
      <c r="BG2722" t="s">
        <v>4816</v>
      </c>
    </row>
    <row r="2723" spans="59:59" x14ac:dyDescent="0.25">
      <c r="BG2723" t="s">
        <v>4817</v>
      </c>
    </row>
    <row r="2724" spans="59:59" x14ac:dyDescent="0.25">
      <c r="BG2724" t="s">
        <v>4818</v>
      </c>
    </row>
    <row r="2725" spans="59:59" x14ac:dyDescent="0.25">
      <c r="BG2725" t="s">
        <v>4819</v>
      </c>
    </row>
    <row r="2726" spans="59:59" x14ac:dyDescent="0.25">
      <c r="BG2726" t="s">
        <v>4820</v>
      </c>
    </row>
    <row r="2727" spans="59:59" x14ac:dyDescent="0.25">
      <c r="BG2727" t="s">
        <v>4821</v>
      </c>
    </row>
    <row r="2728" spans="59:59" x14ac:dyDescent="0.25">
      <c r="BG2728" t="s">
        <v>4822</v>
      </c>
    </row>
    <row r="2729" spans="59:59" x14ac:dyDescent="0.25">
      <c r="BG2729" t="s">
        <v>4823</v>
      </c>
    </row>
    <row r="2730" spans="59:59" x14ac:dyDescent="0.25">
      <c r="BG2730" t="s">
        <v>4824</v>
      </c>
    </row>
    <row r="2731" spans="59:59" x14ac:dyDescent="0.25">
      <c r="BG2731" t="s">
        <v>4825</v>
      </c>
    </row>
    <row r="2732" spans="59:59" x14ac:dyDescent="0.25">
      <c r="BG2732" t="s">
        <v>4826</v>
      </c>
    </row>
    <row r="2733" spans="59:59" x14ac:dyDescent="0.25">
      <c r="BG2733" t="s">
        <v>4827</v>
      </c>
    </row>
    <row r="2734" spans="59:59" x14ac:dyDescent="0.25">
      <c r="BG2734" t="s">
        <v>4828</v>
      </c>
    </row>
    <row r="2735" spans="59:59" x14ac:dyDescent="0.25">
      <c r="BG2735" t="s">
        <v>4829</v>
      </c>
    </row>
    <row r="2736" spans="59:59" x14ac:dyDescent="0.25">
      <c r="BG2736" t="s">
        <v>4830</v>
      </c>
    </row>
    <row r="2737" spans="59:59" x14ac:dyDescent="0.25">
      <c r="BG2737" t="s">
        <v>4831</v>
      </c>
    </row>
    <row r="2738" spans="59:59" x14ac:dyDescent="0.25">
      <c r="BG2738" t="s">
        <v>4832</v>
      </c>
    </row>
    <row r="2739" spans="59:59" x14ac:dyDescent="0.25">
      <c r="BG2739" t="s">
        <v>4833</v>
      </c>
    </row>
    <row r="2740" spans="59:59" x14ac:dyDescent="0.25">
      <c r="BG2740" t="s">
        <v>4834</v>
      </c>
    </row>
    <row r="2741" spans="59:59" x14ac:dyDescent="0.25">
      <c r="BG2741" t="s">
        <v>4835</v>
      </c>
    </row>
    <row r="2742" spans="59:59" x14ac:dyDescent="0.25">
      <c r="BG2742" t="s">
        <v>4836</v>
      </c>
    </row>
    <row r="2743" spans="59:59" x14ac:dyDescent="0.25">
      <c r="BG2743" t="s">
        <v>4837</v>
      </c>
    </row>
    <row r="2744" spans="59:59" x14ac:dyDescent="0.25">
      <c r="BG2744" t="s">
        <v>4838</v>
      </c>
    </row>
    <row r="2745" spans="59:59" x14ac:dyDescent="0.25">
      <c r="BG2745" t="s">
        <v>4839</v>
      </c>
    </row>
    <row r="2746" spans="59:59" x14ac:dyDescent="0.25">
      <c r="BG2746" t="s">
        <v>4840</v>
      </c>
    </row>
    <row r="2747" spans="59:59" x14ac:dyDescent="0.25">
      <c r="BG2747" t="s">
        <v>4841</v>
      </c>
    </row>
    <row r="2748" spans="59:59" x14ac:dyDescent="0.25">
      <c r="BG2748" t="s">
        <v>4842</v>
      </c>
    </row>
    <row r="2749" spans="59:59" x14ac:dyDescent="0.25">
      <c r="BG2749" t="s">
        <v>4843</v>
      </c>
    </row>
    <row r="2750" spans="59:59" x14ac:dyDescent="0.25">
      <c r="BG2750" t="s">
        <v>4844</v>
      </c>
    </row>
    <row r="2751" spans="59:59" x14ac:dyDescent="0.25">
      <c r="BG2751" t="s">
        <v>4845</v>
      </c>
    </row>
    <row r="2752" spans="59:59" x14ac:dyDescent="0.25">
      <c r="BG2752" t="s">
        <v>4846</v>
      </c>
    </row>
    <row r="2753" spans="59:59" x14ac:dyDescent="0.25">
      <c r="BG2753" t="s">
        <v>4847</v>
      </c>
    </row>
    <row r="2754" spans="59:59" x14ac:dyDescent="0.25">
      <c r="BG2754" t="s">
        <v>4848</v>
      </c>
    </row>
    <row r="2755" spans="59:59" x14ac:dyDescent="0.25">
      <c r="BG2755" t="s">
        <v>4849</v>
      </c>
    </row>
    <row r="2756" spans="59:59" x14ac:dyDescent="0.25">
      <c r="BG2756" t="s">
        <v>4850</v>
      </c>
    </row>
    <row r="2757" spans="59:59" x14ac:dyDescent="0.25">
      <c r="BG2757" t="s">
        <v>4851</v>
      </c>
    </row>
    <row r="2758" spans="59:59" x14ac:dyDescent="0.25">
      <c r="BG2758" t="s">
        <v>4852</v>
      </c>
    </row>
    <row r="2759" spans="59:59" x14ac:dyDescent="0.25">
      <c r="BG2759" t="s">
        <v>4853</v>
      </c>
    </row>
    <row r="2760" spans="59:59" x14ac:dyDescent="0.25">
      <c r="BG2760" t="s">
        <v>4854</v>
      </c>
    </row>
    <row r="2761" spans="59:59" x14ac:dyDescent="0.25">
      <c r="BG2761" t="s">
        <v>4855</v>
      </c>
    </row>
    <row r="2762" spans="59:59" x14ac:dyDescent="0.25">
      <c r="BG2762" t="s">
        <v>4856</v>
      </c>
    </row>
    <row r="2763" spans="59:59" x14ac:dyDescent="0.25">
      <c r="BG2763" t="s">
        <v>4857</v>
      </c>
    </row>
    <row r="2764" spans="59:59" x14ac:dyDescent="0.25">
      <c r="BG2764" t="s">
        <v>4858</v>
      </c>
    </row>
    <row r="2765" spans="59:59" x14ac:dyDescent="0.25">
      <c r="BG2765" t="s">
        <v>4859</v>
      </c>
    </row>
    <row r="2766" spans="59:59" x14ac:dyDescent="0.25">
      <c r="BG2766" t="s">
        <v>4860</v>
      </c>
    </row>
    <row r="2767" spans="59:59" x14ac:dyDescent="0.25">
      <c r="BG2767" t="s">
        <v>4861</v>
      </c>
    </row>
    <row r="2768" spans="59:59" x14ac:dyDescent="0.25">
      <c r="BG2768" t="s">
        <v>4862</v>
      </c>
    </row>
    <row r="2769" spans="59:59" x14ac:dyDescent="0.25">
      <c r="BG2769" t="s">
        <v>4863</v>
      </c>
    </row>
    <row r="2770" spans="59:59" x14ac:dyDescent="0.25">
      <c r="BG2770" t="s">
        <v>4864</v>
      </c>
    </row>
    <row r="2771" spans="59:59" x14ac:dyDescent="0.25">
      <c r="BG2771" t="s">
        <v>4865</v>
      </c>
    </row>
    <row r="2772" spans="59:59" x14ac:dyDescent="0.25">
      <c r="BG2772" t="s">
        <v>4866</v>
      </c>
    </row>
    <row r="2773" spans="59:59" x14ac:dyDescent="0.25">
      <c r="BG2773" t="s">
        <v>4867</v>
      </c>
    </row>
    <row r="2774" spans="59:59" x14ac:dyDescent="0.25">
      <c r="BG2774" t="s">
        <v>4868</v>
      </c>
    </row>
    <row r="2775" spans="59:59" x14ac:dyDescent="0.25">
      <c r="BG2775" t="s">
        <v>4869</v>
      </c>
    </row>
    <row r="2776" spans="59:59" x14ac:dyDescent="0.25">
      <c r="BG2776" t="s">
        <v>4870</v>
      </c>
    </row>
    <row r="2777" spans="59:59" x14ac:dyDescent="0.25">
      <c r="BG2777" t="s">
        <v>4871</v>
      </c>
    </row>
    <row r="2778" spans="59:59" x14ac:dyDescent="0.25">
      <c r="BG2778" t="s">
        <v>4872</v>
      </c>
    </row>
    <row r="2779" spans="59:59" x14ac:dyDescent="0.25">
      <c r="BG2779" t="s">
        <v>4873</v>
      </c>
    </row>
    <row r="2780" spans="59:59" x14ac:dyDescent="0.25">
      <c r="BG2780" t="s">
        <v>4874</v>
      </c>
    </row>
    <row r="2781" spans="59:59" x14ac:dyDescent="0.25">
      <c r="BG2781" t="s">
        <v>4875</v>
      </c>
    </row>
    <row r="2782" spans="59:59" x14ac:dyDescent="0.25">
      <c r="BG2782" t="s">
        <v>4876</v>
      </c>
    </row>
    <row r="2783" spans="59:59" x14ac:dyDescent="0.25">
      <c r="BG2783" t="s">
        <v>4877</v>
      </c>
    </row>
    <row r="2784" spans="59:59" x14ac:dyDescent="0.25">
      <c r="BG2784" t="s">
        <v>4878</v>
      </c>
    </row>
    <row r="2785" spans="59:59" x14ac:dyDescent="0.25">
      <c r="BG2785" t="s">
        <v>4879</v>
      </c>
    </row>
    <row r="2786" spans="59:59" x14ac:dyDescent="0.25">
      <c r="BG2786" t="s">
        <v>4880</v>
      </c>
    </row>
    <row r="2787" spans="59:59" x14ac:dyDescent="0.25">
      <c r="BG2787" t="s">
        <v>4881</v>
      </c>
    </row>
    <row r="2788" spans="59:59" x14ac:dyDescent="0.25">
      <c r="BG2788" t="s">
        <v>4882</v>
      </c>
    </row>
    <row r="2789" spans="59:59" x14ac:dyDescent="0.25">
      <c r="BG2789" t="s">
        <v>4883</v>
      </c>
    </row>
    <row r="2790" spans="59:59" x14ac:dyDescent="0.25">
      <c r="BG2790" t="s">
        <v>4884</v>
      </c>
    </row>
    <row r="2791" spans="59:59" x14ac:dyDescent="0.25">
      <c r="BG2791" t="s">
        <v>4885</v>
      </c>
    </row>
    <row r="2792" spans="59:59" x14ac:dyDescent="0.25">
      <c r="BG2792" t="s">
        <v>4886</v>
      </c>
    </row>
    <row r="2793" spans="59:59" x14ac:dyDescent="0.25">
      <c r="BG2793" t="s">
        <v>4887</v>
      </c>
    </row>
    <row r="2794" spans="59:59" x14ac:dyDescent="0.25">
      <c r="BG2794" t="s">
        <v>4888</v>
      </c>
    </row>
    <row r="2795" spans="59:59" x14ac:dyDescent="0.25">
      <c r="BG2795" t="s">
        <v>4889</v>
      </c>
    </row>
    <row r="2796" spans="59:59" x14ac:dyDescent="0.25">
      <c r="BG2796" t="s">
        <v>4890</v>
      </c>
    </row>
    <row r="2797" spans="59:59" x14ac:dyDescent="0.25">
      <c r="BG2797" t="s">
        <v>4891</v>
      </c>
    </row>
    <row r="2798" spans="59:59" x14ac:dyDescent="0.25">
      <c r="BG2798" t="s">
        <v>4892</v>
      </c>
    </row>
    <row r="2799" spans="59:59" x14ac:dyDescent="0.25">
      <c r="BG2799" t="s">
        <v>4893</v>
      </c>
    </row>
    <row r="2800" spans="59:59" x14ac:dyDescent="0.25">
      <c r="BG2800" t="s">
        <v>4894</v>
      </c>
    </row>
    <row r="2801" spans="59:59" x14ac:dyDescent="0.25">
      <c r="BG2801" t="s">
        <v>4895</v>
      </c>
    </row>
    <row r="2802" spans="59:59" x14ac:dyDescent="0.25">
      <c r="BG2802" t="s">
        <v>4896</v>
      </c>
    </row>
    <row r="2803" spans="59:59" x14ac:dyDescent="0.25">
      <c r="BG2803" t="s">
        <v>4897</v>
      </c>
    </row>
    <row r="2804" spans="59:59" x14ac:dyDescent="0.25">
      <c r="BG2804" t="s">
        <v>4898</v>
      </c>
    </row>
    <row r="2805" spans="59:59" x14ac:dyDescent="0.25">
      <c r="BG2805" t="s">
        <v>4899</v>
      </c>
    </row>
    <row r="2806" spans="59:59" x14ac:dyDescent="0.25">
      <c r="BG2806" t="s">
        <v>4900</v>
      </c>
    </row>
    <row r="2807" spans="59:59" x14ac:dyDescent="0.25">
      <c r="BG2807" t="s">
        <v>4901</v>
      </c>
    </row>
    <row r="2808" spans="59:59" x14ac:dyDescent="0.25">
      <c r="BG2808" t="s">
        <v>4902</v>
      </c>
    </row>
    <row r="2809" spans="59:59" x14ac:dyDescent="0.25">
      <c r="BG2809" t="s">
        <v>4903</v>
      </c>
    </row>
    <row r="2810" spans="59:59" x14ac:dyDescent="0.25">
      <c r="BG2810" t="s">
        <v>4904</v>
      </c>
    </row>
    <row r="2811" spans="59:59" x14ac:dyDescent="0.25">
      <c r="BG2811" t="s">
        <v>4905</v>
      </c>
    </row>
    <row r="2812" spans="59:59" x14ac:dyDescent="0.25">
      <c r="BG2812" t="s">
        <v>4906</v>
      </c>
    </row>
    <row r="2813" spans="59:59" x14ac:dyDescent="0.25">
      <c r="BG2813" t="s">
        <v>4907</v>
      </c>
    </row>
    <row r="2814" spans="59:59" x14ac:dyDescent="0.25">
      <c r="BG2814" t="s">
        <v>4908</v>
      </c>
    </row>
    <row r="2815" spans="59:59" x14ac:dyDescent="0.25">
      <c r="BG2815" t="s">
        <v>4909</v>
      </c>
    </row>
    <row r="2816" spans="59:59" x14ac:dyDescent="0.25">
      <c r="BG2816" t="s">
        <v>4910</v>
      </c>
    </row>
    <row r="2817" spans="59:59" x14ac:dyDescent="0.25">
      <c r="BG2817" t="s">
        <v>4911</v>
      </c>
    </row>
    <row r="2818" spans="59:59" x14ac:dyDescent="0.25">
      <c r="BG2818" t="s">
        <v>4912</v>
      </c>
    </row>
    <row r="2819" spans="59:59" x14ac:dyDescent="0.25">
      <c r="BG2819" t="s">
        <v>4913</v>
      </c>
    </row>
    <row r="2820" spans="59:59" x14ac:dyDescent="0.25">
      <c r="BG2820" t="s">
        <v>4914</v>
      </c>
    </row>
    <row r="2821" spans="59:59" x14ac:dyDescent="0.25">
      <c r="BG2821" t="s">
        <v>4915</v>
      </c>
    </row>
    <row r="2822" spans="59:59" x14ac:dyDescent="0.25">
      <c r="BG2822" t="s">
        <v>4916</v>
      </c>
    </row>
    <row r="2823" spans="59:59" x14ac:dyDescent="0.25">
      <c r="BG2823" t="s">
        <v>4917</v>
      </c>
    </row>
    <row r="2824" spans="59:59" x14ac:dyDescent="0.25">
      <c r="BG2824" t="s">
        <v>4918</v>
      </c>
    </row>
    <row r="2825" spans="59:59" x14ac:dyDescent="0.25">
      <c r="BG2825" t="s">
        <v>4919</v>
      </c>
    </row>
    <row r="2826" spans="59:59" x14ac:dyDescent="0.25">
      <c r="BG2826" t="s">
        <v>4920</v>
      </c>
    </row>
    <row r="2827" spans="59:59" x14ac:dyDescent="0.25">
      <c r="BG2827" t="s">
        <v>4921</v>
      </c>
    </row>
    <row r="2828" spans="59:59" x14ac:dyDescent="0.25">
      <c r="BG2828" t="s">
        <v>4922</v>
      </c>
    </row>
    <row r="2829" spans="59:59" x14ac:dyDescent="0.25">
      <c r="BG2829" t="s">
        <v>4923</v>
      </c>
    </row>
    <row r="2830" spans="59:59" x14ac:dyDescent="0.25">
      <c r="BG2830" t="s">
        <v>4924</v>
      </c>
    </row>
    <row r="2831" spans="59:59" x14ac:dyDescent="0.25">
      <c r="BG2831" t="s">
        <v>4925</v>
      </c>
    </row>
    <row r="2832" spans="59:59" x14ac:dyDescent="0.25">
      <c r="BG2832" t="s">
        <v>4926</v>
      </c>
    </row>
    <row r="2833" spans="59:59" x14ac:dyDescent="0.25">
      <c r="BG2833" t="s">
        <v>4927</v>
      </c>
    </row>
    <row r="2834" spans="59:59" x14ac:dyDescent="0.25">
      <c r="BG2834" t="s">
        <v>4928</v>
      </c>
    </row>
    <row r="2835" spans="59:59" x14ac:dyDescent="0.25">
      <c r="BG2835" t="s">
        <v>4929</v>
      </c>
    </row>
    <row r="2836" spans="59:59" x14ac:dyDescent="0.25">
      <c r="BG2836" t="s">
        <v>4930</v>
      </c>
    </row>
    <row r="2837" spans="59:59" x14ac:dyDescent="0.25">
      <c r="BG2837" t="s">
        <v>4931</v>
      </c>
    </row>
    <row r="2838" spans="59:59" x14ac:dyDescent="0.25">
      <c r="BG2838" t="s">
        <v>4932</v>
      </c>
    </row>
    <row r="2839" spans="59:59" x14ac:dyDescent="0.25">
      <c r="BG2839" t="s">
        <v>4933</v>
      </c>
    </row>
    <row r="2840" spans="59:59" x14ac:dyDescent="0.25">
      <c r="BG2840" t="s">
        <v>4934</v>
      </c>
    </row>
    <row r="2841" spans="59:59" x14ac:dyDescent="0.25">
      <c r="BG2841" t="s">
        <v>4935</v>
      </c>
    </row>
    <row r="2842" spans="59:59" x14ac:dyDescent="0.25">
      <c r="BG2842" t="s">
        <v>4936</v>
      </c>
    </row>
    <row r="2843" spans="59:59" x14ac:dyDescent="0.25">
      <c r="BG2843" t="s">
        <v>4937</v>
      </c>
    </row>
    <row r="2844" spans="59:59" x14ac:dyDescent="0.25">
      <c r="BG2844" t="s">
        <v>4938</v>
      </c>
    </row>
    <row r="2845" spans="59:59" x14ac:dyDescent="0.25">
      <c r="BG2845" t="s">
        <v>4939</v>
      </c>
    </row>
    <row r="2846" spans="59:59" x14ac:dyDescent="0.25">
      <c r="BG2846" t="s">
        <v>4940</v>
      </c>
    </row>
    <row r="2847" spans="59:59" x14ac:dyDescent="0.25">
      <c r="BG2847" t="s">
        <v>4941</v>
      </c>
    </row>
    <row r="2848" spans="59:59" x14ac:dyDescent="0.25">
      <c r="BG2848" t="s">
        <v>4942</v>
      </c>
    </row>
    <row r="2849" spans="59:59" x14ac:dyDescent="0.25">
      <c r="BG2849" t="s">
        <v>4943</v>
      </c>
    </row>
    <row r="2850" spans="59:59" x14ac:dyDescent="0.25">
      <c r="BG2850" t="s">
        <v>4944</v>
      </c>
    </row>
    <row r="2851" spans="59:59" x14ac:dyDescent="0.25">
      <c r="BG2851" t="s">
        <v>4945</v>
      </c>
    </row>
    <row r="2852" spans="59:59" x14ac:dyDescent="0.25">
      <c r="BG2852" t="s">
        <v>4946</v>
      </c>
    </row>
    <row r="2853" spans="59:59" x14ac:dyDescent="0.25">
      <c r="BG2853" t="s">
        <v>4947</v>
      </c>
    </row>
    <row r="2854" spans="59:59" x14ac:dyDescent="0.25">
      <c r="BG2854" t="s">
        <v>4948</v>
      </c>
    </row>
    <row r="2855" spans="59:59" x14ac:dyDescent="0.25">
      <c r="BG2855" t="s">
        <v>4949</v>
      </c>
    </row>
    <row r="2856" spans="59:59" x14ac:dyDescent="0.25">
      <c r="BG2856" t="s">
        <v>4950</v>
      </c>
    </row>
    <row r="2857" spans="59:59" x14ac:dyDescent="0.25">
      <c r="BG2857" t="s">
        <v>4951</v>
      </c>
    </row>
    <row r="2858" spans="59:59" x14ac:dyDescent="0.25">
      <c r="BG2858" t="s">
        <v>4952</v>
      </c>
    </row>
    <row r="2859" spans="59:59" x14ac:dyDescent="0.25">
      <c r="BG2859" t="s">
        <v>4953</v>
      </c>
    </row>
    <row r="2860" spans="59:59" x14ac:dyDescent="0.25">
      <c r="BG2860" t="s">
        <v>4954</v>
      </c>
    </row>
    <row r="2861" spans="59:59" x14ac:dyDescent="0.25">
      <c r="BG2861" t="s">
        <v>4955</v>
      </c>
    </row>
    <row r="2862" spans="59:59" x14ac:dyDescent="0.25">
      <c r="BG2862" t="s">
        <v>4956</v>
      </c>
    </row>
    <row r="2863" spans="59:59" x14ac:dyDescent="0.25">
      <c r="BG2863" t="s">
        <v>4957</v>
      </c>
    </row>
    <row r="2864" spans="59:59" x14ac:dyDescent="0.25">
      <c r="BG2864" t="s">
        <v>4958</v>
      </c>
    </row>
    <row r="2865" spans="59:59" x14ac:dyDescent="0.25">
      <c r="BG2865" t="s">
        <v>4959</v>
      </c>
    </row>
    <row r="2866" spans="59:59" x14ac:dyDescent="0.25">
      <c r="BG2866" t="s">
        <v>4960</v>
      </c>
    </row>
    <row r="2867" spans="59:59" x14ac:dyDescent="0.25">
      <c r="BG2867" t="s">
        <v>4961</v>
      </c>
    </row>
    <row r="2868" spans="59:59" x14ac:dyDescent="0.25">
      <c r="BG2868" t="s">
        <v>4962</v>
      </c>
    </row>
    <row r="2869" spans="59:59" x14ac:dyDescent="0.25">
      <c r="BG2869" t="s">
        <v>4963</v>
      </c>
    </row>
    <row r="2870" spans="59:59" x14ac:dyDescent="0.25">
      <c r="BG2870" t="s">
        <v>4964</v>
      </c>
    </row>
    <row r="2871" spans="59:59" x14ac:dyDescent="0.25">
      <c r="BG2871" t="s">
        <v>4965</v>
      </c>
    </row>
    <row r="2872" spans="59:59" x14ac:dyDescent="0.25">
      <c r="BG2872" t="s">
        <v>4966</v>
      </c>
    </row>
    <row r="2873" spans="59:59" x14ac:dyDescent="0.25">
      <c r="BG2873" t="s">
        <v>4967</v>
      </c>
    </row>
    <row r="2874" spans="59:59" x14ac:dyDescent="0.25">
      <c r="BG2874" t="s">
        <v>4968</v>
      </c>
    </row>
    <row r="2875" spans="59:59" x14ac:dyDescent="0.25">
      <c r="BG2875" t="s">
        <v>4969</v>
      </c>
    </row>
    <row r="2876" spans="59:59" x14ac:dyDescent="0.25">
      <c r="BG2876" t="s">
        <v>4970</v>
      </c>
    </row>
    <row r="2877" spans="59:59" x14ac:dyDescent="0.25">
      <c r="BG2877" t="s">
        <v>4971</v>
      </c>
    </row>
    <row r="2878" spans="59:59" x14ac:dyDescent="0.25">
      <c r="BG2878" t="s">
        <v>4972</v>
      </c>
    </row>
    <row r="2879" spans="59:59" x14ac:dyDescent="0.25">
      <c r="BG2879" t="s">
        <v>4973</v>
      </c>
    </row>
    <row r="2880" spans="59:59" x14ac:dyDescent="0.25">
      <c r="BG2880" t="s">
        <v>4974</v>
      </c>
    </row>
    <row r="2881" spans="59:59" x14ac:dyDescent="0.25">
      <c r="BG2881" t="s">
        <v>4975</v>
      </c>
    </row>
    <row r="2882" spans="59:59" x14ac:dyDescent="0.25">
      <c r="BG2882" t="s">
        <v>4976</v>
      </c>
    </row>
    <row r="2883" spans="59:59" x14ac:dyDescent="0.25">
      <c r="BG2883" t="s">
        <v>4977</v>
      </c>
    </row>
    <row r="2884" spans="59:59" x14ac:dyDescent="0.25">
      <c r="BG2884" t="s">
        <v>4978</v>
      </c>
    </row>
    <row r="2885" spans="59:59" x14ac:dyDescent="0.25">
      <c r="BG2885" t="s">
        <v>4979</v>
      </c>
    </row>
    <row r="2886" spans="59:59" x14ac:dyDescent="0.25">
      <c r="BG2886" t="s">
        <v>4980</v>
      </c>
    </row>
    <row r="2887" spans="59:59" x14ac:dyDescent="0.25">
      <c r="BG2887" t="s">
        <v>4981</v>
      </c>
    </row>
    <row r="2888" spans="59:59" x14ac:dyDescent="0.25">
      <c r="BG2888" t="s">
        <v>4982</v>
      </c>
    </row>
    <row r="2889" spans="59:59" x14ac:dyDescent="0.25">
      <c r="BG2889" t="s">
        <v>4983</v>
      </c>
    </row>
    <row r="2890" spans="59:59" x14ac:dyDescent="0.25">
      <c r="BG2890" t="s">
        <v>4984</v>
      </c>
    </row>
    <row r="2891" spans="59:59" x14ac:dyDescent="0.25">
      <c r="BG2891" t="s">
        <v>4985</v>
      </c>
    </row>
    <row r="2892" spans="59:59" x14ac:dyDescent="0.25">
      <c r="BG2892" t="s">
        <v>4986</v>
      </c>
    </row>
    <row r="2893" spans="59:59" x14ac:dyDescent="0.25">
      <c r="BG2893" t="s">
        <v>4987</v>
      </c>
    </row>
    <row r="2894" spans="59:59" x14ac:dyDescent="0.25">
      <c r="BG2894" t="s">
        <v>4988</v>
      </c>
    </row>
    <row r="2895" spans="59:59" x14ac:dyDescent="0.25">
      <c r="BG2895" t="s">
        <v>4989</v>
      </c>
    </row>
    <row r="2896" spans="59:59" x14ac:dyDescent="0.25">
      <c r="BG2896" t="s">
        <v>4990</v>
      </c>
    </row>
    <row r="2897" spans="59:59" x14ac:dyDescent="0.25">
      <c r="BG2897" t="s">
        <v>4991</v>
      </c>
    </row>
    <row r="2898" spans="59:59" x14ac:dyDescent="0.25">
      <c r="BG2898" t="s">
        <v>4992</v>
      </c>
    </row>
    <row r="2899" spans="59:59" x14ac:dyDescent="0.25">
      <c r="BG2899" t="s">
        <v>4993</v>
      </c>
    </row>
    <row r="2900" spans="59:59" x14ac:dyDescent="0.25">
      <c r="BG2900" t="s">
        <v>4994</v>
      </c>
    </row>
    <row r="2901" spans="59:59" x14ac:dyDescent="0.25">
      <c r="BG2901" t="s">
        <v>4995</v>
      </c>
    </row>
    <row r="2902" spans="59:59" x14ac:dyDescent="0.25">
      <c r="BG2902" t="s">
        <v>4996</v>
      </c>
    </row>
    <row r="2903" spans="59:59" x14ac:dyDescent="0.25">
      <c r="BG2903" t="s">
        <v>4997</v>
      </c>
    </row>
    <row r="2904" spans="59:59" x14ac:dyDescent="0.25">
      <c r="BG2904" t="s">
        <v>4998</v>
      </c>
    </row>
    <row r="2905" spans="59:59" x14ac:dyDescent="0.25">
      <c r="BG2905" t="s">
        <v>4999</v>
      </c>
    </row>
    <row r="2906" spans="59:59" x14ac:dyDescent="0.25">
      <c r="BG2906" t="s">
        <v>5000</v>
      </c>
    </row>
    <row r="2907" spans="59:59" x14ac:dyDescent="0.25">
      <c r="BG2907" t="s">
        <v>5001</v>
      </c>
    </row>
    <row r="2908" spans="59:59" x14ac:dyDescent="0.25">
      <c r="BG2908" t="s">
        <v>5002</v>
      </c>
    </row>
    <row r="2909" spans="59:59" x14ac:dyDescent="0.25">
      <c r="BG2909" t="s">
        <v>5003</v>
      </c>
    </row>
    <row r="2910" spans="59:59" x14ac:dyDescent="0.25">
      <c r="BG2910" t="s">
        <v>5004</v>
      </c>
    </row>
    <row r="2911" spans="59:59" x14ac:dyDescent="0.25">
      <c r="BG2911" t="s">
        <v>5005</v>
      </c>
    </row>
    <row r="2912" spans="59:59" x14ac:dyDescent="0.25">
      <c r="BG2912" t="s">
        <v>5006</v>
      </c>
    </row>
    <row r="2913" spans="59:59" x14ac:dyDescent="0.25">
      <c r="BG2913" t="s">
        <v>5007</v>
      </c>
    </row>
    <row r="2914" spans="59:59" x14ac:dyDescent="0.25">
      <c r="BG2914" t="s">
        <v>5008</v>
      </c>
    </row>
    <row r="2915" spans="59:59" x14ac:dyDescent="0.25">
      <c r="BG2915" t="s">
        <v>5009</v>
      </c>
    </row>
    <row r="2916" spans="59:59" x14ac:dyDescent="0.25">
      <c r="BG2916" t="s">
        <v>5010</v>
      </c>
    </row>
    <row r="2917" spans="59:59" x14ac:dyDescent="0.25">
      <c r="BG2917" t="s">
        <v>5011</v>
      </c>
    </row>
    <row r="2918" spans="59:59" x14ac:dyDescent="0.25">
      <c r="BG2918" t="s">
        <v>5012</v>
      </c>
    </row>
    <row r="2919" spans="59:59" x14ac:dyDescent="0.25">
      <c r="BG2919" t="s">
        <v>5013</v>
      </c>
    </row>
    <row r="2920" spans="59:59" x14ac:dyDescent="0.25">
      <c r="BG2920" t="s">
        <v>5014</v>
      </c>
    </row>
    <row r="2921" spans="59:59" x14ac:dyDescent="0.25">
      <c r="BG2921" t="s">
        <v>5015</v>
      </c>
    </row>
    <row r="2922" spans="59:59" x14ac:dyDescent="0.25">
      <c r="BG2922" t="s">
        <v>5016</v>
      </c>
    </row>
    <row r="2923" spans="59:59" x14ac:dyDescent="0.25">
      <c r="BG2923" t="s">
        <v>5017</v>
      </c>
    </row>
    <row r="2924" spans="59:59" x14ac:dyDescent="0.25">
      <c r="BG2924" t="s">
        <v>5018</v>
      </c>
    </row>
    <row r="2925" spans="59:59" x14ac:dyDescent="0.25">
      <c r="BG2925" t="s">
        <v>5019</v>
      </c>
    </row>
    <row r="2926" spans="59:59" x14ac:dyDescent="0.25">
      <c r="BG2926" t="s">
        <v>5020</v>
      </c>
    </row>
    <row r="2927" spans="59:59" x14ac:dyDescent="0.25">
      <c r="BG2927" t="s">
        <v>5021</v>
      </c>
    </row>
    <row r="2928" spans="59:59" x14ac:dyDescent="0.25">
      <c r="BG2928" t="s">
        <v>5022</v>
      </c>
    </row>
    <row r="2929" spans="59:59" x14ac:dyDescent="0.25">
      <c r="BG2929" t="s">
        <v>5023</v>
      </c>
    </row>
    <row r="2930" spans="59:59" x14ac:dyDescent="0.25">
      <c r="BG2930" t="s">
        <v>5024</v>
      </c>
    </row>
    <row r="2931" spans="59:59" x14ac:dyDescent="0.25">
      <c r="BG2931" t="s">
        <v>5025</v>
      </c>
    </row>
    <row r="2932" spans="59:59" x14ac:dyDescent="0.25">
      <c r="BG2932" t="s">
        <v>5026</v>
      </c>
    </row>
    <row r="2933" spans="59:59" x14ac:dyDescent="0.25">
      <c r="BG2933" t="s">
        <v>5027</v>
      </c>
    </row>
    <row r="2934" spans="59:59" x14ac:dyDescent="0.25">
      <c r="BG2934" t="s">
        <v>5028</v>
      </c>
    </row>
    <row r="2935" spans="59:59" x14ac:dyDescent="0.25">
      <c r="BG2935" t="s">
        <v>5029</v>
      </c>
    </row>
    <row r="2936" spans="59:59" x14ac:dyDescent="0.25">
      <c r="BG2936" t="s">
        <v>5030</v>
      </c>
    </row>
    <row r="2937" spans="59:59" x14ac:dyDescent="0.25">
      <c r="BG2937" t="s">
        <v>5031</v>
      </c>
    </row>
    <row r="2938" spans="59:59" x14ac:dyDescent="0.25">
      <c r="BG2938" t="s">
        <v>5032</v>
      </c>
    </row>
    <row r="2939" spans="59:59" x14ac:dyDescent="0.25">
      <c r="BG2939" t="s">
        <v>5033</v>
      </c>
    </row>
    <row r="2940" spans="59:59" x14ac:dyDescent="0.25">
      <c r="BG2940" t="s">
        <v>5034</v>
      </c>
    </row>
    <row r="2941" spans="59:59" x14ac:dyDescent="0.25">
      <c r="BG2941" t="s">
        <v>5035</v>
      </c>
    </row>
    <row r="2942" spans="59:59" x14ac:dyDescent="0.25">
      <c r="BG2942" t="s">
        <v>5036</v>
      </c>
    </row>
    <row r="2943" spans="59:59" x14ac:dyDescent="0.25">
      <c r="BG2943" t="s">
        <v>5037</v>
      </c>
    </row>
    <row r="2944" spans="59:59" x14ac:dyDescent="0.25">
      <c r="BG2944" t="s">
        <v>5038</v>
      </c>
    </row>
    <row r="2945" spans="59:59" x14ac:dyDescent="0.25">
      <c r="BG2945" t="s">
        <v>5039</v>
      </c>
    </row>
    <row r="2946" spans="59:59" x14ac:dyDescent="0.25">
      <c r="BG2946" t="s">
        <v>5040</v>
      </c>
    </row>
    <row r="2947" spans="59:59" x14ac:dyDescent="0.25">
      <c r="BG2947" t="s">
        <v>5041</v>
      </c>
    </row>
    <row r="2948" spans="59:59" x14ac:dyDescent="0.25">
      <c r="BG2948" t="s">
        <v>5042</v>
      </c>
    </row>
    <row r="2949" spans="59:59" x14ac:dyDescent="0.25">
      <c r="BG2949" t="s">
        <v>5043</v>
      </c>
    </row>
    <row r="2950" spans="59:59" x14ac:dyDescent="0.25">
      <c r="BG2950" t="s">
        <v>5044</v>
      </c>
    </row>
    <row r="2951" spans="59:59" x14ac:dyDescent="0.25">
      <c r="BG2951" t="s">
        <v>5045</v>
      </c>
    </row>
    <row r="2952" spans="59:59" x14ac:dyDescent="0.25">
      <c r="BG2952" t="s">
        <v>5046</v>
      </c>
    </row>
    <row r="2953" spans="59:59" x14ac:dyDescent="0.25">
      <c r="BG2953" t="s">
        <v>5047</v>
      </c>
    </row>
    <row r="2954" spans="59:59" x14ac:dyDescent="0.25">
      <c r="BG2954" t="s">
        <v>5048</v>
      </c>
    </row>
    <row r="2955" spans="59:59" x14ac:dyDescent="0.25">
      <c r="BG2955" t="s">
        <v>5049</v>
      </c>
    </row>
    <row r="2956" spans="59:59" x14ac:dyDescent="0.25">
      <c r="BG2956" t="s">
        <v>5050</v>
      </c>
    </row>
    <row r="2957" spans="59:59" x14ac:dyDescent="0.25">
      <c r="BG2957" t="s">
        <v>5051</v>
      </c>
    </row>
    <row r="2958" spans="59:59" x14ac:dyDescent="0.25">
      <c r="BG2958" t="s">
        <v>5052</v>
      </c>
    </row>
    <row r="2959" spans="59:59" x14ac:dyDescent="0.25">
      <c r="BG2959" t="s">
        <v>5053</v>
      </c>
    </row>
    <row r="2960" spans="59:59" x14ac:dyDescent="0.25">
      <c r="BG2960" t="s">
        <v>5054</v>
      </c>
    </row>
    <row r="2961" spans="59:59" x14ac:dyDescent="0.25">
      <c r="BG2961" t="s">
        <v>5055</v>
      </c>
    </row>
    <row r="2962" spans="59:59" x14ac:dyDescent="0.25">
      <c r="BG2962" t="s">
        <v>5056</v>
      </c>
    </row>
    <row r="2963" spans="59:59" x14ac:dyDescent="0.25">
      <c r="BG2963" t="s">
        <v>5057</v>
      </c>
    </row>
    <row r="2964" spans="59:59" x14ac:dyDescent="0.25">
      <c r="BG2964" t="s">
        <v>5058</v>
      </c>
    </row>
    <row r="2965" spans="59:59" x14ac:dyDescent="0.25">
      <c r="BG2965" t="s">
        <v>5059</v>
      </c>
    </row>
    <row r="2966" spans="59:59" x14ac:dyDescent="0.25">
      <c r="BG2966" t="s">
        <v>5060</v>
      </c>
    </row>
    <row r="2967" spans="59:59" x14ac:dyDescent="0.25">
      <c r="BG2967" t="s">
        <v>5061</v>
      </c>
    </row>
    <row r="2968" spans="59:59" x14ac:dyDescent="0.25">
      <c r="BG2968" t="s">
        <v>5062</v>
      </c>
    </row>
    <row r="2969" spans="59:59" x14ac:dyDescent="0.25">
      <c r="BG2969" t="s">
        <v>5063</v>
      </c>
    </row>
    <row r="2970" spans="59:59" x14ac:dyDescent="0.25">
      <c r="BG2970" t="s">
        <v>5064</v>
      </c>
    </row>
    <row r="2971" spans="59:59" x14ac:dyDescent="0.25">
      <c r="BG2971" t="s">
        <v>5065</v>
      </c>
    </row>
    <row r="2972" spans="59:59" x14ac:dyDescent="0.25">
      <c r="BG2972" t="s">
        <v>5066</v>
      </c>
    </row>
    <row r="2973" spans="59:59" x14ac:dyDescent="0.25">
      <c r="BG2973" t="s">
        <v>5067</v>
      </c>
    </row>
    <row r="2974" spans="59:59" x14ac:dyDescent="0.25">
      <c r="BG2974" t="s">
        <v>5068</v>
      </c>
    </row>
    <row r="2975" spans="59:59" x14ac:dyDescent="0.25">
      <c r="BG2975" t="s">
        <v>5069</v>
      </c>
    </row>
    <row r="2976" spans="59:59" x14ac:dyDescent="0.25">
      <c r="BG2976" t="s">
        <v>5070</v>
      </c>
    </row>
    <row r="2977" spans="59:59" x14ac:dyDescent="0.25">
      <c r="BG2977" t="s">
        <v>5071</v>
      </c>
    </row>
    <row r="2978" spans="59:59" x14ac:dyDescent="0.25">
      <c r="BG2978" t="s">
        <v>5072</v>
      </c>
    </row>
    <row r="2979" spans="59:59" x14ac:dyDescent="0.25">
      <c r="BG2979" t="s">
        <v>5073</v>
      </c>
    </row>
    <row r="2980" spans="59:59" x14ac:dyDescent="0.25">
      <c r="BG2980" t="s">
        <v>5074</v>
      </c>
    </row>
    <row r="2981" spans="59:59" x14ac:dyDescent="0.25">
      <c r="BG2981" t="s">
        <v>5075</v>
      </c>
    </row>
    <row r="2982" spans="59:59" x14ac:dyDescent="0.25">
      <c r="BG2982" t="s">
        <v>5076</v>
      </c>
    </row>
    <row r="2983" spans="59:59" x14ac:dyDescent="0.25">
      <c r="BG2983" t="s">
        <v>5077</v>
      </c>
    </row>
    <row r="2984" spans="59:59" x14ac:dyDescent="0.25">
      <c r="BG2984" t="s">
        <v>5078</v>
      </c>
    </row>
    <row r="2985" spans="59:59" x14ac:dyDescent="0.25">
      <c r="BG2985" t="s">
        <v>5079</v>
      </c>
    </row>
    <row r="2986" spans="59:59" x14ac:dyDescent="0.25">
      <c r="BG2986" t="s">
        <v>5080</v>
      </c>
    </row>
    <row r="2987" spans="59:59" x14ac:dyDescent="0.25">
      <c r="BG2987" t="s">
        <v>5081</v>
      </c>
    </row>
    <row r="2988" spans="59:59" x14ac:dyDescent="0.25">
      <c r="BG2988" t="s">
        <v>5082</v>
      </c>
    </row>
    <row r="2989" spans="59:59" x14ac:dyDescent="0.25">
      <c r="BG2989" t="s">
        <v>5083</v>
      </c>
    </row>
    <row r="2990" spans="59:59" x14ac:dyDescent="0.25">
      <c r="BG2990" t="s">
        <v>5084</v>
      </c>
    </row>
    <row r="2991" spans="59:59" x14ac:dyDescent="0.25">
      <c r="BG2991" t="s">
        <v>5085</v>
      </c>
    </row>
    <row r="2992" spans="59:59" x14ac:dyDescent="0.25">
      <c r="BG2992" t="s">
        <v>5086</v>
      </c>
    </row>
    <row r="2993" spans="59:59" x14ac:dyDescent="0.25">
      <c r="BG2993" t="s">
        <v>5087</v>
      </c>
    </row>
    <row r="2994" spans="59:59" x14ac:dyDescent="0.25">
      <c r="BG2994" t="s">
        <v>5088</v>
      </c>
    </row>
    <row r="2995" spans="59:59" x14ac:dyDescent="0.25">
      <c r="BG2995" t="s">
        <v>5089</v>
      </c>
    </row>
    <row r="2996" spans="59:59" x14ac:dyDescent="0.25">
      <c r="BG2996" t="s">
        <v>5090</v>
      </c>
    </row>
    <row r="2997" spans="59:59" x14ac:dyDescent="0.25">
      <c r="BG2997" t="s">
        <v>5091</v>
      </c>
    </row>
    <row r="2998" spans="59:59" x14ac:dyDescent="0.25">
      <c r="BG2998" t="s">
        <v>5092</v>
      </c>
    </row>
    <row r="2999" spans="59:59" x14ac:dyDescent="0.25">
      <c r="BG2999" t="s">
        <v>5093</v>
      </c>
    </row>
    <row r="3000" spans="59:59" x14ac:dyDescent="0.25">
      <c r="BG3000" t="s">
        <v>5094</v>
      </c>
    </row>
    <row r="3001" spans="59:59" x14ac:dyDescent="0.25">
      <c r="BG3001" t="s">
        <v>5095</v>
      </c>
    </row>
    <row r="3002" spans="59:59" x14ac:dyDescent="0.25">
      <c r="BG3002" t="s">
        <v>5096</v>
      </c>
    </row>
    <row r="3003" spans="59:59" x14ac:dyDescent="0.25">
      <c r="BG3003" t="s">
        <v>5097</v>
      </c>
    </row>
    <row r="3004" spans="59:59" x14ac:dyDescent="0.25">
      <c r="BG3004" t="s">
        <v>5098</v>
      </c>
    </row>
    <row r="3005" spans="59:59" x14ac:dyDescent="0.25">
      <c r="BG3005" t="s">
        <v>5099</v>
      </c>
    </row>
    <row r="3006" spans="59:59" x14ac:dyDescent="0.25">
      <c r="BG3006" t="s">
        <v>5100</v>
      </c>
    </row>
    <row r="3007" spans="59:59" x14ac:dyDescent="0.25">
      <c r="BG3007" t="s">
        <v>5101</v>
      </c>
    </row>
    <row r="3008" spans="59:59" x14ac:dyDescent="0.25">
      <c r="BG3008" t="s">
        <v>5102</v>
      </c>
    </row>
    <row r="3009" spans="59:59" x14ac:dyDescent="0.25">
      <c r="BG3009" t="s">
        <v>5103</v>
      </c>
    </row>
    <row r="3010" spans="59:59" x14ac:dyDescent="0.25">
      <c r="BG3010" t="s">
        <v>5104</v>
      </c>
    </row>
    <row r="3011" spans="59:59" x14ac:dyDescent="0.25">
      <c r="BG3011" t="s">
        <v>5105</v>
      </c>
    </row>
    <row r="3012" spans="59:59" x14ac:dyDescent="0.25">
      <c r="BG3012" t="s">
        <v>5106</v>
      </c>
    </row>
    <row r="3013" spans="59:59" x14ac:dyDescent="0.25">
      <c r="BG3013" t="s">
        <v>5107</v>
      </c>
    </row>
    <row r="3014" spans="59:59" x14ac:dyDescent="0.25">
      <c r="BG3014" t="s">
        <v>5108</v>
      </c>
    </row>
    <row r="3015" spans="59:59" x14ac:dyDescent="0.25">
      <c r="BG3015" t="s">
        <v>5109</v>
      </c>
    </row>
    <row r="3016" spans="59:59" x14ac:dyDescent="0.25">
      <c r="BG3016" t="s">
        <v>5110</v>
      </c>
    </row>
    <row r="3017" spans="59:59" x14ac:dyDescent="0.25">
      <c r="BG3017" t="s">
        <v>5111</v>
      </c>
    </row>
    <row r="3018" spans="59:59" x14ac:dyDescent="0.25">
      <c r="BG3018" t="s">
        <v>5112</v>
      </c>
    </row>
    <row r="3019" spans="59:59" x14ac:dyDescent="0.25">
      <c r="BG3019" t="s">
        <v>5113</v>
      </c>
    </row>
    <row r="3020" spans="59:59" x14ac:dyDescent="0.25">
      <c r="BG3020" t="s">
        <v>5114</v>
      </c>
    </row>
    <row r="3021" spans="59:59" x14ac:dyDescent="0.25">
      <c r="BG3021" t="s">
        <v>5115</v>
      </c>
    </row>
    <row r="3022" spans="59:59" x14ac:dyDescent="0.25">
      <c r="BG3022" t="s">
        <v>5116</v>
      </c>
    </row>
    <row r="3023" spans="59:59" x14ac:dyDescent="0.25">
      <c r="BG3023" t="s">
        <v>5117</v>
      </c>
    </row>
    <row r="3024" spans="59:59" x14ac:dyDescent="0.25">
      <c r="BG3024" t="s">
        <v>5118</v>
      </c>
    </row>
    <row r="3025" spans="59:59" x14ac:dyDescent="0.25">
      <c r="BG3025" t="s">
        <v>5119</v>
      </c>
    </row>
    <row r="3026" spans="59:59" x14ac:dyDescent="0.25">
      <c r="BG3026" t="s">
        <v>5120</v>
      </c>
    </row>
    <row r="3027" spans="59:59" x14ac:dyDescent="0.25">
      <c r="BG3027" t="s">
        <v>5121</v>
      </c>
    </row>
    <row r="3028" spans="59:59" x14ac:dyDescent="0.25">
      <c r="BG3028" t="s">
        <v>5122</v>
      </c>
    </row>
    <row r="3029" spans="59:59" x14ac:dyDescent="0.25">
      <c r="BG3029" t="s">
        <v>5123</v>
      </c>
    </row>
    <row r="3030" spans="59:59" x14ac:dyDescent="0.25">
      <c r="BG3030" t="s">
        <v>5124</v>
      </c>
    </row>
    <row r="3031" spans="59:59" x14ac:dyDescent="0.25">
      <c r="BG3031" t="s">
        <v>5125</v>
      </c>
    </row>
    <row r="3032" spans="59:59" x14ac:dyDescent="0.25">
      <c r="BG3032" t="s">
        <v>5126</v>
      </c>
    </row>
    <row r="3033" spans="59:59" x14ac:dyDescent="0.25">
      <c r="BG3033" t="s">
        <v>5127</v>
      </c>
    </row>
    <row r="3034" spans="59:59" x14ac:dyDescent="0.25">
      <c r="BG3034" t="s">
        <v>5128</v>
      </c>
    </row>
    <row r="3035" spans="59:59" x14ac:dyDescent="0.25">
      <c r="BG3035" t="s">
        <v>5129</v>
      </c>
    </row>
    <row r="3036" spans="59:59" x14ac:dyDescent="0.25">
      <c r="BG3036" t="s">
        <v>5130</v>
      </c>
    </row>
    <row r="3037" spans="59:59" x14ac:dyDescent="0.25">
      <c r="BG3037" t="s">
        <v>5131</v>
      </c>
    </row>
    <row r="3038" spans="59:59" x14ac:dyDescent="0.25">
      <c r="BG3038" t="s">
        <v>5132</v>
      </c>
    </row>
    <row r="3039" spans="59:59" x14ac:dyDescent="0.25">
      <c r="BG3039" t="s">
        <v>5133</v>
      </c>
    </row>
    <row r="3040" spans="59:59" x14ac:dyDescent="0.25">
      <c r="BG3040" t="s">
        <v>5134</v>
      </c>
    </row>
    <row r="3041" spans="59:59" x14ac:dyDescent="0.25">
      <c r="BG3041" t="s">
        <v>5135</v>
      </c>
    </row>
    <row r="3042" spans="59:59" x14ac:dyDescent="0.25">
      <c r="BG3042" t="s">
        <v>5136</v>
      </c>
    </row>
    <row r="3043" spans="59:59" x14ac:dyDescent="0.25">
      <c r="BG3043" t="s">
        <v>5137</v>
      </c>
    </row>
    <row r="3044" spans="59:59" x14ac:dyDescent="0.25">
      <c r="BG3044" t="s">
        <v>5138</v>
      </c>
    </row>
    <row r="3045" spans="59:59" x14ac:dyDescent="0.25">
      <c r="BG3045" t="s">
        <v>5139</v>
      </c>
    </row>
    <row r="3046" spans="59:59" x14ac:dyDescent="0.25">
      <c r="BG3046" t="s">
        <v>5140</v>
      </c>
    </row>
    <row r="3047" spans="59:59" x14ac:dyDescent="0.25">
      <c r="BG3047" t="s">
        <v>5141</v>
      </c>
    </row>
    <row r="3048" spans="59:59" x14ac:dyDescent="0.25">
      <c r="BG3048" t="s">
        <v>5142</v>
      </c>
    </row>
    <row r="3049" spans="59:59" x14ac:dyDescent="0.25">
      <c r="BG3049" t="s">
        <v>5143</v>
      </c>
    </row>
    <row r="3050" spans="59:59" x14ac:dyDescent="0.25">
      <c r="BG3050" t="s">
        <v>5144</v>
      </c>
    </row>
    <row r="3051" spans="59:59" x14ac:dyDescent="0.25">
      <c r="BG3051" t="s">
        <v>5145</v>
      </c>
    </row>
    <row r="3052" spans="59:59" x14ac:dyDescent="0.25">
      <c r="BG3052" t="s">
        <v>5146</v>
      </c>
    </row>
    <row r="3053" spans="59:59" x14ac:dyDescent="0.25">
      <c r="BG3053" t="s">
        <v>5147</v>
      </c>
    </row>
    <row r="3054" spans="59:59" x14ac:dyDescent="0.25">
      <c r="BG3054" t="s">
        <v>5148</v>
      </c>
    </row>
    <row r="3055" spans="59:59" x14ac:dyDescent="0.25">
      <c r="BG3055" t="s">
        <v>5149</v>
      </c>
    </row>
    <row r="3056" spans="59:59" x14ac:dyDescent="0.25">
      <c r="BG3056" t="s">
        <v>5150</v>
      </c>
    </row>
    <row r="3057" spans="59:59" x14ac:dyDescent="0.25">
      <c r="BG3057" t="s">
        <v>5151</v>
      </c>
    </row>
    <row r="3058" spans="59:59" x14ac:dyDescent="0.25">
      <c r="BG3058" t="s">
        <v>5152</v>
      </c>
    </row>
    <row r="3059" spans="59:59" x14ac:dyDescent="0.25">
      <c r="BG3059" t="s">
        <v>5153</v>
      </c>
    </row>
    <row r="3060" spans="59:59" x14ac:dyDescent="0.25">
      <c r="BG3060" t="s">
        <v>5154</v>
      </c>
    </row>
    <row r="3061" spans="59:59" x14ac:dyDescent="0.25">
      <c r="BG3061" t="s">
        <v>5155</v>
      </c>
    </row>
    <row r="3062" spans="59:59" x14ac:dyDescent="0.25">
      <c r="BG3062" t="s">
        <v>5156</v>
      </c>
    </row>
    <row r="3063" spans="59:59" x14ac:dyDescent="0.25">
      <c r="BG3063" t="s">
        <v>5157</v>
      </c>
    </row>
    <row r="3064" spans="59:59" x14ac:dyDescent="0.25">
      <c r="BG3064" t="s">
        <v>5158</v>
      </c>
    </row>
    <row r="3065" spans="59:59" x14ac:dyDescent="0.25">
      <c r="BG3065" t="s">
        <v>5159</v>
      </c>
    </row>
    <row r="3066" spans="59:59" x14ac:dyDescent="0.25">
      <c r="BG3066" t="s">
        <v>5160</v>
      </c>
    </row>
    <row r="3067" spans="59:59" x14ac:dyDescent="0.25">
      <c r="BG3067" t="s">
        <v>5161</v>
      </c>
    </row>
    <row r="3068" spans="59:59" x14ac:dyDescent="0.25">
      <c r="BG3068" t="s">
        <v>5162</v>
      </c>
    </row>
    <row r="3069" spans="59:59" x14ac:dyDescent="0.25">
      <c r="BG3069" t="s">
        <v>5163</v>
      </c>
    </row>
    <row r="3070" spans="59:59" x14ac:dyDescent="0.25">
      <c r="BG3070" t="s">
        <v>5164</v>
      </c>
    </row>
    <row r="3071" spans="59:59" x14ac:dyDescent="0.25">
      <c r="BG3071" t="s">
        <v>5165</v>
      </c>
    </row>
    <row r="3072" spans="59:59" x14ac:dyDescent="0.25">
      <c r="BG3072" t="s">
        <v>5166</v>
      </c>
    </row>
    <row r="3073" spans="59:59" x14ac:dyDescent="0.25">
      <c r="BG3073" t="s">
        <v>5167</v>
      </c>
    </row>
    <row r="3074" spans="59:59" x14ac:dyDescent="0.25">
      <c r="BG3074" t="s">
        <v>5168</v>
      </c>
    </row>
    <row r="3075" spans="59:59" x14ac:dyDescent="0.25">
      <c r="BG3075" t="s">
        <v>5169</v>
      </c>
    </row>
    <row r="3076" spans="59:59" x14ac:dyDescent="0.25">
      <c r="BG3076" t="s">
        <v>5170</v>
      </c>
    </row>
    <row r="3077" spans="59:59" x14ac:dyDescent="0.25">
      <c r="BG3077" t="s">
        <v>5171</v>
      </c>
    </row>
    <row r="3078" spans="59:59" x14ac:dyDescent="0.25">
      <c r="BG3078" t="s">
        <v>5172</v>
      </c>
    </row>
    <row r="3079" spans="59:59" x14ac:dyDescent="0.25">
      <c r="BG3079" t="s">
        <v>5173</v>
      </c>
    </row>
    <row r="3080" spans="59:59" x14ac:dyDescent="0.25">
      <c r="BG3080" t="s">
        <v>5174</v>
      </c>
    </row>
    <row r="3081" spans="59:59" x14ac:dyDescent="0.25">
      <c r="BG3081" t="s">
        <v>5175</v>
      </c>
    </row>
    <row r="3082" spans="59:59" x14ac:dyDescent="0.25">
      <c r="BG3082" t="s">
        <v>5176</v>
      </c>
    </row>
    <row r="3083" spans="59:59" x14ac:dyDescent="0.25">
      <c r="BG3083" t="s">
        <v>5177</v>
      </c>
    </row>
    <row r="3084" spans="59:59" x14ac:dyDescent="0.25">
      <c r="BG3084" t="s">
        <v>5178</v>
      </c>
    </row>
    <row r="3085" spans="59:59" x14ac:dyDescent="0.25">
      <c r="BG3085" t="s">
        <v>5179</v>
      </c>
    </row>
    <row r="3086" spans="59:59" x14ac:dyDescent="0.25">
      <c r="BG3086" t="s">
        <v>5180</v>
      </c>
    </row>
    <row r="3087" spans="59:59" x14ac:dyDescent="0.25">
      <c r="BG3087" t="s">
        <v>5181</v>
      </c>
    </row>
    <row r="3088" spans="59:59" x14ac:dyDescent="0.25">
      <c r="BG3088" t="s">
        <v>5182</v>
      </c>
    </row>
    <row r="3089" spans="59:59" x14ac:dyDescent="0.25">
      <c r="BG3089" t="s">
        <v>5183</v>
      </c>
    </row>
    <row r="3090" spans="59:59" x14ac:dyDescent="0.25">
      <c r="BG3090" t="s">
        <v>5184</v>
      </c>
    </row>
    <row r="3091" spans="59:59" x14ac:dyDescent="0.25">
      <c r="BG3091" t="s">
        <v>5185</v>
      </c>
    </row>
    <row r="3092" spans="59:59" x14ac:dyDescent="0.25">
      <c r="BG3092" t="s">
        <v>5186</v>
      </c>
    </row>
    <row r="3093" spans="59:59" x14ac:dyDescent="0.25">
      <c r="BG3093" t="s">
        <v>5187</v>
      </c>
    </row>
    <row r="3094" spans="59:59" x14ac:dyDescent="0.25">
      <c r="BG3094" t="s">
        <v>5188</v>
      </c>
    </row>
    <row r="3095" spans="59:59" x14ac:dyDescent="0.25">
      <c r="BG3095" t="s">
        <v>5189</v>
      </c>
    </row>
    <row r="3096" spans="59:59" x14ac:dyDescent="0.25">
      <c r="BG3096" t="s">
        <v>5190</v>
      </c>
    </row>
    <row r="3097" spans="59:59" x14ac:dyDescent="0.25">
      <c r="BG3097" t="s">
        <v>5191</v>
      </c>
    </row>
    <row r="3098" spans="59:59" x14ac:dyDescent="0.25">
      <c r="BG3098" t="s">
        <v>5192</v>
      </c>
    </row>
    <row r="3099" spans="59:59" x14ac:dyDescent="0.25">
      <c r="BG3099" t="s">
        <v>5193</v>
      </c>
    </row>
    <row r="3100" spans="59:59" x14ac:dyDescent="0.25">
      <c r="BG3100" t="s">
        <v>5194</v>
      </c>
    </row>
    <row r="3101" spans="59:59" x14ac:dyDescent="0.25">
      <c r="BG3101" t="s">
        <v>5195</v>
      </c>
    </row>
    <row r="3102" spans="59:59" x14ac:dyDescent="0.25">
      <c r="BG3102" t="s">
        <v>5196</v>
      </c>
    </row>
    <row r="3103" spans="59:59" x14ac:dyDescent="0.25">
      <c r="BG3103" t="s">
        <v>5197</v>
      </c>
    </row>
    <row r="3104" spans="59:59" x14ac:dyDescent="0.25">
      <c r="BG3104" t="s">
        <v>5198</v>
      </c>
    </row>
    <row r="3105" spans="59:59" x14ac:dyDescent="0.25">
      <c r="BG3105" t="s">
        <v>5199</v>
      </c>
    </row>
    <row r="3106" spans="59:59" x14ac:dyDescent="0.25">
      <c r="BG3106" t="s">
        <v>5200</v>
      </c>
    </row>
    <row r="3107" spans="59:59" x14ac:dyDescent="0.25">
      <c r="BG3107" t="s">
        <v>5201</v>
      </c>
    </row>
    <row r="3108" spans="59:59" x14ac:dyDescent="0.25">
      <c r="BG3108" t="s">
        <v>5202</v>
      </c>
    </row>
    <row r="3109" spans="59:59" x14ac:dyDescent="0.25">
      <c r="BG3109" t="s">
        <v>5203</v>
      </c>
    </row>
    <row r="3110" spans="59:59" x14ac:dyDescent="0.25">
      <c r="BG3110" t="s">
        <v>5204</v>
      </c>
    </row>
    <row r="3111" spans="59:59" x14ac:dyDescent="0.25">
      <c r="BG3111" t="s">
        <v>5205</v>
      </c>
    </row>
    <row r="3112" spans="59:59" x14ac:dyDescent="0.25">
      <c r="BG3112" t="s">
        <v>5206</v>
      </c>
    </row>
    <row r="3113" spans="59:59" x14ac:dyDescent="0.25">
      <c r="BG3113" t="s">
        <v>5207</v>
      </c>
    </row>
    <row r="3114" spans="59:59" x14ac:dyDescent="0.25">
      <c r="BG3114" t="s">
        <v>5208</v>
      </c>
    </row>
    <row r="3115" spans="59:59" x14ac:dyDescent="0.25">
      <c r="BG3115" t="s">
        <v>5209</v>
      </c>
    </row>
    <row r="3116" spans="59:59" x14ac:dyDescent="0.25">
      <c r="BG3116" t="s">
        <v>5210</v>
      </c>
    </row>
    <row r="3117" spans="59:59" x14ac:dyDescent="0.25">
      <c r="BG3117" t="s">
        <v>5211</v>
      </c>
    </row>
    <row r="3118" spans="59:59" x14ac:dyDescent="0.25">
      <c r="BG3118" t="s">
        <v>5212</v>
      </c>
    </row>
    <row r="3119" spans="59:59" x14ac:dyDescent="0.25">
      <c r="BG3119" t="s">
        <v>5213</v>
      </c>
    </row>
    <row r="3120" spans="59:59" x14ac:dyDescent="0.25">
      <c r="BG3120" t="s">
        <v>5214</v>
      </c>
    </row>
    <row r="3121" spans="59:59" x14ac:dyDescent="0.25">
      <c r="BG3121" t="s">
        <v>5215</v>
      </c>
    </row>
    <row r="3122" spans="59:59" x14ac:dyDescent="0.25">
      <c r="BG3122" t="s">
        <v>5216</v>
      </c>
    </row>
    <row r="3123" spans="59:59" x14ac:dyDescent="0.25">
      <c r="BG3123" t="s">
        <v>5217</v>
      </c>
    </row>
    <row r="3124" spans="59:59" x14ac:dyDescent="0.25">
      <c r="BG3124" t="s">
        <v>5218</v>
      </c>
    </row>
    <row r="3125" spans="59:59" x14ac:dyDescent="0.25">
      <c r="BG3125" t="s">
        <v>5219</v>
      </c>
    </row>
    <row r="3126" spans="59:59" x14ac:dyDescent="0.25">
      <c r="BG3126" t="s">
        <v>5220</v>
      </c>
    </row>
    <row r="3127" spans="59:59" x14ac:dyDescent="0.25">
      <c r="BG3127" t="s">
        <v>5221</v>
      </c>
    </row>
    <row r="3128" spans="59:59" x14ac:dyDescent="0.25">
      <c r="BG3128" t="s">
        <v>5222</v>
      </c>
    </row>
    <row r="3129" spans="59:59" x14ac:dyDescent="0.25">
      <c r="BG3129" t="s">
        <v>5223</v>
      </c>
    </row>
    <row r="3130" spans="59:59" x14ac:dyDescent="0.25">
      <c r="BG3130" t="s">
        <v>5224</v>
      </c>
    </row>
    <row r="3131" spans="59:59" x14ac:dyDescent="0.25">
      <c r="BG3131" t="s">
        <v>5225</v>
      </c>
    </row>
    <row r="3132" spans="59:59" x14ac:dyDescent="0.25">
      <c r="BG3132" t="s">
        <v>5226</v>
      </c>
    </row>
    <row r="3133" spans="59:59" x14ac:dyDescent="0.25">
      <c r="BG3133" t="s">
        <v>5227</v>
      </c>
    </row>
    <row r="3134" spans="59:59" x14ac:dyDescent="0.25">
      <c r="BG3134" t="s">
        <v>5228</v>
      </c>
    </row>
    <row r="3135" spans="59:59" x14ac:dyDescent="0.25">
      <c r="BG3135" t="s">
        <v>5229</v>
      </c>
    </row>
    <row r="3136" spans="59:59" x14ac:dyDescent="0.25">
      <c r="BG3136" t="s">
        <v>5230</v>
      </c>
    </row>
    <row r="3137" spans="59:59" x14ac:dyDescent="0.25">
      <c r="BG3137" t="s">
        <v>5231</v>
      </c>
    </row>
    <row r="3138" spans="59:59" x14ac:dyDescent="0.25">
      <c r="BG3138" t="s">
        <v>5232</v>
      </c>
    </row>
    <row r="3139" spans="59:59" x14ac:dyDescent="0.25">
      <c r="BG3139" t="s">
        <v>5233</v>
      </c>
    </row>
    <row r="3140" spans="59:59" x14ac:dyDescent="0.25">
      <c r="BG3140" t="s">
        <v>5234</v>
      </c>
    </row>
    <row r="3141" spans="59:59" x14ac:dyDescent="0.25">
      <c r="BG3141" t="s">
        <v>5235</v>
      </c>
    </row>
    <row r="3142" spans="59:59" x14ac:dyDescent="0.25">
      <c r="BG3142" t="s">
        <v>5236</v>
      </c>
    </row>
    <row r="3143" spans="59:59" x14ac:dyDescent="0.25">
      <c r="BG3143" t="s">
        <v>5237</v>
      </c>
    </row>
    <row r="3144" spans="59:59" x14ac:dyDescent="0.25">
      <c r="BG3144" t="s">
        <v>5238</v>
      </c>
    </row>
    <row r="3145" spans="59:59" x14ac:dyDescent="0.25">
      <c r="BG3145" t="s">
        <v>5239</v>
      </c>
    </row>
    <row r="3146" spans="59:59" x14ac:dyDescent="0.25">
      <c r="BG3146" t="s">
        <v>5240</v>
      </c>
    </row>
    <row r="3147" spans="59:59" x14ac:dyDescent="0.25">
      <c r="BG3147" t="s">
        <v>5241</v>
      </c>
    </row>
    <row r="3148" spans="59:59" x14ac:dyDescent="0.25">
      <c r="BG3148" t="s">
        <v>5242</v>
      </c>
    </row>
    <row r="3149" spans="59:59" x14ac:dyDescent="0.25">
      <c r="BG3149" t="s">
        <v>5243</v>
      </c>
    </row>
    <row r="3150" spans="59:59" x14ac:dyDescent="0.25">
      <c r="BG3150" t="s">
        <v>5244</v>
      </c>
    </row>
    <row r="3151" spans="59:59" x14ac:dyDescent="0.25">
      <c r="BG3151" t="s">
        <v>5245</v>
      </c>
    </row>
    <row r="3152" spans="59:59" x14ac:dyDescent="0.25">
      <c r="BG3152" t="s">
        <v>5246</v>
      </c>
    </row>
    <row r="3153" spans="59:59" x14ac:dyDescent="0.25">
      <c r="BG3153" t="s">
        <v>5247</v>
      </c>
    </row>
    <row r="3154" spans="59:59" x14ac:dyDescent="0.25">
      <c r="BG3154" t="s">
        <v>5248</v>
      </c>
    </row>
    <row r="3155" spans="59:59" x14ac:dyDescent="0.25">
      <c r="BG3155" t="s">
        <v>5249</v>
      </c>
    </row>
    <row r="3156" spans="59:59" x14ac:dyDescent="0.25">
      <c r="BG3156" t="s">
        <v>5250</v>
      </c>
    </row>
    <row r="3157" spans="59:59" x14ac:dyDescent="0.25">
      <c r="BG3157" t="s">
        <v>5251</v>
      </c>
    </row>
    <row r="3158" spans="59:59" x14ac:dyDescent="0.25">
      <c r="BG3158" t="s">
        <v>5252</v>
      </c>
    </row>
    <row r="3159" spans="59:59" x14ac:dyDescent="0.25">
      <c r="BG3159" t="s">
        <v>5253</v>
      </c>
    </row>
    <row r="3160" spans="59:59" x14ac:dyDescent="0.25">
      <c r="BG3160" t="s">
        <v>5254</v>
      </c>
    </row>
    <row r="3161" spans="59:59" x14ac:dyDescent="0.25">
      <c r="BG3161" t="s">
        <v>5255</v>
      </c>
    </row>
    <row r="3162" spans="59:59" x14ac:dyDescent="0.25">
      <c r="BG3162" t="s">
        <v>5256</v>
      </c>
    </row>
    <row r="3163" spans="59:59" x14ac:dyDescent="0.25">
      <c r="BG3163" t="s">
        <v>5257</v>
      </c>
    </row>
    <row r="3164" spans="59:59" x14ac:dyDescent="0.25">
      <c r="BG3164" t="s">
        <v>5258</v>
      </c>
    </row>
    <row r="3165" spans="59:59" x14ac:dyDescent="0.25">
      <c r="BG3165" t="s">
        <v>5259</v>
      </c>
    </row>
    <row r="3166" spans="59:59" x14ac:dyDescent="0.25">
      <c r="BG3166" t="s">
        <v>5260</v>
      </c>
    </row>
    <row r="3167" spans="59:59" x14ac:dyDescent="0.25">
      <c r="BG3167" t="s">
        <v>5261</v>
      </c>
    </row>
    <row r="3168" spans="59:59" x14ac:dyDescent="0.25">
      <c r="BG3168" t="s">
        <v>5262</v>
      </c>
    </row>
    <row r="3169" spans="59:59" x14ac:dyDescent="0.25">
      <c r="BG3169" t="s">
        <v>5263</v>
      </c>
    </row>
    <row r="3170" spans="59:59" x14ac:dyDescent="0.25">
      <c r="BG3170" t="s">
        <v>5264</v>
      </c>
    </row>
    <row r="3171" spans="59:59" x14ac:dyDescent="0.25">
      <c r="BG3171" t="s">
        <v>5265</v>
      </c>
    </row>
    <row r="3172" spans="59:59" x14ac:dyDescent="0.25">
      <c r="BG3172" t="s">
        <v>5266</v>
      </c>
    </row>
    <row r="3173" spans="59:59" x14ac:dyDescent="0.25">
      <c r="BG3173" t="s">
        <v>5267</v>
      </c>
    </row>
    <row r="3174" spans="59:59" x14ac:dyDescent="0.25">
      <c r="BG3174" t="s">
        <v>5268</v>
      </c>
    </row>
    <row r="3175" spans="59:59" x14ac:dyDescent="0.25">
      <c r="BG3175" t="s">
        <v>5269</v>
      </c>
    </row>
    <row r="3176" spans="59:59" x14ac:dyDescent="0.25">
      <c r="BG3176" t="s">
        <v>5270</v>
      </c>
    </row>
    <row r="3177" spans="59:59" x14ac:dyDescent="0.25">
      <c r="BG3177" t="s">
        <v>5271</v>
      </c>
    </row>
    <row r="3178" spans="59:59" x14ac:dyDescent="0.25">
      <c r="BG3178" t="s">
        <v>5272</v>
      </c>
    </row>
    <row r="3179" spans="59:59" x14ac:dyDescent="0.25">
      <c r="BG3179" t="s">
        <v>5273</v>
      </c>
    </row>
    <row r="3180" spans="59:59" x14ac:dyDescent="0.25">
      <c r="BG3180" t="s">
        <v>5274</v>
      </c>
    </row>
    <row r="3181" spans="59:59" x14ac:dyDescent="0.25">
      <c r="BG3181" t="s">
        <v>5275</v>
      </c>
    </row>
    <row r="3182" spans="59:59" x14ac:dyDescent="0.25">
      <c r="BG3182" t="s">
        <v>5276</v>
      </c>
    </row>
    <row r="3183" spans="59:59" x14ac:dyDescent="0.25">
      <c r="BG3183" t="s">
        <v>5277</v>
      </c>
    </row>
    <row r="3184" spans="59:59" x14ac:dyDescent="0.25">
      <c r="BG3184" t="s">
        <v>5278</v>
      </c>
    </row>
    <row r="3185" spans="59:59" x14ac:dyDescent="0.25">
      <c r="BG3185" t="s">
        <v>5279</v>
      </c>
    </row>
    <row r="3186" spans="59:59" x14ac:dyDescent="0.25">
      <c r="BG3186" t="s">
        <v>5280</v>
      </c>
    </row>
    <row r="3187" spans="59:59" x14ac:dyDescent="0.25">
      <c r="BG3187" t="s">
        <v>5281</v>
      </c>
    </row>
    <row r="3188" spans="59:59" x14ac:dyDescent="0.25">
      <c r="BG3188" t="s">
        <v>5282</v>
      </c>
    </row>
    <row r="3189" spans="59:59" x14ac:dyDescent="0.25">
      <c r="BG3189" t="s">
        <v>5283</v>
      </c>
    </row>
    <row r="3190" spans="59:59" x14ac:dyDescent="0.25">
      <c r="BG3190" t="s">
        <v>5284</v>
      </c>
    </row>
    <row r="3191" spans="59:59" x14ac:dyDescent="0.25">
      <c r="BG3191" t="s">
        <v>5285</v>
      </c>
    </row>
    <row r="3192" spans="59:59" x14ac:dyDescent="0.25">
      <c r="BG3192" t="s">
        <v>5286</v>
      </c>
    </row>
    <row r="3193" spans="59:59" x14ac:dyDescent="0.25">
      <c r="BG3193" t="s">
        <v>5287</v>
      </c>
    </row>
    <row r="3194" spans="59:59" x14ac:dyDescent="0.25">
      <c r="BG3194" t="s">
        <v>5288</v>
      </c>
    </row>
    <row r="3195" spans="59:59" x14ac:dyDescent="0.25">
      <c r="BG3195" t="s">
        <v>5289</v>
      </c>
    </row>
    <row r="3196" spans="59:59" x14ac:dyDescent="0.25">
      <c r="BG3196" t="s">
        <v>5290</v>
      </c>
    </row>
    <row r="3197" spans="59:59" x14ac:dyDescent="0.25">
      <c r="BG3197" t="s">
        <v>5291</v>
      </c>
    </row>
    <row r="3198" spans="59:59" x14ac:dyDescent="0.25">
      <c r="BG3198" t="s">
        <v>5292</v>
      </c>
    </row>
    <row r="3199" spans="59:59" x14ac:dyDescent="0.25">
      <c r="BG3199" t="s">
        <v>5293</v>
      </c>
    </row>
    <row r="3200" spans="59:59" x14ac:dyDescent="0.25">
      <c r="BG3200" t="s">
        <v>5294</v>
      </c>
    </row>
    <row r="3201" spans="59:59" x14ac:dyDescent="0.25">
      <c r="BG3201" t="s">
        <v>5295</v>
      </c>
    </row>
    <row r="3202" spans="59:59" x14ac:dyDescent="0.25">
      <c r="BG3202" t="s">
        <v>5296</v>
      </c>
    </row>
    <row r="3203" spans="59:59" x14ac:dyDescent="0.25">
      <c r="BG3203" t="s">
        <v>5297</v>
      </c>
    </row>
    <row r="3204" spans="59:59" x14ac:dyDescent="0.25">
      <c r="BG3204" t="s">
        <v>5298</v>
      </c>
    </row>
    <row r="3205" spans="59:59" x14ac:dyDescent="0.25">
      <c r="BG3205" t="s">
        <v>5299</v>
      </c>
    </row>
    <row r="3206" spans="59:59" x14ac:dyDescent="0.25">
      <c r="BG3206" t="s">
        <v>5300</v>
      </c>
    </row>
    <row r="3207" spans="59:59" x14ac:dyDescent="0.25">
      <c r="BG3207" t="s">
        <v>5301</v>
      </c>
    </row>
    <row r="3208" spans="59:59" x14ac:dyDescent="0.25">
      <c r="BG3208" t="s">
        <v>5302</v>
      </c>
    </row>
    <row r="3209" spans="59:59" x14ac:dyDescent="0.25">
      <c r="BG3209" t="s">
        <v>5303</v>
      </c>
    </row>
    <row r="3210" spans="59:59" x14ac:dyDescent="0.25">
      <c r="BG3210" t="s">
        <v>5304</v>
      </c>
    </row>
    <row r="3211" spans="59:59" x14ac:dyDescent="0.25">
      <c r="BG3211" t="s">
        <v>5305</v>
      </c>
    </row>
    <row r="3212" spans="59:59" x14ac:dyDescent="0.25">
      <c r="BG3212" t="s">
        <v>5306</v>
      </c>
    </row>
    <row r="3213" spans="59:59" x14ac:dyDescent="0.25">
      <c r="BG3213" t="s">
        <v>5307</v>
      </c>
    </row>
    <row r="3214" spans="59:59" x14ac:dyDescent="0.25">
      <c r="BG3214" t="s">
        <v>5308</v>
      </c>
    </row>
    <row r="3215" spans="59:59" x14ac:dyDescent="0.25">
      <c r="BG3215" t="s">
        <v>5309</v>
      </c>
    </row>
    <row r="3216" spans="59:59" x14ac:dyDescent="0.25">
      <c r="BG3216" t="s">
        <v>5310</v>
      </c>
    </row>
    <row r="3217" spans="59:59" x14ac:dyDescent="0.25">
      <c r="BG3217" t="s">
        <v>5311</v>
      </c>
    </row>
    <row r="3218" spans="59:59" x14ac:dyDescent="0.25">
      <c r="BG3218" t="s">
        <v>5312</v>
      </c>
    </row>
    <row r="3219" spans="59:59" x14ac:dyDescent="0.25">
      <c r="BG3219" t="s">
        <v>5313</v>
      </c>
    </row>
    <row r="3220" spans="59:59" x14ac:dyDescent="0.25">
      <c r="BG3220" t="s">
        <v>5314</v>
      </c>
    </row>
    <row r="3221" spans="59:59" x14ac:dyDescent="0.25">
      <c r="BG3221" t="s">
        <v>5315</v>
      </c>
    </row>
    <row r="3222" spans="59:59" x14ac:dyDescent="0.25">
      <c r="BG3222" t="s">
        <v>5316</v>
      </c>
    </row>
    <row r="3223" spans="59:59" x14ac:dyDescent="0.25">
      <c r="BG3223" t="s">
        <v>5317</v>
      </c>
    </row>
    <row r="3224" spans="59:59" x14ac:dyDescent="0.25">
      <c r="BG3224" t="s">
        <v>5318</v>
      </c>
    </row>
    <row r="3225" spans="59:59" x14ac:dyDescent="0.25">
      <c r="BG3225" t="s">
        <v>5319</v>
      </c>
    </row>
    <row r="3226" spans="59:59" x14ac:dyDescent="0.25">
      <c r="BG3226" t="s">
        <v>5320</v>
      </c>
    </row>
    <row r="3227" spans="59:59" x14ac:dyDescent="0.25">
      <c r="BG3227" t="s">
        <v>5321</v>
      </c>
    </row>
    <row r="3228" spans="59:59" x14ac:dyDescent="0.25">
      <c r="BG3228" t="s">
        <v>5322</v>
      </c>
    </row>
    <row r="3229" spans="59:59" x14ac:dyDescent="0.25">
      <c r="BG3229" t="s">
        <v>5323</v>
      </c>
    </row>
    <row r="3230" spans="59:59" x14ac:dyDescent="0.25">
      <c r="BG3230" t="s">
        <v>5324</v>
      </c>
    </row>
    <row r="3231" spans="59:59" x14ac:dyDescent="0.25">
      <c r="BG3231" t="s">
        <v>5325</v>
      </c>
    </row>
    <row r="3232" spans="59:59" x14ac:dyDescent="0.25">
      <c r="BG3232" t="s">
        <v>5326</v>
      </c>
    </row>
    <row r="3233" spans="59:59" x14ac:dyDescent="0.25">
      <c r="BG3233" t="s">
        <v>5327</v>
      </c>
    </row>
    <row r="3234" spans="59:59" x14ac:dyDescent="0.25">
      <c r="BG3234" t="s">
        <v>5328</v>
      </c>
    </row>
    <row r="3235" spans="59:59" x14ac:dyDescent="0.25">
      <c r="BG3235" t="s">
        <v>5329</v>
      </c>
    </row>
    <row r="3236" spans="59:59" x14ac:dyDescent="0.25">
      <c r="BG3236" t="s">
        <v>5330</v>
      </c>
    </row>
    <row r="3237" spans="59:59" x14ac:dyDescent="0.25">
      <c r="BG3237" t="s">
        <v>5331</v>
      </c>
    </row>
    <row r="3238" spans="59:59" x14ac:dyDescent="0.25">
      <c r="BG3238" t="s">
        <v>5332</v>
      </c>
    </row>
    <row r="3239" spans="59:59" x14ac:dyDescent="0.25">
      <c r="BG3239" t="s">
        <v>5333</v>
      </c>
    </row>
    <row r="3240" spans="59:59" x14ac:dyDescent="0.25">
      <c r="BG3240" t="s">
        <v>5334</v>
      </c>
    </row>
    <row r="3241" spans="59:59" x14ac:dyDescent="0.25">
      <c r="BG3241" t="s">
        <v>5335</v>
      </c>
    </row>
    <row r="3242" spans="59:59" x14ac:dyDescent="0.25">
      <c r="BG3242" t="s">
        <v>5336</v>
      </c>
    </row>
    <row r="3243" spans="59:59" x14ac:dyDescent="0.25">
      <c r="BG3243" t="s">
        <v>5337</v>
      </c>
    </row>
    <row r="3244" spans="59:59" x14ac:dyDescent="0.25">
      <c r="BG3244" t="s">
        <v>5338</v>
      </c>
    </row>
    <row r="3245" spans="59:59" x14ac:dyDescent="0.25">
      <c r="BG3245" t="s">
        <v>5339</v>
      </c>
    </row>
    <row r="3246" spans="59:59" x14ac:dyDescent="0.25">
      <c r="BG3246" t="s">
        <v>5340</v>
      </c>
    </row>
    <row r="3247" spans="59:59" x14ac:dyDescent="0.25">
      <c r="BG3247" t="s">
        <v>5341</v>
      </c>
    </row>
    <row r="3248" spans="59:59" x14ac:dyDescent="0.25">
      <c r="BG3248" t="s">
        <v>5342</v>
      </c>
    </row>
    <row r="3249" spans="59:59" x14ac:dyDescent="0.25">
      <c r="BG3249" t="s">
        <v>5343</v>
      </c>
    </row>
    <row r="3250" spans="59:59" x14ac:dyDescent="0.25">
      <c r="BG3250" t="s">
        <v>5344</v>
      </c>
    </row>
    <row r="3251" spans="59:59" x14ac:dyDescent="0.25">
      <c r="BG3251" t="s">
        <v>5345</v>
      </c>
    </row>
    <row r="3252" spans="59:59" x14ac:dyDescent="0.25">
      <c r="BG3252" t="s">
        <v>5346</v>
      </c>
    </row>
    <row r="3253" spans="59:59" x14ac:dyDescent="0.25">
      <c r="BG3253" t="s">
        <v>5347</v>
      </c>
    </row>
    <row r="3254" spans="59:59" x14ac:dyDescent="0.25">
      <c r="BG3254" t="s">
        <v>5348</v>
      </c>
    </row>
    <row r="3255" spans="59:59" x14ac:dyDescent="0.25">
      <c r="BG3255" t="s">
        <v>5349</v>
      </c>
    </row>
    <row r="3256" spans="59:59" x14ac:dyDescent="0.25">
      <c r="BG3256" t="s">
        <v>5350</v>
      </c>
    </row>
    <row r="3257" spans="59:59" x14ac:dyDescent="0.25">
      <c r="BG3257" t="s">
        <v>5351</v>
      </c>
    </row>
    <row r="3258" spans="59:59" x14ac:dyDescent="0.25">
      <c r="BG3258" t="s">
        <v>5352</v>
      </c>
    </row>
    <row r="3259" spans="59:59" x14ac:dyDescent="0.25">
      <c r="BG3259" t="s">
        <v>5353</v>
      </c>
    </row>
    <row r="3260" spans="59:59" x14ac:dyDescent="0.25">
      <c r="BG3260" t="s">
        <v>5354</v>
      </c>
    </row>
    <row r="3261" spans="59:59" x14ac:dyDescent="0.25">
      <c r="BG3261" t="s">
        <v>5355</v>
      </c>
    </row>
    <row r="3262" spans="59:59" x14ac:dyDescent="0.25">
      <c r="BG3262" t="s">
        <v>5356</v>
      </c>
    </row>
    <row r="3263" spans="59:59" x14ac:dyDescent="0.25">
      <c r="BG3263" t="s">
        <v>5357</v>
      </c>
    </row>
    <row r="3264" spans="59:59" x14ac:dyDescent="0.25">
      <c r="BG3264" t="s">
        <v>5358</v>
      </c>
    </row>
    <row r="3265" spans="59:59" x14ac:dyDescent="0.25">
      <c r="BG3265" t="s">
        <v>5359</v>
      </c>
    </row>
    <row r="3266" spans="59:59" x14ac:dyDescent="0.25">
      <c r="BG3266" t="s">
        <v>5360</v>
      </c>
    </row>
    <row r="3267" spans="59:59" x14ac:dyDescent="0.25">
      <c r="BG3267" t="s">
        <v>5361</v>
      </c>
    </row>
    <row r="3268" spans="59:59" x14ac:dyDescent="0.25">
      <c r="BG3268" t="s">
        <v>618</v>
      </c>
    </row>
    <row r="3269" spans="59:59" x14ac:dyDescent="0.25">
      <c r="BG3269" t="s">
        <v>621</v>
      </c>
    </row>
    <row r="3270" spans="59:59" x14ac:dyDescent="0.25">
      <c r="BG3270" t="s">
        <v>624</v>
      </c>
    </row>
    <row r="3271" spans="59:59" x14ac:dyDescent="0.25">
      <c r="BG3271" t="s">
        <v>627</v>
      </c>
    </row>
    <row r="3272" spans="59:59" x14ac:dyDescent="0.25">
      <c r="BG3272" t="s">
        <v>630</v>
      </c>
    </row>
    <row r="3273" spans="59:59" x14ac:dyDescent="0.25">
      <c r="BG3273" t="s">
        <v>633</v>
      </c>
    </row>
    <row r="3274" spans="59:59" x14ac:dyDescent="0.25">
      <c r="BG3274" t="s">
        <v>636</v>
      </c>
    </row>
    <row r="3275" spans="59:59" x14ac:dyDescent="0.25">
      <c r="BG3275" t="s">
        <v>639</v>
      </c>
    </row>
    <row r="3276" spans="59:59" x14ac:dyDescent="0.25">
      <c r="BG3276" t="s">
        <v>642</v>
      </c>
    </row>
    <row r="3277" spans="59:59" x14ac:dyDescent="0.25">
      <c r="BG3277" t="s">
        <v>645</v>
      </c>
    </row>
    <row r="3278" spans="59:59" x14ac:dyDescent="0.25">
      <c r="BG3278" t="s">
        <v>648</v>
      </c>
    </row>
    <row r="3279" spans="59:59" x14ac:dyDescent="0.25">
      <c r="BG3279" t="s">
        <v>651</v>
      </c>
    </row>
    <row r="3280" spans="59:59" x14ac:dyDescent="0.25">
      <c r="BG3280" t="s">
        <v>654</v>
      </c>
    </row>
    <row r="3281" spans="59:59" x14ac:dyDescent="0.25">
      <c r="BG3281" t="s">
        <v>657</v>
      </c>
    </row>
    <row r="3282" spans="59:59" x14ac:dyDescent="0.25">
      <c r="BG3282" t="s">
        <v>660</v>
      </c>
    </row>
    <row r="3283" spans="59:59" x14ac:dyDescent="0.25">
      <c r="BG3283" t="s">
        <v>663</v>
      </c>
    </row>
    <row r="3284" spans="59:59" x14ac:dyDescent="0.25">
      <c r="BG3284" t="s">
        <v>666</v>
      </c>
    </row>
    <row r="3285" spans="59:59" x14ac:dyDescent="0.25">
      <c r="BG3285" t="s">
        <v>669</v>
      </c>
    </row>
    <row r="3286" spans="59:59" x14ac:dyDescent="0.25">
      <c r="BG3286" t="s">
        <v>672</v>
      </c>
    </row>
    <row r="3287" spans="59:59" x14ac:dyDescent="0.25">
      <c r="BG3287" t="s">
        <v>675</v>
      </c>
    </row>
    <row r="3288" spans="59:59" x14ac:dyDescent="0.25">
      <c r="BG3288" t="s">
        <v>678</v>
      </c>
    </row>
    <row r="3289" spans="59:59" x14ac:dyDescent="0.25">
      <c r="BG3289" t="s">
        <v>681</v>
      </c>
    </row>
    <row r="3290" spans="59:59" x14ac:dyDescent="0.25">
      <c r="BG3290" t="s">
        <v>684</v>
      </c>
    </row>
    <row r="3291" spans="59:59" x14ac:dyDescent="0.25">
      <c r="BG3291" t="s">
        <v>687</v>
      </c>
    </row>
    <row r="3292" spans="59:59" x14ac:dyDescent="0.25">
      <c r="BG3292" t="s">
        <v>690</v>
      </c>
    </row>
    <row r="3293" spans="59:59" x14ac:dyDescent="0.25">
      <c r="BG3293" t="s">
        <v>693</v>
      </c>
    </row>
    <row r="3294" spans="59:59" x14ac:dyDescent="0.25">
      <c r="BG3294" t="s">
        <v>696</v>
      </c>
    </row>
    <row r="3295" spans="59:59" x14ac:dyDescent="0.25">
      <c r="BG3295" t="s">
        <v>699</v>
      </c>
    </row>
    <row r="3296" spans="59:59" x14ac:dyDescent="0.25">
      <c r="BG3296" t="s">
        <v>702</v>
      </c>
    </row>
    <row r="3297" spans="59:59" x14ac:dyDescent="0.25">
      <c r="BG3297" t="s">
        <v>705</v>
      </c>
    </row>
    <row r="3298" spans="59:59" x14ac:dyDescent="0.25">
      <c r="BG3298" t="s">
        <v>708</v>
      </c>
    </row>
    <row r="3299" spans="59:59" x14ac:dyDescent="0.25">
      <c r="BG3299" t="s">
        <v>711</v>
      </c>
    </row>
    <row r="3300" spans="59:59" x14ac:dyDescent="0.25">
      <c r="BG3300" t="s">
        <v>714</v>
      </c>
    </row>
    <row r="3301" spans="59:59" x14ac:dyDescent="0.25">
      <c r="BG3301" t="s">
        <v>717</v>
      </c>
    </row>
    <row r="3302" spans="59:59" x14ac:dyDescent="0.25">
      <c r="BG3302" t="s">
        <v>720</v>
      </c>
    </row>
    <row r="3303" spans="59:59" x14ac:dyDescent="0.25">
      <c r="BG3303" t="s">
        <v>723</v>
      </c>
    </row>
    <row r="3304" spans="59:59" x14ac:dyDescent="0.25">
      <c r="BG3304" t="s">
        <v>726</v>
      </c>
    </row>
    <row r="3305" spans="59:59" x14ac:dyDescent="0.25">
      <c r="BG3305" t="s">
        <v>729</v>
      </c>
    </row>
    <row r="3306" spans="59:59" x14ac:dyDescent="0.25">
      <c r="BG3306" t="s">
        <v>732</v>
      </c>
    </row>
    <row r="3307" spans="59:59" x14ac:dyDescent="0.25">
      <c r="BG3307" t="s">
        <v>735</v>
      </c>
    </row>
    <row r="3308" spans="59:59" x14ac:dyDescent="0.25">
      <c r="BG3308" t="s">
        <v>738</v>
      </c>
    </row>
    <row r="3309" spans="59:59" x14ac:dyDescent="0.25">
      <c r="BG3309" t="s">
        <v>741</v>
      </c>
    </row>
    <row r="3310" spans="59:59" x14ac:dyDescent="0.25">
      <c r="BG3310" t="s">
        <v>744</v>
      </c>
    </row>
    <row r="3311" spans="59:59" x14ac:dyDescent="0.25">
      <c r="BG3311" t="s">
        <v>747</v>
      </c>
    </row>
    <row r="3312" spans="59:59" x14ac:dyDescent="0.25">
      <c r="BG3312" t="s">
        <v>750</v>
      </c>
    </row>
    <row r="3313" spans="59:59" x14ac:dyDescent="0.25">
      <c r="BG3313" t="s">
        <v>753</v>
      </c>
    </row>
    <row r="3314" spans="59:59" x14ac:dyDescent="0.25">
      <c r="BG3314" t="s">
        <v>756</v>
      </c>
    </row>
    <row r="3315" spans="59:59" x14ac:dyDescent="0.25">
      <c r="BG3315" t="s">
        <v>759</v>
      </c>
    </row>
    <row r="3316" spans="59:59" x14ac:dyDescent="0.25">
      <c r="BG3316" t="s">
        <v>762</v>
      </c>
    </row>
    <row r="3317" spans="59:59" x14ac:dyDescent="0.25">
      <c r="BG3317" t="s">
        <v>765</v>
      </c>
    </row>
    <row r="3318" spans="59:59" x14ac:dyDescent="0.25">
      <c r="BG3318" t="s">
        <v>768</v>
      </c>
    </row>
    <row r="3319" spans="59:59" x14ac:dyDescent="0.25">
      <c r="BG3319" t="s">
        <v>771</v>
      </c>
    </row>
    <row r="3320" spans="59:59" x14ac:dyDescent="0.25">
      <c r="BG3320" t="s">
        <v>774</v>
      </c>
    </row>
    <row r="3321" spans="59:59" x14ac:dyDescent="0.25">
      <c r="BG3321" t="s">
        <v>777</v>
      </c>
    </row>
    <row r="3322" spans="59:59" x14ac:dyDescent="0.25">
      <c r="BG3322" t="s">
        <v>780</v>
      </c>
    </row>
    <row r="3323" spans="59:59" x14ac:dyDescent="0.25">
      <c r="BG3323" t="s">
        <v>783</v>
      </c>
    </row>
    <row r="3324" spans="59:59" x14ac:dyDescent="0.25">
      <c r="BG3324" t="s">
        <v>786</v>
      </c>
    </row>
    <row r="3325" spans="59:59" x14ac:dyDescent="0.25">
      <c r="BG3325" t="s">
        <v>789</v>
      </c>
    </row>
    <row r="3326" spans="59:59" x14ac:dyDescent="0.25">
      <c r="BG3326" t="s">
        <v>792</v>
      </c>
    </row>
    <row r="3327" spans="59:59" x14ac:dyDescent="0.25">
      <c r="BG3327" t="s">
        <v>795</v>
      </c>
    </row>
    <row r="3328" spans="59:59" x14ac:dyDescent="0.25">
      <c r="BG3328" t="s">
        <v>798</v>
      </c>
    </row>
    <row r="3329" spans="59:59" x14ac:dyDescent="0.25">
      <c r="BG3329" t="s">
        <v>801</v>
      </c>
    </row>
    <row r="3330" spans="59:59" x14ac:dyDescent="0.25">
      <c r="BG3330" t="s">
        <v>804</v>
      </c>
    </row>
    <row r="3331" spans="59:59" x14ac:dyDescent="0.25">
      <c r="BG3331" t="s">
        <v>807</v>
      </c>
    </row>
    <row r="3332" spans="59:59" x14ac:dyDescent="0.25">
      <c r="BG3332" t="s">
        <v>810</v>
      </c>
    </row>
    <row r="3333" spans="59:59" x14ac:dyDescent="0.25">
      <c r="BG3333" t="s">
        <v>813</v>
      </c>
    </row>
    <row r="3334" spans="59:59" x14ac:dyDescent="0.25">
      <c r="BG3334" t="s">
        <v>816</v>
      </c>
    </row>
    <row r="3335" spans="59:59" x14ac:dyDescent="0.25">
      <c r="BG3335" t="s">
        <v>819</v>
      </c>
    </row>
    <row r="3336" spans="59:59" x14ac:dyDescent="0.25">
      <c r="BG3336" t="s">
        <v>822</v>
      </c>
    </row>
    <row r="3337" spans="59:59" x14ac:dyDescent="0.25">
      <c r="BG3337" t="s">
        <v>825</v>
      </c>
    </row>
    <row r="3338" spans="59:59" x14ac:dyDescent="0.25">
      <c r="BG3338" t="s">
        <v>828</v>
      </c>
    </row>
    <row r="3339" spans="59:59" x14ac:dyDescent="0.25">
      <c r="BG3339" t="s">
        <v>831</v>
      </c>
    </row>
    <row r="3340" spans="59:59" x14ac:dyDescent="0.25">
      <c r="BG3340" t="s">
        <v>834</v>
      </c>
    </row>
    <row r="3341" spans="59:59" x14ac:dyDescent="0.25">
      <c r="BG3341" t="s">
        <v>837</v>
      </c>
    </row>
    <row r="3342" spans="59:59" x14ac:dyDescent="0.25">
      <c r="BG3342" t="s">
        <v>840</v>
      </c>
    </row>
    <row r="3343" spans="59:59" x14ac:dyDescent="0.25">
      <c r="BG3343" t="s">
        <v>843</v>
      </c>
    </row>
    <row r="3344" spans="59:59" x14ac:dyDescent="0.25">
      <c r="BG3344" t="s">
        <v>846</v>
      </c>
    </row>
    <row r="3345" spans="59:59" x14ac:dyDescent="0.25">
      <c r="BG3345" t="s">
        <v>849</v>
      </c>
    </row>
    <row r="3346" spans="59:59" x14ac:dyDescent="0.25">
      <c r="BG3346" t="s">
        <v>852</v>
      </c>
    </row>
    <row r="3347" spans="59:59" x14ac:dyDescent="0.25">
      <c r="BG3347" t="s">
        <v>855</v>
      </c>
    </row>
    <row r="3348" spans="59:59" x14ac:dyDescent="0.25">
      <c r="BG3348" t="s">
        <v>858</v>
      </c>
    </row>
    <row r="3349" spans="59:59" x14ac:dyDescent="0.25">
      <c r="BG3349" t="s">
        <v>861</v>
      </c>
    </row>
    <row r="3350" spans="59:59" x14ac:dyDescent="0.25">
      <c r="BG3350" t="s">
        <v>864</v>
      </c>
    </row>
    <row r="3351" spans="59:59" x14ac:dyDescent="0.25">
      <c r="BG3351" t="s">
        <v>867</v>
      </c>
    </row>
    <row r="3352" spans="59:59" x14ac:dyDescent="0.25">
      <c r="BG3352" t="s">
        <v>870</v>
      </c>
    </row>
    <row r="3353" spans="59:59" x14ac:dyDescent="0.25">
      <c r="BG3353" t="s">
        <v>873</v>
      </c>
    </row>
    <row r="3354" spans="59:59" x14ac:dyDescent="0.25">
      <c r="BG3354" t="s">
        <v>876</v>
      </c>
    </row>
    <row r="3355" spans="59:59" x14ac:dyDescent="0.25">
      <c r="BG3355" t="s">
        <v>879</v>
      </c>
    </row>
    <row r="3356" spans="59:59" x14ac:dyDescent="0.25">
      <c r="BG3356" t="s">
        <v>882</v>
      </c>
    </row>
    <row r="3357" spans="59:59" x14ac:dyDescent="0.25">
      <c r="BG3357" t="s">
        <v>885</v>
      </c>
    </row>
    <row r="3358" spans="59:59" x14ac:dyDescent="0.25">
      <c r="BG3358" t="s">
        <v>888</v>
      </c>
    </row>
    <row r="3359" spans="59:59" x14ac:dyDescent="0.25">
      <c r="BG3359" t="s">
        <v>891</v>
      </c>
    </row>
    <row r="3360" spans="59:59" x14ac:dyDescent="0.25">
      <c r="BG3360" t="s">
        <v>894</v>
      </c>
    </row>
    <row r="3361" spans="59:59" x14ac:dyDescent="0.25">
      <c r="BG3361" t="s">
        <v>897</v>
      </c>
    </row>
    <row r="3362" spans="59:59" x14ac:dyDescent="0.25">
      <c r="BG3362" t="s">
        <v>900</v>
      </c>
    </row>
    <row r="3363" spans="59:59" x14ac:dyDescent="0.25">
      <c r="BG3363" t="s">
        <v>903</v>
      </c>
    </row>
    <row r="3364" spans="59:59" x14ac:dyDescent="0.25">
      <c r="BG3364" t="s">
        <v>906</v>
      </c>
    </row>
    <row r="3365" spans="59:59" x14ac:dyDescent="0.25">
      <c r="BG3365" t="s">
        <v>909</v>
      </c>
    </row>
    <row r="3366" spans="59:59" x14ac:dyDescent="0.25">
      <c r="BG3366" t="s">
        <v>912</v>
      </c>
    </row>
    <row r="3367" spans="59:59" x14ac:dyDescent="0.25">
      <c r="BG3367" t="s">
        <v>915</v>
      </c>
    </row>
    <row r="3368" spans="59:59" x14ac:dyDescent="0.25">
      <c r="BG3368" t="s">
        <v>918</v>
      </c>
    </row>
    <row r="3369" spans="59:59" x14ac:dyDescent="0.25">
      <c r="BG3369" t="s">
        <v>921</v>
      </c>
    </row>
    <row r="3370" spans="59:59" x14ac:dyDescent="0.25">
      <c r="BG3370" t="s">
        <v>924</v>
      </c>
    </row>
    <row r="3371" spans="59:59" x14ac:dyDescent="0.25">
      <c r="BG3371" t="s">
        <v>927</v>
      </c>
    </row>
    <row r="3372" spans="59:59" x14ac:dyDescent="0.25">
      <c r="BG3372" t="s">
        <v>930</v>
      </c>
    </row>
    <row r="3373" spans="59:59" x14ac:dyDescent="0.25">
      <c r="BG3373" t="s">
        <v>933</v>
      </c>
    </row>
    <row r="3374" spans="59:59" x14ac:dyDescent="0.25">
      <c r="BG3374" t="s">
        <v>936</v>
      </c>
    </row>
    <row r="3375" spans="59:59" x14ac:dyDescent="0.25">
      <c r="BG3375" t="s">
        <v>939</v>
      </c>
    </row>
    <row r="3376" spans="59:59" x14ac:dyDescent="0.25">
      <c r="BG3376" t="s">
        <v>942</v>
      </c>
    </row>
    <row r="3377" spans="59:59" x14ac:dyDescent="0.25">
      <c r="BG3377" t="s">
        <v>945</v>
      </c>
    </row>
    <row r="3378" spans="59:59" x14ac:dyDescent="0.25">
      <c r="BG3378" t="s">
        <v>948</v>
      </c>
    </row>
    <row r="3379" spans="59:59" x14ac:dyDescent="0.25">
      <c r="BG3379" t="s">
        <v>951</v>
      </c>
    </row>
    <row r="3380" spans="59:59" x14ac:dyDescent="0.25">
      <c r="BG3380" t="s">
        <v>954</v>
      </c>
    </row>
    <row r="3381" spans="59:59" x14ac:dyDescent="0.25">
      <c r="BG3381" t="s">
        <v>957</v>
      </c>
    </row>
    <row r="3382" spans="59:59" x14ac:dyDescent="0.25">
      <c r="BG3382" t="s">
        <v>960</v>
      </c>
    </row>
    <row r="3383" spans="59:59" x14ac:dyDescent="0.25">
      <c r="BG3383" t="s">
        <v>963</v>
      </c>
    </row>
    <row r="3384" spans="59:59" x14ac:dyDescent="0.25">
      <c r="BG3384" t="s">
        <v>966</v>
      </c>
    </row>
    <row r="3385" spans="59:59" x14ac:dyDescent="0.25">
      <c r="BG3385" t="s">
        <v>969</v>
      </c>
    </row>
    <row r="3386" spans="59:59" x14ac:dyDescent="0.25">
      <c r="BG3386" t="s">
        <v>972</v>
      </c>
    </row>
    <row r="3387" spans="59:59" x14ac:dyDescent="0.25">
      <c r="BG3387" t="s">
        <v>975</v>
      </c>
    </row>
    <row r="3388" spans="59:59" x14ac:dyDescent="0.25">
      <c r="BG3388" t="s">
        <v>978</v>
      </c>
    </row>
    <row r="3389" spans="59:59" x14ac:dyDescent="0.25">
      <c r="BG3389" t="s">
        <v>981</v>
      </c>
    </row>
    <row r="3390" spans="59:59" x14ac:dyDescent="0.25">
      <c r="BG3390" t="s">
        <v>984</v>
      </c>
    </row>
    <row r="3391" spans="59:59" x14ac:dyDescent="0.25">
      <c r="BG3391" t="s">
        <v>987</v>
      </c>
    </row>
    <row r="3392" spans="59:59" x14ac:dyDescent="0.25">
      <c r="BG3392" t="s">
        <v>990</v>
      </c>
    </row>
    <row r="3393" spans="59:59" x14ac:dyDescent="0.25">
      <c r="BG3393" t="s">
        <v>993</v>
      </c>
    </row>
    <row r="3394" spans="59:59" x14ac:dyDescent="0.25">
      <c r="BG3394" t="s">
        <v>996</v>
      </c>
    </row>
    <row r="3395" spans="59:59" x14ac:dyDescent="0.25">
      <c r="BG3395" t="s">
        <v>999</v>
      </c>
    </row>
    <row r="3396" spans="59:59" x14ac:dyDescent="0.25">
      <c r="BG3396" t="s">
        <v>1002</v>
      </c>
    </row>
    <row r="3397" spans="59:59" x14ac:dyDescent="0.25">
      <c r="BG3397" t="s">
        <v>1005</v>
      </c>
    </row>
    <row r="3398" spans="59:59" x14ac:dyDescent="0.25">
      <c r="BG3398" t="s">
        <v>1008</v>
      </c>
    </row>
    <row r="3399" spans="59:59" x14ac:dyDescent="0.25">
      <c r="BG3399" t="s">
        <v>1011</v>
      </c>
    </row>
    <row r="3400" spans="59:59" x14ac:dyDescent="0.25">
      <c r="BG3400" t="s">
        <v>1014</v>
      </c>
    </row>
    <row r="3401" spans="59:59" x14ac:dyDescent="0.25">
      <c r="BG3401" t="s">
        <v>1017</v>
      </c>
    </row>
    <row r="3402" spans="59:59" x14ac:dyDescent="0.25">
      <c r="BG3402" t="s">
        <v>1020</v>
      </c>
    </row>
    <row r="3403" spans="59:59" x14ac:dyDescent="0.25">
      <c r="BG3403" t="s">
        <v>1023</v>
      </c>
    </row>
    <row r="3404" spans="59:59" x14ac:dyDescent="0.25">
      <c r="BG3404" t="s">
        <v>1026</v>
      </c>
    </row>
    <row r="3405" spans="59:59" x14ac:dyDescent="0.25">
      <c r="BG3405" t="s">
        <v>1029</v>
      </c>
    </row>
    <row r="3406" spans="59:59" x14ac:dyDescent="0.25">
      <c r="BG3406" t="s">
        <v>1032</v>
      </c>
    </row>
    <row r="3407" spans="59:59" x14ac:dyDescent="0.25">
      <c r="BG3407" t="s">
        <v>1035</v>
      </c>
    </row>
    <row r="3408" spans="59:59" x14ac:dyDescent="0.25">
      <c r="BG3408" t="s">
        <v>1038</v>
      </c>
    </row>
    <row r="3409" spans="59:59" x14ac:dyDescent="0.25">
      <c r="BG3409" t="s">
        <v>1041</v>
      </c>
    </row>
    <row r="3410" spans="59:59" x14ac:dyDescent="0.25">
      <c r="BG3410" t="s">
        <v>1044</v>
      </c>
    </row>
    <row r="3411" spans="59:59" x14ac:dyDescent="0.25">
      <c r="BG3411" t="s">
        <v>1047</v>
      </c>
    </row>
    <row r="3412" spans="59:59" x14ac:dyDescent="0.25">
      <c r="BG3412" t="s">
        <v>1050</v>
      </c>
    </row>
    <row r="3413" spans="59:59" x14ac:dyDescent="0.25">
      <c r="BG3413" t="s">
        <v>1053</v>
      </c>
    </row>
    <row r="3414" spans="59:59" x14ac:dyDescent="0.25">
      <c r="BG3414" t="s">
        <v>1056</v>
      </c>
    </row>
    <row r="3415" spans="59:59" x14ac:dyDescent="0.25">
      <c r="BG3415" t="s">
        <v>1059</v>
      </c>
    </row>
    <row r="3416" spans="59:59" x14ac:dyDescent="0.25">
      <c r="BG3416" t="s">
        <v>1062</v>
      </c>
    </row>
    <row r="3417" spans="59:59" x14ac:dyDescent="0.25">
      <c r="BG3417" t="s">
        <v>1065</v>
      </c>
    </row>
    <row r="3418" spans="59:59" x14ac:dyDescent="0.25">
      <c r="BG3418" t="s">
        <v>1068</v>
      </c>
    </row>
    <row r="3419" spans="59:59" x14ac:dyDescent="0.25">
      <c r="BG3419" t="s">
        <v>1071</v>
      </c>
    </row>
    <row r="3420" spans="59:59" x14ac:dyDescent="0.25">
      <c r="BG3420" t="s">
        <v>1074</v>
      </c>
    </row>
    <row r="3421" spans="59:59" x14ac:dyDescent="0.25">
      <c r="BG3421" t="s">
        <v>1077</v>
      </c>
    </row>
    <row r="3422" spans="59:59" x14ac:dyDescent="0.25">
      <c r="BG3422" t="s">
        <v>1080</v>
      </c>
    </row>
    <row r="3423" spans="59:59" x14ac:dyDescent="0.25">
      <c r="BG3423" t="s">
        <v>1083</v>
      </c>
    </row>
    <row r="3424" spans="59:59" x14ac:dyDescent="0.25">
      <c r="BG3424" t="s">
        <v>1086</v>
      </c>
    </row>
    <row r="3425" spans="59:59" x14ac:dyDescent="0.25">
      <c r="BG3425" t="s">
        <v>1089</v>
      </c>
    </row>
    <row r="3426" spans="59:59" x14ac:dyDescent="0.25">
      <c r="BG3426" t="s">
        <v>1092</v>
      </c>
    </row>
    <row r="3427" spans="59:59" x14ac:dyDescent="0.25">
      <c r="BG3427" t="s">
        <v>1095</v>
      </c>
    </row>
    <row r="3428" spans="59:59" x14ac:dyDescent="0.25">
      <c r="BG3428" t="s">
        <v>1098</v>
      </c>
    </row>
    <row r="3429" spans="59:59" x14ac:dyDescent="0.25">
      <c r="BG3429" t="s">
        <v>1101</v>
      </c>
    </row>
    <row r="3430" spans="59:59" x14ac:dyDescent="0.25">
      <c r="BG3430" t="s">
        <v>1104</v>
      </c>
    </row>
    <row r="3431" spans="59:59" x14ac:dyDescent="0.25">
      <c r="BG3431" t="s">
        <v>1107</v>
      </c>
    </row>
    <row r="3432" spans="59:59" x14ac:dyDescent="0.25">
      <c r="BG3432" t="s">
        <v>1110</v>
      </c>
    </row>
    <row r="3433" spans="59:59" x14ac:dyDescent="0.25">
      <c r="BG3433" t="s">
        <v>1113</v>
      </c>
    </row>
    <row r="3434" spans="59:59" x14ac:dyDescent="0.25">
      <c r="BG3434" t="s">
        <v>1116</v>
      </c>
    </row>
    <row r="3435" spans="59:59" x14ac:dyDescent="0.25">
      <c r="BG3435" t="s">
        <v>1119</v>
      </c>
    </row>
    <row r="3436" spans="59:59" x14ac:dyDescent="0.25">
      <c r="BG3436" t="s">
        <v>1122</v>
      </c>
    </row>
    <row r="3437" spans="59:59" x14ac:dyDescent="0.25">
      <c r="BG3437" t="s">
        <v>1125</v>
      </c>
    </row>
    <row r="3438" spans="59:59" x14ac:dyDescent="0.25">
      <c r="BG3438" t="s">
        <v>1128</v>
      </c>
    </row>
    <row r="3439" spans="59:59" x14ac:dyDescent="0.25">
      <c r="BG3439" t="s">
        <v>1131</v>
      </c>
    </row>
    <row r="3440" spans="59:59" x14ac:dyDescent="0.25">
      <c r="BG3440" t="s">
        <v>1134</v>
      </c>
    </row>
    <row r="3441" spans="59:59" x14ac:dyDescent="0.25">
      <c r="BG3441" t="s">
        <v>1137</v>
      </c>
    </row>
    <row r="3442" spans="59:59" x14ac:dyDescent="0.25">
      <c r="BG3442" t="s">
        <v>1140</v>
      </c>
    </row>
    <row r="3443" spans="59:59" x14ac:dyDescent="0.25">
      <c r="BG3443" t="s">
        <v>1143</v>
      </c>
    </row>
    <row r="3444" spans="59:59" x14ac:dyDescent="0.25">
      <c r="BG3444" t="s">
        <v>1146</v>
      </c>
    </row>
    <row r="3445" spans="59:59" x14ac:dyDescent="0.25">
      <c r="BG3445" t="s">
        <v>1149</v>
      </c>
    </row>
    <row r="3446" spans="59:59" x14ac:dyDescent="0.25">
      <c r="BG3446" t="s">
        <v>1152</v>
      </c>
    </row>
    <row r="3447" spans="59:59" x14ac:dyDescent="0.25">
      <c r="BG3447" t="s">
        <v>1155</v>
      </c>
    </row>
    <row r="3448" spans="59:59" x14ac:dyDescent="0.25">
      <c r="BG3448" t="s">
        <v>1158</v>
      </c>
    </row>
    <row r="3449" spans="59:59" x14ac:dyDescent="0.25">
      <c r="BG3449" t="s">
        <v>1161</v>
      </c>
    </row>
    <row r="3450" spans="59:59" x14ac:dyDescent="0.25">
      <c r="BG3450" t="s">
        <v>1164</v>
      </c>
    </row>
    <row r="3451" spans="59:59" x14ac:dyDescent="0.25">
      <c r="BG3451" t="s">
        <v>1167</v>
      </c>
    </row>
    <row r="3452" spans="59:59" x14ac:dyDescent="0.25">
      <c r="BG3452" t="s">
        <v>1170</v>
      </c>
    </row>
    <row r="3453" spans="59:59" x14ac:dyDescent="0.25">
      <c r="BG3453" t="s">
        <v>1173</v>
      </c>
    </row>
    <row r="3454" spans="59:59" x14ac:dyDescent="0.25">
      <c r="BG3454" t="s">
        <v>1176</v>
      </c>
    </row>
    <row r="3455" spans="59:59" x14ac:dyDescent="0.25">
      <c r="BG3455" t="s">
        <v>1179</v>
      </c>
    </row>
    <row r="3456" spans="59:59" x14ac:dyDescent="0.25">
      <c r="BG3456" t="s">
        <v>1182</v>
      </c>
    </row>
    <row r="3457" spans="59:59" x14ac:dyDescent="0.25">
      <c r="BG3457" t="s">
        <v>1185</v>
      </c>
    </row>
    <row r="3458" spans="59:59" x14ac:dyDescent="0.25">
      <c r="BG3458" t="s">
        <v>1188</v>
      </c>
    </row>
    <row r="3459" spans="59:59" x14ac:dyDescent="0.25">
      <c r="BG3459" t="s">
        <v>1191</v>
      </c>
    </row>
    <row r="3460" spans="59:59" x14ac:dyDescent="0.25">
      <c r="BG3460" t="s">
        <v>1194</v>
      </c>
    </row>
    <row r="3461" spans="59:59" x14ac:dyDescent="0.25">
      <c r="BG3461" t="s">
        <v>1197</v>
      </c>
    </row>
    <row r="3462" spans="59:59" x14ac:dyDescent="0.25">
      <c r="BG3462" t="s">
        <v>1200</v>
      </c>
    </row>
    <row r="3463" spans="59:59" x14ac:dyDescent="0.25">
      <c r="BG3463" t="s">
        <v>1203</v>
      </c>
    </row>
    <row r="3464" spans="59:59" x14ac:dyDescent="0.25">
      <c r="BG3464" t="s">
        <v>1206</v>
      </c>
    </row>
    <row r="3465" spans="59:59" x14ac:dyDescent="0.25">
      <c r="BG3465" t="s">
        <v>1209</v>
      </c>
    </row>
    <row r="3466" spans="59:59" x14ac:dyDescent="0.25">
      <c r="BG3466" t="s">
        <v>1212</v>
      </c>
    </row>
    <row r="3467" spans="59:59" x14ac:dyDescent="0.25">
      <c r="BG3467" t="s">
        <v>1215</v>
      </c>
    </row>
    <row r="3468" spans="59:59" x14ac:dyDescent="0.25">
      <c r="BG3468" t="s">
        <v>1218</v>
      </c>
    </row>
    <row r="3469" spans="59:59" x14ac:dyDescent="0.25">
      <c r="BG3469" t="s">
        <v>1221</v>
      </c>
    </row>
    <row r="3470" spans="59:59" x14ac:dyDescent="0.25">
      <c r="BG3470" t="s">
        <v>1224</v>
      </c>
    </row>
    <row r="3471" spans="59:59" x14ac:dyDescent="0.25">
      <c r="BG3471" t="s">
        <v>1227</v>
      </c>
    </row>
    <row r="3472" spans="59:59" x14ac:dyDescent="0.25">
      <c r="BG3472" t="s">
        <v>1230</v>
      </c>
    </row>
    <row r="3473" spans="59:59" x14ac:dyDescent="0.25">
      <c r="BG3473" t="s">
        <v>1233</v>
      </c>
    </row>
    <row r="3474" spans="59:59" x14ac:dyDescent="0.25">
      <c r="BG3474" t="s">
        <v>1236</v>
      </c>
    </row>
    <row r="3475" spans="59:59" x14ac:dyDescent="0.25">
      <c r="BG3475" t="s">
        <v>1239</v>
      </c>
    </row>
    <row r="3476" spans="59:59" x14ac:dyDescent="0.25">
      <c r="BG3476" t="s">
        <v>1242</v>
      </c>
    </row>
    <row r="3477" spans="59:59" x14ac:dyDescent="0.25">
      <c r="BG3477" t="s">
        <v>1245</v>
      </c>
    </row>
    <row r="3478" spans="59:59" x14ac:dyDescent="0.25">
      <c r="BG3478" t="s">
        <v>1248</v>
      </c>
    </row>
    <row r="3479" spans="59:59" x14ac:dyDescent="0.25">
      <c r="BG3479" t="s">
        <v>1251</v>
      </c>
    </row>
    <row r="3480" spans="59:59" x14ac:dyDescent="0.25">
      <c r="BG3480" t="s">
        <v>1254</v>
      </c>
    </row>
    <row r="3481" spans="59:59" x14ac:dyDescent="0.25">
      <c r="BG3481" t="s">
        <v>1257</v>
      </c>
    </row>
    <row r="3482" spans="59:59" x14ac:dyDescent="0.25">
      <c r="BG3482" t="s">
        <v>1260</v>
      </c>
    </row>
    <row r="3483" spans="59:59" x14ac:dyDescent="0.25">
      <c r="BG3483" t="s">
        <v>1263</v>
      </c>
    </row>
    <row r="3484" spans="59:59" x14ac:dyDescent="0.25">
      <c r="BG3484" t="s">
        <v>1266</v>
      </c>
    </row>
    <row r="3485" spans="59:59" x14ac:dyDescent="0.25">
      <c r="BG3485" t="s">
        <v>1269</v>
      </c>
    </row>
    <row r="3486" spans="59:59" x14ac:dyDescent="0.25">
      <c r="BG3486" t="s">
        <v>1272</v>
      </c>
    </row>
    <row r="3487" spans="59:59" x14ac:dyDescent="0.25">
      <c r="BG3487" t="s">
        <v>1275</v>
      </c>
    </row>
    <row r="3488" spans="59:59" x14ac:dyDescent="0.25">
      <c r="BG3488" t="s">
        <v>1278</v>
      </c>
    </row>
    <row r="3489" spans="59:59" x14ac:dyDescent="0.25">
      <c r="BG3489" t="s">
        <v>1281</v>
      </c>
    </row>
    <row r="3490" spans="59:59" x14ac:dyDescent="0.25">
      <c r="BG3490" t="s">
        <v>1284</v>
      </c>
    </row>
    <row r="3491" spans="59:59" x14ac:dyDescent="0.25">
      <c r="BG3491" t="s">
        <v>1287</v>
      </c>
    </row>
    <row r="3492" spans="59:59" x14ac:dyDescent="0.25">
      <c r="BG3492" t="s">
        <v>1290</v>
      </c>
    </row>
    <row r="3493" spans="59:59" x14ac:dyDescent="0.25">
      <c r="BG3493" t="s">
        <v>1293</v>
      </c>
    </row>
    <row r="3494" spans="59:59" x14ac:dyDescent="0.25">
      <c r="BG3494" t="s">
        <v>1296</v>
      </c>
    </row>
    <row r="3495" spans="59:59" x14ac:dyDescent="0.25">
      <c r="BG3495" t="s">
        <v>1299</v>
      </c>
    </row>
    <row r="3496" spans="59:59" x14ac:dyDescent="0.25">
      <c r="BG3496" t="s">
        <v>1302</v>
      </c>
    </row>
    <row r="3497" spans="59:59" x14ac:dyDescent="0.25">
      <c r="BG3497" t="s">
        <v>1305</v>
      </c>
    </row>
    <row r="3498" spans="59:59" x14ac:dyDescent="0.25">
      <c r="BG3498" t="s">
        <v>1308</v>
      </c>
    </row>
    <row r="3499" spans="59:59" x14ac:dyDescent="0.25">
      <c r="BG3499" t="s">
        <v>1311</v>
      </c>
    </row>
    <row r="3500" spans="59:59" x14ac:dyDescent="0.25">
      <c r="BG3500" t="s">
        <v>1314</v>
      </c>
    </row>
    <row r="3501" spans="59:59" x14ac:dyDescent="0.25">
      <c r="BG3501" t="s">
        <v>1317</v>
      </c>
    </row>
    <row r="3502" spans="59:59" x14ac:dyDescent="0.25">
      <c r="BG3502" t="s">
        <v>1320</v>
      </c>
    </row>
    <row r="3503" spans="59:59" x14ac:dyDescent="0.25">
      <c r="BG3503" t="s">
        <v>1323</v>
      </c>
    </row>
    <row r="3504" spans="59:59" x14ac:dyDescent="0.25">
      <c r="BG3504" t="s">
        <v>1326</v>
      </c>
    </row>
    <row r="3505" spans="59:59" x14ac:dyDescent="0.25">
      <c r="BG3505" t="s">
        <v>1329</v>
      </c>
    </row>
    <row r="3506" spans="59:59" x14ac:dyDescent="0.25">
      <c r="BG3506" t="s">
        <v>1332</v>
      </c>
    </row>
    <row r="3507" spans="59:59" x14ac:dyDescent="0.25">
      <c r="BG3507" t="s">
        <v>1335</v>
      </c>
    </row>
    <row r="3508" spans="59:59" x14ac:dyDescent="0.25">
      <c r="BG3508" t="s">
        <v>1338</v>
      </c>
    </row>
    <row r="3509" spans="59:59" x14ac:dyDescent="0.25">
      <c r="BG3509" t="s">
        <v>1341</v>
      </c>
    </row>
    <row r="3510" spans="59:59" x14ac:dyDescent="0.25">
      <c r="BG3510" t="s">
        <v>1344</v>
      </c>
    </row>
    <row r="3511" spans="59:59" x14ac:dyDescent="0.25">
      <c r="BG3511" t="s">
        <v>1347</v>
      </c>
    </row>
    <row r="3512" spans="59:59" x14ac:dyDescent="0.25">
      <c r="BG3512" t="s">
        <v>1350</v>
      </c>
    </row>
    <row r="3513" spans="59:59" x14ac:dyDescent="0.25">
      <c r="BG3513" t="s">
        <v>1353</v>
      </c>
    </row>
    <row r="3514" spans="59:59" x14ac:dyDescent="0.25">
      <c r="BG3514" t="s">
        <v>1356</v>
      </c>
    </row>
    <row r="3515" spans="59:59" x14ac:dyDescent="0.25">
      <c r="BG3515" t="s">
        <v>1359</v>
      </c>
    </row>
    <row r="3516" spans="59:59" x14ac:dyDescent="0.25">
      <c r="BG3516" t="s">
        <v>1362</v>
      </c>
    </row>
    <row r="3517" spans="59:59" x14ac:dyDescent="0.25">
      <c r="BG3517" t="s">
        <v>1365</v>
      </c>
    </row>
    <row r="3518" spans="59:59" x14ac:dyDescent="0.25">
      <c r="BG3518" t="s">
        <v>1368</v>
      </c>
    </row>
    <row r="3519" spans="59:59" x14ac:dyDescent="0.25">
      <c r="BG3519" t="s">
        <v>1371</v>
      </c>
    </row>
    <row r="3520" spans="59:59" x14ac:dyDescent="0.25">
      <c r="BG3520" t="s">
        <v>1374</v>
      </c>
    </row>
    <row r="3521" spans="59:59" x14ac:dyDescent="0.25">
      <c r="BG3521" t="s">
        <v>1377</v>
      </c>
    </row>
    <row r="3522" spans="59:59" x14ac:dyDescent="0.25">
      <c r="BG3522" t="s">
        <v>1380</v>
      </c>
    </row>
    <row r="3523" spans="59:59" x14ac:dyDescent="0.25">
      <c r="BG3523" t="s">
        <v>1383</v>
      </c>
    </row>
    <row r="3524" spans="59:59" x14ac:dyDescent="0.25">
      <c r="BG3524" t="s">
        <v>1386</v>
      </c>
    </row>
    <row r="3525" spans="59:59" x14ac:dyDescent="0.25">
      <c r="BG3525" t="s">
        <v>1389</v>
      </c>
    </row>
    <row r="3526" spans="59:59" x14ac:dyDescent="0.25">
      <c r="BG3526" t="s">
        <v>1392</v>
      </c>
    </row>
    <row r="3527" spans="59:59" x14ac:dyDescent="0.25">
      <c r="BG3527" t="s">
        <v>1395</v>
      </c>
    </row>
    <row r="3528" spans="59:59" x14ac:dyDescent="0.25">
      <c r="BG3528" t="s">
        <v>1398</v>
      </c>
    </row>
    <row r="3529" spans="59:59" x14ac:dyDescent="0.25">
      <c r="BG3529" t="s">
        <v>1401</v>
      </c>
    </row>
    <row r="3530" spans="59:59" x14ac:dyDescent="0.25">
      <c r="BG3530" t="s">
        <v>1404</v>
      </c>
    </row>
    <row r="3531" spans="59:59" x14ac:dyDescent="0.25">
      <c r="BG3531" t="s">
        <v>1407</v>
      </c>
    </row>
    <row r="3532" spans="59:59" x14ac:dyDescent="0.25">
      <c r="BG3532" t="s">
        <v>1410</v>
      </c>
    </row>
    <row r="3533" spans="59:59" x14ac:dyDescent="0.25">
      <c r="BG3533" t="s">
        <v>1413</v>
      </c>
    </row>
    <row r="3534" spans="59:59" x14ac:dyDescent="0.25">
      <c r="BG3534" t="s">
        <v>1416</v>
      </c>
    </row>
    <row r="3535" spans="59:59" x14ac:dyDescent="0.25">
      <c r="BG3535" t="s">
        <v>1419</v>
      </c>
    </row>
    <row r="3536" spans="59:59" x14ac:dyDescent="0.25">
      <c r="BG3536" t="s">
        <v>1422</v>
      </c>
    </row>
    <row r="3537" spans="59:59" x14ac:dyDescent="0.25">
      <c r="BG3537" t="s">
        <v>1425</v>
      </c>
    </row>
    <row r="3538" spans="59:59" x14ac:dyDescent="0.25">
      <c r="BG3538" t="s">
        <v>1428</v>
      </c>
    </row>
    <row r="3539" spans="59:59" x14ac:dyDescent="0.25">
      <c r="BG3539" t="s">
        <v>1431</v>
      </c>
    </row>
    <row r="3540" spans="59:59" x14ac:dyDescent="0.25">
      <c r="BG3540" t="s">
        <v>1434</v>
      </c>
    </row>
    <row r="3541" spans="59:59" x14ac:dyDescent="0.25">
      <c r="BG3541" t="s">
        <v>1437</v>
      </c>
    </row>
    <row r="3542" spans="59:59" x14ac:dyDescent="0.25">
      <c r="BG3542" t="s">
        <v>1440</v>
      </c>
    </row>
    <row r="3543" spans="59:59" x14ac:dyDescent="0.25">
      <c r="BG3543" t="s">
        <v>1443</v>
      </c>
    </row>
    <row r="3544" spans="59:59" x14ac:dyDescent="0.25">
      <c r="BG3544" t="s">
        <v>1446</v>
      </c>
    </row>
    <row r="3545" spans="59:59" x14ac:dyDescent="0.25">
      <c r="BG3545" t="s">
        <v>1449</v>
      </c>
    </row>
    <row r="3546" spans="59:59" x14ac:dyDescent="0.25">
      <c r="BG3546" t="s">
        <v>1452</v>
      </c>
    </row>
    <row r="3547" spans="59:59" x14ac:dyDescent="0.25">
      <c r="BG3547" t="s">
        <v>1455</v>
      </c>
    </row>
    <row r="3548" spans="59:59" x14ac:dyDescent="0.25">
      <c r="BG3548" t="s">
        <v>1458</v>
      </c>
    </row>
    <row r="3549" spans="59:59" x14ac:dyDescent="0.25">
      <c r="BG3549" t="s">
        <v>1461</v>
      </c>
    </row>
    <row r="3550" spans="59:59" x14ac:dyDescent="0.25">
      <c r="BG3550" t="s">
        <v>1464</v>
      </c>
    </row>
    <row r="3551" spans="59:59" x14ac:dyDescent="0.25">
      <c r="BG3551" t="s">
        <v>1467</v>
      </c>
    </row>
    <row r="3552" spans="59:59" x14ac:dyDescent="0.25">
      <c r="BG3552" t="s">
        <v>1470</v>
      </c>
    </row>
    <row r="3553" spans="59:59" x14ac:dyDescent="0.25">
      <c r="BG3553" t="s">
        <v>1473</v>
      </c>
    </row>
    <row r="3554" spans="59:59" x14ac:dyDescent="0.25">
      <c r="BG3554" t="s">
        <v>1476</v>
      </c>
    </row>
    <row r="3555" spans="59:59" x14ac:dyDescent="0.25">
      <c r="BG3555" t="s">
        <v>1479</v>
      </c>
    </row>
    <row r="3556" spans="59:59" x14ac:dyDescent="0.25">
      <c r="BG3556" t="s">
        <v>1482</v>
      </c>
    </row>
    <row r="3557" spans="59:59" x14ac:dyDescent="0.25">
      <c r="BG3557" t="s">
        <v>1485</v>
      </c>
    </row>
    <row r="3558" spans="59:59" x14ac:dyDescent="0.25">
      <c r="BG3558" t="s">
        <v>1488</v>
      </c>
    </row>
    <row r="3559" spans="59:59" x14ac:dyDescent="0.25">
      <c r="BG3559" t="s">
        <v>1491</v>
      </c>
    </row>
    <row r="3560" spans="59:59" x14ac:dyDescent="0.25">
      <c r="BG3560" t="s">
        <v>1494</v>
      </c>
    </row>
    <row r="3561" spans="59:59" x14ac:dyDescent="0.25">
      <c r="BG3561" t="s">
        <v>1497</v>
      </c>
    </row>
    <row r="3562" spans="59:59" x14ac:dyDescent="0.25">
      <c r="BG3562" t="s">
        <v>1500</v>
      </c>
    </row>
    <row r="3563" spans="59:59" x14ac:dyDescent="0.25">
      <c r="BG3563" t="s">
        <v>1503</v>
      </c>
    </row>
    <row r="3564" spans="59:59" x14ac:dyDescent="0.25">
      <c r="BG3564" t="s">
        <v>1506</v>
      </c>
    </row>
    <row r="3565" spans="59:59" x14ac:dyDescent="0.25">
      <c r="BG3565" t="s">
        <v>1509</v>
      </c>
    </row>
    <row r="3566" spans="59:59" x14ac:dyDescent="0.25">
      <c r="BG3566" t="s">
        <v>1512</v>
      </c>
    </row>
    <row r="3567" spans="59:59" x14ac:dyDescent="0.25">
      <c r="BG3567" t="s">
        <v>1515</v>
      </c>
    </row>
    <row r="3568" spans="59:59" x14ac:dyDescent="0.25">
      <c r="BG3568" t="s">
        <v>1518</v>
      </c>
    </row>
    <row r="3569" spans="59:59" x14ac:dyDescent="0.25">
      <c r="BG3569" t="s">
        <v>1521</v>
      </c>
    </row>
    <row r="3570" spans="59:59" x14ac:dyDescent="0.25">
      <c r="BG3570" t="s">
        <v>1524</v>
      </c>
    </row>
    <row r="3571" spans="59:59" x14ac:dyDescent="0.25">
      <c r="BG3571" t="s">
        <v>1527</v>
      </c>
    </row>
    <row r="3572" spans="59:59" x14ac:dyDescent="0.25">
      <c r="BG3572" t="s">
        <v>1530</v>
      </c>
    </row>
    <row r="3573" spans="59:59" x14ac:dyDescent="0.25">
      <c r="BG3573" t="s">
        <v>1533</v>
      </c>
    </row>
    <row r="3574" spans="59:59" x14ac:dyDescent="0.25">
      <c r="BG3574" t="s">
        <v>1536</v>
      </c>
    </row>
    <row r="3575" spans="59:59" x14ac:dyDescent="0.25">
      <c r="BG3575" t="s">
        <v>1539</v>
      </c>
    </row>
    <row r="3576" spans="59:59" x14ac:dyDescent="0.25">
      <c r="BG3576" t="s">
        <v>1542</v>
      </c>
    </row>
    <row r="3577" spans="59:59" x14ac:dyDescent="0.25">
      <c r="BG3577" t="s">
        <v>1545</v>
      </c>
    </row>
    <row r="3578" spans="59:59" x14ac:dyDescent="0.25">
      <c r="BG3578" t="s">
        <v>1548</v>
      </c>
    </row>
    <row r="3579" spans="59:59" x14ac:dyDescent="0.25">
      <c r="BG3579" t="s">
        <v>1551</v>
      </c>
    </row>
    <row r="3580" spans="59:59" x14ac:dyDescent="0.25">
      <c r="BG3580" t="s">
        <v>1554</v>
      </c>
    </row>
    <row r="3581" spans="59:59" x14ac:dyDescent="0.25">
      <c r="BG3581" t="s">
        <v>1557</v>
      </c>
    </row>
    <row r="3582" spans="59:59" x14ac:dyDescent="0.25">
      <c r="BG3582" t="s">
        <v>1560</v>
      </c>
    </row>
    <row r="3583" spans="59:59" x14ac:dyDescent="0.25">
      <c r="BG3583" t="s">
        <v>1563</v>
      </c>
    </row>
    <row r="3584" spans="59:59" x14ac:dyDescent="0.25">
      <c r="BG3584" t="s">
        <v>1566</v>
      </c>
    </row>
    <row r="3585" spans="59:59" x14ac:dyDescent="0.25">
      <c r="BG3585" t="s">
        <v>1569</v>
      </c>
    </row>
    <row r="3586" spans="59:59" x14ac:dyDescent="0.25">
      <c r="BG3586" t="s">
        <v>1572</v>
      </c>
    </row>
    <row r="3587" spans="59:59" x14ac:dyDescent="0.25">
      <c r="BG3587" t="s">
        <v>1575</v>
      </c>
    </row>
    <row r="3588" spans="59:59" x14ac:dyDescent="0.25">
      <c r="BG3588" t="s">
        <v>1578</v>
      </c>
    </row>
    <row r="3589" spans="59:59" x14ac:dyDescent="0.25">
      <c r="BG3589" t="s">
        <v>1581</v>
      </c>
    </row>
    <row r="3590" spans="59:59" x14ac:dyDescent="0.25">
      <c r="BG3590" t="s">
        <v>1584</v>
      </c>
    </row>
    <row r="3591" spans="59:59" x14ac:dyDescent="0.25">
      <c r="BG3591" t="s">
        <v>1587</v>
      </c>
    </row>
    <row r="3592" spans="59:59" x14ac:dyDescent="0.25">
      <c r="BG3592" t="s">
        <v>1590</v>
      </c>
    </row>
    <row r="3593" spans="59:59" x14ac:dyDescent="0.25">
      <c r="BG3593" t="s">
        <v>1593</v>
      </c>
    </row>
    <row r="3594" spans="59:59" x14ac:dyDescent="0.25">
      <c r="BG3594" t="s">
        <v>1596</v>
      </c>
    </row>
    <row r="3595" spans="59:59" x14ac:dyDescent="0.25">
      <c r="BG3595" t="s">
        <v>1599</v>
      </c>
    </row>
    <row r="3596" spans="59:59" x14ac:dyDescent="0.25">
      <c r="BG3596" t="s">
        <v>1602</v>
      </c>
    </row>
    <row r="3597" spans="59:59" x14ac:dyDescent="0.25">
      <c r="BG3597" t="s">
        <v>1605</v>
      </c>
    </row>
    <row r="3598" spans="59:59" x14ac:dyDescent="0.25">
      <c r="BG3598" t="s">
        <v>1608</v>
      </c>
    </row>
    <row r="3599" spans="59:59" x14ac:dyDescent="0.25">
      <c r="BG3599" t="s">
        <v>1611</v>
      </c>
    </row>
    <row r="3600" spans="59:59" x14ac:dyDescent="0.25">
      <c r="BG3600" t="s">
        <v>1614</v>
      </c>
    </row>
    <row r="3601" spans="59:59" x14ac:dyDescent="0.25">
      <c r="BG3601" t="s">
        <v>1617</v>
      </c>
    </row>
    <row r="3602" spans="59:59" x14ac:dyDescent="0.25">
      <c r="BG3602" t="s">
        <v>1620</v>
      </c>
    </row>
    <row r="3603" spans="59:59" x14ac:dyDescent="0.25">
      <c r="BG3603" t="s">
        <v>1623</v>
      </c>
    </row>
    <row r="3604" spans="59:59" x14ac:dyDescent="0.25">
      <c r="BG3604" t="s">
        <v>1626</v>
      </c>
    </row>
    <row r="3605" spans="59:59" x14ac:dyDescent="0.25">
      <c r="BG3605" t="s">
        <v>1629</v>
      </c>
    </row>
    <row r="3606" spans="59:59" x14ac:dyDescent="0.25">
      <c r="BG3606" t="s">
        <v>1632</v>
      </c>
    </row>
    <row r="3607" spans="59:59" x14ac:dyDescent="0.25">
      <c r="BG3607" t="s">
        <v>1635</v>
      </c>
    </row>
    <row r="3608" spans="59:59" x14ac:dyDescent="0.25">
      <c r="BG3608" t="s">
        <v>1638</v>
      </c>
    </row>
    <row r="3609" spans="59:59" x14ac:dyDescent="0.25">
      <c r="BG3609" t="s">
        <v>1641</v>
      </c>
    </row>
    <row r="3610" spans="59:59" x14ac:dyDescent="0.25">
      <c r="BG3610" t="s">
        <v>1644</v>
      </c>
    </row>
    <row r="3611" spans="59:59" x14ac:dyDescent="0.25">
      <c r="BG3611" t="s">
        <v>1647</v>
      </c>
    </row>
    <row r="3612" spans="59:59" x14ac:dyDescent="0.25">
      <c r="BG3612" t="s">
        <v>1650</v>
      </c>
    </row>
    <row r="3613" spans="59:59" x14ac:dyDescent="0.25">
      <c r="BG3613" t="s">
        <v>1653</v>
      </c>
    </row>
    <row r="3614" spans="59:59" x14ac:dyDescent="0.25">
      <c r="BG3614" t="s">
        <v>1656</v>
      </c>
    </row>
    <row r="3615" spans="59:59" x14ac:dyDescent="0.25">
      <c r="BG3615" t="s">
        <v>1659</v>
      </c>
    </row>
    <row r="3616" spans="59:59" x14ac:dyDescent="0.25">
      <c r="BG3616" t="s">
        <v>1662</v>
      </c>
    </row>
    <row r="3617" spans="59:59" x14ac:dyDescent="0.25">
      <c r="BG3617" t="s">
        <v>1665</v>
      </c>
    </row>
    <row r="3618" spans="59:59" x14ac:dyDescent="0.25">
      <c r="BG3618" t="s">
        <v>1668</v>
      </c>
    </row>
    <row r="3619" spans="59:59" x14ac:dyDescent="0.25">
      <c r="BG3619" t="s">
        <v>1671</v>
      </c>
    </row>
    <row r="3620" spans="59:59" x14ac:dyDescent="0.25">
      <c r="BG3620" t="s">
        <v>1674</v>
      </c>
    </row>
    <row r="3621" spans="59:59" x14ac:dyDescent="0.25">
      <c r="BG3621" t="s">
        <v>1677</v>
      </c>
    </row>
    <row r="3622" spans="59:59" x14ac:dyDescent="0.25">
      <c r="BG3622" t="s">
        <v>1680</v>
      </c>
    </row>
    <row r="3623" spans="59:59" x14ac:dyDescent="0.25">
      <c r="BG3623" t="s">
        <v>1683</v>
      </c>
    </row>
    <row r="3624" spans="59:59" x14ac:dyDescent="0.25">
      <c r="BG3624" t="s">
        <v>1686</v>
      </c>
    </row>
    <row r="3625" spans="59:59" x14ac:dyDescent="0.25">
      <c r="BG3625" t="s">
        <v>1689</v>
      </c>
    </row>
    <row r="3626" spans="59:59" x14ac:dyDescent="0.25">
      <c r="BG3626" t="s">
        <v>1692</v>
      </c>
    </row>
    <row r="3627" spans="59:59" x14ac:dyDescent="0.25">
      <c r="BG3627" t="s">
        <v>1695</v>
      </c>
    </row>
    <row r="3628" spans="59:59" x14ac:dyDescent="0.25">
      <c r="BG3628" t="s">
        <v>1698</v>
      </c>
    </row>
    <row r="3629" spans="59:59" x14ac:dyDescent="0.25">
      <c r="BG3629" t="s">
        <v>1701</v>
      </c>
    </row>
    <row r="3630" spans="59:59" x14ac:dyDescent="0.25">
      <c r="BG3630" t="s">
        <v>1704</v>
      </c>
    </row>
    <row r="3631" spans="59:59" x14ac:dyDescent="0.25">
      <c r="BG3631" t="s">
        <v>1707</v>
      </c>
    </row>
    <row r="3632" spans="59:59" x14ac:dyDescent="0.25">
      <c r="BG3632" t="s">
        <v>1710</v>
      </c>
    </row>
    <row r="3633" spans="59:59" x14ac:dyDescent="0.25">
      <c r="BG3633" t="s">
        <v>1713</v>
      </c>
    </row>
    <row r="3634" spans="59:59" x14ac:dyDescent="0.25">
      <c r="BG3634" t="s">
        <v>1716</v>
      </c>
    </row>
    <row r="3635" spans="59:59" x14ac:dyDescent="0.25">
      <c r="BG3635" t="s">
        <v>1719</v>
      </c>
    </row>
    <row r="3636" spans="59:59" x14ac:dyDescent="0.25">
      <c r="BG3636" t="s">
        <v>1722</v>
      </c>
    </row>
    <row r="3637" spans="59:59" x14ac:dyDescent="0.25">
      <c r="BG3637" t="s">
        <v>1725</v>
      </c>
    </row>
    <row r="3638" spans="59:59" x14ac:dyDescent="0.25">
      <c r="BG3638" t="s">
        <v>1728</v>
      </c>
    </row>
    <row r="3639" spans="59:59" x14ac:dyDescent="0.25">
      <c r="BG3639" t="s">
        <v>1731</v>
      </c>
    </row>
    <row r="3640" spans="59:59" x14ac:dyDescent="0.25">
      <c r="BG3640" t="s">
        <v>1734</v>
      </c>
    </row>
    <row r="3641" spans="59:59" x14ac:dyDescent="0.25">
      <c r="BG3641" t="s">
        <v>1737</v>
      </c>
    </row>
    <row r="3642" spans="59:59" x14ac:dyDescent="0.25">
      <c r="BG3642" t="s">
        <v>1740</v>
      </c>
    </row>
    <row r="3643" spans="59:59" x14ac:dyDescent="0.25">
      <c r="BG3643" t="s">
        <v>1743</v>
      </c>
    </row>
    <row r="3644" spans="59:59" x14ac:dyDescent="0.25">
      <c r="BG3644" t="s">
        <v>1746</v>
      </c>
    </row>
    <row r="3645" spans="59:59" x14ac:dyDescent="0.25">
      <c r="BG3645" t="s">
        <v>1749</v>
      </c>
    </row>
    <row r="3646" spans="59:59" x14ac:dyDescent="0.25">
      <c r="BG3646" t="s">
        <v>1752</v>
      </c>
    </row>
    <row r="3647" spans="59:59" x14ac:dyDescent="0.25">
      <c r="BG3647" t="s">
        <v>1755</v>
      </c>
    </row>
    <row r="3648" spans="59:59" x14ac:dyDescent="0.25">
      <c r="BG3648" t="s">
        <v>1758</v>
      </c>
    </row>
    <row r="3649" spans="59:59" x14ac:dyDescent="0.25">
      <c r="BG3649" t="s">
        <v>1761</v>
      </c>
    </row>
    <row r="3650" spans="59:59" x14ac:dyDescent="0.25">
      <c r="BG3650" t="s">
        <v>1764</v>
      </c>
    </row>
    <row r="3651" spans="59:59" x14ac:dyDescent="0.25">
      <c r="BG3651" t="s">
        <v>1767</v>
      </c>
    </row>
    <row r="3652" spans="59:59" x14ac:dyDescent="0.25">
      <c r="BG3652" t="s">
        <v>1770</v>
      </c>
    </row>
    <row r="3653" spans="59:59" x14ac:dyDescent="0.25">
      <c r="BG3653" t="s">
        <v>1773</v>
      </c>
    </row>
    <row r="3654" spans="59:59" x14ac:dyDescent="0.25">
      <c r="BG3654" t="s">
        <v>1776</v>
      </c>
    </row>
    <row r="3655" spans="59:59" x14ac:dyDescent="0.25">
      <c r="BG3655" t="s">
        <v>1779</v>
      </c>
    </row>
    <row r="3656" spans="59:59" x14ac:dyDescent="0.25">
      <c r="BG3656" t="s">
        <v>1782</v>
      </c>
    </row>
    <row r="3657" spans="59:59" x14ac:dyDescent="0.25">
      <c r="BG3657" t="s">
        <v>1785</v>
      </c>
    </row>
    <row r="3658" spans="59:59" x14ac:dyDescent="0.25">
      <c r="BG3658" t="s">
        <v>1788</v>
      </c>
    </row>
    <row r="3659" spans="59:59" x14ac:dyDescent="0.25">
      <c r="BG3659" t="s">
        <v>1791</v>
      </c>
    </row>
    <row r="3660" spans="59:59" x14ac:dyDescent="0.25">
      <c r="BG3660" t="s">
        <v>1794</v>
      </c>
    </row>
    <row r="3661" spans="59:59" x14ac:dyDescent="0.25">
      <c r="BG3661" t="s">
        <v>1797</v>
      </c>
    </row>
    <row r="3662" spans="59:59" x14ac:dyDescent="0.25">
      <c r="BG3662" t="s">
        <v>1800</v>
      </c>
    </row>
    <row r="3663" spans="59:59" x14ac:dyDescent="0.25">
      <c r="BG3663" t="s">
        <v>1803</v>
      </c>
    </row>
    <row r="3664" spans="59:59" x14ac:dyDescent="0.25">
      <c r="BG3664" t="s">
        <v>1806</v>
      </c>
    </row>
    <row r="3665" spans="59:59" x14ac:dyDescent="0.25">
      <c r="BG3665" t="s">
        <v>1809</v>
      </c>
    </row>
    <row r="3666" spans="59:59" x14ac:dyDescent="0.25">
      <c r="BG3666" t="s">
        <v>1812</v>
      </c>
    </row>
    <row r="3667" spans="59:59" x14ac:dyDescent="0.25">
      <c r="BG3667" t="s">
        <v>1815</v>
      </c>
    </row>
    <row r="3668" spans="59:59" x14ac:dyDescent="0.25">
      <c r="BG3668" t="s">
        <v>1818</v>
      </c>
    </row>
    <row r="3669" spans="59:59" x14ac:dyDescent="0.25">
      <c r="BG3669" t="s">
        <v>1821</v>
      </c>
    </row>
    <row r="3670" spans="59:59" x14ac:dyDescent="0.25">
      <c r="BG3670" t="s">
        <v>1824</v>
      </c>
    </row>
    <row r="3671" spans="59:59" x14ac:dyDescent="0.25">
      <c r="BG3671" t="s">
        <v>1827</v>
      </c>
    </row>
    <row r="3672" spans="59:59" x14ac:dyDescent="0.25">
      <c r="BG3672" t="s">
        <v>1830</v>
      </c>
    </row>
    <row r="3673" spans="59:59" x14ac:dyDescent="0.25">
      <c r="BG3673" t="s">
        <v>1833</v>
      </c>
    </row>
    <row r="3674" spans="59:59" x14ac:dyDescent="0.25">
      <c r="BG3674" t="s">
        <v>1836</v>
      </c>
    </row>
    <row r="3675" spans="59:59" x14ac:dyDescent="0.25">
      <c r="BG3675" t="s">
        <v>1839</v>
      </c>
    </row>
    <row r="3676" spans="59:59" x14ac:dyDescent="0.25">
      <c r="BG3676" t="s">
        <v>1842</v>
      </c>
    </row>
    <row r="3677" spans="59:59" x14ac:dyDescent="0.25">
      <c r="BG3677" t="s">
        <v>1845</v>
      </c>
    </row>
    <row r="3678" spans="59:59" x14ac:dyDescent="0.25">
      <c r="BG3678" t="s">
        <v>1848</v>
      </c>
    </row>
    <row r="3679" spans="59:59" x14ac:dyDescent="0.25">
      <c r="BG3679" t="s">
        <v>1851</v>
      </c>
    </row>
    <row r="3680" spans="59:59" x14ac:dyDescent="0.25">
      <c r="BG3680" t="s">
        <v>1854</v>
      </c>
    </row>
    <row r="3681" spans="59:59" x14ac:dyDescent="0.25">
      <c r="BG3681" t="s">
        <v>1857</v>
      </c>
    </row>
    <row r="3682" spans="59:59" x14ac:dyDescent="0.25">
      <c r="BG3682" t="s">
        <v>1860</v>
      </c>
    </row>
    <row r="3683" spans="59:59" x14ac:dyDescent="0.25">
      <c r="BG3683" t="s">
        <v>1863</v>
      </c>
    </row>
    <row r="3684" spans="59:59" x14ac:dyDescent="0.25">
      <c r="BG3684" t="s">
        <v>1866</v>
      </c>
    </row>
    <row r="3685" spans="59:59" x14ac:dyDescent="0.25">
      <c r="BG3685" t="s">
        <v>1869</v>
      </c>
    </row>
    <row r="3686" spans="59:59" x14ac:dyDescent="0.25">
      <c r="BG3686" t="s">
        <v>1872</v>
      </c>
    </row>
    <row r="3687" spans="59:59" x14ac:dyDescent="0.25">
      <c r="BG3687" t="s">
        <v>1875</v>
      </c>
    </row>
    <row r="3688" spans="59:59" x14ac:dyDescent="0.25">
      <c r="BG3688" t="s">
        <v>1878</v>
      </c>
    </row>
    <row r="3689" spans="59:59" x14ac:dyDescent="0.25">
      <c r="BG3689" t="s">
        <v>1881</v>
      </c>
    </row>
    <row r="3690" spans="59:59" x14ac:dyDescent="0.25">
      <c r="BG3690" t="s">
        <v>1884</v>
      </c>
    </row>
    <row r="3691" spans="59:59" x14ac:dyDescent="0.25">
      <c r="BG3691" t="s">
        <v>1887</v>
      </c>
    </row>
    <row r="3692" spans="59:59" x14ac:dyDescent="0.25">
      <c r="BG3692" t="s">
        <v>1890</v>
      </c>
    </row>
    <row r="3693" spans="59:59" x14ac:dyDescent="0.25">
      <c r="BG3693" t="s">
        <v>1893</v>
      </c>
    </row>
    <row r="3694" spans="59:59" x14ac:dyDescent="0.25">
      <c r="BG3694" t="s">
        <v>1896</v>
      </c>
    </row>
    <row r="3695" spans="59:59" x14ac:dyDescent="0.25">
      <c r="BG3695" t="s">
        <v>1899</v>
      </c>
    </row>
    <row r="3696" spans="59:59" x14ac:dyDescent="0.25">
      <c r="BG3696" t="s">
        <v>1902</v>
      </c>
    </row>
    <row r="3697" spans="59:59" x14ac:dyDescent="0.25">
      <c r="BG3697" t="s">
        <v>1905</v>
      </c>
    </row>
    <row r="3698" spans="59:59" x14ac:dyDescent="0.25">
      <c r="BG3698" t="s">
        <v>1908</v>
      </c>
    </row>
    <row r="3699" spans="59:59" x14ac:dyDescent="0.25">
      <c r="BG3699" t="s">
        <v>1911</v>
      </c>
    </row>
    <row r="3700" spans="59:59" x14ac:dyDescent="0.25">
      <c r="BG3700" t="s">
        <v>1914</v>
      </c>
    </row>
    <row r="3701" spans="59:59" x14ac:dyDescent="0.25">
      <c r="BG3701" t="s">
        <v>1917</v>
      </c>
    </row>
    <row r="3702" spans="59:59" x14ac:dyDescent="0.25">
      <c r="BG3702" t="s">
        <v>1920</v>
      </c>
    </row>
    <row r="3703" spans="59:59" x14ac:dyDescent="0.25">
      <c r="BG3703" t="s">
        <v>1923</v>
      </c>
    </row>
    <row r="3704" spans="59:59" x14ac:dyDescent="0.25">
      <c r="BG3704" t="s">
        <v>1926</v>
      </c>
    </row>
    <row r="3705" spans="59:59" x14ac:dyDescent="0.25">
      <c r="BG3705" t="s">
        <v>1929</v>
      </c>
    </row>
    <row r="3706" spans="59:59" x14ac:dyDescent="0.25">
      <c r="BG3706" t="s">
        <v>1932</v>
      </c>
    </row>
    <row r="3707" spans="59:59" x14ac:dyDescent="0.25">
      <c r="BG3707" t="s">
        <v>1935</v>
      </c>
    </row>
    <row r="3708" spans="59:59" x14ac:dyDescent="0.25">
      <c r="BG3708" t="s">
        <v>1938</v>
      </c>
    </row>
    <row r="3709" spans="59:59" x14ac:dyDescent="0.25">
      <c r="BG3709" t="s">
        <v>1941</v>
      </c>
    </row>
    <row r="3710" spans="59:59" x14ac:dyDescent="0.25">
      <c r="BG3710" t="s">
        <v>1944</v>
      </c>
    </row>
    <row r="3711" spans="59:59" x14ac:dyDescent="0.25">
      <c r="BG3711" t="s">
        <v>1947</v>
      </c>
    </row>
    <row r="3712" spans="59:59" x14ac:dyDescent="0.25">
      <c r="BG3712" t="s">
        <v>1950</v>
      </c>
    </row>
    <row r="3713" spans="59:59" x14ac:dyDescent="0.25">
      <c r="BG3713" t="s">
        <v>1953</v>
      </c>
    </row>
    <row r="3714" spans="59:59" x14ac:dyDescent="0.25">
      <c r="BG3714" t="s">
        <v>1956</v>
      </c>
    </row>
    <row r="3715" spans="59:59" x14ac:dyDescent="0.25">
      <c r="BG3715" t="s">
        <v>1959</v>
      </c>
    </row>
    <row r="3716" spans="59:59" x14ac:dyDescent="0.25">
      <c r="BG3716" t="s">
        <v>1962</v>
      </c>
    </row>
    <row r="3717" spans="59:59" x14ac:dyDescent="0.25">
      <c r="BG3717" t="s">
        <v>1965</v>
      </c>
    </row>
    <row r="3718" spans="59:59" x14ac:dyDescent="0.25">
      <c r="BG3718" t="s">
        <v>1968</v>
      </c>
    </row>
    <row r="3719" spans="59:59" x14ac:dyDescent="0.25">
      <c r="BG3719" t="s">
        <v>1971</v>
      </c>
    </row>
    <row r="3720" spans="59:59" x14ac:dyDescent="0.25">
      <c r="BG3720" t="s">
        <v>1974</v>
      </c>
    </row>
    <row r="3721" spans="59:59" x14ac:dyDescent="0.25">
      <c r="BG3721" t="s">
        <v>1977</v>
      </c>
    </row>
    <row r="3722" spans="59:59" x14ac:dyDescent="0.25">
      <c r="BG3722" t="s">
        <v>1980</v>
      </c>
    </row>
    <row r="3723" spans="59:59" x14ac:dyDescent="0.25">
      <c r="BG3723" t="s">
        <v>1983</v>
      </c>
    </row>
    <row r="3724" spans="59:59" x14ac:dyDescent="0.25">
      <c r="BG3724" t="s">
        <v>1986</v>
      </c>
    </row>
    <row r="3725" spans="59:59" x14ac:dyDescent="0.25">
      <c r="BG3725" t="s">
        <v>1989</v>
      </c>
    </row>
    <row r="3726" spans="59:59" x14ac:dyDescent="0.25">
      <c r="BG3726" t="s">
        <v>1992</v>
      </c>
    </row>
    <row r="3727" spans="59:59" x14ac:dyDescent="0.25">
      <c r="BG3727" t="s">
        <v>1995</v>
      </c>
    </row>
    <row r="3728" spans="59:59" x14ac:dyDescent="0.25">
      <c r="BG3728" t="s">
        <v>1998</v>
      </c>
    </row>
    <row r="3729" spans="59:59" x14ac:dyDescent="0.25">
      <c r="BG3729" t="s">
        <v>2001</v>
      </c>
    </row>
    <row r="3730" spans="59:59" x14ac:dyDescent="0.25">
      <c r="BG3730" t="s">
        <v>2004</v>
      </c>
    </row>
    <row r="3731" spans="59:59" x14ac:dyDescent="0.25">
      <c r="BG3731" t="s">
        <v>2007</v>
      </c>
    </row>
    <row r="3732" spans="59:59" x14ac:dyDescent="0.25">
      <c r="BG3732" t="s">
        <v>2010</v>
      </c>
    </row>
    <row r="3733" spans="59:59" x14ac:dyDescent="0.25">
      <c r="BG3733" t="s">
        <v>2013</v>
      </c>
    </row>
    <row r="3734" spans="59:59" x14ac:dyDescent="0.25">
      <c r="BG3734" t="s">
        <v>2016</v>
      </c>
    </row>
    <row r="3735" spans="59:59" x14ac:dyDescent="0.25">
      <c r="BG3735" t="s">
        <v>2019</v>
      </c>
    </row>
    <row r="3736" spans="59:59" x14ac:dyDescent="0.25">
      <c r="BG3736" t="s">
        <v>2022</v>
      </c>
    </row>
    <row r="3737" spans="59:59" x14ac:dyDescent="0.25">
      <c r="BG3737" t="s">
        <v>2025</v>
      </c>
    </row>
    <row r="3738" spans="59:59" x14ac:dyDescent="0.25">
      <c r="BG3738" t="s">
        <v>2028</v>
      </c>
    </row>
    <row r="3739" spans="59:59" x14ac:dyDescent="0.25">
      <c r="BG3739" t="s">
        <v>2031</v>
      </c>
    </row>
    <row r="3740" spans="59:59" x14ac:dyDescent="0.25">
      <c r="BG3740" t="s">
        <v>2034</v>
      </c>
    </row>
    <row r="3741" spans="59:59" x14ac:dyDescent="0.25">
      <c r="BG3741" t="s">
        <v>2037</v>
      </c>
    </row>
    <row r="3742" spans="59:59" x14ac:dyDescent="0.25">
      <c r="BG3742" t="s">
        <v>2040</v>
      </c>
    </row>
    <row r="3743" spans="59:59" x14ac:dyDescent="0.25">
      <c r="BG3743" t="s">
        <v>2043</v>
      </c>
    </row>
    <row r="3744" spans="59:59" x14ac:dyDescent="0.25">
      <c r="BG3744" t="s">
        <v>2046</v>
      </c>
    </row>
    <row r="3745" spans="59:59" x14ac:dyDescent="0.25">
      <c r="BG3745" t="s">
        <v>2049</v>
      </c>
    </row>
    <row r="3746" spans="59:59" x14ac:dyDescent="0.25">
      <c r="BG3746" t="s">
        <v>2052</v>
      </c>
    </row>
    <row r="3747" spans="59:59" x14ac:dyDescent="0.25">
      <c r="BG3747" t="s">
        <v>2055</v>
      </c>
    </row>
    <row r="3748" spans="59:59" x14ac:dyDescent="0.25">
      <c r="BG3748" t="s">
        <v>2058</v>
      </c>
    </row>
    <row r="3749" spans="59:59" x14ac:dyDescent="0.25">
      <c r="BG3749" t="s">
        <v>2061</v>
      </c>
    </row>
    <row r="3750" spans="59:59" x14ac:dyDescent="0.25">
      <c r="BG3750" t="s">
        <v>2064</v>
      </c>
    </row>
    <row r="3751" spans="59:59" x14ac:dyDescent="0.25">
      <c r="BG3751" t="s">
        <v>2067</v>
      </c>
    </row>
    <row r="3752" spans="59:59" x14ac:dyDescent="0.25">
      <c r="BG3752" t="s">
        <v>2070</v>
      </c>
    </row>
    <row r="3753" spans="59:59" x14ac:dyDescent="0.25">
      <c r="BG3753" t="s">
        <v>2073</v>
      </c>
    </row>
    <row r="3754" spans="59:59" x14ac:dyDescent="0.25">
      <c r="BG3754" t="s">
        <v>2076</v>
      </c>
    </row>
    <row r="3755" spans="59:59" x14ac:dyDescent="0.25">
      <c r="BG3755" t="s">
        <v>2079</v>
      </c>
    </row>
    <row r="3756" spans="59:59" x14ac:dyDescent="0.25">
      <c r="BG3756" t="s">
        <v>2082</v>
      </c>
    </row>
    <row r="3757" spans="59:59" x14ac:dyDescent="0.25">
      <c r="BG3757" t="s">
        <v>2085</v>
      </c>
    </row>
    <row r="3758" spans="59:59" x14ac:dyDescent="0.25">
      <c r="BG3758" t="s">
        <v>2088</v>
      </c>
    </row>
    <row r="3759" spans="59:59" x14ac:dyDescent="0.25">
      <c r="BG3759" t="s">
        <v>2091</v>
      </c>
    </row>
    <row r="3760" spans="59:59" x14ac:dyDescent="0.25">
      <c r="BG3760" t="s">
        <v>2094</v>
      </c>
    </row>
    <row r="3761" spans="59:59" x14ac:dyDescent="0.25">
      <c r="BG3761" t="s">
        <v>2097</v>
      </c>
    </row>
    <row r="3762" spans="59:59" x14ac:dyDescent="0.25">
      <c r="BG3762" t="s">
        <v>2100</v>
      </c>
    </row>
    <row r="3763" spans="59:59" x14ac:dyDescent="0.25">
      <c r="BG3763" t="s">
        <v>2103</v>
      </c>
    </row>
    <row r="3764" spans="59:59" x14ac:dyDescent="0.25">
      <c r="BG3764" t="s">
        <v>2106</v>
      </c>
    </row>
    <row r="3765" spans="59:59" x14ac:dyDescent="0.25">
      <c r="BG3765" t="s">
        <v>2109</v>
      </c>
    </row>
    <row r="3766" spans="59:59" x14ac:dyDescent="0.25">
      <c r="BG3766" t="s">
        <v>2112</v>
      </c>
    </row>
    <row r="3767" spans="59:59" x14ac:dyDescent="0.25">
      <c r="BG3767" t="s">
        <v>2115</v>
      </c>
    </row>
    <row r="3768" spans="59:59" x14ac:dyDescent="0.25">
      <c r="BG3768" t="s">
        <v>2118</v>
      </c>
    </row>
    <row r="3769" spans="59:59" x14ac:dyDescent="0.25">
      <c r="BG3769" t="s">
        <v>2121</v>
      </c>
    </row>
    <row r="3770" spans="59:59" x14ac:dyDescent="0.25">
      <c r="BG3770" t="s">
        <v>2124</v>
      </c>
    </row>
    <row r="3771" spans="59:59" x14ac:dyDescent="0.25">
      <c r="BG3771" t="s">
        <v>2127</v>
      </c>
    </row>
    <row r="3772" spans="59:59" x14ac:dyDescent="0.25">
      <c r="BG3772" t="s">
        <v>2130</v>
      </c>
    </row>
    <row r="3773" spans="59:59" x14ac:dyDescent="0.25">
      <c r="BG3773" t="s">
        <v>2133</v>
      </c>
    </row>
    <row r="3774" spans="59:59" x14ac:dyDescent="0.25">
      <c r="BG3774" t="s">
        <v>2136</v>
      </c>
    </row>
    <row r="3775" spans="59:59" x14ac:dyDescent="0.25">
      <c r="BG3775" t="s">
        <v>2139</v>
      </c>
    </row>
    <row r="3776" spans="59:59" x14ac:dyDescent="0.25">
      <c r="BG3776" t="s">
        <v>2142</v>
      </c>
    </row>
    <row r="3777" spans="59:59" x14ac:dyDescent="0.25">
      <c r="BG3777" t="s">
        <v>2145</v>
      </c>
    </row>
    <row r="3778" spans="59:59" x14ac:dyDescent="0.25">
      <c r="BG3778" t="s">
        <v>2148</v>
      </c>
    </row>
    <row r="3779" spans="59:59" x14ac:dyDescent="0.25">
      <c r="BG3779" t="s">
        <v>2151</v>
      </c>
    </row>
    <row r="3780" spans="59:59" x14ac:dyDescent="0.25">
      <c r="BG3780" t="s">
        <v>2154</v>
      </c>
    </row>
    <row r="3781" spans="59:59" x14ac:dyDescent="0.25">
      <c r="BG3781" t="s">
        <v>2157</v>
      </c>
    </row>
    <row r="3782" spans="59:59" x14ac:dyDescent="0.25">
      <c r="BG3782" t="s">
        <v>2160</v>
      </c>
    </row>
    <row r="3783" spans="59:59" x14ac:dyDescent="0.25">
      <c r="BG3783" t="s">
        <v>2163</v>
      </c>
    </row>
    <row r="3784" spans="59:59" x14ac:dyDescent="0.25">
      <c r="BG3784" t="s">
        <v>2166</v>
      </c>
    </row>
    <row r="3785" spans="59:59" x14ac:dyDescent="0.25">
      <c r="BG3785" t="s">
        <v>2169</v>
      </c>
    </row>
    <row r="3786" spans="59:59" x14ac:dyDescent="0.25">
      <c r="BG3786" t="s">
        <v>2172</v>
      </c>
    </row>
    <row r="3787" spans="59:59" x14ac:dyDescent="0.25">
      <c r="BG3787" t="s">
        <v>2175</v>
      </c>
    </row>
    <row r="3788" spans="59:59" x14ac:dyDescent="0.25">
      <c r="BG3788" t="s">
        <v>2178</v>
      </c>
    </row>
    <row r="3789" spans="59:59" x14ac:dyDescent="0.25">
      <c r="BG3789" t="s">
        <v>2181</v>
      </c>
    </row>
    <row r="3790" spans="59:59" x14ac:dyDescent="0.25">
      <c r="BG3790" t="s">
        <v>2184</v>
      </c>
    </row>
    <row r="3791" spans="59:59" x14ac:dyDescent="0.25">
      <c r="BG3791" t="s">
        <v>2187</v>
      </c>
    </row>
    <row r="3792" spans="59:59" x14ac:dyDescent="0.25">
      <c r="BG3792" t="s">
        <v>2190</v>
      </c>
    </row>
    <row r="3793" spans="59:59" x14ac:dyDescent="0.25">
      <c r="BG3793" t="s">
        <v>2193</v>
      </c>
    </row>
    <row r="3794" spans="59:59" x14ac:dyDescent="0.25">
      <c r="BG3794" t="s">
        <v>2196</v>
      </c>
    </row>
    <row r="3795" spans="59:59" x14ac:dyDescent="0.25">
      <c r="BG3795" t="s">
        <v>2199</v>
      </c>
    </row>
    <row r="3796" spans="59:59" x14ac:dyDescent="0.25">
      <c r="BG3796" t="s">
        <v>2202</v>
      </c>
    </row>
    <row r="3797" spans="59:59" x14ac:dyDescent="0.25">
      <c r="BG3797" t="s">
        <v>2205</v>
      </c>
    </row>
    <row r="3798" spans="59:59" x14ac:dyDescent="0.25">
      <c r="BG3798" t="s">
        <v>2208</v>
      </c>
    </row>
    <row r="3799" spans="59:59" x14ac:dyDescent="0.25">
      <c r="BG3799" t="s">
        <v>2211</v>
      </c>
    </row>
    <row r="3800" spans="59:59" x14ac:dyDescent="0.25">
      <c r="BG3800" t="s">
        <v>2214</v>
      </c>
    </row>
    <row r="3801" spans="59:59" x14ac:dyDescent="0.25">
      <c r="BG3801" t="s">
        <v>2217</v>
      </c>
    </row>
    <row r="3802" spans="59:59" x14ac:dyDescent="0.25">
      <c r="BG3802" t="s">
        <v>2220</v>
      </c>
    </row>
    <row r="3803" spans="59:59" x14ac:dyDescent="0.25">
      <c r="BG3803" t="s">
        <v>2223</v>
      </c>
    </row>
    <row r="3804" spans="59:59" x14ac:dyDescent="0.25">
      <c r="BG3804" t="s">
        <v>2226</v>
      </c>
    </row>
    <row r="3805" spans="59:59" x14ac:dyDescent="0.25">
      <c r="BG3805" t="s">
        <v>2229</v>
      </c>
    </row>
    <row r="3806" spans="59:59" x14ac:dyDescent="0.25">
      <c r="BG3806" t="s">
        <v>2232</v>
      </c>
    </row>
    <row r="3807" spans="59:59" x14ac:dyDescent="0.25">
      <c r="BG3807" t="s">
        <v>2235</v>
      </c>
    </row>
    <row r="3808" spans="59:59" x14ac:dyDescent="0.25">
      <c r="BG3808" t="s">
        <v>2238</v>
      </c>
    </row>
    <row r="3809" spans="59:59" x14ac:dyDescent="0.25">
      <c r="BG3809" t="s">
        <v>2241</v>
      </c>
    </row>
    <row r="3810" spans="59:59" x14ac:dyDescent="0.25">
      <c r="BG3810" t="s">
        <v>2244</v>
      </c>
    </row>
    <row r="3811" spans="59:59" x14ac:dyDescent="0.25">
      <c r="BG3811" t="s">
        <v>2247</v>
      </c>
    </row>
    <row r="3812" spans="59:59" x14ac:dyDescent="0.25">
      <c r="BG3812" t="s">
        <v>2250</v>
      </c>
    </row>
    <row r="3813" spans="59:59" x14ac:dyDescent="0.25">
      <c r="BG3813" t="s">
        <v>2253</v>
      </c>
    </row>
    <row r="3814" spans="59:59" x14ac:dyDescent="0.25">
      <c r="BG3814" t="s">
        <v>2256</v>
      </c>
    </row>
    <row r="3815" spans="59:59" x14ac:dyDescent="0.25">
      <c r="BG3815" t="s">
        <v>2259</v>
      </c>
    </row>
    <row r="3816" spans="59:59" x14ac:dyDescent="0.25">
      <c r="BG3816" t="s">
        <v>2262</v>
      </c>
    </row>
    <row r="3817" spans="59:59" x14ac:dyDescent="0.25">
      <c r="BG3817" t="s">
        <v>2265</v>
      </c>
    </row>
    <row r="3818" spans="59:59" x14ac:dyDescent="0.25">
      <c r="BG3818" t="s">
        <v>2268</v>
      </c>
    </row>
    <row r="3819" spans="59:59" x14ac:dyDescent="0.25">
      <c r="BG3819" t="s">
        <v>2271</v>
      </c>
    </row>
    <row r="3820" spans="59:59" x14ac:dyDescent="0.25">
      <c r="BG3820" t="s">
        <v>2274</v>
      </c>
    </row>
    <row r="3821" spans="59:59" x14ac:dyDescent="0.25">
      <c r="BG3821" t="s">
        <v>2277</v>
      </c>
    </row>
    <row r="3822" spans="59:59" x14ac:dyDescent="0.25">
      <c r="BG3822" t="s">
        <v>2280</v>
      </c>
    </row>
    <row r="3823" spans="59:59" x14ac:dyDescent="0.25">
      <c r="BG3823" t="s">
        <v>2283</v>
      </c>
    </row>
    <row r="3824" spans="59:59" x14ac:dyDescent="0.25">
      <c r="BG3824" t="s">
        <v>2286</v>
      </c>
    </row>
    <row r="3825" spans="59:59" x14ac:dyDescent="0.25">
      <c r="BG3825" t="s">
        <v>2289</v>
      </c>
    </row>
    <row r="3826" spans="59:59" x14ac:dyDescent="0.25">
      <c r="BG3826" t="s">
        <v>2292</v>
      </c>
    </row>
    <row r="3827" spans="59:59" x14ac:dyDescent="0.25">
      <c r="BG3827" t="s">
        <v>2295</v>
      </c>
    </row>
    <row r="3828" spans="59:59" x14ac:dyDescent="0.25">
      <c r="BG3828" t="s">
        <v>2298</v>
      </c>
    </row>
    <row r="3829" spans="59:59" x14ac:dyDescent="0.25">
      <c r="BG3829" t="s">
        <v>2301</v>
      </c>
    </row>
    <row r="3830" spans="59:59" x14ac:dyDescent="0.25">
      <c r="BG3830" t="s">
        <v>2304</v>
      </c>
    </row>
    <row r="3831" spans="59:59" x14ac:dyDescent="0.25">
      <c r="BG3831" t="s">
        <v>2307</v>
      </c>
    </row>
    <row r="3832" spans="59:59" x14ac:dyDescent="0.25">
      <c r="BG3832" t="s">
        <v>2310</v>
      </c>
    </row>
    <row r="3833" spans="59:59" x14ac:dyDescent="0.25">
      <c r="BG3833" t="s">
        <v>2313</v>
      </c>
    </row>
    <row r="3834" spans="59:59" x14ac:dyDescent="0.25">
      <c r="BG3834" t="s">
        <v>2316</v>
      </c>
    </row>
    <row r="3835" spans="59:59" x14ac:dyDescent="0.25">
      <c r="BG3835" t="s">
        <v>2319</v>
      </c>
    </row>
    <row r="3836" spans="59:59" x14ac:dyDescent="0.25">
      <c r="BG3836" t="s">
        <v>2322</v>
      </c>
    </row>
    <row r="3837" spans="59:59" x14ac:dyDescent="0.25">
      <c r="BG3837" t="s">
        <v>2325</v>
      </c>
    </row>
    <row r="3838" spans="59:59" x14ac:dyDescent="0.25">
      <c r="BG3838" t="s">
        <v>2328</v>
      </c>
    </row>
    <row r="3839" spans="59:59" x14ac:dyDescent="0.25">
      <c r="BG3839" t="s">
        <v>2331</v>
      </c>
    </row>
    <row r="3840" spans="59:59" x14ac:dyDescent="0.25">
      <c r="BG3840" t="s">
        <v>2334</v>
      </c>
    </row>
    <row r="3841" spans="59:59" x14ac:dyDescent="0.25">
      <c r="BG3841" t="s">
        <v>2337</v>
      </c>
    </row>
    <row r="3842" spans="59:59" x14ac:dyDescent="0.25">
      <c r="BG3842" t="s">
        <v>2340</v>
      </c>
    </row>
    <row r="3843" spans="59:59" x14ac:dyDescent="0.25">
      <c r="BG3843" t="s">
        <v>2343</v>
      </c>
    </row>
    <row r="3844" spans="59:59" x14ac:dyDescent="0.25">
      <c r="BG3844" t="s">
        <v>2346</v>
      </c>
    </row>
    <row r="3845" spans="59:59" x14ac:dyDescent="0.25">
      <c r="BG3845" t="s">
        <v>2349</v>
      </c>
    </row>
    <row r="3846" spans="59:59" x14ac:dyDescent="0.25">
      <c r="BG3846" t="s">
        <v>2352</v>
      </c>
    </row>
    <row r="3847" spans="59:59" x14ac:dyDescent="0.25">
      <c r="BG3847" t="s">
        <v>2355</v>
      </c>
    </row>
    <row r="3848" spans="59:59" x14ac:dyDescent="0.25">
      <c r="BG3848" t="s">
        <v>2358</v>
      </c>
    </row>
    <row r="3849" spans="59:59" x14ac:dyDescent="0.25">
      <c r="BG3849" t="s">
        <v>2361</v>
      </c>
    </row>
    <row r="3850" spans="59:59" x14ac:dyDescent="0.25">
      <c r="BG3850" t="s">
        <v>2364</v>
      </c>
    </row>
    <row r="3851" spans="59:59" x14ac:dyDescent="0.25">
      <c r="BG3851" t="s">
        <v>2367</v>
      </c>
    </row>
    <row r="3852" spans="59:59" x14ac:dyDescent="0.25">
      <c r="BG3852" t="s">
        <v>2370</v>
      </c>
    </row>
    <row r="3853" spans="59:59" x14ac:dyDescent="0.25">
      <c r="BG3853" t="s">
        <v>2373</v>
      </c>
    </row>
    <row r="3854" spans="59:59" x14ac:dyDescent="0.25">
      <c r="BG3854" t="s">
        <v>2376</v>
      </c>
    </row>
    <row r="3855" spans="59:59" x14ac:dyDescent="0.25">
      <c r="BG3855" t="s">
        <v>2379</v>
      </c>
    </row>
    <row r="3856" spans="59:59" x14ac:dyDescent="0.25">
      <c r="BG3856" t="s">
        <v>2382</v>
      </c>
    </row>
    <row r="3857" spans="59:59" x14ac:dyDescent="0.25">
      <c r="BG3857" t="s">
        <v>2385</v>
      </c>
    </row>
    <row r="3858" spans="59:59" x14ac:dyDescent="0.25">
      <c r="BG3858" t="s">
        <v>2388</v>
      </c>
    </row>
    <row r="3859" spans="59:59" x14ac:dyDescent="0.25">
      <c r="BG3859" t="s">
        <v>2391</v>
      </c>
    </row>
    <row r="3860" spans="59:59" x14ac:dyDescent="0.25">
      <c r="BG3860" t="s">
        <v>2394</v>
      </c>
    </row>
    <row r="3861" spans="59:59" x14ac:dyDescent="0.25">
      <c r="BG3861" t="s">
        <v>2397</v>
      </c>
    </row>
    <row r="3862" spans="59:59" x14ac:dyDescent="0.25">
      <c r="BG3862" t="s">
        <v>2400</v>
      </c>
    </row>
    <row r="3863" spans="59:59" x14ac:dyDescent="0.25">
      <c r="BG3863" t="s">
        <v>2403</v>
      </c>
    </row>
    <row r="3864" spans="59:59" x14ac:dyDescent="0.25">
      <c r="BG3864" t="s">
        <v>2406</v>
      </c>
    </row>
    <row r="3865" spans="59:59" x14ac:dyDescent="0.25">
      <c r="BG3865" t="s">
        <v>2409</v>
      </c>
    </row>
    <row r="3866" spans="59:59" x14ac:dyDescent="0.25">
      <c r="BG3866" t="s">
        <v>2412</v>
      </c>
    </row>
    <row r="3867" spans="59:59" x14ac:dyDescent="0.25">
      <c r="BG3867" t="s">
        <v>2415</v>
      </c>
    </row>
    <row r="3868" spans="59:59" x14ac:dyDescent="0.25">
      <c r="BG3868" t="s">
        <v>2418</v>
      </c>
    </row>
    <row r="3869" spans="59:59" x14ac:dyDescent="0.25">
      <c r="BG3869" t="s">
        <v>2421</v>
      </c>
    </row>
    <row r="3870" spans="59:59" x14ac:dyDescent="0.25">
      <c r="BG3870" t="s">
        <v>2424</v>
      </c>
    </row>
    <row r="3871" spans="59:59" x14ac:dyDescent="0.25">
      <c r="BG3871" t="s">
        <v>2427</v>
      </c>
    </row>
    <row r="3872" spans="59:59" x14ac:dyDescent="0.25">
      <c r="BG3872" t="s">
        <v>2430</v>
      </c>
    </row>
    <row r="3873" spans="59:59" x14ac:dyDescent="0.25">
      <c r="BG3873" t="s">
        <v>2433</v>
      </c>
    </row>
    <row r="3874" spans="59:59" x14ac:dyDescent="0.25">
      <c r="BG3874" t="s">
        <v>2436</v>
      </c>
    </row>
    <row r="3875" spans="59:59" x14ac:dyDescent="0.25">
      <c r="BG3875" t="s">
        <v>2439</v>
      </c>
    </row>
    <row r="3876" spans="59:59" x14ac:dyDescent="0.25">
      <c r="BG3876" t="s">
        <v>2442</v>
      </c>
    </row>
    <row r="3877" spans="59:59" x14ac:dyDescent="0.25">
      <c r="BG3877" t="s">
        <v>2445</v>
      </c>
    </row>
    <row r="3878" spans="59:59" x14ac:dyDescent="0.25">
      <c r="BG3878" t="s">
        <v>2448</v>
      </c>
    </row>
    <row r="3879" spans="59:59" x14ac:dyDescent="0.25">
      <c r="BG3879" t="s">
        <v>2451</v>
      </c>
    </row>
    <row r="3880" spans="59:59" x14ac:dyDescent="0.25">
      <c r="BG3880" t="s">
        <v>2454</v>
      </c>
    </row>
    <row r="3881" spans="59:59" x14ac:dyDescent="0.25">
      <c r="BG3881" t="s">
        <v>2457</v>
      </c>
    </row>
    <row r="3882" spans="59:59" x14ac:dyDescent="0.25">
      <c r="BG3882" t="s">
        <v>2460</v>
      </c>
    </row>
    <row r="3883" spans="59:59" x14ac:dyDescent="0.25">
      <c r="BG3883" t="s">
        <v>2463</v>
      </c>
    </row>
    <row r="3884" spans="59:59" x14ac:dyDescent="0.25">
      <c r="BG3884" t="s">
        <v>2466</v>
      </c>
    </row>
    <row r="3885" spans="59:59" x14ac:dyDescent="0.25">
      <c r="BG3885" t="s">
        <v>2469</v>
      </c>
    </row>
    <row r="3886" spans="59:59" x14ac:dyDescent="0.25">
      <c r="BG3886" t="s">
        <v>2472</v>
      </c>
    </row>
    <row r="3887" spans="59:59" x14ac:dyDescent="0.25">
      <c r="BG3887" t="s">
        <v>2475</v>
      </c>
    </row>
    <row r="3888" spans="59:59" x14ac:dyDescent="0.25">
      <c r="BG3888" t="s">
        <v>2478</v>
      </c>
    </row>
    <row r="3889" spans="59:59" x14ac:dyDescent="0.25">
      <c r="BG3889" t="s">
        <v>2481</v>
      </c>
    </row>
    <row r="3890" spans="59:59" x14ac:dyDescent="0.25">
      <c r="BG3890" t="s">
        <v>2484</v>
      </c>
    </row>
    <row r="3891" spans="59:59" x14ac:dyDescent="0.25">
      <c r="BG3891" t="s">
        <v>2487</v>
      </c>
    </row>
    <row r="3892" spans="59:59" x14ac:dyDescent="0.25">
      <c r="BG3892" t="s">
        <v>2490</v>
      </c>
    </row>
    <row r="3893" spans="59:59" x14ac:dyDescent="0.25">
      <c r="BG3893" t="s">
        <v>2493</v>
      </c>
    </row>
    <row r="3894" spans="59:59" x14ac:dyDescent="0.25">
      <c r="BG3894" t="s">
        <v>2496</v>
      </c>
    </row>
    <row r="3895" spans="59:59" x14ac:dyDescent="0.25">
      <c r="BG3895" t="s">
        <v>2499</v>
      </c>
    </row>
    <row r="3896" spans="59:59" x14ac:dyDescent="0.25">
      <c r="BG3896" t="s">
        <v>2502</v>
      </c>
    </row>
    <row r="3897" spans="59:59" x14ac:dyDescent="0.25">
      <c r="BG3897" t="s">
        <v>2505</v>
      </c>
    </row>
    <row r="3898" spans="59:59" x14ac:dyDescent="0.25">
      <c r="BG3898" t="s">
        <v>2508</v>
      </c>
    </row>
    <row r="3899" spans="59:59" x14ac:dyDescent="0.25">
      <c r="BG3899" t="s">
        <v>2511</v>
      </c>
    </row>
    <row r="3900" spans="59:59" x14ac:dyDescent="0.25">
      <c r="BG3900" t="s">
        <v>2514</v>
      </c>
    </row>
    <row r="3901" spans="59:59" x14ac:dyDescent="0.25">
      <c r="BG3901" t="s">
        <v>2517</v>
      </c>
    </row>
    <row r="3902" spans="59:59" x14ac:dyDescent="0.25">
      <c r="BG3902" t="s">
        <v>2520</v>
      </c>
    </row>
    <row r="3903" spans="59:59" x14ac:dyDescent="0.25">
      <c r="BG3903" t="s">
        <v>2523</v>
      </c>
    </row>
    <row r="3904" spans="59:59" x14ac:dyDescent="0.25">
      <c r="BG3904" t="s">
        <v>2526</v>
      </c>
    </row>
    <row r="3905" spans="59:59" x14ac:dyDescent="0.25">
      <c r="BG3905" t="s">
        <v>2529</v>
      </c>
    </row>
    <row r="3906" spans="59:59" x14ac:dyDescent="0.25">
      <c r="BG3906" t="s">
        <v>2532</v>
      </c>
    </row>
    <row r="3907" spans="59:59" x14ac:dyDescent="0.25">
      <c r="BG3907" t="s">
        <v>2535</v>
      </c>
    </row>
    <row r="3908" spans="59:59" x14ac:dyDescent="0.25">
      <c r="BG3908" t="s">
        <v>2538</v>
      </c>
    </row>
    <row r="3909" spans="59:59" x14ac:dyDescent="0.25">
      <c r="BG3909" t="s">
        <v>2541</v>
      </c>
    </row>
    <row r="3910" spans="59:59" x14ac:dyDescent="0.25">
      <c r="BG3910" t="s">
        <v>2544</v>
      </c>
    </row>
    <row r="3911" spans="59:59" x14ac:dyDescent="0.25">
      <c r="BG3911" t="s">
        <v>2547</v>
      </c>
    </row>
    <row r="3912" spans="59:59" x14ac:dyDescent="0.25">
      <c r="BG3912" t="s">
        <v>2550</v>
      </c>
    </row>
    <row r="3913" spans="59:59" x14ac:dyDescent="0.25">
      <c r="BG3913" t="s">
        <v>2553</v>
      </c>
    </row>
    <row r="3914" spans="59:59" x14ac:dyDescent="0.25">
      <c r="BG3914" t="s">
        <v>2556</v>
      </c>
    </row>
    <row r="3915" spans="59:59" x14ac:dyDescent="0.25">
      <c r="BG3915" t="s">
        <v>2559</v>
      </c>
    </row>
    <row r="3916" spans="59:59" x14ac:dyDescent="0.25">
      <c r="BG3916" t="s">
        <v>2562</v>
      </c>
    </row>
    <row r="3917" spans="59:59" x14ac:dyDescent="0.25">
      <c r="BG3917" t="s">
        <v>2565</v>
      </c>
    </row>
    <row r="3918" spans="59:59" x14ac:dyDescent="0.25">
      <c r="BG3918" t="s">
        <v>2568</v>
      </c>
    </row>
    <row r="3919" spans="59:59" x14ac:dyDescent="0.25">
      <c r="BG3919" t="s">
        <v>2571</v>
      </c>
    </row>
    <row r="3920" spans="59:59" x14ac:dyDescent="0.25">
      <c r="BG3920" t="s">
        <v>2574</v>
      </c>
    </row>
    <row r="3921" spans="59:59" x14ac:dyDescent="0.25">
      <c r="BG3921" t="s">
        <v>2577</v>
      </c>
    </row>
    <row r="3922" spans="59:59" x14ac:dyDescent="0.25">
      <c r="BG3922" t="s">
        <v>2580</v>
      </c>
    </row>
    <row r="3923" spans="59:59" x14ac:dyDescent="0.25">
      <c r="BG3923" t="s">
        <v>2583</v>
      </c>
    </row>
    <row r="3924" spans="59:59" x14ac:dyDescent="0.25">
      <c r="BG3924" t="s">
        <v>2586</v>
      </c>
    </row>
    <row r="3925" spans="59:59" x14ac:dyDescent="0.25">
      <c r="BG3925" t="s">
        <v>2589</v>
      </c>
    </row>
    <row r="3926" spans="59:59" x14ac:dyDescent="0.25">
      <c r="BG3926" t="s">
        <v>2592</v>
      </c>
    </row>
    <row r="3927" spans="59:59" x14ac:dyDescent="0.25">
      <c r="BG3927" t="s">
        <v>2595</v>
      </c>
    </row>
    <row r="3928" spans="59:59" x14ac:dyDescent="0.25">
      <c r="BG3928" t="s">
        <v>2598</v>
      </c>
    </row>
    <row r="3929" spans="59:59" x14ac:dyDescent="0.25">
      <c r="BG3929" t="s">
        <v>2601</v>
      </c>
    </row>
    <row r="3930" spans="59:59" x14ac:dyDescent="0.25">
      <c r="BG3930" t="s">
        <v>2604</v>
      </c>
    </row>
    <row r="3931" spans="59:59" x14ac:dyDescent="0.25">
      <c r="BG3931" t="s">
        <v>2607</v>
      </c>
    </row>
    <row r="3932" spans="59:59" x14ac:dyDescent="0.25">
      <c r="BG3932" t="s">
        <v>2610</v>
      </c>
    </row>
    <row r="3933" spans="59:59" x14ac:dyDescent="0.25">
      <c r="BG3933" t="s">
        <v>2613</v>
      </c>
    </row>
    <row r="3934" spans="59:59" x14ac:dyDescent="0.25">
      <c r="BG3934" t="s">
        <v>2616</v>
      </c>
    </row>
    <row r="3935" spans="59:59" x14ac:dyDescent="0.25">
      <c r="BG3935" t="s">
        <v>2619</v>
      </c>
    </row>
    <row r="3936" spans="59:59" x14ac:dyDescent="0.25">
      <c r="BG3936" t="s">
        <v>2622</v>
      </c>
    </row>
    <row r="3937" spans="59:59" x14ac:dyDescent="0.25">
      <c r="BG3937" t="s">
        <v>2625</v>
      </c>
    </row>
    <row r="3938" spans="59:59" x14ac:dyDescent="0.25">
      <c r="BG3938" t="s">
        <v>2628</v>
      </c>
    </row>
    <row r="3939" spans="59:59" x14ac:dyDescent="0.25">
      <c r="BG3939" t="s">
        <v>2631</v>
      </c>
    </row>
    <row r="3940" spans="59:59" x14ac:dyDescent="0.25">
      <c r="BG3940" t="s">
        <v>2634</v>
      </c>
    </row>
    <row r="3941" spans="59:59" x14ac:dyDescent="0.25">
      <c r="BG3941" t="s">
        <v>2637</v>
      </c>
    </row>
    <row r="3942" spans="59:59" x14ac:dyDescent="0.25">
      <c r="BG3942" t="s">
        <v>2640</v>
      </c>
    </row>
    <row r="3943" spans="59:59" x14ac:dyDescent="0.25">
      <c r="BG3943" t="s">
        <v>2643</v>
      </c>
    </row>
    <row r="3944" spans="59:59" x14ac:dyDescent="0.25">
      <c r="BG3944" t="s">
        <v>2646</v>
      </c>
    </row>
    <row r="3945" spans="59:59" x14ac:dyDescent="0.25">
      <c r="BG3945" t="s">
        <v>2649</v>
      </c>
    </row>
    <row r="3946" spans="59:59" x14ac:dyDescent="0.25">
      <c r="BG3946" t="s">
        <v>2652</v>
      </c>
    </row>
    <row r="3947" spans="59:59" x14ac:dyDescent="0.25">
      <c r="BG3947" t="s">
        <v>2655</v>
      </c>
    </row>
    <row r="3948" spans="59:59" x14ac:dyDescent="0.25">
      <c r="BG3948" t="s">
        <v>2658</v>
      </c>
    </row>
    <row r="3949" spans="59:59" x14ac:dyDescent="0.25">
      <c r="BG3949" t="s">
        <v>2661</v>
      </c>
    </row>
    <row r="3950" spans="59:59" x14ac:dyDescent="0.25">
      <c r="BG3950" t="s">
        <v>2664</v>
      </c>
    </row>
    <row r="3951" spans="59:59" x14ac:dyDescent="0.25">
      <c r="BG3951" t="s">
        <v>2667</v>
      </c>
    </row>
    <row r="3952" spans="59:59" x14ac:dyDescent="0.25">
      <c r="BG3952" t="s">
        <v>2670</v>
      </c>
    </row>
    <row r="3953" spans="59:59" x14ac:dyDescent="0.25">
      <c r="BG3953" t="s">
        <v>2673</v>
      </c>
    </row>
    <row r="3954" spans="59:59" x14ac:dyDescent="0.25">
      <c r="BG3954" t="s">
        <v>2676</v>
      </c>
    </row>
    <row r="3955" spans="59:59" x14ac:dyDescent="0.25">
      <c r="BG3955" t="s">
        <v>2679</v>
      </c>
    </row>
    <row r="3956" spans="59:59" x14ac:dyDescent="0.25">
      <c r="BG3956" t="s">
        <v>2682</v>
      </c>
    </row>
    <row r="3957" spans="59:59" x14ac:dyDescent="0.25">
      <c r="BG3957" t="s">
        <v>2685</v>
      </c>
    </row>
    <row r="3958" spans="59:59" x14ac:dyDescent="0.25">
      <c r="BG3958" t="s">
        <v>2688</v>
      </c>
    </row>
    <row r="3959" spans="59:59" x14ac:dyDescent="0.25">
      <c r="BG3959" t="s">
        <v>2691</v>
      </c>
    </row>
    <row r="3960" spans="59:59" x14ac:dyDescent="0.25">
      <c r="BG3960" t="s">
        <v>2694</v>
      </c>
    </row>
    <row r="3961" spans="59:59" x14ac:dyDescent="0.25">
      <c r="BG3961" t="s">
        <v>2697</v>
      </c>
    </row>
    <row r="3962" spans="59:59" x14ac:dyDescent="0.25">
      <c r="BG3962" t="s">
        <v>2700</v>
      </c>
    </row>
    <row r="3963" spans="59:59" x14ac:dyDescent="0.25">
      <c r="BG3963" t="s">
        <v>2703</v>
      </c>
    </row>
    <row r="3964" spans="59:59" x14ac:dyDescent="0.25">
      <c r="BG3964" t="s">
        <v>2706</v>
      </c>
    </row>
    <row r="3965" spans="59:59" x14ac:dyDescent="0.25">
      <c r="BG3965" t="s">
        <v>2709</v>
      </c>
    </row>
    <row r="3966" spans="59:59" x14ac:dyDescent="0.25">
      <c r="BG3966" t="s">
        <v>2712</v>
      </c>
    </row>
    <row r="3967" spans="59:59" x14ac:dyDescent="0.25">
      <c r="BG3967" t="s">
        <v>2715</v>
      </c>
    </row>
    <row r="3968" spans="59:59" x14ac:dyDescent="0.25">
      <c r="BG3968" t="s">
        <v>2718</v>
      </c>
    </row>
    <row r="3969" spans="59:59" x14ac:dyDescent="0.25">
      <c r="BG3969" t="s">
        <v>2721</v>
      </c>
    </row>
    <row r="3970" spans="59:59" x14ac:dyDescent="0.25">
      <c r="BG3970" t="s">
        <v>2724</v>
      </c>
    </row>
    <row r="3971" spans="59:59" x14ac:dyDescent="0.25">
      <c r="BG3971" t="s">
        <v>2727</v>
      </c>
    </row>
    <row r="3972" spans="59:59" x14ac:dyDescent="0.25">
      <c r="BG3972" t="s">
        <v>2730</v>
      </c>
    </row>
    <row r="3973" spans="59:59" x14ac:dyDescent="0.25">
      <c r="BG3973" t="s">
        <v>2733</v>
      </c>
    </row>
    <row r="3974" spans="59:59" x14ac:dyDescent="0.25">
      <c r="BG3974" t="s">
        <v>2736</v>
      </c>
    </row>
    <row r="3975" spans="59:59" x14ac:dyDescent="0.25">
      <c r="BG3975" t="s">
        <v>2739</v>
      </c>
    </row>
    <row r="3976" spans="59:59" x14ac:dyDescent="0.25">
      <c r="BG3976" t="s">
        <v>2742</v>
      </c>
    </row>
    <row r="3977" spans="59:59" x14ac:dyDescent="0.25">
      <c r="BG3977" t="s">
        <v>2745</v>
      </c>
    </row>
    <row r="3978" spans="59:59" x14ac:dyDescent="0.25">
      <c r="BG3978" t="s">
        <v>2748</v>
      </c>
    </row>
    <row r="3979" spans="59:59" x14ac:dyDescent="0.25">
      <c r="BG3979" t="s">
        <v>2751</v>
      </c>
    </row>
    <row r="3980" spans="59:59" x14ac:dyDescent="0.25">
      <c r="BG3980" t="s">
        <v>2754</v>
      </c>
    </row>
    <row r="3981" spans="59:59" x14ac:dyDescent="0.25">
      <c r="BG3981" t="s">
        <v>2757</v>
      </c>
    </row>
    <row r="3982" spans="59:59" x14ac:dyDescent="0.25">
      <c r="BG3982" t="s">
        <v>2760</v>
      </c>
    </row>
    <row r="3983" spans="59:59" x14ac:dyDescent="0.25">
      <c r="BG3983" t="s">
        <v>2763</v>
      </c>
    </row>
    <row r="3984" spans="59:59" x14ac:dyDescent="0.25">
      <c r="BG3984" t="s">
        <v>2766</v>
      </c>
    </row>
    <row r="3985" spans="59:59" x14ac:dyDescent="0.25">
      <c r="BG3985" t="s">
        <v>2769</v>
      </c>
    </row>
    <row r="3986" spans="59:59" x14ac:dyDescent="0.25">
      <c r="BG3986" t="s">
        <v>2772</v>
      </c>
    </row>
    <row r="3987" spans="59:59" x14ac:dyDescent="0.25">
      <c r="BG3987" t="s">
        <v>2775</v>
      </c>
    </row>
    <row r="3988" spans="59:59" x14ac:dyDescent="0.25">
      <c r="BG3988" t="s">
        <v>2778</v>
      </c>
    </row>
    <row r="3989" spans="59:59" x14ac:dyDescent="0.25">
      <c r="BG3989" t="s">
        <v>2781</v>
      </c>
    </row>
    <row r="3990" spans="59:59" x14ac:dyDescent="0.25">
      <c r="BG3990" t="s">
        <v>2784</v>
      </c>
    </row>
    <row r="3991" spans="59:59" x14ac:dyDescent="0.25">
      <c r="BG3991" t="s">
        <v>2787</v>
      </c>
    </row>
    <row r="3992" spans="59:59" x14ac:dyDescent="0.25">
      <c r="BG3992" t="s">
        <v>2790</v>
      </c>
    </row>
    <row r="3993" spans="59:59" x14ac:dyDescent="0.25">
      <c r="BG3993" t="s">
        <v>2793</v>
      </c>
    </row>
    <row r="3994" spans="59:59" x14ac:dyDescent="0.25">
      <c r="BG3994" t="s">
        <v>2796</v>
      </c>
    </row>
    <row r="3995" spans="59:59" x14ac:dyDescent="0.25">
      <c r="BG3995" t="s">
        <v>2799</v>
      </c>
    </row>
    <row r="3996" spans="59:59" x14ac:dyDescent="0.25">
      <c r="BG3996" t="s">
        <v>2802</v>
      </c>
    </row>
    <row r="3997" spans="59:59" x14ac:dyDescent="0.25">
      <c r="BG3997" t="s">
        <v>2805</v>
      </c>
    </row>
    <row r="3998" spans="59:59" x14ac:dyDescent="0.25">
      <c r="BG3998" t="s">
        <v>2808</v>
      </c>
    </row>
    <row r="3999" spans="59:59" x14ac:dyDescent="0.25">
      <c r="BG3999" t="s">
        <v>2811</v>
      </c>
    </row>
    <row r="4000" spans="59:59" x14ac:dyDescent="0.25">
      <c r="BG4000" t="s">
        <v>2814</v>
      </c>
    </row>
    <row r="4001" spans="59:59" x14ac:dyDescent="0.25">
      <c r="BG4001" t="s">
        <v>2817</v>
      </c>
    </row>
    <row r="4002" spans="59:59" x14ac:dyDescent="0.25">
      <c r="BG4002" t="s">
        <v>2820</v>
      </c>
    </row>
    <row r="4003" spans="59:59" x14ac:dyDescent="0.25">
      <c r="BG4003" t="s">
        <v>2823</v>
      </c>
    </row>
    <row r="4004" spans="59:59" x14ac:dyDescent="0.25">
      <c r="BG4004" t="s">
        <v>2826</v>
      </c>
    </row>
    <row r="4005" spans="59:59" x14ac:dyDescent="0.25">
      <c r="BG4005" t="s">
        <v>2829</v>
      </c>
    </row>
    <row r="4006" spans="59:59" x14ac:dyDescent="0.25">
      <c r="BG4006" t="s">
        <v>2832</v>
      </c>
    </row>
    <row r="4007" spans="59:59" x14ac:dyDescent="0.25">
      <c r="BG4007" t="s">
        <v>2835</v>
      </c>
    </row>
    <row r="4008" spans="59:59" x14ac:dyDescent="0.25">
      <c r="BG4008" t="s">
        <v>2838</v>
      </c>
    </row>
    <row r="4009" spans="59:59" x14ac:dyDescent="0.25">
      <c r="BG4009" t="s">
        <v>2841</v>
      </c>
    </row>
    <row r="4010" spans="59:59" x14ac:dyDescent="0.25">
      <c r="BG4010" t="s">
        <v>2844</v>
      </c>
    </row>
    <row r="4011" spans="59:59" x14ac:dyDescent="0.25">
      <c r="BG4011" t="s">
        <v>2847</v>
      </c>
    </row>
    <row r="4012" spans="59:59" x14ac:dyDescent="0.25">
      <c r="BG4012" t="s">
        <v>2850</v>
      </c>
    </row>
    <row r="4013" spans="59:59" x14ac:dyDescent="0.25">
      <c r="BG4013" t="s">
        <v>2853</v>
      </c>
    </row>
    <row r="4014" spans="59:59" x14ac:dyDescent="0.25">
      <c r="BG4014" t="s">
        <v>2856</v>
      </c>
    </row>
    <row r="4015" spans="59:59" x14ac:dyDescent="0.25">
      <c r="BG4015" t="s">
        <v>2859</v>
      </c>
    </row>
    <row r="4016" spans="59:59" x14ac:dyDescent="0.25">
      <c r="BG4016" t="s">
        <v>2862</v>
      </c>
    </row>
    <row r="4017" spans="59:59" x14ac:dyDescent="0.25">
      <c r="BG4017" t="s">
        <v>2865</v>
      </c>
    </row>
    <row r="4018" spans="59:59" x14ac:dyDescent="0.25">
      <c r="BG4018" t="s">
        <v>2868</v>
      </c>
    </row>
    <row r="4019" spans="59:59" x14ac:dyDescent="0.25">
      <c r="BG4019" t="s">
        <v>2871</v>
      </c>
    </row>
    <row r="4020" spans="59:59" x14ac:dyDescent="0.25">
      <c r="BG4020" t="s">
        <v>2874</v>
      </c>
    </row>
    <row r="4021" spans="59:59" x14ac:dyDescent="0.25">
      <c r="BG4021" t="s">
        <v>2877</v>
      </c>
    </row>
    <row r="4022" spans="59:59" x14ac:dyDescent="0.25">
      <c r="BG4022" t="s">
        <v>2880</v>
      </c>
    </row>
    <row r="4023" spans="59:59" x14ac:dyDescent="0.25">
      <c r="BG4023" t="s">
        <v>2883</v>
      </c>
    </row>
    <row r="4024" spans="59:59" x14ac:dyDescent="0.25">
      <c r="BG4024" t="s">
        <v>2886</v>
      </c>
    </row>
    <row r="4025" spans="59:59" x14ac:dyDescent="0.25">
      <c r="BG4025" t="s">
        <v>2889</v>
      </c>
    </row>
    <row r="4026" spans="59:59" x14ac:dyDescent="0.25">
      <c r="BG4026" t="s">
        <v>2892</v>
      </c>
    </row>
    <row r="4027" spans="59:59" x14ac:dyDescent="0.25">
      <c r="BG4027" t="s">
        <v>2895</v>
      </c>
    </row>
    <row r="4028" spans="59:59" x14ac:dyDescent="0.25">
      <c r="BG4028" t="s">
        <v>2898</v>
      </c>
    </row>
    <row r="4029" spans="59:59" x14ac:dyDescent="0.25">
      <c r="BG4029" t="s">
        <v>2901</v>
      </c>
    </row>
    <row r="4030" spans="59:59" x14ac:dyDescent="0.25">
      <c r="BG4030" t="s">
        <v>2903</v>
      </c>
    </row>
    <row r="4031" spans="59:59" x14ac:dyDescent="0.25">
      <c r="BG4031" t="s">
        <v>2905</v>
      </c>
    </row>
    <row r="4032" spans="59:59" x14ac:dyDescent="0.25">
      <c r="BG4032" t="s">
        <v>2907</v>
      </c>
    </row>
    <row r="4033" spans="59:59" x14ac:dyDescent="0.25">
      <c r="BG4033" t="s">
        <v>2909</v>
      </c>
    </row>
    <row r="4034" spans="59:59" x14ac:dyDescent="0.25">
      <c r="BG4034" t="s">
        <v>2911</v>
      </c>
    </row>
    <row r="4035" spans="59:59" x14ac:dyDescent="0.25">
      <c r="BG4035" t="s">
        <v>2913</v>
      </c>
    </row>
    <row r="4036" spans="59:59" x14ac:dyDescent="0.25">
      <c r="BG4036" t="s">
        <v>2915</v>
      </c>
    </row>
    <row r="4037" spans="59:59" x14ac:dyDescent="0.25">
      <c r="BG4037" t="s">
        <v>2917</v>
      </c>
    </row>
    <row r="4038" spans="59:59" x14ac:dyDescent="0.25">
      <c r="BG4038" t="s">
        <v>2919</v>
      </c>
    </row>
    <row r="4039" spans="59:59" x14ac:dyDescent="0.25">
      <c r="BG4039" t="s">
        <v>2921</v>
      </c>
    </row>
    <row r="4040" spans="59:59" x14ac:dyDescent="0.25">
      <c r="BG4040" t="s">
        <v>2923</v>
      </c>
    </row>
    <row r="4041" spans="59:59" x14ac:dyDescent="0.25">
      <c r="BG4041" t="s">
        <v>2925</v>
      </c>
    </row>
    <row r="4042" spans="59:59" x14ac:dyDescent="0.25">
      <c r="BG4042" t="s">
        <v>2927</v>
      </c>
    </row>
    <row r="4043" spans="59:59" x14ac:dyDescent="0.25">
      <c r="BG4043" t="s">
        <v>2929</v>
      </c>
    </row>
    <row r="4044" spans="59:59" x14ac:dyDescent="0.25">
      <c r="BG4044" t="s">
        <v>2931</v>
      </c>
    </row>
    <row r="4045" spans="59:59" x14ac:dyDescent="0.25">
      <c r="BG4045" t="s">
        <v>2933</v>
      </c>
    </row>
    <row r="4046" spans="59:59" x14ac:dyDescent="0.25">
      <c r="BG4046" t="s">
        <v>2935</v>
      </c>
    </row>
    <row r="4047" spans="59:59" x14ac:dyDescent="0.25">
      <c r="BG4047" t="s">
        <v>2937</v>
      </c>
    </row>
    <row r="4048" spans="59:59" x14ac:dyDescent="0.25">
      <c r="BG4048" t="s">
        <v>2939</v>
      </c>
    </row>
    <row r="4049" spans="59:59" x14ac:dyDescent="0.25">
      <c r="BG4049" t="s">
        <v>2941</v>
      </c>
    </row>
    <row r="4050" spans="59:59" x14ac:dyDescent="0.25">
      <c r="BG4050" t="s">
        <v>2943</v>
      </c>
    </row>
    <row r="4051" spans="59:59" x14ac:dyDescent="0.25">
      <c r="BG4051" t="s">
        <v>2945</v>
      </c>
    </row>
    <row r="4052" spans="59:59" x14ac:dyDescent="0.25">
      <c r="BG4052" t="s">
        <v>2947</v>
      </c>
    </row>
    <row r="4053" spans="59:59" x14ac:dyDescent="0.25">
      <c r="BG4053" t="s">
        <v>2949</v>
      </c>
    </row>
    <row r="4054" spans="59:59" x14ac:dyDescent="0.25">
      <c r="BG4054" t="s">
        <v>2951</v>
      </c>
    </row>
    <row r="4055" spans="59:59" x14ac:dyDescent="0.25">
      <c r="BG4055" t="s">
        <v>2953</v>
      </c>
    </row>
    <row r="4056" spans="59:59" x14ac:dyDescent="0.25">
      <c r="BG4056" t="s">
        <v>2955</v>
      </c>
    </row>
    <row r="4057" spans="59:59" x14ac:dyDescent="0.25">
      <c r="BG4057" t="s">
        <v>2957</v>
      </c>
    </row>
    <row r="4058" spans="59:59" x14ac:dyDescent="0.25">
      <c r="BG4058" t="s">
        <v>2959</v>
      </c>
    </row>
    <row r="4059" spans="59:59" x14ac:dyDescent="0.25">
      <c r="BG4059" t="s">
        <v>2961</v>
      </c>
    </row>
    <row r="4060" spans="59:59" x14ac:dyDescent="0.25">
      <c r="BG4060" t="s">
        <v>2963</v>
      </c>
    </row>
    <row r="4061" spans="59:59" x14ac:dyDescent="0.25">
      <c r="BG4061" t="s">
        <v>2965</v>
      </c>
    </row>
    <row r="4062" spans="59:59" x14ac:dyDescent="0.25">
      <c r="BG4062" t="s">
        <v>2967</v>
      </c>
    </row>
    <row r="4063" spans="59:59" x14ac:dyDescent="0.25">
      <c r="BG4063" t="s">
        <v>2969</v>
      </c>
    </row>
    <row r="4064" spans="59:59" x14ac:dyDescent="0.25">
      <c r="BG4064" t="s">
        <v>2971</v>
      </c>
    </row>
    <row r="4065" spans="59:59" x14ac:dyDescent="0.25">
      <c r="BG4065" t="s">
        <v>2973</v>
      </c>
    </row>
    <row r="4066" spans="59:59" x14ac:dyDescent="0.25">
      <c r="BG4066" t="s">
        <v>2975</v>
      </c>
    </row>
    <row r="4067" spans="59:59" x14ac:dyDescent="0.25">
      <c r="BG4067" t="s">
        <v>2977</v>
      </c>
    </row>
    <row r="4068" spans="59:59" x14ac:dyDescent="0.25">
      <c r="BG4068" t="s">
        <v>2979</v>
      </c>
    </row>
    <row r="4069" spans="59:59" x14ac:dyDescent="0.25">
      <c r="BG4069" t="s">
        <v>2981</v>
      </c>
    </row>
    <row r="4070" spans="59:59" x14ac:dyDescent="0.25">
      <c r="BG4070" t="s">
        <v>2983</v>
      </c>
    </row>
    <row r="4071" spans="59:59" x14ac:dyDescent="0.25">
      <c r="BG4071" t="s">
        <v>2985</v>
      </c>
    </row>
    <row r="4072" spans="59:59" x14ac:dyDescent="0.25">
      <c r="BG4072" t="s">
        <v>2987</v>
      </c>
    </row>
    <row r="4073" spans="59:59" x14ac:dyDescent="0.25">
      <c r="BG4073" t="s">
        <v>2989</v>
      </c>
    </row>
    <row r="4074" spans="59:59" x14ac:dyDescent="0.25">
      <c r="BG4074" t="s">
        <v>2991</v>
      </c>
    </row>
    <row r="4075" spans="59:59" x14ac:dyDescent="0.25">
      <c r="BG4075" t="s">
        <v>2993</v>
      </c>
    </row>
    <row r="4076" spans="59:59" x14ac:dyDescent="0.25">
      <c r="BG4076" t="s">
        <v>2995</v>
      </c>
    </row>
    <row r="4077" spans="59:59" x14ac:dyDescent="0.25">
      <c r="BG4077" t="s">
        <v>2997</v>
      </c>
    </row>
    <row r="4078" spans="59:59" x14ac:dyDescent="0.25">
      <c r="BG4078" t="s">
        <v>2999</v>
      </c>
    </row>
    <row r="4079" spans="59:59" x14ac:dyDescent="0.25">
      <c r="BG4079" t="s">
        <v>3001</v>
      </c>
    </row>
    <row r="4080" spans="59:59" x14ac:dyDescent="0.25">
      <c r="BG4080" t="s">
        <v>3003</v>
      </c>
    </row>
    <row r="4081" spans="59:59" x14ac:dyDescent="0.25">
      <c r="BG4081" t="s">
        <v>3005</v>
      </c>
    </row>
    <row r="4082" spans="59:59" x14ac:dyDescent="0.25">
      <c r="BG4082" t="s">
        <v>3007</v>
      </c>
    </row>
    <row r="4083" spans="59:59" x14ac:dyDescent="0.25">
      <c r="BG4083" t="s">
        <v>3009</v>
      </c>
    </row>
    <row r="4084" spans="59:59" x14ac:dyDescent="0.25">
      <c r="BG4084" t="s">
        <v>3011</v>
      </c>
    </row>
    <row r="4085" spans="59:59" x14ac:dyDescent="0.25">
      <c r="BG4085" t="s">
        <v>3013</v>
      </c>
    </row>
    <row r="4086" spans="59:59" x14ac:dyDescent="0.25">
      <c r="BG4086" t="s">
        <v>3015</v>
      </c>
    </row>
    <row r="4087" spans="59:59" x14ac:dyDescent="0.25">
      <c r="BG4087" t="s">
        <v>3017</v>
      </c>
    </row>
    <row r="4088" spans="59:59" x14ac:dyDescent="0.25">
      <c r="BG4088" t="s">
        <v>3019</v>
      </c>
    </row>
    <row r="4089" spans="59:59" x14ac:dyDescent="0.25">
      <c r="BG4089" t="s">
        <v>3021</v>
      </c>
    </row>
    <row r="4090" spans="59:59" x14ac:dyDescent="0.25">
      <c r="BG4090" t="s">
        <v>3023</v>
      </c>
    </row>
    <row r="4091" spans="59:59" x14ac:dyDescent="0.25">
      <c r="BG4091" t="s">
        <v>3025</v>
      </c>
    </row>
    <row r="4092" spans="59:59" x14ac:dyDescent="0.25">
      <c r="BG4092" t="s">
        <v>3027</v>
      </c>
    </row>
    <row r="4093" spans="59:59" x14ac:dyDescent="0.25">
      <c r="BG4093" t="s">
        <v>3029</v>
      </c>
    </row>
    <row r="4094" spans="59:59" x14ac:dyDescent="0.25">
      <c r="BG4094" t="s">
        <v>3031</v>
      </c>
    </row>
    <row r="4095" spans="59:59" x14ac:dyDescent="0.25">
      <c r="BG4095" t="s">
        <v>3033</v>
      </c>
    </row>
    <row r="4096" spans="59:59" x14ac:dyDescent="0.25">
      <c r="BG4096" t="s">
        <v>3035</v>
      </c>
    </row>
    <row r="4097" spans="59:59" x14ac:dyDescent="0.25">
      <c r="BG4097" t="s">
        <v>3037</v>
      </c>
    </row>
    <row r="4098" spans="59:59" x14ac:dyDescent="0.25">
      <c r="BG4098" t="s">
        <v>3039</v>
      </c>
    </row>
    <row r="4099" spans="59:59" x14ac:dyDescent="0.25">
      <c r="BG4099" t="s">
        <v>3041</v>
      </c>
    </row>
    <row r="4100" spans="59:59" x14ac:dyDescent="0.25">
      <c r="BG4100" t="s">
        <v>3043</v>
      </c>
    </row>
    <row r="4101" spans="59:59" x14ac:dyDescent="0.25">
      <c r="BG4101" t="s">
        <v>3045</v>
      </c>
    </row>
    <row r="4102" spans="59:59" x14ac:dyDescent="0.25">
      <c r="BG4102" t="s">
        <v>3047</v>
      </c>
    </row>
    <row r="4103" spans="59:59" x14ac:dyDescent="0.25">
      <c r="BG4103" t="s">
        <v>3049</v>
      </c>
    </row>
    <row r="4104" spans="59:59" x14ac:dyDescent="0.25">
      <c r="BG4104" t="s">
        <v>3051</v>
      </c>
    </row>
    <row r="4105" spans="59:59" x14ac:dyDescent="0.25">
      <c r="BG4105" t="s">
        <v>3053</v>
      </c>
    </row>
    <row r="4106" spans="59:59" x14ac:dyDescent="0.25">
      <c r="BG4106" t="s">
        <v>3055</v>
      </c>
    </row>
    <row r="4107" spans="59:59" x14ac:dyDescent="0.25">
      <c r="BG4107" t="s">
        <v>3057</v>
      </c>
    </row>
    <row r="4108" spans="59:59" x14ac:dyDescent="0.25">
      <c r="BG4108" t="s">
        <v>3059</v>
      </c>
    </row>
    <row r="4109" spans="59:59" x14ac:dyDescent="0.25">
      <c r="BG4109" t="s">
        <v>3061</v>
      </c>
    </row>
    <row r="4110" spans="59:59" x14ac:dyDescent="0.25">
      <c r="BG4110" t="s">
        <v>3063</v>
      </c>
    </row>
    <row r="4111" spans="59:59" x14ac:dyDescent="0.25">
      <c r="BG4111" t="s">
        <v>3065</v>
      </c>
    </row>
    <row r="4112" spans="59:59" x14ac:dyDescent="0.25">
      <c r="BG4112" t="s">
        <v>3067</v>
      </c>
    </row>
    <row r="4113" spans="59:59" x14ac:dyDescent="0.25">
      <c r="BG4113" t="s">
        <v>3069</v>
      </c>
    </row>
    <row r="4114" spans="59:59" x14ac:dyDescent="0.25">
      <c r="BG4114" t="s">
        <v>3071</v>
      </c>
    </row>
    <row r="4115" spans="59:59" x14ac:dyDescent="0.25">
      <c r="BG4115" t="s">
        <v>3073</v>
      </c>
    </row>
    <row r="4116" spans="59:59" x14ac:dyDescent="0.25">
      <c r="BG4116" t="s">
        <v>3075</v>
      </c>
    </row>
    <row r="4117" spans="59:59" x14ac:dyDescent="0.25">
      <c r="BG4117" t="s">
        <v>3077</v>
      </c>
    </row>
    <row r="4118" spans="59:59" x14ac:dyDescent="0.25">
      <c r="BG4118" t="s">
        <v>3079</v>
      </c>
    </row>
    <row r="4119" spans="59:59" x14ac:dyDescent="0.25">
      <c r="BG4119" t="s">
        <v>3081</v>
      </c>
    </row>
    <row r="4120" spans="59:59" x14ac:dyDescent="0.25">
      <c r="BG4120" t="s">
        <v>3083</v>
      </c>
    </row>
    <row r="4121" spans="59:59" x14ac:dyDescent="0.25">
      <c r="BG4121" t="s">
        <v>3085</v>
      </c>
    </row>
    <row r="4122" spans="59:59" x14ac:dyDescent="0.25">
      <c r="BG4122" t="s">
        <v>3087</v>
      </c>
    </row>
    <row r="4123" spans="59:59" x14ac:dyDescent="0.25">
      <c r="BG4123" t="s">
        <v>3089</v>
      </c>
    </row>
    <row r="4124" spans="59:59" x14ac:dyDescent="0.25">
      <c r="BG4124" t="s">
        <v>3091</v>
      </c>
    </row>
    <row r="4125" spans="59:59" x14ac:dyDescent="0.25">
      <c r="BG4125" t="s">
        <v>3093</v>
      </c>
    </row>
    <row r="4126" spans="59:59" x14ac:dyDescent="0.25">
      <c r="BG4126" t="s">
        <v>3095</v>
      </c>
    </row>
    <row r="4127" spans="59:59" x14ac:dyDescent="0.25">
      <c r="BG4127" t="s">
        <v>3097</v>
      </c>
    </row>
    <row r="4128" spans="59:59" x14ac:dyDescent="0.25">
      <c r="BG4128" t="s">
        <v>3099</v>
      </c>
    </row>
    <row r="4129" spans="59:59" x14ac:dyDescent="0.25">
      <c r="BG4129" t="s">
        <v>3101</v>
      </c>
    </row>
    <row r="4130" spans="59:59" x14ac:dyDescent="0.25">
      <c r="BG4130" t="s">
        <v>3103</v>
      </c>
    </row>
    <row r="4131" spans="59:59" x14ac:dyDescent="0.25">
      <c r="BG4131" t="s">
        <v>3105</v>
      </c>
    </row>
    <row r="4132" spans="59:59" x14ac:dyDescent="0.25">
      <c r="BG4132" t="s">
        <v>3107</v>
      </c>
    </row>
    <row r="4133" spans="59:59" x14ac:dyDescent="0.25">
      <c r="BG4133" t="s">
        <v>3109</v>
      </c>
    </row>
    <row r="4134" spans="59:59" x14ac:dyDescent="0.25">
      <c r="BG4134" t="s">
        <v>3111</v>
      </c>
    </row>
    <row r="4135" spans="59:59" x14ac:dyDescent="0.25">
      <c r="BG4135" t="s">
        <v>3113</v>
      </c>
    </row>
    <row r="4136" spans="59:59" x14ac:dyDescent="0.25">
      <c r="BG4136" t="s">
        <v>3115</v>
      </c>
    </row>
    <row r="4137" spans="59:59" x14ac:dyDescent="0.25">
      <c r="BG4137" t="s">
        <v>3117</v>
      </c>
    </row>
    <row r="4138" spans="59:59" x14ac:dyDescent="0.25">
      <c r="BG4138" t="s">
        <v>3119</v>
      </c>
    </row>
    <row r="4139" spans="59:59" x14ac:dyDescent="0.25">
      <c r="BG4139" t="s">
        <v>3121</v>
      </c>
    </row>
    <row r="4140" spans="59:59" x14ac:dyDescent="0.25">
      <c r="BG4140" t="s">
        <v>3123</v>
      </c>
    </row>
    <row r="4141" spans="59:59" x14ac:dyDescent="0.25">
      <c r="BG4141" t="s">
        <v>3125</v>
      </c>
    </row>
    <row r="4142" spans="59:59" x14ac:dyDescent="0.25">
      <c r="BG4142" t="s">
        <v>3127</v>
      </c>
    </row>
    <row r="4143" spans="59:59" x14ac:dyDescent="0.25">
      <c r="BG4143" t="s">
        <v>3129</v>
      </c>
    </row>
    <row r="4144" spans="59:59" x14ac:dyDescent="0.25">
      <c r="BG4144" t="s">
        <v>3131</v>
      </c>
    </row>
    <row r="4145" spans="59:59" x14ac:dyDescent="0.25">
      <c r="BG4145" t="s">
        <v>3133</v>
      </c>
    </row>
    <row r="4146" spans="59:59" x14ac:dyDescent="0.25">
      <c r="BG4146" t="s">
        <v>3135</v>
      </c>
    </row>
    <row r="4147" spans="59:59" x14ac:dyDescent="0.25">
      <c r="BG4147" t="s">
        <v>3137</v>
      </c>
    </row>
    <row r="4148" spans="59:59" x14ac:dyDescent="0.25">
      <c r="BG4148" t="s">
        <v>3139</v>
      </c>
    </row>
    <row r="4149" spans="59:59" x14ac:dyDescent="0.25">
      <c r="BG4149" t="s">
        <v>3141</v>
      </c>
    </row>
    <row r="4150" spans="59:59" x14ac:dyDescent="0.25">
      <c r="BG4150" t="s">
        <v>3143</v>
      </c>
    </row>
    <row r="4151" spans="59:59" x14ac:dyDescent="0.25">
      <c r="BG4151" t="s">
        <v>3145</v>
      </c>
    </row>
    <row r="4152" spans="59:59" x14ac:dyDescent="0.25">
      <c r="BG4152" t="s">
        <v>3147</v>
      </c>
    </row>
    <row r="4153" spans="59:59" x14ac:dyDescent="0.25">
      <c r="BG4153" t="s">
        <v>3149</v>
      </c>
    </row>
    <row r="4154" spans="59:59" x14ac:dyDescent="0.25">
      <c r="BG4154" t="s">
        <v>3151</v>
      </c>
    </row>
    <row r="4155" spans="59:59" x14ac:dyDescent="0.25">
      <c r="BG4155" t="s">
        <v>3153</v>
      </c>
    </row>
    <row r="4156" spans="59:59" x14ac:dyDescent="0.25">
      <c r="BG4156" t="s">
        <v>3155</v>
      </c>
    </row>
    <row r="4157" spans="59:59" x14ac:dyDescent="0.25">
      <c r="BG4157" t="s">
        <v>3157</v>
      </c>
    </row>
    <row r="4158" spans="59:59" x14ac:dyDescent="0.25">
      <c r="BG4158" t="s">
        <v>3159</v>
      </c>
    </row>
    <row r="4159" spans="59:59" x14ac:dyDescent="0.25">
      <c r="BG4159" t="s">
        <v>3161</v>
      </c>
    </row>
    <row r="4160" spans="59:59" x14ac:dyDescent="0.25">
      <c r="BG4160" t="s">
        <v>3163</v>
      </c>
    </row>
    <row r="4161" spans="59:59" x14ac:dyDescent="0.25">
      <c r="BG4161" t="s">
        <v>3165</v>
      </c>
    </row>
    <row r="4162" spans="59:59" x14ac:dyDescent="0.25">
      <c r="BG4162" t="s">
        <v>3167</v>
      </c>
    </row>
    <row r="4163" spans="59:59" x14ac:dyDescent="0.25">
      <c r="BG4163" t="s">
        <v>3169</v>
      </c>
    </row>
    <row r="4164" spans="59:59" x14ac:dyDescent="0.25">
      <c r="BG4164" t="s">
        <v>3171</v>
      </c>
    </row>
    <row r="4165" spans="59:59" x14ac:dyDescent="0.25">
      <c r="BG4165" t="s">
        <v>3173</v>
      </c>
    </row>
    <row r="4166" spans="59:59" x14ac:dyDescent="0.25">
      <c r="BG4166" t="s">
        <v>3175</v>
      </c>
    </row>
    <row r="4167" spans="59:59" x14ac:dyDescent="0.25">
      <c r="BG4167" t="s">
        <v>3177</v>
      </c>
    </row>
    <row r="4168" spans="59:59" x14ac:dyDescent="0.25">
      <c r="BG4168" t="s">
        <v>3179</v>
      </c>
    </row>
    <row r="4169" spans="59:59" x14ac:dyDescent="0.25">
      <c r="BG4169" t="s">
        <v>3181</v>
      </c>
    </row>
    <row r="4170" spans="59:59" x14ac:dyDescent="0.25">
      <c r="BG4170" t="s">
        <v>3183</v>
      </c>
    </row>
    <row r="4171" spans="59:59" x14ac:dyDescent="0.25">
      <c r="BG4171" t="s">
        <v>3185</v>
      </c>
    </row>
    <row r="4172" spans="59:59" x14ac:dyDescent="0.25">
      <c r="BG4172" t="s">
        <v>3187</v>
      </c>
    </row>
    <row r="4173" spans="59:59" x14ac:dyDescent="0.25">
      <c r="BG4173" t="s">
        <v>3189</v>
      </c>
    </row>
    <row r="4174" spans="59:59" x14ac:dyDescent="0.25">
      <c r="BG4174" t="s">
        <v>3191</v>
      </c>
    </row>
    <row r="4175" spans="59:59" x14ac:dyDescent="0.25">
      <c r="BG4175" t="s">
        <v>3193</v>
      </c>
    </row>
    <row r="4176" spans="59:59" x14ac:dyDescent="0.25">
      <c r="BG4176" t="s">
        <v>3195</v>
      </c>
    </row>
    <row r="4177" spans="59:59" x14ac:dyDescent="0.25">
      <c r="BG4177" t="s">
        <v>3197</v>
      </c>
    </row>
    <row r="4178" spans="59:59" x14ac:dyDescent="0.25">
      <c r="BG4178" t="s">
        <v>3199</v>
      </c>
    </row>
    <row r="4179" spans="59:59" x14ac:dyDescent="0.25">
      <c r="BG4179" t="s">
        <v>3201</v>
      </c>
    </row>
    <row r="4180" spans="59:59" x14ac:dyDescent="0.25">
      <c r="BG4180" t="s">
        <v>3203</v>
      </c>
    </row>
    <row r="4181" spans="59:59" x14ac:dyDescent="0.25">
      <c r="BG4181" t="s">
        <v>3205</v>
      </c>
    </row>
    <row r="4182" spans="59:59" x14ac:dyDescent="0.25">
      <c r="BG4182" t="s">
        <v>3207</v>
      </c>
    </row>
    <row r="4183" spans="59:59" x14ac:dyDescent="0.25">
      <c r="BG4183" t="s">
        <v>3209</v>
      </c>
    </row>
    <row r="4184" spans="59:59" x14ac:dyDescent="0.25">
      <c r="BG4184" t="s">
        <v>3211</v>
      </c>
    </row>
    <row r="4185" spans="59:59" x14ac:dyDescent="0.25">
      <c r="BG4185" t="s">
        <v>3213</v>
      </c>
    </row>
    <row r="4186" spans="59:59" x14ac:dyDescent="0.25">
      <c r="BG4186" t="s">
        <v>3215</v>
      </c>
    </row>
    <row r="4187" spans="59:59" x14ac:dyDescent="0.25">
      <c r="BG4187" t="s">
        <v>3217</v>
      </c>
    </row>
    <row r="4188" spans="59:59" x14ac:dyDescent="0.25">
      <c r="BG4188" t="s">
        <v>3219</v>
      </c>
    </row>
    <row r="4189" spans="59:59" x14ac:dyDescent="0.25">
      <c r="BG4189" t="s">
        <v>3221</v>
      </c>
    </row>
    <row r="4190" spans="59:59" x14ac:dyDescent="0.25">
      <c r="BG4190" t="s">
        <v>3223</v>
      </c>
    </row>
    <row r="4191" spans="59:59" x14ac:dyDescent="0.25">
      <c r="BG4191" t="s">
        <v>3225</v>
      </c>
    </row>
    <row r="4192" spans="59:59" x14ac:dyDescent="0.25">
      <c r="BG4192" t="s">
        <v>3227</v>
      </c>
    </row>
    <row r="4193" spans="59:59" x14ac:dyDescent="0.25">
      <c r="BG4193" t="s">
        <v>3229</v>
      </c>
    </row>
    <row r="4194" spans="59:59" x14ac:dyDescent="0.25">
      <c r="BG4194" t="s">
        <v>3231</v>
      </c>
    </row>
    <row r="4195" spans="59:59" x14ac:dyDescent="0.25">
      <c r="BG4195" t="s">
        <v>3233</v>
      </c>
    </row>
    <row r="4196" spans="59:59" x14ac:dyDescent="0.25">
      <c r="BG4196" t="s">
        <v>3235</v>
      </c>
    </row>
    <row r="4197" spans="59:59" x14ac:dyDescent="0.25">
      <c r="BG4197" t="s">
        <v>3237</v>
      </c>
    </row>
    <row r="4198" spans="59:59" x14ac:dyDescent="0.25">
      <c r="BG4198" t="s">
        <v>3239</v>
      </c>
    </row>
    <row r="4199" spans="59:59" x14ac:dyDescent="0.25">
      <c r="BG4199" t="s">
        <v>3241</v>
      </c>
    </row>
    <row r="4200" spans="59:59" x14ac:dyDescent="0.25">
      <c r="BG4200" t="s">
        <v>3243</v>
      </c>
    </row>
    <row r="4201" spans="59:59" x14ac:dyDescent="0.25">
      <c r="BG4201" t="s">
        <v>3245</v>
      </c>
    </row>
    <row r="4202" spans="59:59" x14ac:dyDescent="0.25">
      <c r="BG4202" t="s">
        <v>3247</v>
      </c>
    </row>
    <row r="4203" spans="59:59" x14ac:dyDescent="0.25">
      <c r="BG4203" t="s">
        <v>3249</v>
      </c>
    </row>
    <row r="4204" spans="59:59" x14ac:dyDescent="0.25">
      <c r="BG4204" t="s">
        <v>3251</v>
      </c>
    </row>
    <row r="4205" spans="59:59" x14ac:dyDescent="0.25">
      <c r="BG4205" t="s">
        <v>3253</v>
      </c>
    </row>
    <row r="4206" spans="59:59" x14ac:dyDescent="0.25">
      <c r="BG4206" t="s">
        <v>3255</v>
      </c>
    </row>
    <row r="4207" spans="59:59" x14ac:dyDescent="0.25">
      <c r="BG4207" t="s">
        <v>3257</v>
      </c>
    </row>
    <row r="4208" spans="59:59" x14ac:dyDescent="0.25">
      <c r="BG4208" t="s">
        <v>3259</v>
      </c>
    </row>
    <row r="4209" spans="59:59" x14ac:dyDescent="0.25">
      <c r="BG4209" t="s">
        <v>3261</v>
      </c>
    </row>
    <row r="4210" spans="59:59" x14ac:dyDescent="0.25">
      <c r="BG4210" t="s">
        <v>3263</v>
      </c>
    </row>
    <row r="4211" spans="59:59" x14ac:dyDescent="0.25">
      <c r="BG4211" t="s">
        <v>3265</v>
      </c>
    </row>
    <row r="4212" spans="59:59" x14ac:dyDescent="0.25">
      <c r="BG4212" t="s">
        <v>3267</v>
      </c>
    </row>
    <row r="4213" spans="59:59" x14ac:dyDescent="0.25">
      <c r="BG4213" t="s">
        <v>3269</v>
      </c>
    </row>
    <row r="4214" spans="59:59" x14ac:dyDescent="0.25">
      <c r="BG4214" t="s">
        <v>3271</v>
      </c>
    </row>
    <row r="4215" spans="59:59" x14ac:dyDescent="0.25">
      <c r="BG4215" t="s">
        <v>3273</v>
      </c>
    </row>
    <row r="4216" spans="59:59" x14ac:dyDescent="0.25">
      <c r="BG4216" t="s">
        <v>3275</v>
      </c>
    </row>
    <row r="4217" spans="59:59" x14ac:dyDescent="0.25">
      <c r="BG4217" t="s">
        <v>3277</v>
      </c>
    </row>
    <row r="4218" spans="59:59" x14ac:dyDescent="0.25">
      <c r="BG4218" t="s">
        <v>3279</v>
      </c>
    </row>
    <row r="4219" spans="59:59" x14ac:dyDescent="0.25">
      <c r="BG4219" t="s">
        <v>3281</v>
      </c>
    </row>
    <row r="4220" spans="59:59" x14ac:dyDescent="0.25">
      <c r="BG4220" t="s">
        <v>3283</v>
      </c>
    </row>
    <row r="4221" spans="59:59" x14ac:dyDescent="0.25">
      <c r="BG4221" t="s">
        <v>3285</v>
      </c>
    </row>
    <row r="4222" spans="59:59" x14ac:dyDescent="0.25">
      <c r="BG4222" t="s">
        <v>3287</v>
      </c>
    </row>
    <row r="4223" spans="59:59" x14ac:dyDescent="0.25">
      <c r="BG4223" t="s">
        <v>3289</v>
      </c>
    </row>
    <row r="4224" spans="59:59" x14ac:dyDescent="0.25">
      <c r="BG4224" t="s">
        <v>3291</v>
      </c>
    </row>
    <row r="4225" spans="59:59" x14ac:dyDescent="0.25">
      <c r="BG4225" t="s">
        <v>3293</v>
      </c>
    </row>
    <row r="4226" spans="59:59" x14ac:dyDescent="0.25">
      <c r="BG4226" t="s">
        <v>3295</v>
      </c>
    </row>
    <row r="4227" spans="59:59" x14ac:dyDescent="0.25">
      <c r="BG4227" t="s">
        <v>3297</v>
      </c>
    </row>
    <row r="4228" spans="59:59" x14ac:dyDescent="0.25">
      <c r="BG4228" t="s">
        <v>3299</v>
      </c>
    </row>
    <row r="4229" spans="59:59" x14ac:dyDescent="0.25">
      <c r="BG4229" t="s">
        <v>3301</v>
      </c>
    </row>
    <row r="4230" spans="59:59" x14ac:dyDescent="0.25">
      <c r="BG4230" t="s">
        <v>3303</v>
      </c>
    </row>
    <row r="4231" spans="59:59" x14ac:dyDescent="0.25">
      <c r="BG4231" t="s">
        <v>3305</v>
      </c>
    </row>
    <row r="4232" spans="59:59" x14ac:dyDescent="0.25">
      <c r="BG4232" t="s">
        <v>3307</v>
      </c>
    </row>
    <row r="4233" spans="59:59" x14ac:dyDescent="0.25">
      <c r="BG4233" t="s">
        <v>3309</v>
      </c>
    </row>
    <row r="4234" spans="59:59" x14ac:dyDescent="0.25">
      <c r="BG4234" t="s">
        <v>3311</v>
      </c>
    </row>
    <row r="4235" spans="59:59" x14ac:dyDescent="0.25">
      <c r="BG4235" t="s">
        <v>3313</v>
      </c>
    </row>
    <row r="4236" spans="59:59" x14ac:dyDescent="0.25">
      <c r="BG4236" t="s">
        <v>3315</v>
      </c>
    </row>
    <row r="4237" spans="59:59" x14ac:dyDescent="0.25">
      <c r="BG4237" t="s">
        <v>3317</v>
      </c>
    </row>
    <row r="4238" spans="59:59" x14ac:dyDescent="0.25">
      <c r="BG4238" t="s">
        <v>3319</v>
      </c>
    </row>
    <row r="4239" spans="59:59" x14ac:dyDescent="0.25">
      <c r="BG4239" t="s">
        <v>3321</v>
      </c>
    </row>
    <row r="4240" spans="59:59" x14ac:dyDescent="0.25">
      <c r="BG4240" t="s">
        <v>3323</v>
      </c>
    </row>
    <row r="4241" spans="59:59" x14ac:dyDescent="0.25">
      <c r="BG4241" t="s">
        <v>3325</v>
      </c>
    </row>
    <row r="4242" spans="59:59" x14ac:dyDescent="0.25">
      <c r="BG4242" t="s">
        <v>3327</v>
      </c>
    </row>
    <row r="4243" spans="59:59" x14ac:dyDescent="0.25">
      <c r="BG4243" t="s">
        <v>3329</v>
      </c>
    </row>
    <row r="4244" spans="59:59" x14ac:dyDescent="0.25">
      <c r="BG4244" t="s">
        <v>3331</v>
      </c>
    </row>
    <row r="4245" spans="59:59" x14ac:dyDescent="0.25">
      <c r="BG4245" t="s">
        <v>3333</v>
      </c>
    </row>
    <row r="4246" spans="59:59" x14ac:dyDescent="0.25">
      <c r="BG4246" t="s">
        <v>3335</v>
      </c>
    </row>
    <row r="4247" spans="59:59" x14ac:dyDescent="0.25">
      <c r="BG4247" t="s">
        <v>3337</v>
      </c>
    </row>
    <row r="4248" spans="59:59" x14ac:dyDescent="0.25">
      <c r="BG4248" t="s">
        <v>3339</v>
      </c>
    </row>
    <row r="4249" spans="59:59" x14ac:dyDescent="0.25">
      <c r="BG4249" t="s">
        <v>3341</v>
      </c>
    </row>
    <row r="4250" spans="59:59" x14ac:dyDescent="0.25">
      <c r="BG4250" t="s">
        <v>3343</v>
      </c>
    </row>
    <row r="4251" spans="59:59" x14ac:dyDescent="0.25">
      <c r="BG4251" t="s">
        <v>3345</v>
      </c>
    </row>
    <row r="4252" spans="59:59" x14ac:dyDescent="0.25">
      <c r="BG4252" t="s">
        <v>3347</v>
      </c>
    </row>
    <row r="4253" spans="59:59" x14ac:dyDescent="0.25">
      <c r="BG4253" t="s">
        <v>3349</v>
      </c>
    </row>
    <row r="4254" spans="59:59" x14ac:dyDescent="0.25">
      <c r="BG4254" t="s">
        <v>3351</v>
      </c>
    </row>
    <row r="4255" spans="59:59" x14ac:dyDescent="0.25">
      <c r="BG4255" t="s">
        <v>3353</v>
      </c>
    </row>
    <row r="4256" spans="59:59" x14ac:dyDescent="0.25">
      <c r="BG4256" t="s">
        <v>3355</v>
      </c>
    </row>
    <row r="4257" spans="59:59" x14ac:dyDescent="0.25">
      <c r="BG4257" t="s">
        <v>3357</v>
      </c>
    </row>
    <row r="4258" spans="59:59" x14ac:dyDescent="0.25">
      <c r="BG4258" t="s">
        <v>3359</v>
      </c>
    </row>
    <row r="4259" spans="59:59" x14ac:dyDescent="0.25">
      <c r="BG4259" t="s">
        <v>3361</v>
      </c>
    </row>
    <row r="4260" spans="59:59" x14ac:dyDescent="0.25">
      <c r="BG4260" t="s">
        <v>3363</v>
      </c>
    </row>
    <row r="4261" spans="59:59" x14ac:dyDescent="0.25">
      <c r="BG4261" t="s">
        <v>3365</v>
      </c>
    </row>
    <row r="4262" spans="59:59" x14ac:dyDescent="0.25">
      <c r="BG4262" t="s">
        <v>3367</v>
      </c>
    </row>
    <row r="4263" spans="59:59" x14ac:dyDescent="0.25">
      <c r="BG4263" t="s">
        <v>3369</v>
      </c>
    </row>
    <row r="4264" spans="59:59" x14ac:dyDescent="0.25">
      <c r="BG4264" t="s">
        <v>3371</v>
      </c>
    </row>
    <row r="4265" spans="59:59" x14ac:dyDescent="0.25">
      <c r="BG4265" t="s">
        <v>3373</v>
      </c>
    </row>
    <row r="4266" spans="59:59" x14ac:dyDescent="0.25">
      <c r="BG4266" t="s">
        <v>3375</v>
      </c>
    </row>
    <row r="4267" spans="59:59" x14ac:dyDescent="0.25">
      <c r="BG4267" t="s">
        <v>3377</v>
      </c>
    </row>
    <row r="4268" spans="59:59" x14ac:dyDescent="0.25">
      <c r="BG4268" t="s">
        <v>3379</v>
      </c>
    </row>
    <row r="4269" spans="59:59" x14ac:dyDescent="0.25">
      <c r="BG4269" t="s">
        <v>3381</v>
      </c>
    </row>
    <row r="4270" spans="59:59" x14ac:dyDescent="0.25">
      <c r="BG4270" t="s">
        <v>3383</v>
      </c>
    </row>
    <row r="4271" spans="59:59" x14ac:dyDescent="0.25">
      <c r="BG4271" t="s">
        <v>3385</v>
      </c>
    </row>
    <row r="4272" spans="59:59" x14ac:dyDescent="0.25">
      <c r="BG4272" t="s">
        <v>3387</v>
      </c>
    </row>
    <row r="4273" spans="59:59" x14ac:dyDescent="0.25">
      <c r="BG4273" t="s">
        <v>3389</v>
      </c>
    </row>
    <row r="4274" spans="59:59" x14ac:dyDescent="0.25">
      <c r="BG4274" t="s">
        <v>3391</v>
      </c>
    </row>
    <row r="4275" spans="59:59" x14ac:dyDescent="0.25">
      <c r="BG4275" t="s">
        <v>3393</v>
      </c>
    </row>
    <row r="4276" spans="59:59" x14ac:dyDescent="0.25">
      <c r="BG4276" t="s">
        <v>3395</v>
      </c>
    </row>
    <row r="4277" spans="59:59" x14ac:dyDescent="0.25">
      <c r="BG4277" t="s">
        <v>3397</v>
      </c>
    </row>
    <row r="4278" spans="59:59" x14ac:dyDescent="0.25">
      <c r="BG4278" t="s">
        <v>3399</v>
      </c>
    </row>
    <row r="4279" spans="59:59" x14ac:dyDescent="0.25">
      <c r="BG4279" t="s">
        <v>3401</v>
      </c>
    </row>
    <row r="4280" spans="59:59" x14ac:dyDescent="0.25">
      <c r="BG4280" t="s">
        <v>3403</v>
      </c>
    </row>
    <row r="4281" spans="59:59" x14ac:dyDescent="0.25">
      <c r="BG4281" t="s">
        <v>3405</v>
      </c>
    </row>
    <row r="4282" spans="59:59" x14ac:dyDescent="0.25">
      <c r="BG4282" t="s">
        <v>3407</v>
      </c>
    </row>
    <row r="4283" spans="59:59" x14ac:dyDescent="0.25">
      <c r="BG4283" t="s">
        <v>3409</v>
      </c>
    </row>
    <row r="4284" spans="59:59" x14ac:dyDescent="0.25">
      <c r="BG4284" t="s">
        <v>3411</v>
      </c>
    </row>
    <row r="4285" spans="59:59" x14ac:dyDescent="0.25">
      <c r="BG4285" t="s">
        <v>3413</v>
      </c>
    </row>
    <row r="4286" spans="59:59" x14ac:dyDescent="0.25">
      <c r="BG4286" t="s">
        <v>3415</v>
      </c>
    </row>
    <row r="4287" spans="59:59" x14ac:dyDescent="0.25">
      <c r="BG4287" t="s">
        <v>3417</v>
      </c>
    </row>
    <row r="4288" spans="59:59" x14ac:dyDescent="0.25">
      <c r="BG4288" t="s">
        <v>3419</v>
      </c>
    </row>
    <row r="4289" spans="59:59" x14ac:dyDescent="0.25">
      <c r="BG4289" t="s">
        <v>3421</v>
      </c>
    </row>
    <row r="4290" spans="59:59" x14ac:dyDescent="0.25">
      <c r="BG4290" t="s">
        <v>3423</v>
      </c>
    </row>
    <row r="4291" spans="59:59" x14ac:dyDescent="0.25">
      <c r="BG4291" t="s">
        <v>3425</v>
      </c>
    </row>
    <row r="4292" spans="59:59" x14ac:dyDescent="0.25">
      <c r="BG4292" t="s">
        <v>3427</v>
      </c>
    </row>
    <row r="4293" spans="59:59" x14ac:dyDescent="0.25">
      <c r="BG4293" t="s">
        <v>3429</v>
      </c>
    </row>
    <row r="4294" spans="59:59" x14ac:dyDescent="0.25">
      <c r="BG4294" t="s">
        <v>3431</v>
      </c>
    </row>
    <row r="4295" spans="59:59" x14ac:dyDescent="0.25">
      <c r="BG4295" t="s">
        <v>3433</v>
      </c>
    </row>
    <row r="4296" spans="59:59" x14ac:dyDescent="0.25">
      <c r="BG4296" t="s">
        <v>3435</v>
      </c>
    </row>
    <row r="4297" spans="59:59" x14ac:dyDescent="0.25">
      <c r="BG4297" t="s">
        <v>3437</v>
      </c>
    </row>
    <row r="4298" spans="59:59" x14ac:dyDescent="0.25">
      <c r="BG4298" t="s">
        <v>3439</v>
      </c>
    </row>
    <row r="4299" spans="59:59" x14ac:dyDescent="0.25">
      <c r="BG4299" t="s">
        <v>3441</v>
      </c>
    </row>
    <row r="4300" spans="59:59" x14ac:dyDescent="0.25">
      <c r="BG4300" t="s">
        <v>3443</v>
      </c>
    </row>
    <row r="4301" spans="59:59" x14ac:dyDescent="0.25">
      <c r="BG4301" t="s">
        <v>3445</v>
      </c>
    </row>
    <row r="4302" spans="59:59" x14ac:dyDescent="0.25">
      <c r="BG4302" t="s">
        <v>3447</v>
      </c>
    </row>
    <row r="4303" spans="59:59" x14ac:dyDescent="0.25">
      <c r="BG4303" t="s">
        <v>3449</v>
      </c>
    </row>
    <row r="4304" spans="59:59" x14ac:dyDescent="0.25">
      <c r="BG4304" t="s">
        <v>3451</v>
      </c>
    </row>
    <row r="4305" spans="59:59" x14ac:dyDescent="0.25">
      <c r="BG4305" t="s">
        <v>3453</v>
      </c>
    </row>
    <row r="4306" spans="59:59" x14ac:dyDescent="0.25">
      <c r="BG4306" t="s">
        <v>3455</v>
      </c>
    </row>
    <row r="4307" spans="59:59" x14ac:dyDescent="0.25">
      <c r="BG4307" t="s">
        <v>3457</v>
      </c>
    </row>
    <row r="4308" spans="59:59" x14ac:dyDescent="0.25">
      <c r="BG4308" t="s">
        <v>3459</v>
      </c>
    </row>
    <row r="4309" spans="59:59" x14ac:dyDescent="0.25">
      <c r="BG4309" t="s">
        <v>3461</v>
      </c>
    </row>
    <row r="4310" spans="59:59" x14ac:dyDescent="0.25">
      <c r="BG4310" t="s">
        <v>3463</v>
      </c>
    </row>
    <row r="4311" spans="59:59" x14ac:dyDescent="0.25">
      <c r="BG4311" t="s">
        <v>3465</v>
      </c>
    </row>
    <row r="4312" spans="59:59" x14ac:dyDescent="0.25">
      <c r="BG4312" t="s">
        <v>3467</v>
      </c>
    </row>
    <row r="4313" spans="59:59" x14ac:dyDescent="0.25">
      <c r="BG4313" t="s">
        <v>3469</v>
      </c>
    </row>
    <row r="4314" spans="59:59" x14ac:dyDescent="0.25">
      <c r="BG4314" t="s">
        <v>3471</v>
      </c>
    </row>
    <row r="4315" spans="59:59" x14ac:dyDescent="0.25">
      <c r="BG4315" t="s">
        <v>3473</v>
      </c>
    </row>
    <row r="4316" spans="59:59" x14ac:dyDescent="0.25">
      <c r="BG4316" t="s">
        <v>3475</v>
      </c>
    </row>
    <row r="4317" spans="59:59" x14ac:dyDescent="0.25">
      <c r="BG4317" t="s">
        <v>3477</v>
      </c>
    </row>
    <row r="4318" spans="59:59" x14ac:dyDescent="0.25">
      <c r="BG4318" t="s">
        <v>3479</v>
      </c>
    </row>
    <row r="4319" spans="59:59" x14ac:dyDescent="0.25">
      <c r="BG4319" t="s">
        <v>3481</v>
      </c>
    </row>
    <row r="4320" spans="59:59" x14ac:dyDescent="0.25">
      <c r="BG4320" t="s">
        <v>3483</v>
      </c>
    </row>
    <row r="4321" spans="59:59" x14ac:dyDescent="0.25">
      <c r="BG4321" t="s">
        <v>3485</v>
      </c>
    </row>
    <row r="4322" spans="59:59" x14ac:dyDescent="0.25">
      <c r="BG4322" t="s">
        <v>3487</v>
      </c>
    </row>
    <row r="4323" spans="59:59" x14ac:dyDescent="0.25">
      <c r="BG4323" t="s">
        <v>3489</v>
      </c>
    </row>
    <row r="4324" spans="59:59" x14ac:dyDescent="0.25">
      <c r="BG4324" t="s">
        <v>3491</v>
      </c>
    </row>
    <row r="4325" spans="59:59" x14ac:dyDescent="0.25">
      <c r="BG4325" t="s">
        <v>3493</v>
      </c>
    </row>
    <row r="4326" spans="59:59" x14ac:dyDescent="0.25">
      <c r="BG4326" t="s">
        <v>3495</v>
      </c>
    </row>
    <row r="4327" spans="59:59" x14ac:dyDescent="0.25">
      <c r="BG4327" t="s">
        <v>3497</v>
      </c>
    </row>
    <row r="4328" spans="59:59" x14ac:dyDescent="0.25">
      <c r="BG4328" t="s">
        <v>3499</v>
      </c>
    </row>
    <row r="4329" spans="59:59" x14ac:dyDescent="0.25">
      <c r="BG4329" t="s">
        <v>3501</v>
      </c>
    </row>
    <row r="4330" spans="59:59" x14ac:dyDescent="0.25">
      <c r="BG4330" t="s">
        <v>3503</v>
      </c>
    </row>
    <row r="4331" spans="59:59" x14ac:dyDescent="0.25">
      <c r="BG4331" t="s">
        <v>3505</v>
      </c>
    </row>
    <row r="4332" spans="59:59" x14ac:dyDescent="0.25">
      <c r="BG4332" t="s">
        <v>3507</v>
      </c>
    </row>
    <row r="4333" spans="59:59" x14ac:dyDescent="0.25">
      <c r="BG4333" t="s">
        <v>3509</v>
      </c>
    </row>
    <row r="4334" spans="59:59" x14ac:dyDescent="0.25">
      <c r="BG4334" t="s">
        <v>3511</v>
      </c>
    </row>
    <row r="4335" spans="59:59" x14ac:dyDescent="0.25">
      <c r="BG4335" t="s">
        <v>3513</v>
      </c>
    </row>
    <row r="4336" spans="59:59" x14ac:dyDescent="0.25">
      <c r="BG4336" t="s">
        <v>3515</v>
      </c>
    </row>
    <row r="4337" spans="59:59" x14ac:dyDescent="0.25">
      <c r="BG4337" t="s">
        <v>3517</v>
      </c>
    </row>
    <row r="4338" spans="59:59" x14ac:dyDescent="0.25">
      <c r="BG4338" t="s">
        <v>3519</v>
      </c>
    </row>
    <row r="4339" spans="59:59" x14ac:dyDescent="0.25">
      <c r="BG4339" t="s">
        <v>3521</v>
      </c>
    </row>
    <row r="4340" spans="59:59" x14ac:dyDescent="0.25">
      <c r="BG4340" t="s">
        <v>3523</v>
      </c>
    </row>
    <row r="4341" spans="59:59" x14ac:dyDescent="0.25">
      <c r="BG4341" t="s">
        <v>3525</v>
      </c>
    </row>
    <row r="4342" spans="59:59" x14ac:dyDescent="0.25">
      <c r="BG4342" t="s">
        <v>3527</v>
      </c>
    </row>
    <row r="4343" spans="59:59" x14ac:dyDescent="0.25">
      <c r="BG4343" t="s">
        <v>3529</v>
      </c>
    </row>
    <row r="4344" spans="59:59" x14ac:dyDescent="0.25">
      <c r="BG4344" t="s">
        <v>3531</v>
      </c>
    </row>
    <row r="4345" spans="59:59" x14ac:dyDescent="0.25">
      <c r="BG4345" t="s">
        <v>3533</v>
      </c>
    </row>
    <row r="4346" spans="59:59" x14ac:dyDescent="0.25">
      <c r="BG4346" t="s">
        <v>3535</v>
      </c>
    </row>
    <row r="4347" spans="59:59" x14ac:dyDescent="0.25">
      <c r="BG4347" t="s">
        <v>3537</v>
      </c>
    </row>
    <row r="4348" spans="59:59" x14ac:dyDescent="0.25">
      <c r="BG4348" t="s">
        <v>3539</v>
      </c>
    </row>
    <row r="4349" spans="59:59" x14ac:dyDescent="0.25">
      <c r="BG4349" t="s">
        <v>3541</v>
      </c>
    </row>
    <row r="4350" spans="59:59" x14ac:dyDescent="0.25">
      <c r="BG4350" t="s">
        <v>3543</v>
      </c>
    </row>
    <row r="4351" spans="59:59" x14ac:dyDescent="0.25">
      <c r="BG4351" t="s">
        <v>3545</v>
      </c>
    </row>
    <row r="4352" spans="59:59" x14ac:dyDescent="0.25">
      <c r="BG4352" t="s">
        <v>3547</v>
      </c>
    </row>
    <row r="4353" spans="59:59" x14ac:dyDescent="0.25">
      <c r="BG4353" t="s">
        <v>3549</v>
      </c>
    </row>
    <row r="4354" spans="59:59" x14ac:dyDescent="0.25">
      <c r="BG4354" t="s">
        <v>3551</v>
      </c>
    </row>
    <row r="4355" spans="59:59" x14ac:dyDescent="0.25">
      <c r="BG4355" t="s">
        <v>3553</v>
      </c>
    </row>
    <row r="4356" spans="59:59" x14ac:dyDescent="0.25">
      <c r="BG4356" t="s">
        <v>3555</v>
      </c>
    </row>
    <row r="4357" spans="59:59" x14ac:dyDescent="0.25">
      <c r="BG4357" t="s">
        <v>3557</v>
      </c>
    </row>
    <row r="4358" spans="59:59" x14ac:dyDescent="0.25">
      <c r="BG4358" t="s">
        <v>3559</v>
      </c>
    </row>
    <row r="4359" spans="59:59" x14ac:dyDescent="0.25">
      <c r="BG4359" t="s">
        <v>3561</v>
      </c>
    </row>
    <row r="4360" spans="59:59" x14ac:dyDescent="0.25">
      <c r="BG4360" t="s">
        <v>3563</v>
      </c>
    </row>
    <row r="4361" spans="59:59" x14ac:dyDescent="0.25">
      <c r="BG4361" t="s">
        <v>3565</v>
      </c>
    </row>
    <row r="4362" spans="59:59" x14ac:dyDescent="0.25">
      <c r="BG4362" t="s">
        <v>3567</v>
      </c>
    </row>
    <row r="4363" spans="59:59" x14ac:dyDescent="0.25">
      <c r="BG4363" t="s">
        <v>3569</v>
      </c>
    </row>
    <row r="4364" spans="59:59" x14ac:dyDescent="0.25">
      <c r="BG4364" t="s">
        <v>3571</v>
      </c>
    </row>
    <row r="4365" spans="59:59" x14ac:dyDescent="0.25">
      <c r="BG4365" t="s">
        <v>3573</v>
      </c>
    </row>
    <row r="4366" spans="59:59" x14ac:dyDescent="0.25">
      <c r="BG4366" t="s">
        <v>3575</v>
      </c>
    </row>
    <row r="4367" spans="59:59" x14ac:dyDescent="0.25">
      <c r="BG4367" t="s">
        <v>3577</v>
      </c>
    </row>
    <row r="4368" spans="59:59" x14ac:dyDescent="0.25">
      <c r="BG4368" t="s">
        <v>3579</v>
      </c>
    </row>
    <row r="4369" spans="59:59" x14ac:dyDescent="0.25">
      <c r="BG4369" t="s">
        <v>3581</v>
      </c>
    </row>
    <row r="4370" spans="59:59" x14ac:dyDescent="0.25">
      <c r="BG4370" t="s">
        <v>3583</v>
      </c>
    </row>
    <row r="4371" spans="59:59" x14ac:dyDescent="0.25">
      <c r="BG4371" t="s">
        <v>3585</v>
      </c>
    </row>
    <row r="4372" spans="59:59" x14ac:dyDescent="0.25">
      <c r="BG4372" t="s">
        <v>3587</v>
      </c>
    </row>
    <row r="4373" spans="59:59" x14ac:dyDescent="0.25">
      <c r="BG4373" t="s">
        <v>3589</v>
      </c>
    </row>
    <row r="4374" spans="59:59" x14ac:dyDescent="0.25">
      <c r="BG4374" t="s">
        <v>3591</v>
      </c>
    </row>
    <row r="4375" spans="59:59" x14ac:dyDescent="0.25">
      <c r="BG4375" t="s">
        <v>3593</v>
      </c>
    </row>
    <row r="4376" spans="59:59" x14ac:dyDescent="0.25">
      <c r="BG4376" t="s">
        <v>3595</v>
      </c>
    </row>
    <row r="4377" spans="59:59" x14ac:dyDescent="0.25">
      <c r="BG4377" t="s">
        <v>3597</v>
      </c>
    </row>
    <row r="4378" spans="59:59" x14ac:dyDescent="0.25">
      <c r="BG4378" t="s">
        <v>3599</v>
      </c>
    </row>
    <row r="4379" spans="59:59" x14ac:dyDescent="0.25">
      <c r="BG4379" t="s">
        <v>3601</v>
      </c>
    </row>
    <row r="4380" spans="59:59" x14ac:dyDescent="0.25">
      <c r="BG4380" t="s">
        <v>3603</v>
      </c>
    </row>
    <row r="4381" spans="59:59" x14ac:dyDescent="0.25">
      <c r="BG4381" t="s">
        <v>3605</v>
      </c>
    </row>
    <row r="4382" spans="59:59" x14ac:dyDescent="0.25">
      <c r="BG4382" t="s">
        <v>3607</v>
      </c>
    </row>
    <row r="4383" spans="59:59" x14ac:dyDescent="0.25">
      <c r="BG4383" t="s">
        <v>3609</v>
      </c>
    </row>
    <row r="4384" spans="59:59" x14ac:dyDescent="0.25">
      <c r="BG4384" t="s">
        <v>3611</v>
      </c>
    </row>
    <row r="4385" spans="59:59" x14ac:dyDescent="0.25">
      <c r="BG4385" t="s">
        <v>3613</v>
      </c>
    </row>
    <row r="4386" spans="59:59" x14ac:dyDescent="0.25">
      <c r="BG4386" t="s">
        <v>3615</v>
      </c>
    </row>
    <row r="4387" spans="59:59" x14ac:dyDescent="0.25">
      <c r="BG4387" t="s">
        <v>3617</v>
      </c>
    </row>
    <row r="4388" spans="59:59" x14ac:dyDescent="0.25">
      <c r="BG4388" t="s">
        <v>3619</v>
      </c>
    </row>
    <row r="4389" spans="59:59" x14ac:dyDescent="0.25">
      <c r="BG4389" t="s">
        <v>3621</v>
      </c>
    </row>
    <row r="4390" spans="59:59" x14ac:dyDescent="0.25">
      <c r="BG4390" t="s">
        <v>3623</v>
      </c>
    </row>
    <row r="4391" spans="59:59" x14ac:dyDescent="0.25">
      <c r="BG4391" t="s">
        <v>3625</v>
      </c>
    </row>
    <row r="4392" spans="59:59" x14ac:dyDescent="0.25">
      <c r="BG4392" t="s">
        <v>3627</v>
      </c>
    </row>
    <row r="4393" spans="59:59" x14ac:dyDescent="0.25">
      <c r="BG4393" t="s">
        <v>3629</v>
      </c>
    </row>
    <row r="4394" spans="59:59" x14ac:dyDescent="0.25">
      <c r="BG4394" t="s">
        <v>3631</v>
      </c>
    </row>
    <row r="4395" spans="59:59" x14ac:dyDescent="0.25">
      <c r="BG4395" t="s">
        <v>3633</v>
      </c>
    </row>
    <row r="4396" spans="59:59" x14ac:dyDescent="0.25">
      <c r="BG4396" t="s">
        <v>3635</v>
      </c>
    </row>
    <row r="4397" spans="59:59" x14ac:dyDescent="0.25">
      <c r="BG4397" t="s">
        <v>3637</v>
      </c>
    </row>
    <row r="4398" spans="59:59" x14ac:dyDescent="0.25">
      <c r="BG4398" t="s">
        <v>3639</v>
      </c>
    </row>
    <row r="4399" spans="59:59" x14ac:dyDescent="0.25">
      <c r="BG4399" t="s">
        <v>3641</v>
      </c>
    </row>
    <row r="4400" spans="59:59" x14ac:dyDescent="0.25">
      <c r="BG4400" t="s">
        <v>3643</v>
      </c>
    </row>
    <row r="4401" spans="59:59" x14ac:dyDescent="0.25">
      <c r="BG4401" t="s">
        <v>3645</v>
      </c>
    </row>
    <row r="4402" spans="59:59" x14ac:dyDescent="0.25">
      <c r="BG4402" t="s">
        <v>3647</v>
      </c>
    </row>
    <row r="4403" spans="59:59" x14ac:dyDescent="0.25">
      <c r="BG4403" t="s">
        <v>3649</v>
      </c>
    </row>
    <row r="4404" spans="59:59" x14ac:dyDescent="0.25">
      <c r="BG4404" t="s">
        <v>3651</v>
      </c>
    </row>
    <row r="4405" spans="59:59" x14ac:dyDescent="0.25">
      <c r="BG4405" t="s">
        <v>3653</v>
      </c>
    </row>
    <row r="4406" spans="59:59" x14ac:dyDescent="0.25">
      <c r="BG4406" t="s">
        <v>3655</v>
      </c>
    </row>
    <row r="4407" spans="59:59" x14ac:dyDescent="0.25">
      <c r="BG4407" t="s">
        <v>3657</v>
      </c>
    </row>
    <row r="4408" spans="59:59" x14ac:dyDescent="0.25">
      <c r="BG4408" t="s">
        <v>3659</v>
      </c>
    </row>
    <row r="4409" spans="59:59" x14ac:dyDescent="0.25">
      <c r="BG4409" t="s">
        <v>3661</v>
      </c>
    </row>
    <row r="4410" spans="59:59" x14ac:dyDescent="0.25">
      <c r="BG4410" t="s">
        <v>3663</v>
      </c>
    </row>
    <row r="4411" spans="59:59" x14ac:dyDescent="0.25">
      <c r="BG4411" t="s">
        <v>3665</v>
      </c>
    </row>
    <row r="4412" spans="59:59" x14ac:dyDescent="0.25">
      <c r="BG4412" t="s">
        <v>3667</v>
      </c>
    </row>
    <row r="4413" spans="59:59" x14ac:dyDescent="0.25">
      <c r="BG4413" t="s">
        <v>3669</v>
      </c>
    </row>
    <row r="4414" spans="59:59" x14ac:dyDescent="0.25">
      <c r="BG4414" t="s">
        <v>3671</v>
      </c>
    </row>
    <row r="4415" spans="59:59" x14ac:dyDescent="0.25">
      <c r="BG4415" t="s">
        <v>3673</v>
      </c>
    </row>
    <row r="4416" spans="59:59" x14ac:dyDescent="0.25">
      <c r="BG4416" t="s">
        <v>3675</v>
      </c>
    </row>
    <row r="4417" spans="59:59" x14ac:dyDescent="0.25">
      <c r="BG4417" t="s">
        <v>3677</v>
      </c>
    </row>
    <row r="4418" spans="59:59" x14ac:dyDescent="0.25">
      <c r="BG4418" t="s">
        <v>3679</v>
      </c>
    </row>
    <row r="4419" spans="59:59" x14ac:dyDescent="0.25">
      <c r="BG4419" t="s">
        <v>3681</v>
      </c>
    </row>
    <row r="4420" spans="59:59" x14ac:dyDescent="0.25">
      <c r="BG4420" t="s">
        <v>3683</v>
      </c>
    </row>
    <row r="4421" spans="59:59" x14ac:dyDescent="0.25">
      <c r="BG4421" t="s">
        <v>3685</v>
      </c>
    </row>
    <row r="4422" spans="59:59" x14ac:dyDescent="0.25">
      <c r="BG4422" t="s">
        <v>3687</v>
      </c>
    </row>
    <row r="4423" spans="59:59" x14ac:dyDescent="0.25">
      <c r="BG4423" t="s">
        <v>3689</v>
      </c>
    </row>
    <row r="4424" spans="59:59" x14ac:dyDescent="0.25">
      <c r="BG4424" t="s">
        <v>3691</v>
      </c>
    </row>
    <row r="4425" spans="59:59" x14ac:dyDescent="0.25">
      <c r="BG4425" t="s">
        <v>3693</v>
      </c>
    </row>
    <row r="4426" spans="59:59" x14ac:dyDescent="0.25">
      <c r="BG4426" t="s">
        <v>3695</v>
      </c>
    </row>
    <row r="4427" spans="59:59" x14ac:dyDescent="0.25">
      <c r="BG4427" t="s">
        <v>3697</v>
      </c>
    </row>
    <row r="4428" spans="59:59" x14ac:dyDescent="0.25">
      <c r="BG4428" t="s">
        <v>3699</v>
      </c>
    </row>
    <row r="4429" spans="59:59" x14ac:dyDescent="0.25">
      <c r="BG4429" t="s">
        <v>3701</v>
      </c>
    </row>
    <row r="4430" spans="59:59" x14ac:dyDescent="0.25">
      <c r="BG4430" t="s">
        <v>3703</v>
      </c>
    </row>
    <row r="4431" spans="59:59" x14ac:dyDescent="0.25">
      <c r="BG4431" t="s">
        <v>3705</v>
      </c>
    </row>
    <row r="4432" spans="59:59" x14ac:dyDescent="0.25">
      <c r="BG4432" t="s">
        <v>3707</v>
      </c>
    </row>
    <row r="4433" spans="59:59" x14ac:dyDescent="0.25">
      <c r="BG4433" t="s">
        <v>3709</v>
      </c>
    </row>
    <row r="4434" spans="59:59" x14ac:dyDescent="0.25">
      <c r="BG4434" t="s">
        <v>3711</v>
      </c>
    </row>
    <row r="4435" spans="59:59" x14ac:dyDescent="0.25">
      <c r="BG4435" t="s">
        <v>3713</v>
      </c>
    </row>
    <row r="4436" spans="59:59" x14ac:dyDescent="0.25">
      <c r="BG4436" t="s">
        <v>3715</v>
      </c>
    </row>
    <row r="4437" spans="59:59" x14ac:dyDescent="0.25">
      <c r="BG4437" t="s">
        <v>3717</v>
      </c>
    </row>
    <row r="4438" spans="59:59" x14ac:dyDescent="0.25">
      <c r="BG4438" t="s">
        <v>3719</v>
      </c>
    </row>
    <row r="4439" spans="59:59" x14ac:dyDescent="0.25">
      <c r="BG4439" t="s">
        <v>3721</v>
      </c>
    </row>
    <row r="4440" spans="59:59" x14ac:dyDescent="0.25">
      <c r="BG4440" t="s">
        <v>3723</v>
      </c>
    </row>
    <row r="4441" spans="59:59" x14ac:dyDescent="0.25">
      <c r="BG4441" t="s">
        <v>3725</v>
      </c>
    </row>
    <row r="4442" spans="59:59" x14ac:dyDescent="0.25">
      <c r="BG4442" t="s">
        <v>3727</v>
      </c>
    </row>
    <row r="4443" spans="59:59" x14ac:dyDescent="0.25">
      <c r="BG4443" t="s">
        <v>3729</v>
      </c>
    </row>
    <row r="4444" spans="59:59" x14ac:dyDescent="0.25">
      <c r="BG4444" t="s">
        <v>3731</v>
      </c>
    </row>
    <row r="4445" spans="59:59" x14ac:dyDescent="0.25">
      <c r="BG4445" t="s">
        <v>3733</v>
      </c>
    </row>
    <row r="4446" spans="59:59" x14ac:dyDescent="0.25">
      <c r="BG4446" t="s">
        <v>3735</v>
      </c>
    </row>
    <row r="4447" spans="59:59" x14ac:dyDescent="0.25">
      <c r="BG4447" t="s">
        <v>3737</v>
      </c>
    </row>
    <row r="4448" spans="59:59" x14ac:dyDescent="0.25">
      <c r="BG4448" t="s">
        <v>3739</v>
      </c>
    </row>
    <row r="4449" spans="59:59" x14ac:dyDescent="0.25">
      <c r="BG4449" t="s">
        <v>3741</v>
      </c>
    </row>
    <row r="4450" spans="59:59" x14ac:dyDescent="0.25">
      <c r="BG4450" t="s">
        <v>3743</v>
      </c>
    </row>
    <row r="4451" spans="59:59" x14ac:dyDescent="0.25">
      <c r="BG4451" t="s">
        <v>3745</v>
      </c>
    </row>
    <row r="4452" spans="59:59" x14ac:dyDescent="0.25">
      <c r="BG4452" t="s">
        <v>3747</v>
      </c>
    </row>
    <row r="4453" spans="59:59" x14ac:dyDescent="0.25">
      <c r="BG4453" t="s">
        <v>3749</v>
      </c>
    </row>
    <row r="4454" spans="59:59" x14ac:dyDescent="0.25">
      <c r="BG4454" t="s">
        <v>3751</v>
      </c>
    </row>
    <row r="4455" spans="59:59" x14ac:dyDescent="0.25">
      <c r="BG4455" t="s">
        <v>3753</v>
      </c>
    </row>
    <row r="4456" spans="59:59" x14ac:dyDescent="0.25">
      <c r="BG4456" t="s">
        <v>3755</v>
      </c>
    </row>
    <row r="4457" spans="59:59" x14ac:dyDescent="0.25">
      <c r="BG4457" t="s">
        <v>3757</v>
      </c>
    </row>
    <row r="4458" spans="59:59" x14ac:dyDescent="0.25">
      <c r="BG4458" t="s">
        <v>3759</v>
      </c>
    </row>
    <row r="4459" spans="59:59" x14ac:dyDescent="0.25">
      <c r="BG4459" t="s">
        <v>3761</v>
      </c>
    </row>
    <row r="4460" spans="59:59" x14ac:dyDescent="0.25">
      <c r="BG4460" t="s">
        <v>3763</v>
      </c>
    </row>
    <row r="4461" spans="59:59" x14ac:dyDescent="0.25">
      <c r="BG4461" t="s">
        <v>3765</v>
      </c>
    </row>
    <row r="4462" spans="59:59" x14ac:dyDescent="0.25">
      <c r="BG4462" t="s">
        <v>3767</v>
      </c>
    </row>
    <row r="4463" spans="59:59" x14ac:dyDescent="0.25">
      <c r="BG4463" t="s">
        <v>3769</v>
      </c>
    </row>
    <row r="4464" spans="59:59" x14ac:dyDescent="0.25">
      <c r="BG4464" t="s">
        <v>3771</v>
      </c>
    </row>
    <row r="4465" spans="59:59" x14ac:dyDescent="0.25">
      <c r="BG4465" t="s">
        <v>3773</v>
      </c>
    </row>
    <row r="4466" spans="59:59" x14ac:dyDescent="0.25">
      <c r="BG4466" t="s">
        <v>3775</v>
      </c>
    </row>
    <row r="4467" spans="59:59" x14ac:dyDescent="0.25">
      <c r="BG4467" t="s">
        <v>3777</v>
      </c>
    </row>
    <row r="4468" spans="59:59" x14ac:dyDescent="0.25">
      <c r="BG4468" t="s">
        <v>3779</v>
      </c>
    </row>
    <row r="4469" spans="59:59" x14ac:dyDescent="0.25">
      <c r="BG4469" t="s">
        <v>3781</v>
      </c>
    </row>
    <row r="4470" spans="59:59" x14ac:dyDescent="0.25">
      <c r="BG4470" t="s">
        <v>3783</v>
      </c>
    </row>
    <row r="4471" spans="59:59" x14ac:dyDescent="0.25">
      <c r="BG4471" t="s">
        <v>3785</v>
      </c>
    </row>
    <row r="4472" spans="59:59" x14ac:dyDescent="0.25">
      <c r="BG4472" t="s">
        <v>3787</v>
      </c>
    </row>
    <row r="4473" spans="59:59" x14ac:dyDescent="0.25">
      <c r="BG4473" t="s">
        <v>3789</v>
      </c>
    </row>
    <row r="4474" spans="59:59" x14ac:dyDescent="0.25">
      <c r="BG4474" t="s">
        <v>3791</v>
      </c>
    </row>
    <row r="4475" spans="59:59" x14ac:dyDescent="0.25">
      <c r="BG4475" t="s">
        <v>3793</v>
      </c>
    </row>
    <row r="4476" spans="59:59" x14ac:dyDescent="0.25">
      <c r="BG4476" t="s">
        <v>3795</v>
      </c>
    </row>
    <row r="4477" spans="59:59" x14ac:dyDescent="0.25">
      <c r="BG4477" t="s">
        <v>3797</v>
      </c>
    </row>
    <row r="4478" spans="59:59" x14ac:dyDescent="0.25">
      <c r="BG4478" t="s">
        <v>3799</v>
      </c>
    </row>
    <row r="4479" spans="59:59" x14ac:dyDescent="0.25">
      <c r="BG4479" t="s">
        <v>3801</v>
      </c>
    </row>
    <row r="4480" spans="59:59" x14ac:dyDescent="0.25">
      <c r="BG4480" t="s">
        <v>3803</v>
      </c>
    </row>
    <row r="4481" spans="59:59" x14ac:dyDescent="0.25">
      <c r="BG4481" t="s">
        <v>3805</v>
      </c>
    </row>
    <row r="4482" spans="59:59" x14ac:dyDescent="0.25">
      <c r="BG4482" t="s">
        <v>3807</v>
      </c>
    </row>
    <row r="4483" spans="59:59" x14ac:dyDescent="0.25">
      <c r="BG4483" t="s">
        <v>3809</v>
      </c>
    </row>
    <row r="4484" spans="59:59" x14ac:dyDescent="0.25">
      <c r="BG4484" t="s">
        <v>3811</v>
      </c>
    </row>
    <row r="4485" spans="59:59" x14ac:dyDescent="0.25">
      <c r="BG4485" t="s">
        <v>3813</v>
      </c>
    </row>
    <row r="4486" spans="59:59" x14ac:dyDescent="0.25">
      <c r="BG4486" t="s">
        <v>3815</v>
      </c>
    </row>
    <row r="4487" spans="59:59" x14ac:dyDescent="0.25">
      <c r="BG4487" t="s">
        <v>3817</v>
      </c>
    </row>
    <row r="4488" spans="59:59" x14ac:dyDescent="0.25">
      <c r="BG4488" t="s">
        <v>3819</v>
      </c>
    </row>
    <row r="4489" spans="59:59" x14ac:dyDescent="0.25">
      <c r="BG4489" t="s">
        <v>3821</v>
      </c>
    </row>
    <row r="4490" spans="59:59" x14ac:dyDescent="0.25">
      <c r="BG4490" t="s">
        <v>3823</v>
      </c>
    </row>
    <row r="4491" spans="59:59" x14ac:dyDescent="0.25">
      <c r="BG4491" t="s">
        <v>3825</v>
      </c>
    </row>
    <row r="4492" spans="59:59" x14ac:dyDescent="0.25">
      <c r="BG4492" t="s">
        <v>3827</v>
      </c>
    </row>
    <row r="4493" spans="59:59" x14ac:dyDescent="0.25">
      <c r="BG4493" t="s">
        <v>3829</v>
      </c>
    </row>
    <row r="4494" spans="59:59" x14ac:dyDescent="0.25">
      <c r="BG4494" t="s">
        <v>3831</v>
      </c>
    </row>
    <row r="4495" spans="59:59" x14ac:dyDescent="0.25">
      <c r="BG4495" t="s">
        <v>3833</v>
      </c>
    </row>
    <row r="4496" spans="59:59" x14ac:dyDescent="0.25">
      <c r="BG4496" t="s">
        <v>3835</v>
      </c>
    </row>
    <row r="4497" spans="59:59" x14ac:dyDescent="0.25">
      <c r="BG4497" t="s">
        <v>3837</v>
      </c>
    </row>
    <row r="4498" spans="59:59" x14ac:dyDescent="0.25">
      <c r="BG4498" t="s">
        <v>3839</v>
      </c>
    </row>
    <row r="4499" spans="59:59" x14ac:dyDescent="0.25">
      <c r="BG4499" t="s">
        <v>3841</v>
      </c>
    </row>
    <row r="4500" spans="59:59" x14ac:dyDescent="0.25">
      <c r="BG4500" t="s">
        <v>3843</v>
      </c>
    </row>
    <row r="4501" spans="59:59" x14ac:dyDescent="0.25">
      <c r="BG4501" t="s">
        <v>3845</v>
      </c>
    </row>
    <row r="4502" spans="59:59" x14ac:dyDescent="0.25">
      <c r="BG4502" t="s">
        <v>3847</v>
      </c>
    </row>
    <row r="4503" spans="59:59" x14ac:dyDescent="0.25">
      <c r="BG4503" t="s">
        <v>3849</v>
      </c>
    </row>
    <row r="4504" spans="59:59" x14ac:dyDescent="0.25">
      <c r="BG4504" t="s">
        <v>3851</v>
      </c>
    </row>
    <row r="4505" spans="59:59" x14ac:dyDescent="0.25">
      <c r="BG4505" t="s">
        <v>3853</v>
      </c>
    </row>
    <row r="4506" spans="59:59" x14ac:dyDescent="0.25">
      <c r="BG4506" t="s">
        <v>3855</v>
      </c>
    </row>
    <row r="4507" spans="59:59" x14ac:dyDescent="0.25">
      <c r="BG4507" t="s">
        <v>3857</v>
      </c>
    </row>
    <row r="4508" spans="59:59" x14ac:dyDescent="0.25">
      <c r="BG4508" t="s">
        <v>3859</v>
      </c>
    </row>
    <row r="4509" spans="59:59" x14ac:dyDescent="0.25">
      <c r="BG4509" t="s">
        <v>3861</v>
      </c>
    </row>
    <row r="4510" spans="59:59" x14ac:dyDescent="0.25">
      <c r="BG4510" t="s">
        <v>3863</v>
      </c>
    </row>
    <row r="4511" spans="59:59" x14ac:dyDescent="0.25">
      <c r="BG4511" t="s">
        <v>3865</v>
      </c>
    </row>
    <row r="4512" spans="59:59" x14ac:dyDescent="0.25">
      <c r="BG4512" t="s">
        <v>3867</v>
      </c>
    </row>
    <row r="4513" spans="59:59" x14ac:dyDescent="0.25">
      <c r="BG4513" t="s">
        <v>3869</v>
      </c>
    </row>
    <row r="4514" spans="59:59" x14ac:dyDescent="0.25">
      <c r="BG4514" t="s">
        <v>3871</v>
      </c>
    </row>
    <row r="4515" spans="59:59" x14ac:dyDescent="0.25">
      <c r="BG4515" t="s">
        <v>3873</v>
      </c>
    </row>
    <row r="4516" spans="59:59" x14ac:dyDescent="0.25">
      <c r="BG4516" t="s">
        <v>3875</v>
      </c>
    </row>
    <row r="4517" spans="59:59" x14ac:dyDescent="0.25">
      <c r="BG4517" t="s">
        <v>3877</v>
      </c>
    </row>
    <row r="4518" spans="59:59" x14ac:dyDescent="0.25">
      <c r="BG4518" t="s">
        <v>3879</v>
      </c>
    </row>
    <row r="4519" spans="59:59" x14ac:dyDescent="0.25">
      <c r="BG4519" t="s">
        <v>3881</v>
      </c>
    </row>
    <row r="4520" spans="59:59" x14ac:dyDescent="0.25">
      <c r="BG4520" t="s">
        <v>3883</v>
      </c>
    </row>
    <row r="4521" spans="59:59" x14ac:dyDescent="0.25">
      <c r="BG4521" t="s">
        <v>3885</v>
      </c>
    </row>
    <row r="4522" spans="59:59" x14ac:dyDescent="0.25">
      <c r="BG4522" t="s">
        <v>3887</v>
      </c>
    </row>
    <row r="4523" spans="59:59" x14ac:dyDescent="0.25">
      <c r="BG4523" t="s">
        <v>3889</v>
      </c>
    </row>
    <row r="4524" spans="59:59" x14ac:dyDescent="0.25">
      <c r="BG4524" t="s">
        <v>3891</v>
      </c>
    </row>
    <row r="4525" spans="59:59" x14ac:dyDescent="0.25">
      <c r="BG4525" t="s">
        <v>3893</v>
      </c>
    </row>
    <row r="4526" spans="59:59" x14ac:dyDescent="0.25">
      <c r="BG4526" t="s">
        <v>3895</v>
      </c>
    </row>
    <row r="4527" spans="59:59" x14ac:dyDescent="0.25">
      <c r="BG4527" t="s">
        <v>3897</v>
      </c>
    </row>
    <row r="4528" spans="59:59" x14ac:dyDescent="0.25">
      <c r="BG4528" t="s">
        <v>3899</v>
      </c>
    </row>
    <row r="4529" spans="59:59" x14ac:dyDescent="0.25">
      <c r="BG4529" t="s">
        <v>3901</v>
      </c>
    </row>
    <row r="4530" spans="59:59" x14ac:dyDescent="0.25">
      <c r="BG4530" t="s">
        <v>3903</v>
      </c>
    </row>
    <row r="4531" spans="59:59" x14ac:dyDescent="0.25">
      <c r="BG4531" t="s">
        <v>3905</v>
      </c>
    </row>
    <row r="4532" spans="59:59" x14ac:dyDescent="0.25">
      <c r="BG4532" t="s">
        <v>3907</v>
      </c>
    </row>
    <row r="4533" spans="59:59" x14ac:dyDescent="0.25">
      <c r="BG4533" t="s">
        <v>3909</v>
      </c>
    </row>
    <row r="4534" spans="59:59" x14ac:dyDescent="0.25">
      <c r="BG4534" t="s">
        <v>3911</v>
      </c>
    </row>
    <row r="4535" spans="59:59" x14ac:dyDescent="0.25">
      <c r="BG4535" t="s">
        <v>3913</v>
      </c>
    </row>
    <row r="4536" spans="59:59" x14ac:dyDescent="0.25">
      <c r="BG4536" t="s">
        <v>3915</v>
      </c>
    </row>
    <row r="4537" spans="59:59" x14ac:dyDescent="0.25">
      <c r="BG4537" t="s">
        <v>3917</v>
      </c>
    </row>
    <row r="4538" spans="59:59" x14ac:dyDescent="0.25">
      <c r="BG4538" t="s">
        <v>3919</v>
      </c>
    </row>
    <row r="4539" spans="59:59" x14ac:dyDescent="0.25">
      <c r="BG4539" t="s">
        <v>3921</v>
      </c>
    </row>
    <row r="4540" spans="59:59" x14ac:dyDescent="0.25">
      <c r="BG4540" t="s">
        <v>3923</v>
      </c>
    </row>
    <row r="4541" spans="59:59" x14ac:dyDescent="0.25">
      <c r="BG4541" t="s">
        <v>3925</v>
      </c>
    </row>
    <row r="4542" spans="59:59" x14ac:dyDescent="0.25">
      <c r="BG4542" t="s">
        <v>3927</v>
      </c>
    </row>
    <row r="4543" spans="59:59" x14ac:dyDescent="0.25">
      <c r="BG4543" t="s">
        <v>3929</v>
      </c>
    </row>
    <row r="4544" spans="59:59" x14ac:dyDescent="0.25">
      <c r="BG4544" t="s">
        <v>3931</v>
      </c>
    </row>
    <row r="4545" spans="59:59" x14ac:dyDescent="0.25">
      <c r="BG4545" t="s">
        <v>3933</v>
      </c>
    </row>
    <row r="4546" spans="59:59" x14ac:dyDescent="0.25">
      <c r="BG4546" t="s">
        <v>3935</v>
      </c>
    </row>
    <row r="4547" spans="59:59" x14ac:dyDescent="0.25">
      <c r="BG4547" t="s">
        <v>3937</v>
      </c>
    </row>
    <row r="4548" spans="59:59" x14ac:dyDescent="0.25">
      <c r="BG4548" t="s">
        <v>3939</v>
      </c>
    </row>
    <row r="4549" spans="59:59" x14ac:dyDescent="0.25">
      <c r="BG4549" t="s">
        <v>3941</v>
      </c>
    </row>
    <row r="4550" spans="59:59" x14ac:dyDescent="0.25">
      <c r="BG4550" t="s">
        <v>3943</v>
      </c>
    </row>
    <row r="4551" spans="59:59" x14ac:dyDescent="0.25">
      <c r="BG4551" t="s">
        <v>3945</v>
      </c>
    </row>
    <row r="4552" spans="59:59" x14ac:dyDescent="0.25">
      <c r="BG4552" t="s">
        <v>3947</v>
      </c>
    </row>
    <row r="4553" spans="59:59" x14ac:dyDescent="0.25">
      <c r="BG4553" t="s">
        <v>3949</v>
      </c>
    </row>
    <row r="4554" spans="59:59" x14ac:dyDescent="0.25">
      <c r="BG4554" t="s">
        <v>3951</v>
      </c>
    </row>
    <row r="4555" spans="59:59" x14ac:dyDescent="0.25">
      <c r="BG4555" t="s">
        <v>3953</v>
      </c>
    </row>
    <row r="4556" spans="59:59" x14ac:dyDescent="0.25">
      <c r="BG4556" t="s">
        <v>3955</v>
      </c>
    </row>
    <row r="4557" spans="59:59" x14ac:dyDescent="0.25">
      <c r="BG4557" t="s">
        <v>3957</v>
      </c>
    </row>
    <row r="4558" spans="59:59" x14ac:dyDescent="0.25">
      <c r="BG4558" t="s">
        <v>3959</v>
      </c>
    </row>
    <row r="4559" spans="59:59" x14ac:dyDescent="0.25">
      <c r="BG4559" t="s">
        <v>3961</v>
      </c>
    </row>
    <row r="4560" spans="59:59" x14ac:dyDescent="0.25">
      <c r="BG4560" t="s">
        <v>3963</v>
      </c>
    </row>
    <row r="4561" spans="59:59" x14ac:dyDescent="0.25">
      <c r="BG4561" t="s">
        <v>3965</v>
      </c>
    </row>
    <row r="4562" spans="59:59" x14ac:dyDescent="0.25">
      <c r="BG4562" t="s">
        <v>3967</v>
      </c>
    </row>
    <row r="4563" spans="59:59" x14ac:dyDescent="0.25">
      <c r="BG4563" t="s">
        <v>3969</v>
      </c>
    </row>
    <row r="4564" spans="59:59" x14ac:dyDescent="0.25">
      <c r="BG4564" t="s">
        <v>3971</v>
      </c>
    </row>
    <row r="4565" spans="59:59" x14ac:dyDescent="0.25">
      <c r="BG4565" t="s">
        <v>3973</v>
      </c>
    </row>
    <row r="4566" spans="59:59" x14ac:dyDescent="0.25">
      <c r="BG4566" t="s">
        <v>3975</v>
      </c>
    </row>
    <row r="4567" spans="59:59" x14ac:dyDescent="0.25">
      <c r="BG4567" t="s">
        <v>3977</v>
      </c>
    </row>
    <row r="4568" spans="59:59" x14ac:dyDescent="0.25">
      <c r="BG4568" t="s">
        <v>3979</v>
      </c>
    </row>
    <row r="4569" spans="59:59" x14ac:dyDescent="0.25">
      <c r="BG4569" t="s">
        <v>3981</v>
      </c>
    </row>
    <row r="4570" spans="59:59" x14ac:dyDescent="0.25">
      <c r="BG4570" t="s">
        <v>3983</v>
      </c>
    </row>
    <row r="4571" spans="59:59" x14ac:dyDescent="0.25">
      <c r="BG4571" t="s">
        <v>3985</v>
      </c>
    </row>
    <row r="4572" spans="59:59" x14ac:dyDescent="0.25">
      <c r="BG4572" t="s">
        <v>3987</v>
      </c>
    </row>
    <row r="4573" spans="59:59" x14ac:dyDescent="0.25">
      <c r="BG4573" t="s">
        <v>3989</v>
      </c>
    </row>
    <row r="4574" spans="59:59" x14ac:dyDescent="0.25">
      <c r="BG4574" t="s">
        <v>3991</v>
      </c>
    </row>
    <row r="4575" spans="59:59" x14ac:dyDescent="0.25">
      <c r="BG4575" t="s">
        <v>3993</v>
      </c>
    </row>
    <row r="4576" spans="59:59" x14ac:dyDescent="0.25">
      <c r="BG4576" t="s">
        <v>3995</v>
      </c>
    </row>
    <row r="4577" spans="59:59" x14ac:dyDescent="0.25">
      <c r="BG4577" t="s">
        <v>3997</v>
      </c>
    </row>
    <row r="4578" spans="59:59" x14ac:dyDescent="0.25">
      <c r="BG4578" t="s">
        <v>3999</v>
      </c>
    </row>
    <row r="4579" spans="59:59" x14ac:dyDescent="0.25">
      <c r="BG4579" t="s">
        <v>4001</v>
      </c>
    </row>
    <row r="4580" spans="59:59" x14ac:dyDescent="0.25">
      <c r="BG4580" t="s">
        <v>4003</v>
      </c>
    </row>
    <row r="4581" spans="59:59" x14ac:dyDescent="0.25">
      <c r="BG4581" t="s">
        <v>4005</v>
      </c>
    </row>
    <row r="4582" spans="59:59" x14ac:dyDescent="0.25">
      <c r="BG4582" t="s">
        <v>4007</v>
      </c>
    </row>
    <row r="4583" spans="59:59" x14ac:dyDescent="0.25">
      <c r="BG4583" t="s">
        <v>4009</v>
      </c>
    </row>
    <row r="4584" spans="59:59" x14ac:dyDescent="0.25">
      <c r="BG4584" t="s">
        <v>4011</v>
      </c>
    </row>
    <row r="4585" spans="59:59" x14ac:dyDescent="0.25">
      <c r="BG4585" t="s">
        <v>4013</v>
      </c>
    </row>
    <row r="4586" spans="59:59" x14ac:dyDescent="0.25">
      <c r="BG4586" t="s">
        <v>4015</v>
      </c>
    </row>
    <row r="4587" spans="59:59" x14ac:dyDescent="0.25">
      <c r="BG4587" t="s">
        <v>4017</v>
      </c>
    </row>
    <row r="4588" spans="59:59" x14ac:dyDescent="0.25">
      <c r="BG4588" t="s">
        <v>4019</v>
      </c>
    </row>
    <row r="4589" spans="59:59" x14ac:dyDescent="0.25">
      <c r="BG4589" t="s">
        <v>4021</v>
      </c>
    </row>
    <row r="4590" spans="59:59" x14ac:dyDescent="0.25">
      <c r="BG4590" t="s">
        <v>4023</v>
      </c>
    </row>
    <row r="4591" spans="59:59" x14ac:dyDescent="0.25">
      <c r="BG4591" t="s">
        <v>4025</v>
      </c>
    </row>
    <row r="4592" spans="59:59" x14ac:dyDescent="0.25">
      <c r="BG4592" t="s">
        <v>4027</v>
      </c>
    </row>
    <row r="4593" spans="59:59" x14ac:dyDescent="0.25">
      <c r="BG4593" t="s">
        <v>4029</v>
      </c>
    </row>
    <row r="4594" spans="59:59" x14ac:dyDescent="0.25">
      <c r="BG4594" t="s">
        <v>4031</v>
      </c>
    </row>
    <row r="4595" spans="59:59" x14ac:dyDescent="0.25">
      <c r="BG4595" t="s">
        <v>4033</v>
      </c>
    </row>
    <row r="4596" spans="59:59" x14ac:dyDescent="0.25">
      <c r="BG4596" t="s">
        <v>4035</v>
      </c>
    </row>
    <row r="4597" spans="59:59" x14ac:dyDescent="0.25">
      <c r="BG4597" t="s">
        <v>4037</v>
      </c>
    </row>
    <row r="4598" spans="59:59" x14ac:dyDescent="0.25">
      <c r="BG4598" t="s">
        <v>4039</v>
      </c>
    </row>
    <row r="4599" spans="59:59" x14ac:dyDescent="0.25">
      <c r="BG4599" t="s">
        <v>4041</v>
      </c>
    </row>
    <row r="4600" spans="59:59" x14ac:dyDescent="0.25">
      <c r="BG4600" t="s">
        <v>4043</v>
      </c>
    </row>
    <row r="4601" spans="59:59" x14ac:dyDescent="0.25">
      <c r="BG4601" t="s">
        <v>4045</v>
      </c>
    </row>
    <row r="4602" spans="59:59" x14ac:dyDescent="0.25">
      <c r="BG4602" t="s">
        <v>4047</v>
      </c>
    </row>
    <row r="4603" spans="59:59" x14ac:dyDescent="0.25">
      <c r="BG4603" t="s">
        <v>4049</v>
      </c>
    </row>
    <row r="4604" spans="59:59" x14ac:dyDescent="0.25">
      <c r="BG4604" t="s">
        <v>4051</v>
      </c>
    </row>
    <row r="4605" spans="59:59" x14ac:dyDescent="0.25">
      <c r="BG4605" t="s">
        <v>4053</v>
      </c>
    </row>
    <row r="4606" spans="59:59" x14ac:dyDescent="0.25">
      <c r="BG4606" t="s">
        <v>4055</v>
      </c>
    </row>
    <row r="4607" spans="59:59" x14ac:dyDescent="0.25">
      <c r="BG4607" t="s">
        <v>4057</v>
      </c>
    </row>
    <row r="4608" spans="59:59" x14ac:dyDescent="0.25">
      <c r="BG4608" t="s">
        <v>4059</v>
      </c>
    </row>
    <row r="4609" spans="59:59" x14ac:dyDescent="0.25">
      <c r="BG4609" t="s">
        <v>4061</v>
      </c>
    </row>
    <row r="4610" spans="59:59" x14ac:dyDescent="0.25">
      <c r="BG4610" t="s">
        <v>4063</v>
      </c>
    </row>
    <row r="4611" spans="59:59" x14ac:dyDescent="0.25">
      <c r="BG4611" t="s">
        <v>4065</v>
      </c>
    </row>
    <row r="4612" spans="59:59" x14ac:dyDescent="0.25">
      <c r="BG4612" t="s">
        <v>4067</v>
      </c>
    </row>
    <row r="4613" spans="59:59" x14ac:dyDescent="0.25">
      <c r="BG4613" t="s">
        <v>4069</v>
      </c>
    </row>
    <row r="4614" spans="59:59" x14ac:dyDescent="0.25">
      <c r="BG4614" t="s">
        <v>4071</v>
      </c>
    </row>
    <row r="4615" spans="59:59" x14ac:dyDescent="0.25">
      <c r="BG4615" t="s">
        <v>4073</v>
      </c>
    </row>
    <row r="4616" spans="59:59" x14ac:dyDescent="0.25">
      <c r="BG4616" t="s">
        <v>4075</v>
      </c>
    </row>
    <row r="4617" spans="59:59" x14ac:dyDescent="0.25">
      <c r="BG4617" t="s">
        <v>4077</v>
      </c>
    </row>
    <row r="4618" spans="59:59" x14ac:dyDescent="0.25">
      <c r="BG4618" t="s">
        <v>4079</v>
      </c>
    </row>
    <row r="4619" spans="59:59" x14ac:dyDescent="0.25">
      <c r="BG4619" t="s">
        <v>4081</v>
      </c>
    </row>
    <row r="4620" spans="59:59" x14ac:dyDescent="0.25">
      <c r="BG4620" t="s">
        <v>4083</v>
      </c>
    </row>
    <row r="4621" spans="59:59" x14ac:dyDescent="0.25">
      <c r="BG4621" t="s">
        <v>4085</v>
      </c>
    </row>
    <row r="4622" spans="59:59" x14ac:dyDescent="0.25">
      <c r="BG4622" t="s">
        <v>4087</v>
      </c>
    </row>
    <row r="4623" spans="59:59" x14ac:dyDescent="0.25">
      <c r="BG4623" t="s">
        <v>4089</v>
      </c>
    </row>
    <row r="4624" spans="59:59" x14ac:dyDescent="0.25">
      <c r="BG4624" t="s">
        <v>4091</v>
      </c>
    </row>
    <row r="4625" spans="59:59" x14ac:dyDescent="0.25">
      <c r="BG4625" t="s">
        <v>4093</v>
      </c>
    </row>
    <row r="4626" spans="59:59" x14ac:dyDescent="0.25">
      <c r="BG4626" t="s">
        <v>4095</v>
      </c>
    </row>
    <row r="4627" spans="59:59" x14ac:dyDescent="0.25">
      <c r="BG4627" t="s">
        <v>4097</v>
      </c>
    </row>
    <row r="4628" spans="59:59" x14ac:dyDescent="0.25">
      <c r="BG4628" t="s">
        <v>4099</v>
      </c>
    </row>
    <row r="4629" spans="59:59" x14ac:dyDescent="0.25">
      <c r="BG4629" t="s">
        <v>4101</v>
      </c>
    </row>
    <row r="4630" spans="59:59" x14ac:dyDescent="0.25">
      <c r="BG4630" t="s">
        <v>4103</v>
      </c>
    </row>
    <row r="4631" spans="59:59" x14ac:dyDescent="0.25">
      <c r="BG4631" t="s">
        <v>4105</v>
      </c>
    </row>
    <row r="4632" spans="59:59" x14ac:dyDescent="0.25">
      <c r="BG4632" t="s">
        <v>4107</v>
      </c>
    </row>
    <row r="4633" spans="59:59" x14ac:dyDescent="0.25">
      <c r="BG4633" t="s">
        <v>4109</v>
      </c>
    </row>
    <row r="4634" spans="59:59" x14ac:dyDescent="0.25">
      <c r="BG4634" t="s">
        <v>4111</v>
      </c>
    </row>
    <row r="4635" spans="59:59" x14ac:dyDescent="0.25">
      <c r="BG4635" t="s">
        <v>4113</v>
      </c>
    </row>
    <row r="4636" spans="59:59" x14ac:dyDescent="0.25">
      <c r="BG4636" t="s">
        <v>4115</v>
      </c>
    </row>
    <row r="4637" spans="59:59" x14ac:dyDescent="0.25">
      <c r="BG4637" t="s">
        <v>4117</v>
      </c>
    </row>
    <row r="4638" spans="59:59" x14ac:dyDescent="0.25">
      <c r="BG4638" t="s">
        <v>4119</v>
      </c>
    </row>
    <row r="4639" spans="59:59" x14ac:dyDescent="0.25">
      <c r="BG4639" t="s">
        <v>4121</v>
      </c>
    </row>
    <row r="4640" spans="59:59" x14ac:dyDescent="0.25">
      <c r="BG4640" t="s">
        <v>4123</v>
      </c>
    </row>
    <row r="4641" spans="59:59" x14ac:dyDescent="0.25">
      <c r="BG4641" t="s">
        <v>4125</v>
      </c>
    </row>
    <row r="4642" spans="59:59" x14ac:dyDescent="0.25">
      <c r="BG4642" t="s">
        <v>4127</v>
      </c>
    </row>
    <row r="4643" spans="59:59" x14ac:dyDescent="0.25">
      <c r="BG4643" t="s">
        <v>4129</v>
      </c>
    </row>
    <row r="4644" spans="59:59" x14ac:dyDescent="0.25">
      <c r="BG4644" t="s">
        <v>4131</v>
      </c>
    </row>
    <row r="4645" spans="59:59" x14ac:dyDescent="0.25">
      <c r="BG4645" t="s">
        <v>4133</v>
      </c>
    </row>
    <row r="4646" spans="59:59" x14ac:dyDescent="0.25">
      <c r="BG4646" t="s">
        <v>4135</v>
      </c>
    </row>
    <row r="4647" spans="59:59" x14ac:dyDescent="0.25">
      <c r="BG4647" t="s">
        <v>4137</v>
      </c>
    </row>
    <row r="4648" spans="59:59" x14ac:dyDescent="0.25">
      <c r="BG4648" t="s">
        <v>4139</v>
      </c>
    </row>
    <row r="4649" spans="59:59" x14ac:dyDescent="0.25">
      <c r="BG4649" t="s">
        <v>4141</v>
      </c>
    </row>
    <row r="4650" spans="59:59" x14ac:dyDescent="0.25">
      <c r="BG4650" t="s">
        <v>4143</v>
      </c>
    </row>
    <row r="4651" spans="59:59" x14ac:dyDescent="0.25">
      <c r="BG4651" t="s">
        <v>4145</v>
      </c>
    </row>
    <row r="4652" spans="59:59" x14ac:dyDescent="0.25">
      <c r="BG4652" t="s">
        <v>4147</v>
      </c>
    </row>
    <row r="4653" spans="59:59" x14ac:dyDescent="0.25">
      <c r="BG4653" t="s">
        <v>4149</v>
      </c>
    </row>
    <row r="4654" spans="59:59" x14ac:dyDescent="0.25">
      <c r="BG4654" t="s">
        <v>4151</v>
      </c>
    </row>
    <row r="4655" spans="59:59" x14ac:dyDescent="0.25">
      <c r="BG4655" t="s">
        <v>4153</v>
      </c>
    </row>
    <row r="4656" spans="59:59" x14ac:dyDescent="0.25">
      <c r="BG4656" t="s">
        <v>4155</v>
      </c>
    </row>
    <row r="4657" spans="59:59" x14ac:dyDescent="0.25">
      <c r="BG4657" t="s">
        <v>4157</v>
      </c>
    </row>
    <row r="4658" spans="59:59" x14ac:dyDescent="0.25">
      <c r="BG4658" t="s">
        <v>4159</v>
      </c>
    </row>
    <row r="4659" spans="59:59" x14ac:dyDescent="0.25">
      <c r="BG4659" t="s">
        <v>4161</v>
      </c>
    </row>
    <row r="4660" spans="59:59" x14ac:dyDescent="0.25">
      <c r="BG4660" t="s">
        <v>4163</v>
      </c>
    </row>
    <row r="4661" spans="59:59" x14ac:dyDescent="0.25">
      <c r="BG4661" t="s">
        <v>4165</v>
      </c>
    </row>
    <row r="4662" spans="59:59" x14ac:dyDescent="0.25">
      <c r="BG4662" t="s">
        <v>4167</v>
      </c>
    </row>
    <row r="4663" spans="59:59" x14ac:dyDescent="0.25">
      <c r="BG4663" t="s">
        <v>4169</v>
      </c>
    </row>
    <row r="4664" spans="59:59" x14ac:dyDescent="0.25">
      <c r="BG4664" t="s">
        <v>4171</v>
      </c>
    </row>
    <row r="4665" spans="59:59" x14ac:dyDescent="0.25">
      <c r="BG4665" t="s">
        <v>4173</v>
      </c>
    </row>
    <row r="4666" spans="59:59" x14ac:dyDescent="0.25">
      <c r="BG4666" t="s">
        <v>4175</v>
      </c>
    </row>
    <row r="4667" spans="59:59" x14ac:dyDescent="0.25">
      <c r="BG4667" t="s">
        <v>4177</v>
      </c>
    </row>
    <row r="4668" spans="59:59" x14ac:dyDescent="0.25">
      <c r="BG4668" t="s">
        <v>4179</v>
      </c>
    </row>
    <row r="4669" spans="59:59" x14ac:dyDescent="0.25">
      <c r="BG4669" t="s">
        <v>4181</v>
      </c>
    </row>
    <row r="4670" spans="59:59" x14ac:dyDescent="0.25">
      <c r="BG4670" t="s">
        <v>4183</v>
      </c>
    </row>
    <row r="4671" spans="59:59" x14ac:dyDescent="0.25">
      <c r="BG4671" t="s">
        <v>4185</v>
      </c>
    </row>
    <row r="4672" spans="59:59" x14ac:dyDescent="0.25">
      <c r="BG4672" t="s">
        <v>4187</v>
      </c>
    </row>
    <row r="4673" spans="59:59" x14ac:dyDescent="0.25">
      <c r="BG4673" t="s">
        <v>4189</v>
      </c>
    </row>
    <row r="4674" spans="59:59" x14ac:dyDescent="0.25">
      <c r="BG4674" t="s">
        <v>4191</v>
      </c>
    </row>
    <row r="4675" spans="59:59" x14ac:dyDescent="0.25">
      <c r="BG4675" t="s">
        <v>4193</v>
      </c>
    </row>
    <row r="4676" spans="59:59" x14ac:dyDescent="0.25">
      <c r="BG4676" t="s">
        <v>4195</v>
      </c>
    </row>
    <row r="4677" spans="59:59" x14ac:dyDescent="0.25">
      <c r="BG4677" t="s">
        <v>4197</v>
      </c>
    </row>
    <row r="4678" spans="59:59" x14ac:dyDescent="0.25">
      <c r="BG4678" t="s">
        <v>4199</v>
      </c>
    </row>
    <row r="4679" spans="59:59" x14ac:dyDescent="0.25">
      <c r="BG4679" t="s">
        <v>4201</v>
      </c>
    </row>
    <row r="4680" spans="59:59" x14ac:dyDescent="0.25">
      <c r="BG4680" t="s">
        <v>4203</v>
      </c>
    </row>
    <row r="4681" spans="59:59" x14ac:dyDescent="0.25">
      <c r="BG4681" t="s">
        <v>4205</v>
      </c>
    </row>
    <row r="4682" spans="59:59" x14ac:dyDescent="0.25">
      <c r="BG4682" t="s">
        <v>4207</v>
      </c>
    </row>
    <row r="4683" spans="59:59" x14ac:dyDescent="0.25">
      <c r="BG4683" t="s">
        <v>4209</v>
      </c>
    </row>
    <row r="4684" spans="59:59" x14ac:dyDescent="0.25">
      <c r="BG4684" t="s">
        <v>4211</v>
      </c>
    </row>
    <row r="4685" spans="59:59" x14ac:dyDescent="0.25">
      <c r="BG4685" t="s">
        <v>4213</v>
      </c>
    </row>
    <row r="4686" spans="59:59" x14ac:dyDescent="0.25">
      <c r="BG4686" t="s">
        <v>4215</v>
      </c>
    </row>
    <row r="4687" spans="59:59" x14ac:dyDescent="0.25">
      <c r="BG4687" t="s">
        <v>4217</v>
      </c>
    </row>
    <row r="4688" spans="59:59" x14ac:dyDescent="0.25">
      <c r="BG4688" t="s">
        <v>4219</v>
      </c>
    </row>
    <row r="4689" spans="59:59" x14ac:dyDescent="0.25">
      <c r="BG4689" t="s">
        <v>4221</v>
      </c>
    </row>
    <row r="4690" spans="59:59" x14ac:dyDescent="0.25">
      <c r="BG4690" t="s">
        <v>4223</v>
      </c>
    </row>
    <row r="4691" spans="59:59" x14ac:dyDescent="0.25">
      <c r="BG4691" t="s">
        <v>4225</v>
      </c>
    </row>
    <row r="4692" spans="59:59" x14ac:dyDescent="0.25">
      <c r="BG4692" t="s">
        <v>4227</v>
      </c>
    </row>
    <row r="4693" spans="59:59" x14ac:dyDescent="0.25">
      <c r="BG4693" t="s">
        <v>4229</v>
      </c>
    </row>
    <row r="4694" spans="59:59" x14ac:dyDescent="0.25">
      <c r="BG4694" t="s">
        <v>4231</v>
      </c>
    </row>
    <row r="4695" spans="59:59" x14ac:dyDescent="0.25">
      <c r="BG4695" t="s">
        <v>4233</v>
      </c>
    </row>
    <row r="4696" spans="59:59" x14ac:dyDescent="0.25">
      <c r="BG4696" t="s">
        <v>4235</v>
      </c>
    </row>
    <row r="4697" spans="59:59" x14ac:dyDescent="0.25">
      <c r="BG4697" t="s">
        <v>4237</v>
      </c>
    </row>
    <row r="4698" spans="59:59" x14ac:dyDescent="0.25">
      <c r="BG4698" t="s">
        <v>4239</v>
      </c>
    </row>
    <row r="4699" spans="59:59" x14ac:dyDescent="0.25">
      <c r="BG4699" t="s">
        <v>4241</v>
      </c>
    </row>
    <row r="4700" spans="59:59" x14ac:dyDescent="0.25">
      <c r="BG4700" t="s">
        <v>4243</v>
      </c>
    </row>
    <row r="4701" spans="59:59" x14ac:dyDescent="0.25">
      <c r="BG4701" t="s">
        <v>4245</v>
      </c>
    </row>
    <row r="4702" spans="59:59" x14ac:dyDescent="0.25">
      <c r="BG4702" t="s">
        <v>4247</v>
      </c>
    </row>
    <row r="4703" spans="59:59" x14ac:dyDescent="0.25">
      <c r="BG4703" t="s">
        <v>4249</v>
      </c>
    </row>
    <row r="4704" spans="59:59" x14ac:dyDescent="0.25">
      <c r="BG4704" t="s">
        <v>4251</v>
      </c>
    </row>
    <row r="4705" spans="59:59" x14ac:dyDescent="0.25">
      <c r="BG4705" t="s">
        <v>4253</v>
      </c>
    </row>
    <row r="4706" spans="59:59" x14ac:dyDescent="0.25">
      <c r="BG4706" t="s">
        <v>4255</v>
      </c>
    </row>
    <row r="4707" spans="59:59" x14ac:dyDescent="0.25">
      <c r="BG4707" t="s">
        <v>4257</v>
      </c>
    </row>
    <row r="4708" spans="59:59" x14ac:dyDescent="0.25">
      <c r="BG4708" t="s">
        <v>4259</v>
      </c>
    </row>
    <row r="4709" spans="59:59" x14ac:dyDescent="0.25">
      <c r="BG4709" t="s">
        <v>4261</v>
      </c>
    </row>
    <row r="4710" spans="59:59" x14ac:dyDescent="0.25">
      <c r="BG4710" t="s">
        <v>4263</v>
      </c>
    </row>
    <row r="4711" spans="59:59" x14ac:dyDescent="0.25">
      <c r="BG4711" t="s">
        <v>4265</v>
      </c>
    </row>
    <row r="4712" spans="59:59" x14ac:dyDescent="0.25">
      <c r="BG4712" t="s">
        <v>4267</v>
      </c>
    </row>
    <row r="4713" spans="59:59" x14ac:dyDescent="0.25">
      <c r="BG4713" t="s">
        <v>4269</v>
      </c>
    </row>
    <row r="4714" spans="59:59" x14ac:dyDescent="0.25">
      <c r="BG4714" t="s">
        <v>4271</v>
      </c>
    </row>
    <row r="4715" spans="59:59" x14ac:dyDescent="0.25">
      <c r="BG4715" t="s">
        <v>4273</v>
      </c>
    </row>
    <row r="4716" spans="59:59" x14ac:dyDescent="0.25">
      <c r="BG4716" t="s">
        <v>4275</v>
      </c>
    </row>
    <row r="4717" spans="59:59" x14ac:dyDescent="0.25">
      <c r="BG4717" t="s">
        <v>4277</v>
      </c>
    </row>
    <row r="4718" spans="59:59" x14ac:dyDescent="0.25">
      <c r="BG4718" t="s">
        <v>4279</v>
      </c>
    </row>
    <row r="4719" spans="59:59" x14ac:dyDescent="0.25">
      <c r="BG4719" t="s">
        <v>4281</v>
      </c>
    </row>
    <row r="4720" spans="59:59" x14ac:dyDescent="0.25">
      <c r="BG4720" t="s">
        <v>4283</v>
      </c>
    </row>
    <row r="4721" spans="59:59" x14ac:dyDescent="0.25">
      <c r="BG4721" t="s">
        <v>4285</v>
      </c>
    </row>
    <row r="4722" spans="59:59" x14ac:dyDescent="0.25">
      <c r="BG4722" t="s">
        <v>4287</v>
      </c>
    </row>
    <row r="4723" spans="59:59" x14ac:dyDescent="0.25">
      <c r="BG4723" t="s">
        <v>4289</v>
      </c>
    </row>
    <row r="4724" spans="59:59" x14ac:dyDescent="0.25">
      <c r="BG4724" t="s">
        <v>4291</v>
      </c>
    </row>
    <row r="4725" spans="59:59" x14ac:dyDescent="0.25">
      <c r="BG4725" t="s">
        <v>4293</v>
      </c>
    </row>
    <row r="4726" spans="59:59" x14ac:dyDescent="0.25">
      <c r="BG4726" t="s">
        <v>4295</v>
      </c>
    </row>
    <row r="4727" spans="59:59" x14ac:dyDescent="0.25">
      <c r="BG4727" t="s">
        <v>4297</v>
      </c>
    </row>
    <row r="4728" spans="59:59" x14ac:dyDescent="0.25">
      <c r="BG4728" t="s">
        <v>4299</v>
      </c>
    </row>
    <row r="4729" spans="59:59" x14ac:dyDescent="0.25">
      <c r="BG4729" t="s">
        <v>4301</v>
      </c>
    </row>
    <row r="4730" spans="59:59" x14ac:dyDescent="0.25">
      <c r="BG4730" t="s">
        <v>4303</v>
      </c>
    </row>
    <row r="4731" spans="59:59" x14ac:dyDescent="0.25">
      <c r="BG4731" t="s">
        <v>4305</v>
      </c>
    </row>
    <row r="4732" spans="59:59" x14ac:dyDescent="0.25">
      <c r="BG4732" t="s">
        <v>4307</v>
      </c>
    </row>
    <row r="4733" spans="59:59" x14ac:dyDescent="0.25">
      <c r="BG4733" t="s">
        <v>4309</v>
      </c>
    </row>
    <row r="4734" spans="59:59" x14ac:dyDescent="0.25">
      <c r="BG4734" t="s">
        <v>4311</v>
      </c>
    </row>
    <row r="4735" spans="59:59" x14ac:dyDescent="0.25">
      <c r="BG4735" t="s">
        <v>4313</v>
      </c>
    </row>
    <row r="4736" spans="59:59" x14ac:dyDescent="0.25">
      <c r="BG4736" t="s">
        <v>4315</v>
      </c>
    </row>
    <row r="4737" spans="59:59" x14ac:dyDescent="0.25">
      <c r="BG4737" t="s">
        <v>4317</v>
      </c>
    </row>
    <row r="4738" spans="59:59" x14ac:dyDescent="0.25">
      <c r="BG4738" t="s">
        <v>4319</v>
      </c>
    </row>
    <row r="4739" spans="59:59" x14ac:dyDescent="0.25">
      <c r="BG4739" t="s">
        <v>4321</v>
      </c>
    </row>
    <row r="4740" spans="59:59" x14ac:dyDescent="0.25">
      <c r="BG4740" t="s">
        <v>4323</v>
      </c>
    </row>
    <row r="4741" spans="59:59" x14ac:dyDescent="0.25">
      <c r="BG4741" t="s">
        <v>4325</v>
      </c>
    </row>
    <row r="4742" spans="59:59" x14ac:dyDescent="0.25">
      <c r="BG4742" t="s">
        <v>4327</v>
      </c>
    </row>
    <row r="4743" spans="59:59" x14ac:dyDescent="0.25">
      <c r="BG4743" t="s">
        <v>4329</v>
      </c>
    </row>
    <row r="4744" spans="59:59" x14ac:dyDescent="0.25">
      <c r="BG4744" t="s">
        <v>4331</v>
      </c>
    </row>
    <row r="4745" spans="59:59" x14ac:dyDescent="0.25">
      <c r="BG4745" t="s">
        <v>4333</v>
      </c>
    </row>
    <row r="4746" spans="59:59" x14ac:dyDescent="0.25">
      <c r="BG4746" t="s">
        <v>4335</v>
      </c>
    </row>
    <row r="4747" spans="59:59" x14ac:dyDescent="0.25">
      <c r="BG4747" t="s">
        <v>4337</v>
      </c>
    </row>
  </sheetData>
  <dataValidations disablePrompts="1" count="1">
    <dataValidation type="list" allowBlank="1" showInputMessage="1" showErrorMessage="1" sqref="AH7 AF4:AG6 AD2:AE7 AE8:AG102 AD8:AD85 AD106 AD87:AD104" xr:uid="{00000000-0002-0000-0300-000000000000}">
      <formula1>VALUES_LOT</formula1>
    </dataValidation>
  </dataValidations>
  <pageMargins left="0.7" right="0.7" top="0.75" bottom="0.75" header="0.3" footer="0.3"/>
  <pageSetup paperSize="9" orientation="portrait" r:id="rId1"/>
  <headerFooter>
    <oddFooter>&amp;C_x000D_&amp;1#&amp;"Arial"&amp;9&amp;K000000 Confidential</oddFooter>
  </headerFooter>
  <tableParts count="18">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item1.xml><?xml version="1.0" encoding="utf-8"?>
<?mso-contentType ?>
<p:Policy xmlns:p="office.server.policy" id="" local="true">
  <p:Name>Dossier Opérationnel Info Policy</p:Name>
  <p:Description>Dossier Opérationnel Info Policy</p:Description>
  <p:Statement>Dossier Opérationnel Info Policy</p:Statement>
  <p:PolicyItems>
    <p:PolicyItem featureId="Microsoft.Office.RecordsManagement.PolicyFeatures.PolicyLabel" staticId="0x010100BF4BB84A4AC688429EF3CED027F9B8E300C291FC02E56091498CD8E4CCBF9DBCA1|801092262" UniqueId="0a3fc9a0-8449-4aef-9746-576389fb2ead">
      <p:Name>Labels</p:Name>
      <p:Description>Generates labels that can be inserted in Microsoft Office documents to ensure that document properties or other important information are included when documents are printed. Labels can also be used to search for documents.</p:Description>
      <p:CustomData>
        <label>
          <segment type="metadata">_UIVersionString</segment>
        </label>
      </p:CustomData>
    </p:PolicyItem>
  </p:PolicyItems>
</p:Policy>
</file>

<file path=customXml/item2.xml>�� 
</file>

<file path=customXml/item3.xml>�� 
</file>

<file path=customXml/item4.xml>�� �  �  �  �  �  �  �  �  �  �  
</file>

<file path=customXml/item5.xml>�� 
</file>

<file path=customXml/item6.xml>�� 
</file>

<file path=customXml/item7.xml>�� 
</file>

<file path=customXml/item8.xml>�� 
</file>

<file path=customXml/item9.xml>�� �  �  
</file>

<file path=customXml/item10.xml>�� 
</file>

<file path=customXml/item11.xml>�� 
</file>

<file path=customXml/item12.xml>�� 
</file>

<file path=customXml/item13.xml>�� 
</file>

<file path=customXml/item14.xml>�� 
</file>

<file path=customXml/item15.xml>�� �  �  
</file>

<file path=customXml/item16.xml>�� 
</file>

<file path=customXml/item17.xml>�� �  �  �  �  
</file>

<file path=customXml/item18.xml>�� 
</file>

<file path=customXml/item19.xml>�� 
</file>

<file path=customXml/item20.xml>�� 
</file>

<file path=customXml/item21.xml>�� �  �  �  �  
</file>

<file path=customXml/item22.xml>�� 
</file>

<file path=customXml/item23.xml>�� 
</file>

<file path=customXml/item24.xml><?xml version="1.0" encoding="utf-8"?>
<p:properties xmlns:p="http://schemas.microsoft.com/office/2006/metadata/properties" xmlns:xsi="http://www.w3.org/2001/XMLSchema-instance" xmlns:pc="http://schemas.microsoft.com/office/infopath/2007/PartnerControls">
  <documentManagement>
    <ProjectID xmlns="1467fb8b-7944-4202-8e80-6a5cf0d18287" xsi:nil="true"/>
    <OpportunityID xmlns="1467fb8b-7944-4202-8e80-6a5cf0d18287">10297379</OpportunityID>
    <DocCTLanguage xmlns="1467fb8b-7944-4202-8e80-6a5cf0d18287">Anglais</DocCTLanguage>
    <ClientID xmlns="1467fb8b-7944-4202-8e80-6a5cf0d18287">CRM000055282</ClientID>
    <TaxKeywordTaxHTField xmlns="1467fb8b-7944-4202-8e80-6a5cf0d18287">
      <Terms xmlns="http://schemas.microsoft.com/office/infopath/2007/PartnerControls"/>
    </TaxKeywordTaxHTField>
    <DocumentAudience xmlns="1467fb8b-7944-4202-8e80-6a5cf0d18287">CGI seulement</DocumentAudience>
    <OperationalFileDocumentType xmlns="1467fb8b-7944-4202-8e80-6a5cf0d18287">Documentation</OperationalFileDocumentType>
    <Classification xmlns="1467fb8b-7944-4202-8e80-6a5cf0d18287">Interne</Classification>
    <DLCPolicyLabelLock xmlns="045383f5-6412-4f55-91d9-7d5b4bcdcd16" xsi:nil="true"/>
    <d03104a6d34b444fb9971a4d8e41064a xmlns="1467fb8b-7944-4202-8e80-6a5cf0d18287">
      <Terms xmlns="http://schemas.microsoft.com/office/infopath/2007/PartnerControls"/>
    </d03104a6d34b444fb9971a4d8e41064a>
    <ContractID xmlns="1467fb8b-7944-4202-8e80-6a5cf0d18287" xsi:nil="true"/>
    <OperationalFileTopic xmlns="1467fb8b-7944-4202-8e80-6a5cf0d18287">N/A</OperationalFileTopic>
    <TaxCatchAll xmlns="1467fb8b-7944-4202-8e80-6a5cf0d18287"/>
    <AuthorEnsemble xmlns="1467fb8b-7944-4202-8e80-6a5cf0d18287" xsi:nil="true"/>
    <PublishedDate xmlns="http://schemas.microsoft.com/sharepoint/v3" xsi:nil="true"/>
    <ChangeRequestID xmlns="1467fb8b-7944-4202-8e80-6a5cf0d18287" xsi:nil="true"/>
    <DLCPolicyLabelClientValue xmlns="045383f5-6412-4f55-91d9-7d5b4bcdcd16">{_UIVersionString}</DLCPolicyLabelClientValue>
    <DLCPolicyLabelValue xmlns="045383f5-6412-4f55-91d9-7d5b4bcdcd16">6.93</DLCPolicyLabelValue>
  </documentManagement>
</p:properties>
</file>

<file path=customXml/item25.xml>�� 
</file>

<file path=customXml/item26.xml>�� 
</file>

<file path=customXml/item27.xml><?xml version="1.0" encoding="utf-8"?>
<?mso-contentType ?>
<SharedContentType xmlns="Microsoft.SharePoint.Taxonomy.ContentTypeSync" SourceId="204c783a-96cf-4a0f-a0fc-232f03230527" ContentTypeId="0x010100BF4BB84A4AC688429EF3CED027F9B8E3" PreviousValue="false"/>
</file>

<file path=customXml/item28.xml><?xml version="1.0" encoding="utf-8"?>
<ct:contentTypeSchema xmlns:ct="http://schemas.microsoft.com/office/2006/metadata/contentType" xmlns:ma="http://schemas.microsoft.com/office/2006/metadata/properties/metaAttributes" ct:_="" ma:_="" ma:contentTypeName="Dossier Opérationnel" ma:contentTypeID="0x010100BF4BB84A4AC688429EF3CED027F9B8E300C291FC02E56091498CD8E4CCBF9DBCA1" ma:contentTypeVersion="13" ma:contentTypeDescription="Crée un document." ma:contentTypeScope="" ma:versionID="43fd9c1e20b1dafbd96fc0c71e0a690c">
  <xsd:schema xmlns:xsd="http://www.w3.org/2001/XMLSchema" xmlns:xs="http://www.w3.org/2001/XMLSchema" xmlns:p="http://schemas.microsoft.com/office/2006/metadata/properties" xmlns:ns1="http://schemas.microsoft.com/sharepoint/v3" xmlns:ns2="1467fb8b-7944-4202-8e80-6a5cf0d18287" xmlns:ns3="045383f5-6412-4f55-91d9-7d5b4bcdcd16" targetNamespace="http://schemas.microsoft.com/office/2006/metadata/properties" ma:root="true" ma:fieldsID="a6ccf73c02a4377e359ef6afe5af7c29" ns1:_="" ns2:_="" ns3:_="">
    <xsd:import namespace="http://schemas.microsoft.com/sharepoint/v3"/>
    <xsd:import namespace="1467fb8b-7944-4202-8e80-6a5cf0d18287"/>
    <xsd:import namespace="045383f5-6412-4f55-91d9-7d5b4bcdcd16"/>
    <xsd:element name="properties">
      <xsd:complexType>
        <xsd:sequence>
          <xsd:element name="documentManagement">
            <xsd:complexType>
              <xsd:all>
                <xsd:element ref="ns2:AuthorEnsemble" minOccurs="0"/>
                <xsd:element ref="ns1:PublishedDate" minOccurs="0"/>
                <xsd:element ref="ns2:DocumentAudience"/>
                <xsd:element ref="ns2:OperationalFileTopic" minOccurs="0"/>
                <xsd:element ref="ns2:OperationalFileDocumentType"/>
                <xsd:element ref="ns2:DocCTLanguage" minOccurs="0"/>
                <xsd:element ref="ns2:Classification"/>
                <xsd:element ref="ns2:ChangeRequestID" minOccurs="0"/>
                <xsd:element ref="ns2:ClientID" minOccurs="0"/>
                <xsd:element ref="ns2:OpportunityID" minOccurs="0"/>
                <xsd:element ref="ns2:ContractID" minOccurs="0"/>
                <xsd:element ref="ns2:ProjectID" minOccurs="0"/>
                <xsd:element ref="ns2:d03104a6d34b444fb9971a4d8e41064a" minOccurs="0"/>
                <xsd:element ref="ns2:TaxCatchAll" minOccurs="0"/>
                <xsd:element ref="ns2:TaxCatchAllLabel" minOccurs="0"/>
                <xsd:element ref="ns2:TaxKeywordTaxHTField" minOccurs="0"/>
                <xsd:element ref="ns1:_dlc_Exempt" minOccurs="0"/>
                <xsd:element ref="ns3:DLCPolicyLabelValue" minOccurs="0"/>
                <xsd:element ref="ns3:DLCPolicyLabelClientValue" minOccurs="0"/>
                <xsd:element ref="ns3:DLCPolicyLabelLock"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edDate" ma:index="3" nillable="true" ma:displayName="Date de publication" ma:format="DateOnly" ma:internalName="PublishedDate" ma:readOnly="false">
      <xsd:simpleType>
        <xsd:restriction base="dms:DateTime"/>
      </xsd:simpleType>
    </xsd:element>
    <xsd:element name="_dlc_Exempt" ma:index="26" nillable="true" ma:displayName="Exempt de la stratégie" ma:hidden="true" ma:internalName="_dlc_Exempt"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1467fb8b-7944-4202-8e80-6a5cf0d18287" elementFormDefault="qualified">
    <xsd:import namespace="http://schemas.microsoft.com/office/2006/documentManagement/types"/>
    <xsd:import namespace="http://schemas.microsoft.com/office/infopath/2007/PartnerControls"/>
    <xsd:element name="AuthorEnsemble" ma:index="2" nillable="true" ma:displayName="Auteur" ma:description="" ma:internalName="AuthorEnsemble" ma:readOnly="false">
      <xsd:simpleType>
        <xsd:restriction base="dms:Text"/>
      </xsd:simpleType>
    </xsd:element>
    <xsd:element name="DocumentAudience" ma:index="5" ma:displayName="Destinataire du document" ma:default="CGI seulement" ma:description="" ma:internalName="DocumentAudience" ma:readOnly="false">
      <xsd:simpleType>
        <xsd:restriction base="dms:Choice">
          <xsd:enumeration value="CGI seulement"/>
          <xsd:enumeration value="Approuvé pour être communiqué au client"/>
        </xsd:restriction>
      </xsd:simpleType>
    </xsd:element>
    <xsd:element name="OperationalFileTopic" ma:index="6" nillable="true" ma:displayName="Sujet" ma:default="N/A" ma:description="" ma:internalName="OperationalFileTopic" ma:readOnly="false">
      <xsd:simpleType>
        <xsd:restriction base="dms:Choice">
          <xsd:enumeration value="N/A"/>
          <xsd:enumeration value="Gestion"/>
          <xsd:enumeration value="Stratégie"/>
          <xsd:enumeration value="Développement"/>
          <xsd:enumeration value="Formation"/>
          <xsd:enumeration value="Livraison"/>
        </xsd:restriction>
      </xsd:simpleType>
    </xsd:element>
    <xsd:element name="OperationalFileDocumentType" ma:index="7" ma:displayName="Type de document" ma:default="Documentation" ma:description="" ma:internalName="OperationalFileDocumentType" ma:readOnly="false">
      <xsd:simpleType>
        <xsd:restriction base="dms:Choice">
          <xsd:enumeration value="Entente"/>
          <xsd:enumeration value="Approbations"/>
          <xsd:enumeration value="Documentation"/>
          <xsd:enumeration value="Communication"/>
          <xsd:enumeration value="Contrat"/>
          <xsd:enumeration value="Livrable"/>
          <xsd:enumeration value="Design"/>
          <xsd:enumeration value="Sommaire exécut if"/>
          <xsd:enumeration value="Finance"/>
          <xsd:enumeration value="Compte-rendu de réunion"/>
          <xsd:enumeration value="Plan"/>
          <xsd:enumeration value="Rapport"/>
          <xsd:enumeration value="Révision"/>
          <xsd:enumeration value="Stratégie/Plan"/>
        </xsd:restriction>
      </xsd:simpleType>
    </xsd:element>
    <xsd:element name="DocCTLanguage" ma:index="8" nillable="true" ma:displayName="Langue" ma:default="Anglais" ma:description="" ma:internalName="DocCTLanguage" ma:readOnly="false">
      <xsd:simpleType>
        <xsd:restriction base="dms:Choice">
          <xsd:enumeration value="Anglais"/>
          <xsd:enumeration value="Français"/>
        </xsd:restriction>
      </xsd:simpleType>
    </xsd:element>
    <xsd:element name="Classification" ma:index="9" ma:displayName="Classification" ma:default="Interne" ma:description="Selon la politique de classification." ma:internalName="Classification" ma:readOnly="false">
      <xsd:simpleType>
        <xsd:restriction base="dms:Choice">
          <xsd:enumeration value="Interne"/>
          <xsd:enumeration value="Public"/>
          <xsd:enumeration value="Confidentiel"/>
          <xsd:enumeration value="Hautement Confidentiel"/>
        </xsd:restriction>
      </xsd:simpleType>
    </xsd:element>
    <xsd:element name="ChangeRequestID" ma:index="10" nillable="true" ma:displayName="No demande de changement" ma:description="" ma:internalName="ChangeRequestID" ma:readOnly="false">
      <xsd:simpleType>
        <xsd:restriction base="dms:Text"/>
      </xsd:simpleType>
    </xsd:element>
    <xsd:element name="ClientID" ma:index="12" nillable="true" ma:displayName="No du client" ma:default="CRM000055282" ma:description="(PSA-CRM)" ma:internalName="ClientID">
      <xsd:simpleType>
        <xsd:restriction base="dms:Text">
          <xsd:maxLength value="255"/>
        </xsd:restriction>
      </xsd:simpleType>
    </xsd:element>
    <xsd:element name="OpportunityID" ma:index="13" nillable="true" ma:displayName="No de l'opportunité" ma:default="10297379" ma:description="(PSA-CRM)" ma:internalName="OpportunityID">
      <xsd:simpleType>
        <xsd:restriction base="dms:Text">
          <xsd:maxLength value="255"/>
        </xsd:restriction>
      </xsd:simpleType>
    </xsd:element>
    <xsd:element name="ContractID" ma:index="14" nillable="true" ma:displayName="No du contrat" ma:description="" ma:internalName="ContractID" ma:readOnly="false">
      <xsd:simpleType>
        <xsd:restriction base="dms:Text"/>
      </xsd:simpleType>
    </xsd:element>
    <xsd:element name="ProjectID" ma:index="15" nillable="true" ma:displayName="No de projet" ma:description="" ma:internalName="ProjectID" ma:readOnly="false">
      <xsd:simpleType>
        <xsd:restriction base="dms:Text"/>
      </xsd:simpleType>
    </xsd:element>
    <xsd:element name="d03104a6d34b444fb9971a4d8e41064a" ma:index="16" nillable="true" ma:taxonomy="true" ma:internalName="d03104a6d34b444fb9971a4d8e41064a" ma:taxonomyFieldName="SBUBUContentOwner" ma:displayName="UAS/UA Propriétaire du contenu" ma:readOnly="false" ma:fieldId="{d03104a6-d34b-444f-b997-1a4d8e41064a}" ma:sspId="204c783a-96cf-4a0f-a0fc-232f03230527" ma:termSetId="d99e8ed4-fc5d-43fa-94ab-5d6ef9c16d49" ma:anchorId="00000000-0000-0000-0000-000000000000" ma:open="false" ma:isKeyword="false">
      <xsd:complexType>
        <xsd:sequence>
          <xsd:element ref="pc:Terms" minOccurs="0" maxOccurs="1"/>
        </xsd:sequence>
      </xsd:complexType>
    </xsd:element>
    <xsd:element name="TaxCatchAll" ma:index="17" nillable="true" ma:displayName="Taxonomy Catch All Column" ma:hidden="true" ma:list="{7f4a658b-7013-44b5-aaa9-81ecae33372d}" ma:internalName="TaxCatchAll" ma:showField="CatchAllData" ma:web="b1e324de-be24-4f2d-bae2-d8b7beef5bde">
      <xsd:complexType>
        <xsd:complexContent>
          <xsd:extension base="dms:MultiChoiceLookup">
            <xsd:sequence>
              <xsd:element name="Value" type="dms:Lookup" maxOccurs="unbounded" minOccurs="0" nillable="true"/>
            </xsd:sequence>
          </xsd:extension>
        </xsd:complexContent>
      </xsd:complexType>
    </xsd:element>
    <xsd:element name="TaxCatchAllLabel" ma:index="18" nillable="true" ma:displayName="Taxonomy Catch All Column1" ma:hidden="true" ma:list="{7f4a658b-7013-44b5-aaa9-81ecae33372d}" ma:internalName="TaxCatchAllLabel" ma:readOnly="true" ma:showField="CatchAllDataLabel" ma:web="b1e324de-be24-4f2d-bae2-d8b7beef5bde">
      <xsd:complexType>
        <xsd:complexContent>
          <xsd:extension base="dms:MultiChoiceLookup">
            <xsd:sequence>
              <xsd:element name="Value" type="dms:Lookup" maxOccurs="unbounded" minOccurs="0" nillable="true"/>
            </xsd:sequence>
          </xsd:extension>
        </xsd:complexContent>
      </xsd:complexType>
    </xsd:element>
    <xsd:element name="TaxKeywordTaxHTField" ma:index="24" nillable="true" ma:taxonomy="true" ma:internalName="TaxKeywordTaxHTField" ma:taxonomyFieldName="TaxKeyword" ma:displayName="Mots-clés d’entreprise" ma:readOnly="false" ma:fieldId="{23f27201-bee3-471e-b2e7-b64fd8b7ca38}" ma:taxonomyMulti="true" ma:sspId="204c783a-96cf-4a0f-a0fc-232f03230527" ma:termSetId="00000000-0000-0000-0000-000000000000" ma:anchorId="00000000-0000-0000-0000-000000000000" ma:open="true" ma:isKeyword="tru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045383f5-6412-4f55-91d9-7d5b4bcdcd16" elementFormDefault="qualified">
    <xsd:import namespace="http://schemas.microsoft.com/office/2006/documentManagement/types"/>
    <xsd:import namespace="http://schemas.microsoft.com/office/infopath/2007/PartnerControls"/>
    <xsd:element name="DLCPolicyLabelValue" ma:index="27" nillable="true" ma:displayName="Étiquette" ma:description="Stocke la valeur actuelle de l’intitulé." ma:internalName="DLCPolicyLabelValue" ma:readOnly="true">
      <xsd:simpleType>
        <xsd:restriction base="dms:Note">
          <xsd:maxLength value="255"/>
        </xsd:restriction>
      </xsd:simpleType>
    </xsd:element>
    <xsd:element name="DLCPolicyLabelClientValue" ma:index="28" nillable="true" ma:displayName="Client Label Value" ma:description="Stores the last label value computed on the client." ma:hidden="true" ma:internalName="DLCPolicyLabelClientValue" ma:readOnly="false">
      <xsd:simpleType>
        <xsd:restriction base="dms:Note"/>
      </xsd:simpleType>
    </xsd:element>
    <xsd:element name="DLCPolicyLabelLock" ma:index="29" nillable="true" ma:displayName="Label Locked" ma:description="Indicates whether the label should be updated when item properties are modified." ma:hidden="true" ma:internalName="DLCPolicyLabelLock" ma:readOnly="fals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1" ma:displayName="Type de contenu"/>
        <xsd:element ref="dc:title" minOccurs="0" maxOccurs="1" ma:index="1"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9.xml>�� 
</file>

<file path=customXml/item30.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F7F22DF-B7C3-470A-BE13-7F733D2CD35E}">
  <ds:schemaRefs>
    <ds:schemaRef ds:uri="office.server.policy"/>
  </ds:schemaRefs>
</ds:datastoreItem>
</file>

<file path=customXml/itemProps2.xml><?xml version="1.0" encoding="utf-8"?>
<ds:datastoreItem xmlns:ds="http://schemas.openxmlformats.org/officeDocument/2006/customXml" ds:itemID="{870AC87D-961F-45D2-9EAE-A6AC731F6F39}">
  <ds:schemaRefs>
    <ds:schemaRef ds:uri="http://gemini/pivotcustomization/ManualCalcMode"/>
  </ds:schemaRefs>
</ds:datastoreItem>
</file>

<file path=customXml/itemProps3.xml><?xml version="1.0" encoding="utf-8"?>
<ds:datastoreItem xmlns:ds="http://schemas.openxmlformats.org/officeDocument/2006/customXml" ds:itemID="{ED09D979-D060-41BE-B3C8-F8EE1393285C}">
  <ds:schemaRefs>
    <ds:schemaRef ds:uri="http://gemini/pivotcustomization/b0ab3ace-2d69-4687-942c-dcaf42a5e0fe"/>
  </ds:schemaRefs>
</ds:datastoreItem>
</file>

<file path=customXml/itemProps4.xml><?xml version="1.0" encoding="utf-8"?>
<ds:datastoreItem xmlns:ds="http://schemas.openxmlformats.org/officeDocument/2006/customXml" ds:itemID="{F96DDD03-8D00-4279-AFB7-D9C4590CB1FD}">
  <ds:schemaRefs>
    <ds:schemaRef ds:uri="http://gemini/pivotcustomization/TableXML_Table2"/>
  </ds:schemaRefs>
</ds:datastoreItem>
</file>

<file path=customXml/itemProps5.xml><?xml version="1.0" encoding="utf-8"?>
<ds:datastoreItem xmlns:ds="http://schemas.openxmlformats.org/officeDocument/2006/customXml" ds:itemID="{9A65AF04-A943-42A9-9251-E7FC5814F55C}">
  <ds:schemaRefs>
    <ds:schemaRef ds:uri="http://gemini/pivotcustomization/d60546f0-72c1-4257-b71d-244476a981e1"/>
  </ds:schemaRefs>
</ds:datastoreItem>
</file>

<file path=customXml/itemProps6.xml><?xml version="1.0" encoding="utf-8"?>
<ds:datastoreItem xmlns:ds="http://schemas.openxmlformats.org/officeDocument/2006/customXml" ds:itemID="{2D570A74-D227-4453-8001-5FE32120A14C}">
  <ds:schemaRefs>
    <ds:schemaRef ds:uri="http://gemini/workbookcustomization/RelationshipAutoDetectionEnabled"/>
  </ds:schemaRefs>
</ds:datastoreItem>
</file>

<file path=customXml/itemProps7.xml><?xml version="1.0" encoding="utf-8"?>
<ds:datastoreItem xmlns:ds="http://schemas.openxmlformats.org/officeDocument/2006/customXml" ds:itemID="{03204452-2022-4027-8080-3AFCB0E4A28F}">
  <ds:schemaRefs>
    <ds:schemaRef ds:uri="http://gemini/workbookcustomization/MetadataRecoveryInformation"/>
  </ds:schemaRefs>
</ds:datastoreItem>
</file>

<file path=customXml/itemProps8.xml><?xml version="1.0" encoding="utf-8"?>
<ds:datastoreItem xmlns:ds="http://schemas.openxmlformats.org/officeDocument/2006/customXml" ds:itemID="{ABD39693-575B-4B19-A028-61C57F11DDDB}">
  <ds:schemaRefs>
    <ds:schemaRef ds:uri="http://gemini/pivotcustomization/ClientWindowXML"/>
  </ds:schemaRefs>
</ds:datastoreItem>
</file>

<file path=customXml/itemProps9.xml><?xml version="1.0" encoding="utf-8"?>
<ds:datastoreItem xmlns:ds="http://schemas.openxmlformats.org/officeDocument/2006/customXml" ds:itemID="{C522FB90-6A85-46AC-9160-6E8C709DCF29}">
  <ds:schemaRefs>
    <ds:schemaRef ds:uri="http://gemini/workbookcustomization/LinkedTables"/>
  </ds:schemaRefs>
</ds:datastoreItem>
</file>

<file path=customXml/itemProps10.xml><?xml version="1.0" encoding="utf-8"?>
<ds:datastoreItem xmlns:ds="http://schemas.openxmlformats.org/officeDocument/2006/customXml" ds:itemID="{82895635-D386-43B4-93E8-979578F4672C}">
  <ds:schemaRefs>
    <ds:schemaRef ds:uri="http://gemini/pivotcustomization/TableCountInSandbox"/>
  </ds:schemaRefs>
</ds:datastoreItem>
</file>

<file path=customXml/itemProps11.xml><?xml version="1.0" encoding="utf-8"?>
<ds:datastoreItem xmlns:ds="http://schemas.openxmlformats.org/officeDocument/2006/customXml" ds:itemID="{91DC975E-2A7A-4CA8-9276-ADB860614863}">
  <ds:schemaRefs>
    <ds:schemaRef ds:uri="http://gemini/pivotcustomization/fb0de3a4-45b3-4371-bf9d-dbacaed24085"/>
  </ds:schemaRefs>
</ds:datastoreItem>
</file>

<file path=customXml/itemProps12.xml><?xml version="1.0" encoding="utf-8"?>
<ds:datastoreItem xmlns:ds="http://schemas.openxmlformats.org/officeDocument/2006/customXml" ds:itemID="{25F5030F-128F-4424-9570-60E3CB1BFDC2}">
  <ds:schemaRefs>
    <ds:schemaRef ds:uri="http://gemini/pivotcustomization/b3e2f6d8-d9e0-4adf-b093-d271ab104f6a"/>
  </ds:schemaRefs>
</ds:datastoreItem>
</file>

<file path=customXml/itemProps13.xml><?xml version="1.0" encoding="utf-8"?>
<ds:datastoreItem xmlns:ds="http://schemas.openxmlformats.org/officeDocument/2006/customXml" ds:itemID="{3CFF6821-EAA3-4D48-A4B8-6E771CFF4228}">
  <ds:schemaRefs>
    <ds:schemaRef ds:uri="http://gemini/pivotcustomization/e06b1810-0c44-452f-8cd4-37da0e62db86"/>
  </ds:schemaRefs>
</ds:datastoreItem>
</file>

<file path=customXml/itemProps14.xml><?xml version="1.0" encoding="utf-8"?>
<ds:datastoreItem xmlns:ds="http://schemas.openxmlformats.org/officeDocument/2006/customXml" ds:itemID="{C884D83B-0287-4713-829C-3C89E16D4BD3}">
  <ds:schemaRefs>
    <ds:schemaRef ds:uri="http://gemini/pivotcustomization/94124557-0fdf-437d-8151-69073480b06d"/>
  </ds:schemaRefs>
</ds:datastoreItem>
</file>

<file path=customXml/itemProps15.xml><?xml version="1.0" encoding="utf-8"?>
<ds:datastoreItem xmlns:ds="http://schemas.openxmlformats.org/officeDocument/2006/customXml" ds:itemID="{2242BE5B-722B-49FE-9184-E343DB89EB9D}">
  <ds:schemaRefs>
    <ds:schemaRef ds:uri="http://gemini/pivotcustomization/TableXML_Table3"/>
  </ds:schemaRefs>
</ds:datastoreItem>
</file>

<file path=customXml/itemProps16.xml><?xml version="1.0" encoding="utf-8"?>
<ds:datastoreItem xmlns:ds="http://schemas.openxmlformats.org/officeDocument/2006/customXml" ds:itemID="{61934577-7B0A-458E-986C-F1C15205585A}">
  <ds:schemaRefs>
    <ds:schemaRef ds:uri="http://gemini/pivotcustomization/5f9caa28-03ab-4d20-b6ba-e2dc6e2ad1e6"/>
  </ds:schemaRefs>
</ds:datastoreItem>
</file>

<file path=customXml/itemProps17.xml><?xml version="1.0" encoding="utf-8"?>
<ds:datastoreItem xmlns:ds="http://schemas.openxmlformats.org/officeDocument/2006/customXml" ds:itemID="{D286813F-A0E7-4387-85E0-A0E8B0148281}">
  <ds:schemaRefs>
    <ds:schemaRef ds:uri="http://gemini/pivotcustomization/TableXML_Table1"/>
  </ds:schemaRefs>
</ds:datastoreItem>
</file>

<file path=customXml/itemProps18.xml><?xml version="1.0" encoding="utf-8"?>
<ds:datastoreItem xmlns:ds="http://schemas.openxmlformats.org/officeDocument/2006/customXml" ds:itemID="{AF08E0C8-520C-4269-852C-5FA6F91C86F0}">
  <ds:schemaRefs>
    <ds:schemaRef ds:uri="http://gemini/pivotcustomization/cc1ba115-c91a-47f6-91da-f29a15878101"/>
  </ds:schemaRefs>
</ds:datastoreItem>
</file>

<file path=customXml/itemProps19.xml><?xml version="1.0" encoding="utf-8"?>
<ds:datastoreItem xmlns:ds="http://schemas.openxmlformats.org/officeDocument/2006/customXml" ds:itemID="{16C1C057-061F-4D53-82FF-24799086A839}">
  <ds:schemaRefs>
    <ds:schemaRef ds:uri="http://gemini/pivotcustomization/TableOrder"/>
  </ds:schemaRefs>
</ds:datastoreItem>
</file>

<file path=customXml/itemProps20.xml><?xml version="1.0" encoding="utf-8"?>
<ds:datastoreItem xmlns:ds="http://schemas.openxmlformats.org/officeDocument/2006/customXml" ds:itemID="{A2F76D63-9A2A-4724-9C6C-55FDEFFA2F85}">
  <ds:schemaRefs>
    <ds:schemaRef ds:uri="http://gemini/pivotcustomization/807b7274-b2b7-409f-9d8b-1d5c2a4f5638"/>
  </ds:schemaRefs>
</ds:datastoreItem>
</file>

<file path=customXml/itemProps21.xml><?xml version="1.0" encoding="utf-8"?>
<ds:datastoreItem xmlns:ds="http://schemas.openxmlformats.org/officeDocument/2006/customXml" ds:itemID="{DE2B13E8-2D5A-4606-BCCA-E53AC485795F}">
  <ds:schemaRefs>
    <ds:schemaRef ds:uri="http://gemini/pivotcustomization/TableXML_fa2411b4-4c3f-4d50-990f-852a4fe998bb"/>
  </ds:schemaRefs>
</ds:datastoreItem>
</file>

<file path=customXml/itemProps22.xml><?xml version="1.0" encoding="utf-8"?>
<ds:datastoreItem xmlns:ds="http://schemas.openxmlformats.org/officeDocument/2006/customXml" ds:itemID="{BDE63046-7BAE-4B34-96DF-CD60C566C6B3}">
  <ds:schemaRefs>
    <ds:schemaRef ds:uri="http://gemini/pivotcustomization/LinkedTableUpdateMode"/>
  </ds:schemaRefs>
</ds:datastoreItem>
</file>

<file path=customXml/itemProps23.xml><?xml version="1.0" encoding="utf-8"?>
<ds:datastoreItem xmlns:ds="http://schemas.openxmlformats.org/officeDocument/2006/customXml" ds:itemID="{F62AD3F8-C66E-4FF7-A3AD-1AEC09403FBF}">
  <ds:schemaRefs>
    <ds:schemaRef ds:uri="http://gemini/pivotcustomization/4a5f0405-c445-4e88-8d07-35a74d991b53"/>
  </ds:schemaRefs>
</ds:datastoreItem>
</file>

<file path=customXml/itemProps24.xml><?xml version="1.0" encoding="utf-8"?>
<ds:datastoreItem xmlns:ds="http://schemas.openxmlformats.org/officeDocument/2006/customXml" ds:itemID="{BA4B411F-1A3A-49E4-8EC4-3CB74524CB41}">
  <ds:schemaRefs>
    <ds:schemaRef ds:uri="045383f5-6412-4f55-91d9-7d5b4bcdcd16"/>
    <ds:schemaRef ds:uri="http://schemas.openxmlformats.org/package/2006/metadata/core-properties"/>
    <ds:schemaRef ds:uri="http://purl.org/dc/elements/1.1/"/>
    <ds:schemaRef ds:uri="http://schemas.microsoft.com/office/2006/metadata/properties"/>
    <ds:schemaRef ds:uri="http://purl.org/dc/terms/"/>
    <ds:schemaRef ds:uri="http://schemas.microsoft.com/office/2006/documentManagement/types"/>
    <ds:schemaRef ds:uri="http://schemas.microsoft.com/office/infopath/2007/PartnerControls"/>
    <ds:schemaRef ds:uri="1467fb8b-7944-4202-8e80-6a5cf0d18287"/>
    <ds:schemaRef ds:uri="http://schemas.microsoft.com/sharepoint/v3"/>
    <ds:schemaRef ds:uri="http://www.w3.org/XML/1998/namespace"/>
    <ds:schemaRef ds:uri="http://purl.org/dc/dcmitype/"/>
  </ds:schemaRefs>
</ds:datastoreItem>
</file>

<file path=customXml/itemProps25.xml><?xml version="1.0" encoding="utf-8"?>
<ds:datastoreItem xmlns:ds="http://schemas.openxmlformats.org/officeDocument/2006/customXml" ds:itemID="{39897DEE-38D3-4330-9E99-67EEF6C723D6}">
  <ds:schemaRefs>
    <ds:schemaRef ds:uri="http://gemini/pivotcustomization/1830a36d-9b99-46b1-8619-f40665f7ffcb"/>
  </ds:schemaRefs>
</ds:datastoreItem>
</file>

<file path=customXml/itemProps26.xml><?xml version="1.0" encoding="utf-8"?>
<ds:datastoreItem xmlns:ds="http://schemas.openxmlformats.org/officeDocument/2006/customXml" ds:itemID="{4F082128-230A-4315-9A9D-3813B041D33F}">
  <ds:schemaRefs>
    <ds:schemaRef ds:uri="http://gemini/workbookcustomization/SandboxNonEmpty"/>
  </ds:schemaRefs>
</ds:datastoreItem>
</file>

<file path=customXml/itemProps27.xml><?xml version="1.0" encoding="utf-8"?>
<ds:datastoreItem xmlns:ds="http://schemas.openxmlformats.org/officeDocument/2006/customXml" ds:itemID="{661F4FC3-5333-4D2A-9218-747623894C82}">
  <ds:schemaRefs>
    <ds:schemaRef ds:uri="Microsoft.SharePoint.Taxonomy.ContentTypeSync"/>
  </ds:schemaRefs>
</ds:datastoreItem>
</file>

<file path=customXml/itemProps28.xml><?xml version="1.0" encoding="utf-8"?>
<ds:datastoreItem xmlns:ds="http://schemas.openxmlformats.org/officeDocument/2006/customXml" ds:itemID="{66727234-41E8-4B17-8B43-2C10276A5FF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1467fb8b-7944-4202-8e80-6a5cf0d18287"/>
    <ds:schemaRef ds:uri="045383f5-6412-4f55-91d9-7d5b4bcdcd1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9.xml><?xml version="1.0" encoding="utf-8"?>
<ds:datastoreItem xmlns:ds="http://schemas.openxmlformats.org/officeDocument/2006/customXml" ds:itemID="{C3366182-A1B7-4E34-B514-B1DA0FE49A13}">
  <ds:schemaRefs>
    <ds:schemaRef ds:uri="http://schemas.microsoft.com/DataMashup"/>
  </ds:schemaRefs>
</ds:datastoreItem>
</file>

<file path=customXml/itemProps30.xml><?xml version="1.0" encoding="utf-8"?>
<ds:datastoreItem xmlns:ds="http://schemas.openxmlformats.org/officeDocument/2006/customXml" ds:itemID="{74E1079D-0236-44E0-AAEA-AED7EA2DC14A}">
  <ds:schemaRefs>
    <ds:schemaRef ds:uri="http://schemas.microsoft.com/sharepoint/v3/contenttype/forms"/>
  </ds:schemaRefs>
</ds:datastoreItem>
</file>

<file path=docMetadata/LabelInfo.xml><?xml version="1.0" encoding="utf-8"?>
<clbl:labelList xmlns:clbl="http://schemas.microsoft.com/office/2020/mipLabelMetadata">
  <clbl:label id="{820d33d7-bbe4-47b8-a5ad-6a3992657a09}" enabled="1" method="Privileged" siteId="{b9fec68c-c92d-461e-9a97-3d03a0f18b82}" contentBits="3"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14</vt:i4>
      </vt:variant>
      <vt:variant>
        <vt:lpstr>Plages nommées</vt:lpstr>
      </vt:variant>
      <vt:variant>
        <vt:i4>93</vt:i4>
      </vt:variant>
    </vt:vector>
  </HeadingPairs>
  <TitlesOfParts>
    <vt:vector size="107" baseType="lpstr">
      <vt:lpstr>Guide</vt:lpstr>
      <vt:lpstr>Offer management</vt:lpstr>
      <vt:lpstr>CS management</vt:lpstr>
      <vt:lpstr>Expenses management</vt:lpstr>
      <vt:lpstr>Consortium synthèse</vt:lpstr>
      <vt:lpstr>Consortium calculs</vt:lpstr>
      <vt:lpstr>Cessions EDDA</vt:lpstr>
      <vt:lpstr>CS synthesis</vt:lpstr>
      <vt:lpstr>Suivi PO Global</vt:lpstr>
      <vt:lpstr>Dashboards</vt:lpstr>
      <vt:lpstr>Dashboards Lot 1</vt:lpstr>
      <vt:lpstr>Dashboards Lot 2</vt:lpstr>
      <vt:lpstr>Dashboards Lot 3</vt:lpstr>
      <vt:lpstr>Params</vt:lpstr>
      <vt:lpstr>'Dashboards Lot 1'!ACCEPTED_EXPENSES_REF</vt:lpstr>
      <vt:lpstr>'Dashboards Lot 2'!ACCEPTED_EXPENSES_REF</vt:lpstr>
      <vt:lpstr>'Dashboards Lot 3'!ACCEPTED_EXPENSES_REF</vt:lpstr>
      <vt:lpstr>ACCEPTED_EXPENSES_REF</vt:lpstr>
      <vt:lpstr>'Dashboards Lot 1'!ACCEPTED_REFERENCES</vt:lpstr>
      <vt:lpstr>'Dashboards Lot 2'!ACCEPTED_REFERENCES</vt:lpstr>
      <vt:lpstr>'Dashboards Lot 3'!ACCEPTED_REFERENCES</vt:lpstr>
      <vt:lpstr>ACCEPTED_REFERENCES</vt:lpstr>
      <vt:lpstr>'Dashboards Lot 1'!Excl_Lot1</vt:lpstr>
      <vt:lpstr>'Dashboards Lot 2'!Excl_Lot1</vt:lpstr>
      <vt:lpstr>'Dashboards Lot 3'!Excl_Lot1</vt:lpstr>
      <vt:lpstr>Excl_Lot1</vt:lpstr>
      <vt:lpstr>'Dashboards Lot 1'!Excl_Lot2</vt:lpstr>
      <vt:lpstr>'Dashboards Lot 2'!Excl_Lot2</vt:lpstr>
      <vt:lpstr>'Dashboards Lot 3'!Excl_Lot2</vt:lpstr>
      <vt:lpstr>Excl_Lot2</vt:lpstr>
      <vt:lpstr>Excl_Lot3</vt:lpstr>
      <vt:lpstr>'Dashboards Lot 1'!Excl_Total</vt:lpstr>
      <vt:lpstr>'Dashboards Lot 2'!Excl_Total</vt:lpstr>
      <vt:lpstr>'Dashboards Lot 3'!Excl_Total</vt:lpstr>
      <vt:lpstr>Excl_Total</vt:lpstr>
      <vt:lpstr>'Dashboards Lot 1'!Filtered_Expenses_Ref</vt:lpstr>
      <vt:lpstr>'Dashboards Lot 2'!Filtered_Expenses_Ref</vt:lpstr>
      <vt:lpstr>'Dashboards Lot 3'!Filtered_Expenses_Ref</vt:lpstr>
      <vt:lpstr>Filtered_Expenses_Ref</vt:lpstr>
      <vt:lpstr>'Dashboards Lot 1'!Filtered_Ressources</vt:lpstr>
      <vt:lpstr>'Dashboards Lot 2'!Filtered_Ressources</vt:lpstr>
      <vt:lpstr>'Dashboards Lot 3'!Filtered_Ressources</vt:lpstr>
      <vt:lpstr>Filtered_Ressources</vt:lpstr>
      <vt:lpstr>'Dashboards Lot 1'!VALUES_CONSORTIUM</vt:lpstr>
      <vt:lpstr>'Dashboards Lot 2'!VALUES_CONSORTIUM</vt:lpstr>
      <vt:lpstr>'Dashboards Lot 3'!VALUES_CONSORTIUM</vt:lpstr>
      <vt:lpstr>'Expenses management'!VALUES_CONSORTIUM</vt:lpstr>
      <vt:lpstr>VALUES_CONSORTIUM</vt:lpstr>
      <vt:lpstr>'Dashboards Lot 1'!VALUES_CS_STATE</vt:lpstr>
      <vt:lpstr>'Dashboards Lot 2'!VALUES_CS_STATE</vt:lpstr>
      <vt:lpstr>'Dashboards Lot 3'!VALUES_CS_STATE</vt:lpstr>
      <vt:lpstr>'Expenses management'!VALUES_CS_STATE</vt:lpstr>
      <vt:lpstr>VALUES_CS_STATE</vt:lpstr>
      <vt:lpstr>'Dashboards Lot 1'!VALUES_DELIVERY_MODE</vt:lpstr>
      <vt:lpstr>'Dashboards Lot 2'!VALUES_DELIVERY_MODE</vt:lpstr>
      <vt:lpstr>'Dashboards Lot 3'!VALUES_DELIVERY_MODE</vt:lpstr>
      <vt:lpstr>'Expenses management'!VALUES_DELIVERY_MODE</vt:lpstr>
      <vt:lpstr>VALUES_DELIVERY_MODE</vt:lpstr>
      <vt:lpstr>'Dashboards Lot 1'!VALUES_INSTITUTIONS</vt:lpstr>
      <vt:lpstr>'Dashboards Lot 2'!VALUES_INSTITUTIONS</vt:lpstr>
      <vt:lpstr>'Dashboards Lot 3'!VALUES_INSTITUTIONS</vt:lpstr>
      <vt:lpstr>'Expenses management'!VALUES_INSTITUTIONS</vt:lpstr>
      <vt:lpstr>VALUES_INSTITUTIONS</vt:lpstr>
      <vt:lpstr>'Dashboards Lot 1'!VALUES_LEVEL</vt:lpstr>
      <vt:lpstr>'Dashboards Lot 2'!VALUES_LEVEL</vt:lpstr>
      <vt:lpstr>'Dashboards Lot 3'!VALUES_LEVEL</vt:lpstr>
      <vt:lpstr>'Expenses management'!VALUES_LEVEL</vt:lpstr>
      <vt:lpstr>VALUES_LEVEL</vt:lpstr>
      <vt:lpstr>'Dashboards Lot 1'!VALUES_LOT</vt:lpstr>
      <vt:lpstr>'Dashboards Lot 2'!VALUES_LOT</vt:lpstr>
      <vt:lpstr>'Dashboards Lot 3'!VALUES_LOT</vt:lpstr>
      <vt:lpstr>'Expenses management'!VALUES_LOT</vt:lpstr>
      <vt:lpstr>VALUES_LOT</vt:lpstr>
      <vt:lpstr>'Dashboards Lot 1'!VALUES_MODES</vt:lpstr>
      <vt:lpstr>'Dashboards Lot 2'!VALUES_MODES</vt:lpstr>
      <vt:lpstr>'Dashboards Lot 3'!VALUES_MODES</vt:lpstr>
      <vt:lpstr>'Expenses management'!VALUES_MODES</vt:lpstr>
      <vt:lpstr>VALUES_MODES</vt:lpstr>
      <vt:lpstr>'Dashboards Lot 1'!VALUES_PROFILE</vt:lpstr>
      <vt:lpstr>'Dashboards Lot 2'!VALUES_PROFILE</vt:lpstr>
      <vt:lpstr>'Dashboards Lot 3'!VALUES_PROFILE</vt:lpstr>
      <vt:lpstr>'Expenses management'!VALUES_PROFILE</vt:lpstr>
      <vt:lpstr>VALUES_PROFILE</vt:lpstr>
      <vt:lpstr>'Dashboards Lot 1'!VALUES_REFERENCE</vt:lpstr>
      <vt:lpstr>'Dashboards Lot 2'!VALUES_REFERENCE</vt:lpstr>
      <vt:lpstr>'Dashboards Lot 3'!VALUES_REFERENCE</vt:lpstr>
      <vt:lpstr>'Expenses management'!VALUES_REFERENCE</vt:lpstr>
      <vt:lpstr>VALUES_REFERENCE</vt:lpstr>
      <vt:lpstr>'Dashboards Lot 1'!VALUES_ReponseCS</vt:lpstr>
      <vt:lpstr>'Dashboards Lot 2'!VALUES_ReponseCS</vt:lpstr>
      <vt:lpstr>'Dashboards Lot 3'!VALUES_ReponseCS</vt:lpstr>
      <vt:lpstr>'Expenses management'!VALUES_ReponseCS</vt:lpstr>
      <vt:lpstr>VALUES_ReponseCS</vt:lpstr>
      <vt:lpstr>'Dashboards Lot 1'!VALUES_REQUEST_STATE</vt:lpstr>
      <vt:lpstr>'Dashboards Lot 2'!VALUES_REQUEST_STATE</vt:lpstr>
      <vt:lpstr>'Dashboards Lot 3'!VALUES_REQUEST_STATE</vt:lpstr>
      <vt:lpstr>VALUES_REQUEST_STATE</vt:lpstr>
      <vt:lpstr>'Dashboards Lot 1'!VALUES_RESSOURCES</vt:lpstr>
      <vt:lpstr>'Dashboards Lot 2'!VALUES_RESSOURCES</vt:lpstr>
      <vt:lpstr>'Dashboards Lot 3'!VALUES_RESSOURCES</vt:lpstr>
      <vt:lpstr>'Expenses management'!VALUES_RESSOURCES</vt:lpstr>
      <vt:lpstr>VALUES_RESSOURCES</vt:lpstr>
      <vt:lpstr>'Dashboards Lot 1'!VALUES_YN</vt:lpstr>
      <vt:lpstr>'Dashboards Lot 2'!VALUES_YN</vt:lpstr>
      <vt:lpstr>'Dashboards Lot 3'!VALUES_YN</vt:lpstr>
      <vt:lpstr>VALUES_YN</vt:lpstr>
      <vt:lpstr>'Suivi PO Global'!Zone_d_impression</vt:lpstr>
    </vt:vector>
  </TitlesOfParts>
  <Company>Cour de Justice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eni</dc:creator>
  <cp:lastModifiedBy>Keller, Olivier</cp:lastModifiedBy>
  <cp:lastPrinted>2019-06-06T17:03:54Z</cp:lastPrinted>
  <dcterms:created xsi:type="dcterms:W3CDTF">2010-09-23T06:34:46Z</dcterms:created>
  <dcterms:modified xsi:type="dcterms:W3CDTF">2024-11-26T13:12:25Z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0x010100BF4BB84A4AC688429EF3CED027F9B8E300C291FC02E56091498CD8E4CCBF9DBCA1</vt:lpwstr>
  </property>
  <property fmtid="{D5CDD505-2E9C-101B-9397-08002B2CF9AE}" pid="3" name="_dlc_DocIdItemGuid">
    <vt:lpwstr>9981b9cb-bec2-4826-a02a-162f7d6b59ac</vt:lpwstr>
  </property>
  <property fmtid="{D5CDD505-2E9C-101B-9397-08002B2CF9AE}" pid="4" name="TaxKeyword">
    <vt:lpwstr/>
  </property>
  <property fmtid="{D5CDD505-2E9C-101B-9397-08002B2CF9AE}" pid="5" name="SBUBUContentOwner">
    <vt:lpwstr/>
  </property>
</Properties>
</file>