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5639cc6793a24cae/Desktop/Engineering Portfolio v2/html5up-phantom/images/"/>
    </mc:Choice>
  </mc:AlternateContent>
  <xr:revisionPtr revIDLastSave="4" documentId="13_ncr:1_{10D2C240-EB46-4AA5-A5CA-87ACF2445B17}" xr6:coauthVersionLast="47" xr6:coauthVersionMax="47" xr10:uidLastSave="{8E04149C-F4FA-4D32-99FF-B5F2EB249828}"/>
  <bookViews>
    <workbookView xWindow="-110" yWindow="-110" windowWidth="19420" windowHeight="10300" tabRatio="611" xr2:uid="{00000000-000D-0000-FFFF-FFFF00000000}"/>
  </bookViews>
  <sheets>
    <sheet name="USC Link Budget" sheetId="1" r:id="rId1"/>
    <sheet name="UHF G-over-T Calculato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4" l="1"/>
  <c r="C45" i="1" l="1"/>
  <c r="U21" i="4" l="1"/>
  <c r="U20" i="4"/>
  <c r="U19" i="4" l="1"/>
  <c r="U18" i="4"/>
  <c r="U17" i="4"/>
  <c r="E45" i="1"/>
  <c r="D16" i="4"/>
  <c r="D14" i="4"/>
  <c r="D12" i="4"/>
  <c r="D10" i="4"/>
  <c r="S22" i="4" l="1"/>
  <c r="E28" i="1" l="1"/>
  <c r="E19" i="1"/>
  <c r="E20" i="1" s="1"/>
  <c r="C40" i="4"/>
  <c r="H12" i="4"/>
  <c r="F14" i="4"/>
  <c r="C35" i="1"/>
  <c r="C31" i="4"/>
  <c r="C28" i="1"/>
  <c r="E27" i="4"/>
  <c r="D27" i="4"/>
  <c r="H21" i="4"/>
  <c r="I21" i="4" s="1"/>
  <c r="F21" i="4"/>
  <c r="G20" i="4" s="1"/>
  <c r="H20" i="4"/>
  <c r="F20" i="4"/>
  <c r="H19" i="4"/>
  <c r="F19" i="4"/>
  <c r="H18" i="4"/>
  <c r="F18" i="4"/>
  <c r="H17" i="4"/>
  <c r="F17" i="4"/>
  <c r="F16" i="4"/>
  <c r="H15" i="4"/>
  <c r="F15" i="4"/>
  <c r="H14" i="4"/>
  <c r="H13" i="4"/>
  <c r="F13" i="4"/>
  <c r="H11" i="4"/>
  <c r="H10" i="4"/>
  <c r="F10" i="4"/>
  <c r="H9" i="4"/>
  <c r="G19" i="4" l="1"/>
  <c r="G18" i="4"/>
  <c r="G17" i="4" s="1"/>
  <c r="I17" i="4" s="1"/>
  <c r="D29" i="4"/>
  <c r="D30" i="4" s="1"/>
  <c r="C46" i="4"/>
  <c r="E14" i="1" s="1"/>
  <c r="F12" i="4"/>
  <c r="I19" i="4"/>
  <c r="I20" i="4"/>
  <c r="H16" i="4"/>
  <c r="F11" i="4"/>
  <c r="E31" i="4"/>
  <c r="I18" i="4" l="1"/>
  <c r="G16" i="4"/>
  <c r="G15" i="4" s="1"/>
  <c r="G14" i="4" s="1"/>
  <c r="G13" i="4" s="1"/>
  <c r="G12" i="4" s="1"/>
  <c r="G11" i="4" s="1"/>
  <c r="I11" i="4" s="1"/>
  <c r="I16" i="4" l="1"/>
  <c r="I13" i="4"/>
  <c r="I12" i="4"/>
  <c r="I14" i="4"/>
  <c r="I15" i="4"/>
  <c r="G10" i="4"/>
  <c r="G9" i="4" s="1"/>
  <c r="I9" i="4" s="1"/>
  <c r="I10" i="4" l="1"/>
  <c r="D23" i="4" s="1"/>
  <c r="D24" i="4" l="1"/>
  <c r="C32" i="4"/>
  <c r="E38" i="1" s="1"/>
  <c r="C33" i="4" l="1"/>
  <c r="C38" i="1"/>
  <c r="C36" i="1" l="1"/>
  <c r="E11" i="1"/>
  <c r="C13" i="1"/>
  <c r="E30" i="1" l="1"/>
  <c r="E13" i="1"/>
  <c r="E21" i="1" l="1"/>
  <c r="E41" i="1" l="1"/>
  <c r="C41" i="1"/>
  <c r="E24" i="1"/>
  <c r="E25" i="1" s="1"/>
  <c r="C24" i="1"/>
  <c r="C25" i="1" s="1"/>
  <c r="E35" i="1"/>
  <c r="C19" i="1"/>
  <c r="C20" i="1" s="1"/>
  <c r="C21" i="1" s="1"/>
  <c r="E37" i="1" l="1"/>
  <c r="E42" i="1"/>
  <c r="E44" i="1" s="1"/>
  <c r="E49" i="1" s="1"/>
  <c r="C42" i="1"/>
  <c r="C44" i="1" s="1"/>
  <c r="C49" i="1" s="1"/>
  <c r="C37" i="1"/>
  <c r="E46" i="1" l="1"/>
  <c r="C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administrator1</author>
  </authors>
  <commentList>
    <comment ref="C3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administrator1:</t>
        </r>
        <r>
          <rPr>
            <sz val="9"/>
            <color indexed="81"/>
            <rFont val="Tahoma"/>
            <family val="2"/>
          </rPr>
          <t xml:space="preserve">
From AR2 SP432VDG LNA Spec Sheet = 18, but only 420-440, not at 403.</t>
        </r>
      </text>
    </comment>
    <comment ref="C3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administrator1:</t>
        </r>
        <r>
          <rPr>
            <sz val="9"/>
            <color indexed="81"/>
            <rFont val="Tahoma"/>
            <family val="2"/>
          </rPr>
          <t xml:space="preserve">
Assumes 12.3db loss per 100 feet</t>
        </r>
      </text>
    </comment>
  </commentList>
</comments>
</file>

<file path=xl/sharedStrings.xml><?xml version="1.0" encoding="utf-8"?>
<sst xmlns="http://schemas.openxmlformats.org/spreadsheetml/2006/main" count="222" uniqueCount="165">
  <si>
    <t>Frequency</t>
  </si>
  <si>
    <t>Transmitter Power</t>
  </si>
  <si>
    <t>Transmitter Line Loss</t>
  </si>
  <si>
    <t>Transmit Antenna Beamwidth</t>
  </si>
  <si>
    <t>Peak Transmit Antenna Gain</t>
  </si>
  <si>
    <t>Transmit Antenna Pointing Loss</t>
  </si>
  <si>
    <t>Transmit Antenna Gain (net)</t>
  </si>
  <si>
    <t>EIRP</t>
  </si>
  <si>
    <t>Space Loss</t>
  </si>
  <si>
    <t>Peak Receive Antenna Gain</t>
  </si>
  <si>
    <t>Receive Antenna Beamwidth</t>
  </si>
  <si>
    <t>Receive Antenna Pointing Error</t>
  </si>
  <si>
    <t>System Noise Temperature</t>
  </si>
  <si>
    <t>Data Rate</t>
  </si>
  <si>
    <t>Carrier to Noise Density Ratio</t>
  </si>
  <si>
    <t>Bit Error Rate</t>
  </si>
  <si>
    <t>Required Eb/No</t>
  </si>
  <si>
    <t>Implementation Loss</t>
  </si>
  <si>
    <t>Link Margin</t>
  </si>
  <si>
    <t>Watts</t>
  </si>
  <si>
    <t>dBW</t>
  </si>
  <si>
    <t>dB</t>
  </si>
  <si>
    <t>deg</t>
  </si>
  <si>
    <t>dBi</t>
  </si>
  <si>
    <t>km</t>
  </si>
  <si>
    <t>bps</t>
  </si>
  <si>
    <t>dB-Hz</t>
  </si>
  <si>
    <t>Receive Antenna Pointing Loss</t>
  </si>
  <si>
    <t>Mhz</t>
  </si>
  <si>
    <t>Propagation Path Length (Slant Range)</t>
  </si>
  <si>
    <t>Receive Antenna Gain (net)</t>
  </si>
  <si>
    <t>K</t>
  </si>
  <si>
    <t>Calculated Value</t>
  </si>
  <si>
    <t>User Input Value</t>
  </si>
  <si>
    <t>Transmit Antenna Pointing Error</t>
  </si>
  <si>
    <t>Item</t>
  </si>
  <si>
    <t>Units</t>
  </si>
  <si>
    <t>N/A</t>
  </si>
  <si>
    <t>Circular Orbit Altitude</t>
  </si>
  <si>
    <t>Elevation Angle</t>
  </si>
  <si>
    <t>Antenna Noise Temperature</t>
  </si>
  <si>
    <t>Reciever Noise Temperature</t>
  </si>
  <si>
    <t>Ft</t>
  </si>
  <si>
    <t>Receive Antenna Cable Loss</t>
  </si>
  <si>
    <t>LNA Gain (from Spec Sheet)</t>
  </si>
  <si>
    <t>This is the altitude of the satellite, which drives the free space path loss</t>
  </si>
  <si>
    <t>Legend:</t>
  </si>
  <si>
    <t>Inputs</t>
  </si>
  <si>
    <t>Calculations</t>
  </si>
  <si>
    <t>Frequency of the transmitter from the satellite</t>
  </si>
  <si>
    <t>This is the elevation angle of the ground antenna that will be used to calculate the free path loss.</t>
  </si>
  <si>
    <t>Propagation &amp; Polarization Loss</t>
  </si>
  <si>
    <t>Guess</t>
  </si>
  <si>
    <t>This is either estimate, or measured pointing error of the ground antenna to the satellite.</t>
  </si>
  <si>
    <t>Calculated from the spec sheet of the actual cable</t>
  </si>
  <si>
    <t>Calculated from the elevation angle and circular orbit altitude</t>
  </si>
  <si>
    <t>Data rate that is being sent up or down.</t>
  </si>
  <si>
    <t>This is typically calculated based on receiver parameters.  Guess is acceptable to start.</t>
  </si>
  <si>
    <t>GOMSpace AX100 to Yagii</t>
  </si>
  <si>
    <t>600 is to reflect noise in LA</t>
  </si>
  <si>
    <t>Cable length on ground is factor</t>
  </si>
  <si>
    <t>Calculated</t>
  </si>
  <si>
    <t>Effective at the receiver</t>
  </si>
  <si>
    <t>Antenna to LNA Cable Length</t>
  </si>
  <si>
    <t>Transmitter Power Amplifier</t>
  </si>
  <si>
    <t>Downlink from Sat (FCC Inputs)</t>
  </si>
  <si>
    <t>Spacecraft Rx antenna beamwidth changed to match the Spacecraft Tx antenna beamwidth.</t>
  </si>
  <si>
    <t>Antenna Gain Loss due to 403 MHz</t>
  </si>
  <si>
    <r>
      <t xml:space="preserve">Receive </t>
    </r>
    <r>
      <rPr>
        <strike/>
        <sz val="10"/>
        <rFont val="Arial"/>
        <family val="2"/>
      </rPr>
      <t>Antenna</t>
    </r>
    <r>
      <rPr>
        <sz val="10"/>
        <rFont val="Arial"/>
        <family val="2"/>
      </rPr>
      <t xml:space="preserve"> Cable length </t>
    </r>
    <r>
      <rPr>
        <sz val="10"/>
        <color rgb="FF3333FF"/>
        <rFont val="Arial"/>
        <family val="2"/>
      </rPr>
      <t>from LNA</t>
    </r>
    <r>
      <rPr>
        <sz val="10"/>
        <rFont val="Arial"/>
        <family val="2"/>
      </rPr>
      <t xml:space="preserve"> to Rcvr</t>
    </r>
  </si>
  <si>
    <t>From AX-100-33 datasheet</t>
  </si>
  <si>
    <r>
      <t xml:space="preserve">  </t>
    </r>
    <r>
      <rPr>
        <strike/>
        <sz val="10"/>
        <rFont val="Arial"/>
        <family val="2"/>
      </rPr>
      <t xml:space="preserve">External </t>
    </r>
    <r>
      <rPr>
        <strike/>
        <sz val="10"/>
        <color rgb="FF3333FF"/>
        <rFont val="Arial"/>
        <family val="2"/>
      </rPr>
      <t>amplifier</t>
    </r>
    <r>
      <rPr>
        <strike/>
        <sz val="10"/>
        <rFont val="Arial"/>
        <family val="2"/>
      </rPr>
      <t xml:space="preserve"> LNA included for GS uplink</t>
    </r>
  </si>
  <si>
    <t>New LNA used for the downlink.</t>
  </si>
  <si>
    <t>Ionospheric Loss</t>
  </si>
  <si>
    <t>Atmospheric Loss</t>
  </si>
  <si>
    <t>Includes the Iono/Atm losses</t>
  </si>
  <si>
    <t>20 feet of LR400 assumed</t>
  </si>
  <si>
    <t>Scenario</t>
  </si>
  <si>
    <t>403 MHz UHF Receiver System with HackOne RF</t>
  </si>
  <si>
    <t>Designer</t>
  </si>
  <si>
    <t>Date</t>
  </si>
  <si>
    <t>#</t>
  </si>
  <si>
    <t>Element</t>
  </si>
  <si>
    <t>Gain</t>
  </si>
  <si>
    <t>Noise Figure</t>
  </si>
  <si>
    <t>Noise Temperature (K)</t>
  </si>
  <si>
    <t>(dB)</t>
  </si>
  <si>
    <t>Contribution</t>
  </si>
  <si>
    <t>UHF Rx System G/T Calculator</t>
  </si>
  <si>
    <t>https://owenduffy.net/rx/gt/index.htm</t>
  </si>
  <si>
    <t>Cable Line Loss Calculator:</t>
  </si>
  <si>
    <t>https://owenduffy.net/calc/tl/tllc.php</t>
  </si>
  <si>
    <t>RF Switch Insertion Loss</t>
  </si>
  <si>
    <t>UHF Filter Insertion Loss</t>
  </si>
  <si>
    <t>Temp K</t>
  </si>
  <si>
    <t>Degrees</t>
  </si>
  <si>
    <t>Gain (dB)</t>
  </si>
  <si>
    <t>Weighted</t>
  </si>
  <si>
    <t>Galactic Noise</t>
  </si>
  <si>
    <t>Warm Earth Noise</t>
  </si>
  <si>
    <t>Weighted Antenna Noise</t>
  </si>
  <si>
    <t>Rx Noise Temperature at antenna connector (K)</t>
  </si>
  <si>
    <t>Rx Noise Figure at antenna connector (dB)</t>
  </si>
  <si>
    <t>Antenna feed losses</t>
  </si>
  <si>
    <t>Antenna spillover noise</t>
  </si>
  <si>
    <t>Sky noise</t>
  </si>
  <si>
    <t>See table upper right</t>
  </si>
  <si>
    <t>Antenna total noise</t>
  </si>
  <si>
    <t>Antenna gain (wrt isotropic)</t>
  </si>
  <si>
    <t>G/T (dB/K)</t>
  </si>
  <si>
    <t xml:space="preserve">Receive System G/T </t>
  </si>
  <si>
    <t>dB/K</t>
  </si>
  <si>
    <t>From G-over-T Calculator Tab</t>
  </si>
  <si>
    <t>Received C/No</t>
  </si>
  <si>
    <t>Received Eb/No</t>
  </si>
  <si>
    <t>Losses are entered as positive</t>
  </si>
  <si>
    <t>Fixed equation</t>
  </si>
  <si>
    <t>dB/Hz</t>
  </si>
  <si>
    <t>Added new equation</t>
  </si>
  <si>
    <t>Changed for positive margin</t>
  </si>
  <si>
    <t>Transmission Line Losses</t>
  </si>
  <si>
    <t>0.5 feet LMR-400 cable HackOne RF to Amplifier</t>
  </si>
  <si>
    <t>0.5 feet LMR-400 cable Amp to RF Switch</t>
  </si>
  <si>
    <t>0.5 feet LMR-400 cable RF Switch to UHF Filter</t>
  </si>
  <si>
    <t>HACKRF is very small power output (5 dBm), needs external amplifier</t>
  </si>
  <si>
    <t>Notes for Downlink</t>
  </si>
  <si>
    <t>Notes for Uplink</t>
  </si>
  <si>
    <t>Fixed equation.</t>
  </si>
  <si>
    <t>Cable</t>
  </si>
  <si>
    <t>Length (ft)</t>
  </si>
  <si>
    <t>LMR-400 cable LNA to HackOne RF</t>
  </si>
  <si>
    <t>LMR-400 cable RF Switch to LNA</t>
  </si>
  <si>
    <t>LMR-400 cable UHF Filter to RF Switch</t>
  </si>
  <si>
    <t>LMR-400 cable Antenna to UHF Filter</t>
  </si>
  <si>
    <t>Assumed</t>
  </si>
  <si>
    <t>Assuming Binary Uncoded FSK, BER 1E-06</t>
  </si>
  <si>
    <t>Weight</t>
  </si>
  <si>
    <t>From antenna vendor</t>
  </si>
  <si>
    <t>Terrestrial Noise</t>
  </si>
  <si>
    <t>Assuming GMSK Rate-1/2 + RS(255.223)</t>
  </si>
  <si>
    <t>GOM Space Required Eb/No</t>
  </si>
  <si>
    <t>for BER of 1E-05</t>
  </si>
  <si>
    <t>&lt;-- User entered values</t>
  </si>
  <si>
    <t>Option B</t>
  </si>
  <si>
    <t>From 400CP30A datasheet LM its 16.2, for USC GS its 13.4 420-450(offset to 9dB for 401)</t>
  </si>
  <si>
    <t>From 400CP30A  datasheet(LM its 30 deg), for USC GS its 34deg)</t>
  </si>
  <si>
    <t>LNA-ARR SP401VDG</t>
  </si>
  <si>
    <t>UHF Filter Insertion Loss (MiniCirc ZABP-450-S+)</t>
  </si>
  <si>
    <t>Uplink from USC GS</t>
  </si>
  <si>
    <t>Losses are entered as positive, for Loss in Lab assume its higher due to being folded inside arrray</t>
  </si>
  <si>
    <t>From 400CP30A datasheet, for RX in Lab it’s a whip antenna on end of HackRF One</t>
  </si>
  <si>
    <t>From G-over-T Calculator Tab, but for lab case will leave the same. There is no line loss in Lab.</t>
  </si>
  <si>
    <t>Transmitter antenna pointing loss (estimated usually). For lab say its orthogonal.</t>
  </si>
  <si>
    <t>From 400CP30A datasheet, in lab whip</t>
  </si>
  <si>
    <t>70 feet LMR-400 cable UHF Filter to Antenna</t>
  </si>
  <si>
    <t>Ettus RF Tx</t>
  </si>
  <si>
    <t>Total Transmission Line Loss for Ettus</t>
  </si>
  <si>
    <t>Set to zero, as 400CP30A operates at 401 MHz</t>
  </si>
  <si>
    <t>13 dB to get a positive 3dB at the satellite at 550km</t>
  </si>
  <si>
    <t>Ettus B201 Noise Figure</t>
  </si>
  <si>
    <t>Updates</t>
  </si>
  <si>
    <t>Guesses are education, or From SMAD</t>
  </si>
  <si>
    <t>TBD</t>
  </si>
  <si>
    <t>G/T worksheet (Example)</t>
  </si>
  <si>
    <t>USC SERC Ground Station Link Budget Worksheet</t>
  </si>
  <si>
    <t xml:space="preserve"> Link Budget Working Example Only:  Check actual satellite link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</si>
</sst>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6"/>
      <color indexed="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002060"/>
      <name val="Arial"/>
      <family val="2"/>
    </font>
    <font>
      <i/>
      <sz val="10"/>
      <color rgb="FF002060"/>
      <name val="Arial"/>
      <family val="2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trike/>
      <sz val="10"/>
      <name val="Arial"/>
      <family val="2"/>
    </font>
    <font>
      <sz val="10"/>
      <color rgb="FF3333FF"/>
      <name val="Arial"/>
      <family val="2"/>
    </font>
    <font>
      <strike/>
      <sz val="10"/>
      <color rgb="FF3333FF"/>
      <name val="Arial"/>
      <family val="2"/>
    </font>
    <font>
      <u/>
      <sz val="10"/>
      <color theme="10"/>
      <name val="Arial"/>
      <family val="2"/>
    </font>
    <font>
      <b/>
      <sz val="18"/>
      <name val="Arial"/>
      <family val="2"/>
    </font>
    <font>
      <sz val="11"/>
      <name val="72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2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8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0" borderId="1" xfId="0" applyFont="1" applyBorder="1"/>
    <xf numFmtId="164" fontId="0" fillId="0" borderId="0" xfId="0" applyNumberFormat="1"/>
    <xf numFmtId="164" fontId="3" fillId="5" borderId="2" xfId="0" applyNumberFormat="1" applyFont="1" applyFill="1" applyBorder="1"/>
    <xf numFmtId="164" fontId="0" fillId="2" borderId="2" xfId="0" applyNumberFormat="1" applyFill="1" applyBorder="1"/>
    <xf numFmtId="164" fontId="0" fillId="3" borderId="2" xfId="0" applyNumberFormat="1" applyFill="1" applyBorder="1"/>
    <xf numFmtId="0" fontId="7" fillId="0" borderId="0" xfId="0" applyFont="1"/>
    <xf numFmtId="0" fontId="9" fillId="0" borderId="0" xfId="0" applyFont="1"/>
    <xf numFmtId="164" fontId="8" fillId="0" borderId="0" xfId="0" applyNumberFormat="1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10" fillId="0" borderId="0" xfId="0" applyFont="1"/>
    <xf numFmtId="164" fontId="10" fillId="4" borderId="2" xfId="0" applyNumberFormat="1" applyFont="1" applyFill="1" applyBorder="1"/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0" fontId="10" fillId="0" borderId="1" xfId="0" applyFont="1" applyBorder="1"/>
    <xf numFmtId="165" fontId="10" fillId="2" borderId="1" xfId="0" applyNumberFormat="1" applyFont="1" applyFill="1" applyBorder="1" applyAlignment="1">
      <alignment horizontal="center"/>
    </xf>
    <xf numFmtId="0" fontId="14" fillId="0" borderId="1" xfId="0" applyFont="1" applyBorder="1"/>
    <xf numFmtId="164" fontId="0" fillId="3" borderId="1" xfId="0" applyNumberForma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12" fillId="0" borderId="1" xfId="0" applyFont="1" applyBorder="1"/>
    <xf numFmtId="164" fontId="0" fillId="4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11" fillId="0" borderId="1" xfId="0" applyFont="1" applyBorder="1"/>
    <xf numFmtId="164" fontId="0" fillId="8" borderId="1" xfId="0" applyNumberForma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10" fillId="9" borderId="0" xfId="0" applyFont="1" applyFill="1"/>
    <xf numFmtId="164" fontId="14" fillId="9" borderId="1" xfId="0" applyNumberFormat="1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15" fillId="0" borderId="1" xfId="0" applyFont="1" applyBorder="1"/>
    <xf numFmtId="164" fontId="11" fillId="9" borderId="1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4" xfId="0" applyBorder="1"/>
    <xf numFmtId="0" fontId="0" fillId="0" borderId="5" xfId="0" applyBorder="1"/>
    <xf numFmtId="0" fontId="10" fillId="6" borderId="4" xfId="0" applyFont="1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5" xfId="0" applyFill="1" applyBorder="1"/>
    <xf numFmtId="0" fontId="0" fillId="0" borderId="10" xfId="0" applyBorder="1"/>
    <xf numFmtId="0" fontId="0" fillId="0" borderId="2" xfId="0" applyBorder="1"/>
    <xf numFmtId="0" fontId="0" fillId="6" borderId="0" xfId="0" applyFill="1" applyAlignment="1">
      <alignment horizontal="left"/>
    </xf>
    <xf numFmtId="0" fontId="0" fillId="6" borderId="2" xfId="0" applyFill="1" applyBorder="1"/>
    <xf numFmtId="0" fontId="0" fillId="0" borderId="11" xfId="0" applyBorder="1"/>
    <xf numFmtId="0" fontId="0" fillId="0" borderId="3" xfId="0" applyBorder="1"/>
    <xf numFmtId="15" fontId="0" fillId="6" borderId="11" xfId="0" applyNumberFormat="1" applyFill="1" applyBorder="1" applyAlignment="1">
      <alignment horizontal="left"/>
    </xf>
    <xf numFmtId="15" fontId="0" fillId="6" borderId="12" xfId="0" applyNumberFormat="1" applyFill="1" applyBorder="1" applyAlignment="1">
      <alignment horizontal="left"/>
    </xf>
    <xf numFmtId="0" fontId="0" fillId="6" borderId="3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0" fillId="0" borderId="0" xfId="0" applyFont="1" applyAlignment="1">
      <alignment vertical="center"/>
    </xf>
    <xf numFmtId="0" fontId="0" fillId="6" borderId="1" xfId="0" applyFill="1" applyBorder="1"/>
    <xf numFmtId="0" fontId="10" fillId="6" borderId="1" xfId="0" applyFont="1" applyFill="1" applyBorder="1"/>
    <xf numFmtId="0" fontId="0" fillId="10" borderId="1" xfId="0" applyFill="1" applyBorder="1"/>
    <xf numFmtId="2" fontId="0" fillId="0" borderId="1" xfId="0" applyNumberFormat="1" applyBorder="1"/>
    <xf numFmtId="164" fontId="0" fillId="4" borderId="1" xfId="0" applyNumberFormat="1" applyFill="1" applyBorder="1"/>
    <xf numFmtId="0" fontId="18" fillId="0" borderId="0" xfId="2" applyAlignment="1">
      <alignment vertical="center"/>
    </xf>
    <xf numFmtId="2" fontId="0" fillId="6" borderId="1" xfId="0" applyNumberFormat="1" applyFill="1" applyBorder="1"/>
    <xf numFmtId="164" fontId="0" fillId="6" borderId="1" xfId="0" applyNumberFormat="1" applyFill="1" applyBorder="1"/>
    <xf numFmtId="164" fontId="0" fillId="0" borderId="1" xfId="0" applyNumberFormat="1" applyBorder="1"/>
    <xf numFmtId="1" fontId="8" fillId="11" borderId="1" xfId="0" applyNumberFormat="1" applyFont="1" applyFill="1" applyBorder="1"/>
    <xf numFmtId="2" fontId="0" fillId="0" borderId="0" xfId="0" applyNumberFormat="1"/>
    <xf numFmtId="164" fontId="9" fillId="4" borderId="1" xfId="0" applyNumberFormat="1" applyFont="1" applyFill="1" applyBorder="1"/>
    <xf numFmtId="164" fontId="13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2" fontId="3" fillId="13" borderId="1" xfId="0" applyNumberFormat="1" applyFont="1" applyFill="1" applyBorder="1"/>
    <xf numFmtId="164" fontId="3" fillId="5" borderId="1" xfId="0" applyNumberFormat="1" applyFont="1" applyFill="1" applyBorder="1" applyAlignment="1">
      <alignment horizontal="center" vertical="top" wrapText="1"/>
    </xf>
    <xf numFmtId="0" fontId="3" fillId="12" borderId="1" xfId="0" applyFont="1" applyFill="1" applyBorder="1"/>
    <xf numFmtId="0" fontId="10" fillId="0" borderId="7" xfId="0" applyFont="1" applyBorder="1"/>
    <xf numFmtId="0" fontId="10" fillId="0" borderId="8" xfId="0" applyFont="1" applyBorder="1"/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10" fillId="14" borderId="1" xfId="0" applyFont="1" applyFill="1" applyBorder="1"/>
    <xf numFmtId="164" fontId="10" fillId="0" borderId="0" xfId="0" applyNumberFormat="1" applyFont="1"/>
    <xf numFmtId="2" fontId="0" fillId="14" borderId="1" xfId="0" applyNumberFormat="1" applyFill="1" applyBorder="1"/>
    <xf numFmtId="0" fontId="0" fillId="14" borderId="1" xfId="0" applyFill="1" applyBorder="1"/>
    <xf numFmtId="0" fontId="0" fillId="14" borderId="0" xfId="0" applyFill="1"/>
    <xf numFmtId="164" fontId="0" fillId="14" borderId="1" xfId="0" applyNumberFormat="1" applyFill="1" applyBorder="1"/>
    <xf numFmtId="164" fontId="10" fillId="2" borderId="1" xfId="0" applyNumberFormat="1" applyFont="1" applyFill="1" applyBorder="1" applyAlignment="1">
      <alignment horizontal="center"/>
    </xf>
    <xf numFmtId="0" fontId="13" fillId="0" borderId="0" xfId="0" applyFont="1"/>
    <xf numFmtId="165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9" borderId="1" xfId="0" applyNumberForma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0" fillId="0" borderId="1" xfId="0" applyFont="1" applyBorder="1" applyAlignment="1">
      <alignment wrapText="1"/>
    </xf>
    <xf numFmtId="1" fontId="0" fillId="0" borderId="0" xfId="0" applyNumberFormat="1"/>
    <xf numFmtId="164" fontId="3" fillId="0" borderId="0" xfId="0" applyNumberFormat="1" applyFont="1" applyAlignment="1">
      <alignment horizontal="center" wrapText="1"/>
    </xf>
    <xf numFmtId="166" fontId="0" fillId="0" borderId="0" xfId="0" applyNumberFormat="1"/>
    <xf numFmtId="0" fontId="10" fillId="0" borderId="0" xfId="0" quotePrefix="1" applyFont="1"/>
    <xf numFmtId="164" fontId="21" fillId="0" borderId="0" xfId="0" applyNumberFormat="1" applyFont="1"/>
    <xf numFmtId="164" fontId="22" fillId="0" borderId="0" xfId="0" applyNumberFormat="1" applyFont="1"/>
    <xf numFmtId="165" fontId="0" fillId="0" borderId="0" xfId="0" applyNumberFormat="1"/>
    <xf numFmtId="0" fontId="23" fillId="0" borderId="0" xfId="0" applyFont="1"/>
    <xf numFmtId="164" fontId="0" fillId="2" borderId="2" xfId="0" applyNumberFormat="1" applyFill="1" applyBorder="1" applyAlignment="1">
      <alignment horizontal="center"/>
    </xf>
    <xf numFmtId="164" fontId="11" fillId="15" borderId="1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9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E87298D5-C9B7-40A9-8C0D-BBFC5F2D03C2}"/>
  </cellStyles>
  <dxfs count="2">
    <dxf>
      <font>
        <condense val="0"/>
        <extend val="0"/>
        <color indexed="57"/>
      </font>
    </dxf>
    <dxf>
      <font>
        <condense val="0"/>
        <extend val="0"/>
        <color indexed="5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C0C0C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160021</xdr:colOff>
      <xdr:row>6</xdr:row>
      <xdr:rowOff>21288</xdr:rowOff>
    </xdr:from>
    <xdr:to>
      <xdr:col>32</xdr:col>
      <xdr:colOff>312421</xdr:colOff>
      <xdr:row>34</xdr:row>
      <xdr:rowOff>56289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9661" y="1149048"/>
          <a:ext cx="6248400" cy="4957521"/>
        </a:xfrm>
        <a:prstGeom prst="rect">
          <a:avLst/>
        </a:prstGeom>
      </xdr:spPr>
    </xdr:pic>
    <xdr:clientData/>
  </xdr:twoCellAnchor>
  <xdr:twoCellAnchor editAs="oneCell">
    <xdr:from>
      <xdr:col>10</xdr:col>
      <xdr:colOff>191500</xdr:colOff>
      <xdr:row>24</xdr:row>
      <xdr:rowOff>0</xdr:rowOff>
    </xdr:from>
    <xdr:to>
      <xdr:col>19</xdr:col>
      <xdr:colOff>218038</xdr:colOff>
      <xdr:row>51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5900" y="4343400"/>
          <a:ext cx="5627238" cy="46710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owenduffy.net/calc/tl/tllc.php" TargetMode="External"/><Relationship Id="rId1" Type="http://schemas.openxmlformats.org/officeDocument/2006/relationships/hyperlink" Target="https://owenduffy.net/rx/gt/index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M64"/>
  <sheetViews>
    <sheetView tabSelected="1" zoomScale="94" zoomScaleNormal="100" workbookViewId="0">
      <pane xSplit="2" ySplit="9" topLeftCell="C44" activePane="bottomRight" state="frozen"/>
      <selection pane="topRight" activeCell="C1" sqref="C1"/>
      <selection pane="bottomLeft" activeCell="A8" sqref="A8"/>
      <selection pane="bottomRight" activeCell="C12" sqref="C12"/>
    </sheetView>
  </sheetViews>
  <sheetFormatPr defaultColWidth="8.6328125" defaultRowHeight="12.5"/>
  <cols>
    <col min="1" max="1" width="34.453125" customWidth="1"/>
    <col min="2" max="2" width="36.6328125" customWidth="1"/>
    <col min="3" max="3" width="11.6328125" style="6" customWidth="1"/>
    <col min="4" max="4" width="41.6328125" style="6" customWidth="1"/>
    <col min="5" max="5" width="15.81640625" style="6" customWidth="1"/>
    <col min="6" max="6" width="81" customWidth="1"/>
    <col min="8" max="8" width="25.54296875" customWidth="1"/>
    <col min="9" max="9" width="20.453125" customWidth="1"/>
    <col min="10" max="10" width="13.6328125" customWidth="1"/>
    <col min="11" max="11" width="17.453125" customWidth="1"/>
    <col min="12" max="12" width="17.54296875" customWidth="1"/>
    <col min="13" max="13" width="16.453125" customWidth="1"/>
  </cols>
  <sheetData>
    <row r="1" spans="1:8" ht="25">
      <c r="A1" s="101" t="s">
        <v>163</v>
      </c>
    </row>
    <row r="2" spans="1:8" ht="18">
      <c r="A2" s="10" t="s">
        <v>164</v>
      </c>
    </row>
    <row r="3" spans="1:8" ht="18">
      <c r="A3" s="10"/>
    </row>
    <row r="4" spans="1:8" ht="22.25" customHeight="1">
      <c r="A4" s="11" t="s">
        <v>46</v>
      </c>
      <c r="B4" s="8" t="s">
        <v>47</v>
      </c>
      <c r="C4" s="13"/>
      <c r="D4" s="15"/>
      <c r="E4" s="14"/>
      <c r="F4" s="12"/>
    </row>
    <row r="5" spans="1:8" ht="20.25" customHeight="1">
      <c r="A5" s="11"/>
      <c r="B5" s="9" t="s">
        <v>48</v>
      </c>
      <c r="C5" s="13"/>
      <c r="D5" s="13"/>
      <c r="E5" s="14"/>
      <c r="F5" s="12"/>
    </row>
    <row r="6" spans="1:8" ht="19.25" customHeight="1">
      <c r="A6" s="11"/>
      <c r="B6" s="16" t="s">
        <v>52</v>
      </c>
      <c r="C6" s="13"/>
      <c r="D6" s="13"/>
      <c r="E6" s="14"/>
      <c r="F6" s="12"/>
    </row>
    <row r="7" spans="1:8" ht="19.25" customHeight="1">
      <c r="A7" s="11"/>
      <c r="B7" s="31" t="s">
        <v>159</v>
      </c>
      <c r="C7" s="13"/>
      <c r="D7" s="13"/>
      <c r="E7" s="14"/>
      <c r="F7" s="12"/>
    </row>
    <row r="8" spans="1:8" ht="13">
      <c r="C8" s="113" t="s">
        <v>58</v>
      </c>
      <c r="D8" s="114"/>
      <c r="E8" s="115"/>
      <c r="F8" s="13"/>
    </row>
    <row r="9" spans="1:8" ht="39">
      <c r="A9" s="4" t="s">
        <v>35</v>
      </c>
      <c r="B9" s="4" t="s">
        <v>36</v>
      </c>
      <c r="C9" s="74" t="s">
        <v>65</v>
      </c>
      <c r="D9" s="7" t="s">
        <v>124</v>
      </c>
      <c r="E9" s="104" t="s">
        <v>147</v>
      </c>
      <c r="F9" s="7" t="s">
        <v>125</v>
      </c>
    </row>
    <row r="10" spans="1:8" ht="13">
      <c r="A10" s="17" t="s">
        <v>0</v>
      </c>
      <c r="B10" s="17" t="s">
        <v>28</v>
      </c>
      <c r="C10" s="18">
        <v>401.5</v>
      </c>
      <c r="D10" s="5"/>
      <c r="E10" s="18">
        <v>401.5</v>
      </c>
      <c r="F10" s="19" t="s">
        <v>49</v>
      </c>
    </row>
    <row r="11" spans="1:8">
      <c r="A11" s="17" t="s">
        <v>1</v>
      </c>
      <c r="B11" s="17" t="s">
        <v>19</v>
      </c>
      <c r="C11" s="32">
        <v>1</v>
      </c>
      <c r="D11" s="19" t="s">
        <v>69</v>
      </c>
      <c r="E11" s="20">
        <f>(10^(5/10))/1000</f>
        <v>3.1622776601683794E-3</v>
      </c>
      <c r="F11" s="19" t="s">
        <v>123</v>
      </c>
    </row>
    <row r="12" spans="1:8">
      <c r="A12" s="17" t="s">
        <v>64</v>
      </c>
      <c r="B12" s="21" t="s">
        <v>21</v>
      </c>
      <c r="C12" s="18">
        <v>25</v>
      </c>
      <c r="D12" s="19" t="s">
        <v>69</v>
      </c>
      <c r="E12" s="86">
        <v>52</v>
      </c>
      <c r="F12" s="19" t="s">
        <v>142</v>
      </c>
    </row>
    <row r="13" spans="1:8" ht="13">
      <c r="A13" s="17" t="s">
        <v>1</v>
      </c>
      <c r="B13" s="17" t="s">
        <v>20</v>
      </c>
      <c r="C13" s="22">
        <f>10*LOG(C11) + C12</f>
        <v>25</v>
      </c>
      <c r="D13" s="5"/>
      <c r="E13" s="32">
        <f t="shared" ref="E13" si="0">10*LOG(E11) + E12</f>
        <v>27</v>
      </c>
      <c r="F13" s="19" t="s">
        <v>126</v>
      </c>
      <c r="H13" s="87"/>
    </row>
    <row r="14" spans="1:8" ht="38">
      <c r="A14" s="17" t="s">
        <v>2</v>
      </c>
      <c r="B14" s="17" t="s">
        <v>21</v>
      </c>
      <c r="C14" s="33">
        <v>3</v>
      </c>
      <c r="D14" s="93" t="s">
        <v>148</v>
      </c>
      <c r="E14" s="91">
        <f>'UHF G-over-T Calculator'!C46</f>
        <v>1.9035000000000002</v>
      </c>
      <c r="F14" s="19" t="s">
        <v>150</v>
      </c>
      <c r="H14" s="13"/>
    </row>
    <row r="15" spans="1:8" ht="13">
      <c r="A15" s="17" t="s">
        <v>3</v>
      </c>
      <c r="B15" s="17" t="s">
        <v>22</v>
      </c>
      <c r="C15" s="18">
        <v>90</v>
      </c>
      <c r="D15" s="5"/>
      <c r="E15" s="33">
        <v>30</v>
      </c>
      <c r="F15" s="19" t="s">
        <v>144</v>
      </c>
      <c r="H15" s="88"/>
    </row>
    <row r="16" spans="1:8">
      <c r="A16" s="17" t="s">
        <v>4</v>
      </c>
      <c r="B16" s="17" t="s">
        <v>23</v>
      </c>
      <c r="C16" s="32">
        <v>0</v>
      </c>
      <c r="D16" s="19" t="s">
        <v>69</v>
      </c>
      <c r="E16" s="32">
        <v>16</v>
      </c>
      <c r="F16" s="19" t="s">
        <v>143</v>
      </c>
    </row>
    <row r="17" spans="1:8" ht="13">
      <c r="A17" s="19" t="s">
        <v>67</v>
      </c>
      <c r="B17" s="19" t="s">
        <v>21</v>
      </c>
      <c r="C17" s="18">
        <v>0</v>
      </c>
      <c r="D17" s="5"/>
      <c r="E17" s="32">
        <v>0</v>
      </c>
      <c r="F17" s="19" t="s">
        <v>156</v>
      </c>
    </row>
    <row r="18" spans="1:8" ht="13">
      <c r="A18" s="17" t="s">
        <v>34</v>
      </c>
      <c r="B18" s="17" t="s">
        <v>22</v>
      </c>
      <c r="C18" s="18">
        <v>2</v>
      </c>
      <c r="D18" s="5"/>
      <c r="E18" s="18">
        <v>5</v>
      </c>
      <c r="F18" s="19" t="s">
        <v>151</v>
      </c>
    </row>
    <row r="19" spans="1:8">
      <c r="A19" s="17" t="s">
        <v>5</v>
      </c>
      <c r="B19" s="17" t="s">
        <v>21</v>
      </c>
      <c r="C19" s="24">
        <f>-12*(C18/C15)^2</f>
        <v>-5.9259259259259265E-3</v>
      </c>
      <c r="D19" s="19" t="s">
        <v>69</v>
      </c>
      <c r="E19" s="35">
        <f>12*(E18/E15)^2</f>
        <v>0.33333333333333331</v>
      </c>
      <c r="F19" s="19" t="s">
        <v>114</v>
      </c>
    </row>
    <row r="20" spans="1:8" ht="13">
      <c r="A20" s="17" t="s">
        <v>6</v>
      </c>
      <c r="B20" s="17" t="s">
        <v>23</v>
      </c>
      <c r="C20" s="24">
        <f>C16+C19-C17</f>
        <v>-5.9259259259259265E-3</v>
      </c>
      <c r="D20" s="5"/>
      <c r="E20" s="23">
        <f>E16-E17-E19</f>
        <v>15.666666666666666</v>
      </c>
      <c r="F20" s="19"/>
      <c r="H20" s="87"/>
    </row>
    <row r="21" spans="1:8" ht="13">
      <c r="A21" s="17" t="s">
        <v>7</v>
      </c>
      <c r="B21" s="17" t="s">
        <v>20</v>
      </c>
      <c r="C21" s="35">
        <f>C13-C14+C20</f>
        <v>21.994074074074074</v>
      </c>
      <c r="D21" s="19" t="s">
        <v>115</v>
      </c>
      <c r="E21" s="35">
        <f>E13-E14+E20</f>
        <v>40.763166666666663</v>
      </c>
      <c r="F21" s="19" t="s">
        <v>126</v>
      </c>
      <c r="H21" s="13"/>
    </row>
    <row r="22" spans="1:8" ht="13">
      <c r="A22" s="17" t="s">
        <v>39</v>
      </c>
      <c r="B22" s="17"/>
      <c r="C22" s="18">
        <v>10</v>
      </c>
      <c r="D22" s="5"/>
      <c r="E22" s="18">
        <v>10</v>
      </c>
      <c r="F22" s="19" t="s">
        <v>50</v>
      </c>
      <c r="H22" s="90"/>
    </row>
    <row r="23" spans="1:8" ht="13">
      <c r="A23" s="17" t="s">
        <v>38</v>
      </c>
      <c r="B23" s="17" t="s">
        <v>24</v>
      </c>
      <c r="C23" s="18">
        <v>550</v>
      </c>
      <c r="D23" s="5"/>
      <c r="E23" s="18">
        <v>11</v>
      </c>
      <c r="F23" s="19" t="s">
        <v>45</v>
      </c>
    </row>
    <row r="24" spans="1:8" ht="13">
      <c r="A24" s="17" t="s">
        <v>29</v>
      </c>
      <c r="B24" s="17" t="s">
        <v>24</v>
      </c>
      <c r="C24" s="24">
        <f>SQRT(6378^2+(6378+C23)^2-2*6378*(6378+C23)*COS(PI()-RADIANS(90+C22)-ASIN(6378*SIN(RADIANS(90+C22))/(6378+C23))))</f>
        <v>1815.6411690005555</v>
      </c>
      <c r="D24" s="5"/>
      <c r="E24" s="24">
        <f>SQRT(6378^2+(6378+E23)^2-2*6378*(6378+E23)*COS(PI()-RADIANS(90+E22)-ASIN(6378*SIN(RADIANS(90+E22))/(6378+E23))))</f>
        <v>61.683384337838874</v>
      </c>
      <c r="F24" s="25" t="s">
        <v>55</v>
      </c>
      <c r="H24" s="13"/>
    </row>
    <row r="25" spans="1:8" ht="13">
      <c r="A25" s="17" t="s">
        <v>8</v>
      </c>
      <c r="B25" s="17" t="s">
        <v>21</v>
      </c>
      <c r="C25" s="35">
        <f>-(147.55-20*LOG(C24*1000)-20*LOG(C10*1000000))</f>
        <v>149.70431142531913</v>
      </c>
      <c r="D25" s="19" t="s">
        <v>114</v>
      </c>
      <c r="E25" s="35">
        <f>-(147.55-20*LOG(E24*1000)-20*LOG(E10*1000000))</f>
        <v>120.32707486867933</v>
      </c>
      <c r="F25" s="19" t="s">
        <v>114</v>
      </c>
      <c r="H25" s="89"/>
    </row>
    <row r="26" spans="1:8">
      <c r="A26" s="19" t="s">
        <v>72</v>
      </c>
      <c r="B26" s="19" t="s">
        <v>21</v>
      </c>
      <c r="C26" s="35">
        <v>0.4</v>
      </c>
      <c r="D26" s="19" t="s">
        <v>69</v>
      </c>
      <c r="E26" s="35">
        <v>0.4</v>
      </c>
      <c r="F26" s="19" t="s">
        <v>69</v>
      </c>
    </row>
    <row r="27" spans="1:8">
      <c r="A27" s="19" t="s">
        <v>73</v>
      </c>
      <c r="B27" s="19" t="s">
        <v>21</v>
      </c>
      <c r="C27" s="35">
        <v>2.1</v>
      </c>
      <c r="D27" s="19" t="s">
        <v>69</v>
      </c>
      <c r="E27" s="35">
        <v>2.1</v>
      </c>
      <c r="F27" s="19" t="s">
        <v>69</v>
      </c>
    </row>
    <row r="28" spans="1:8">
      <c r="A28" s="19" t="s">
        <v>51</v>
      </c>
      <c r="B28" s="17" t="s">
        <v>21</v>
      </c>
      <c r="C28" s="33">
        <f>3+C26+C27</f>
        <v>5.5</v>
      </c>
      <c r="D28" s="19" t="s">
        <v>74</v>
      </c>
      <c r="E28" s="33">
        <f>3+E26+E27</f>
        <v>5.5</v>
      </c>
      <c r="F28" s="19" t="s">
        <v>74</v>
      </c>
    </row>
    <row r="29" spans="1:8" ht="25">
      <c r="A29" s="17" t="s">
        <v>9</v>
      </c>
      <c r="B29" s="17" t="s">
        <v>23</v>
      </c>
      <c r="C29" s="102">
        <v>16</v>
      </c>
      <c r="D29" s="93" t="s">
        <v>149</v>
      </c>
      <c r="E29" s="18">
        <v>0</v>
      </c>
      <c r="F29" s="34"/>
    </row>
    <row r="30" spans="1:8">
      <c r="A30" s="17" t="s">
        <v>10</v>
      </c>
      <c r="B30" s="17" t="s">
        <v>22</v>
      </c>
      <c r="C30" s="102">
        <v>30</v>
      </c>
      <c r="D30" s="19" t="s">
        <v>152</v>
      </c>
      <c r="E30" s="32">
        <f>C15</f>
        <v>90</v>
      </c>
      <c r="F30" s="19" t="s">
        <v>66</v>
      </c>
    </row>
    <row r="31" spans="1:8">
      <c r="A31" s="17" t="s">
        <v>11</v>
      </c>
      <c r="B31" s="17" t="s">
        <v>22</v>
      </c>
      <c r="C31" s="18">
        <v>5</v>
      </c>
      <c r="D31" s="19" t="s">
        <v>133</v>
      </c>
      <c r="E31" s="18">
        <v>5</v>
      </c>
      <c r="F31" s="19" t="s">
        <v>53</v>
      </c>
    </row>
    <row r="32" spans="1:8" hidden="1">
      <c r="A32" s="19" t="s">
        <v>63</v>
      </c>
      <c r="B32" s="19" t="s">
        <v>42</v>
      </c>
      <c r="C32" s="33">
        <v>20</v>
      </c>
      <c r="D32" s="19" t="s">
        <v>75</v>
      </c>
      <c r="E32" s="18">
        <v>30</v>
      </c>
      <c r="F32" s="19"/>
    </row>
    <row r="33" spans="1:6" hidden="1">
      <c r="A33" s="19" t="s">
        <v>44</v>
      </c>
      <c r="B33" s="19" t="s">
        <v>21</v>
      </c>
      <c r="C33" s="33">
        <v>24</v>
      </c>
      <c r="D33" s="19" t="s">
        <v>71</v>
      </c>
      <c r="E33" s="18">
        <v>0</v>
      </c>
      <c r="F33" s="19" t="s">
        <v>70</v>
      </c>
    </row>
    <row r="34" spans="1:6" ht="13" hidden="1">
      <c r="A34" s="19" t="s">
        <v>68</v>
      </c>
      <c r="B34" s="17" t="s">
        <v>42</v>
      </c>
      <c r="C34" s="18">
        <v>20</v>
      </c>
      <c r="D34" s="5"/>
      <c r="E34" s="27">
        <v>0</v>
      </c>
      <c r="F34" s="19" t="s">
        <v>60</v>
      </c>
    </row>
    <row r="35" spans="1:6">
      <c r="A35" s="17" t="s">
        <v>27</v>
      </c>
      <c r="B35" s="17" t="s">
        <v>21</v>
      </c>
      <c r="C35" s="35">
        <f>12*(C31/C30)^2</f>
        <v>0.33333333333333331</v>
      </c>
      <c r="D35" s="19" t="s">
        <v>114</v>
      </c>
      <c r="E35" s="24">
        <f>-12*(E31/E30)^2</f>
        <v>-3.7037037037037035E-2</v>
      </c>
      <c r="F35" s="28" t="s">
        <v>61</v>
      </c>
    </row>
    <row r="36" spans="1:6" ht="13" hidden="1">
      <c r="A36" s="17" t="s">
        <v>43</v>
      </c>
      <c r="B36" s="17" t="s">
        <v>21</v>
      </c>
      <c r="C36" s="24">
        <f>-((C34+C32)/100)*12.3</f>
        <v>-4.9200000000000008</v>
      </c>
      <c r="D36" s="5"/>
      <c r="E36" s="24">
        <v>0</v>
      </c>
      <c r="F36" s="25" t="s">
        <v>54</v>
      </c>
    </row>
    <row r="37" spans="1:6" ht="13" hidden="1">
      <c r="A37" s="17" t="s">
        <v>30</v>
      </c>
      <c r="B37" s="17" t="s">
        <v>23</v>
      </c>
      <c r="C37" s="24">
        <f>C29+C35+C36+C33</f>
        <v>35.413333333333327</v>
      </c>
      <c r="D37" s="5"/>
      <c r="E37" s="24">
        <f>E29+E35</f>
        <v>-3.7037037037037035E-2</v>
      </c>
      <c r="F37" s="28"/>
    </row>
    <row r="38" spans="1:6">
      <c r="A38" s="19" t="s">
        <v>109</v>
      </c>
      <c r="B38" s="19" t="s">
        <v>110</v>
      </c>
      <c r="C38" s="103">
        <f>'UHF G-over-T Calculator'!C32</f>
        <v>-11.931270845390035</v>
      </c>
      <c r="D38" s="19" t="s">
        <v>111</v>
      </c>
      <c r="E38" s="35">
        <f>'UHF G-over-T Calculator'!C32</f>
        <v>-11.931270845390035</v>
      </c>
      <c r="F38" s="19" t="s">
        <v>69</v>
      </c>
    </row>
    <row r="39" spans="1:6" ht="13" hidden="1">
      <c r="A39" s="17" t="s">
        <v>41</v>
      </c>
      <c r="B39" s="17" t="s">
        <v>31</v>
      </c>
      <c r="C39" s="29">
        <v>292</v>
      </c>
      <c r="D39" s="5"/>
      <c r="E39" s="27">
        <v>234</v>
      </c>
      <c r="F39" s="19" t="s">
        <v>57</v>
      </c>
    </row>
    <row r="40" spans="1:6" ht="13" hidden="1">
      <c r="A40" s="17" t="s">
        <v>40</v>
      </c>
      <c r="B40" s="17" t="s">
        <v>31</v>
      </c>
      <c r="C40" s="26">
        <v>600</v>
      </c>
      <c r="D40" s="5"/>
      <c r="E40" s="26">
        <v>290</v>
      </c>
      <c r="F40" s="19" t="s">
        <v>59</v>
      </c>
    </row>
    <row r="41" spans="1:6" ht="13" hidden="1">
      <c r="A41" s="17" t="s">
        <v>12</v>
      </c>
      <c r="B41" s="17" t="s">
        <v>31</v>
      </c>
      <c r="C41" s="24">
        <f>C40+C39</f>
        <v>892</v>
      </c>
      <c r="D41" s="5"/>
      <c r="E41" s="24">
        <f>E40+E39</f>
        <v>524</v>
      </c>
      <c r="F41" s="28"/>
    </row>
    <row r="42" spans="1:6">
      <c r="A42" s="19" t="s">
        <v>112</v>
      </c>
      <c r="B42" s="19" t="s">
        <v>116</v>
      </c>
      <c r="C42" s="35">
        <f>C21 - C25 - C28 - C35 + C38 + 228.6</f>
        <v>83.125158470031579</v>
      </c>
      <c r="D42" s="19" t="s">
        <v>117</v>
      </c>
      <c r="E42" s="35">
        <f>E21 - SUM(E25:E28) - E35 + E38 + 228.6</f>
        <v>129.14185798963433</v>
      </c>
      <c r="F42" s="19" t="s">
        <v>117</v>
      </c>
    </row>
    <row r="43" spans="1:6">
      <c r="A43" s="17" t="s">
        <v>13</v>
      </c>
      <c r="B43" s="17" t="s">
        <v>25</v>
      </c>
      <c r="C43" s="72">
        <v>19200</v>
      </c>
      <c r="D43" s="19" t="s">
        <v>118</v>
      </c>
      <c r="E43" s="72">
        <v>19200</v>
      </c>
      <c r="F43" s="19" t="s">
        <v>56</v>
      </c>
    </row>
    <row r="44" spans="1:6" ht="13">
      <c r="A44" s="19" t="s">
        <v>113</v>
      </c>
      <c r="B44" s="17" t="s">
        <v>21</v>
      </c>
      <c r="C44" s="71">
        <f>C42 - 10*LOG(C43)</f>
        <v>40.292146182996085</v>
      </c>
      <c r="D44" s="5"/>
      <c r="E44" s="71">
        <f>E42 - 10*LOG(E43)</f>
        <v>86.30884570259883</v>
      </c>
      <c r="F44" s="28" t="s">
        <v>62</v>
      </c>
    </row>
    <row r="45" spans="1:6" ht="13">
      <c r="A45" s="17" t="s">
        <v>16</v>
      </c>
      <c r="B45" s="17" t="s">
        <v>21</v>
      </c>
      <c r="C45" s="33">
        <f>C51</f>
        <v>7.8</v>
      </c>
      <c r="D45" s="75" t="s">
        <v>138</v>
      </c>
      <c r="E45" s="33">
        <f>C45</f>
        <v>7.8</v>
      </c>
      <c r="F45" s="75" t="s">
        <v>138</v>
      </c>
    </row>
    <row r="46" spans="1:6" ht="13" hidden="1">
      <c r="A46" s="17" t="s">
        <v>14</v>
      </c>
      <c r="B46" s="17" t="s">
        <v>26</v>
      </c>
      <c r="C46" s="24">
        <f>C44+10*LOG(C43)</f>
        <v>83.125158470031579</v>
      </c>
      <c r="D46" s="5"/>
      <c r="E46" s="24">
        <f>E44+10*LOG(E43)</f>
        <v>129.14185798963433</v>
      </c>
      <c r="F46" s="75" t="s">
        <v>134</v>
      </c>
    </row>
    <row r="47" spans="1:6" ht="13" hidden="1">
      <c r="A47" s="17" t="s">
        <v>15</v>
      </c>
      <c r="B47" s="17" t="s">
        <v>37</v>
      </c>
      <c r="C47" s="18">
        <v>0</v>
      </c>
      <c r="D47" s="5"/>
      <c r="E47" s="18"/>
      <c r="F47" s="17"/>
    </row>
    <row r="48" spans="1:6">
      <c r="A48" s="17" t="s">
        <v>17</v>
      </c>
      <c r="B48" s="17" t="s">
        <v>21</v>
      </c>
      <c r="C48" s="33">
        <v>2</v>
      </c>
      <c r="D48" s="19" t="s">
        <v>114</v>
      </c>
      <c r="E48" s="33">
        <v>23</v>
      </c>
      <c r="F48" s="19"/>
    </row>
    <row r="49" spans="1:13" ht="20">
      <c r="A49" s="5" t="s">
        <v>18</v>
      </c>
      <c r="B49" s="5" t="s">
        <v>21</v>
      </c>
      <c r="C49" s="30">
        <f>C44 - C48 - C45</f>
        <v>30.492146182996084</v>
      </c>
      <c r="D49" s="5"/>
      <c r="E49" s="30">
        <f>E44 - E48 - E45</f>
        <v>55.508845702598833</v>
      </c>
      <c r="F49" s="17"/>
    </row>
    <row r="51" spans="1:13">
      <c r="A51" s="15" t="s">
        <v>139</v>
      </c>
      <c r="B51" s="15" t="s">
        <v>21</v>
      </c>
      <c r="C51" s="112">
        <v>7.8</v>
      </c>
      <c r="D51" s="81" t="s">
        <v>140</v>
      </c>
      <c r="E51" s="6" t="s">
        <v>157</v>
      </c>
    </row>
    <row r="53" spans="1:13" ht="13">
      <c r="H53" s="13"/>
      <c r="I53" s="6"/>
      <c r="J53" s="6"/>
    </row>
    <row r="54" spans="1:13" ht="17.399999999999999" customHeight="1">
      <c r="A54" s="1" t="s">
        <v>33</v>
      </c>
      <c r="H54" s="92"/>
      <c r="I54" s="92"/>
      <c r="J54" s="92"/>
      <c r="K54" s="92"/>
      <c r="L54" s="92"/>
      <c r="M54" s="95"/>
    </row>
    <row r="55" spans="1:13">
      <c r="A55" s="3" t="s">
        <v>160</v>
      </c>
      <c r="H55" s="81"/>
      <c r="I55" s="6"/>
      <c r="J55" s="96"/>
    </row>
    <row r="56" spans="1:13">
      <c r="A56" s="2" t="s">
        <v>32</v>
      </c>
      <c r="H56" s="81"/>
      <c r="I56" s="6"/>
      <c r="J56" s="100"/>
    </row>
    <row r="57" spans="1:13">
      <c r="H57" s="81"/>
      <c r="I57" s="6"/>
      <c r="J57" s="6"/>
      <c r="L57" s="94"/>
    </row>
    <row r="58" spans="1:13">
      <c r="H58" s="81"/>
      <c r="I58" s="6"/>
      <c r="J58" s="69"/>
      <c r="L58" s="94"/>
    </row>
    <row r="60" spans="1:13" ht="13">
      <c r="H60" s="98"/>
      <c r="I60" s="15"/>
      <c r="J60" s="15"/>
      <c r="K60" s="15"/>
      <c r="L60" s="15"/>
      <c r="M60" s="15"/>
    </row>
    <row r="61" spans="1:13" ht="13">
      <c r="H61" s="81"/>
      <c r="I61" s="69"/>
      <c r="J61" s="6"/>
      <c r="M61" s="99"/>
    </row>
    <row r="62" spans="1:13" ht="13">
      <c r="H62" s="15"/>
      <c r="I62" s="69"/>
      <c r="J62" s="6"/>
      <c r="M62" s="99"/>
    </row>
    <row r="64" spans="1:13">
      <c r="H64" s="15"/>
      <c r="L64" s="97"/>
    </row>
  </sheetData>
  <mergeCells count="1">
    <mergeCell ref="C8:E8"/>
  </mergeCells>
  <phoneticPr fontId="2" type="noConversion"/>
  <conditionalFormatting sqref="C49">
    <cfRule type="cellIs" dxfId="1" priority="3" stopIfTrue="1" operator="greaterThan">
      <formula>3</formula>
    </cfRule>
  </conditionalFormatting>
  <conditionalFormatting sqref="E49">
    <cfRule type="cellIs" dxfId="0" priority="1" stopIfTrue="1" operator="greaterThan">
      <formula>3</formula>
    </cfRule>
  </conditionalFormatting>
  <pageMargins left="0.75" right="0.75" top="1" bottom="1" header="0.5" footer="0.5"/>
  <pageSetup scale="46" orientation="landscape" r:id="rId1"/>
  <headerFooter alignWithMargins="0"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E487-FA1A-4CA2-AD16-9D1CE846C17B}">
  <sheetPr>
    <tabColor rgb="FFFFC000"/>
  </sheetPr>
  <dimension ref="A1:U46"/>
  <sheetViews>
    <sheetView zoomScale="95" workbookViewId="0">
      <selection activeCell="C32" sqref="C32"/>
    </sheetView>
  </sheetViews>
  <sheetFormatPr defaultRowHeight="12.5"/>
  <cols>
    <col min="1" max="1" width="9.6328125" customWidth="1"/>
    <col min="2" max="2" width="40" customWidth="1"/>
    <col min="3" max="3" width="9.453125" bestFit="1" customWidth="1"/>
    <col min="5" max="5" width="9.36328125" customWidth="1"/>
    <col min="6" max="6" width="8.6328125" customWidth="1"/>
    <col min="7" max="8" width="10.36328125" customWidth="1"/>
    <col min="9" max="9" width="11.6328125" customWidth="1"/>
    <col min="18" max="18" width="8.6328125" customWidth="1"/>
    <col min="19" max="19" width="10.54296875" bestFit="1" customWidth="1"/>
    <col min="20" max="20" width="9.6328125" customWidth="1"/>
  </cols>
  <sheetData>
    <row r="1" spans="1:21" ht="23">
      <c r="A1" s="36" t="s">
        <v>162</v>
      </c>
    </row>
    <row r="3" spans="1:21">
      <c r="A3" s="37" t="s">
        <v>76</v>
      </c>
      <c r="B3" s="38"/>
      <c r="C3" s="39" t="s">
        <v>77</v>
      </c>
      <c r="D3" s="40"/>
      <c r="E3" s="40"/>
      <c r="F3" s="40"/>
      <c r="G3" s="40"/>
      <c r="H3" s="41"/>
    </row>
    <row r="4" spans="1:21">
      <c r="A4" s="42" t="s">
        <v>78</v>
      </c>
      <c r="B4" s="43"/>
      <c r="C4" s="105" t="s">
        <v>161</v>
      </c>
      <c r="D4" s="44"/>
      <c r="E4" s="44"/>
      <c r="F4" s="44"/>
      <c r="G4" s="44"/>
      <c r="H4" s="45"/>
      <c r="J4" s="84"/>
      <c r="K4" s="15" t="s">
        <v>141</v>
      </c>
    </row>
    <row r="5" spans="1:21">
      <c r="A5" s="46" t="s">
        <v>79</v>
      </c>
      <c r="B5" s="47"/>
      <c r="C5" s="48">
        <v>44391</v>
      </c>
      <c r="D5" s="49"/>
      <c r="E5" s="49"/>
      <c r="F5" s="49"/>
      <c r="G5" s="49"/>
      <c r="H5" s="50"/>
    </row>
    <row r="7" spans="1:21" ht="25">
      <c r="A7" s="51" t="s">
        <v>80</v>
      </c>
      <c r="B7" s="51" t="s">
        <v>81</v>
      </c>
      <c r="C7" s="76" t="s">
        <v>127</v>
      </c>
      <c r="D7" s="52" t="s">
        <v>82</v>
      </c>
      <c r="E7" s="78" t="s">
        <v>83</v>
      </c>
      <c r="F7" s="52" t="s">
        <v>82</v>
      </c>
      <c r="G7" s="52"/>
      <c r="H7" s="116" t="s">
        <v>84</v>
      </c>
      <c r="I7" s="117"/>
    </row>
    <row r="8" spans="1:21" ht="14">
      <c r="A8" s="53"/>
      <c r="B8" s="54"/>
      <c r="C8" s="77" t="s">
        <v>128</v>
      </c>
      <c r="D8" s="55" t="s">
        <v>85</v>
      </c>
      <c r="E8" s="79" t="s">
        <v>85</v>
      </c>
      <c r="F8" s="79"/>
      <c r="G8" s="79"/>
      <c r="H8" s="56" t="s">
        <v>81</v>
      </c>
      <c r="I8" s="57" t="s">
        <v>86</v>
      </c>
      <c r="M8" s="58" t="s">
        <v>87</v>
      </c>
    </row>
    <row r="9" spans="1:21">
      <c r="A9" s="59">
        <v>1</v>
      </c>
      <c r="B9" s="60" t="s">
        <v>158</v>
      </c>
      <c r="C9" s="60"/>
      <c r="D9" s="61"/>
      <c r="E9" s="83">
        <v>11.1</v>
      </c>
      <c r="F9" s="61"/>
      <c r="G9" s="62">
        <f t="shared" ref="G9:G15" si="0">G10*F10</f>
        <v>23.224693967940485</v>
      </c>
      <c r="H9" s="63">
        <f t="shared" ref="H9:H21" si="1">(10^(IF(D9&lt;0,-D9,E9)/10)-1)*290</f>
        <v>3445.923699910089</v>
      </c>
      <c r="I9" s="63">
        <f>H9/G9</f>
        <v>148.37326617379173</v>
      </c>
      <c r="M9" s="64" t="s">
        <v>88</v>
      </c>
    </row>
    <row r="10" spans="1:21" ht="14">
      <c r="A10" s="59">
        <v>2</v>
      </c>
      <c r="B10" s="60" t="s">
        <v>129</v>
      </c>
      <c r="C10" s="80">
        <v>0.5</v>
      </c>
      <c r="D10" s="65">
        <f>-(2.7/100)*C10</f>
        <v>-1.3500000000000002E-2</v>
      </c>
      <c r="E10" s="66"/>
      <c r="F10" s="62">
        <f t="shared" ref="F10:F21" si="2">10^(D10/10)</f>
        <v>0.99689633647692688</v>
      </c>
      <c r="G10" s="62">
        <f t="shared" si="0"/>
        <v>23.297000017090564</v>
      </c>
      <c r="H10" s="63">
        <f t="shared" si="1"/>
        <v>0.902864609646441</v>
      </c>
      <c r="I10" s="63">
        <f t="shared" ref="I10:I21" si="3">H10/G10</f>
        <v>3.8754543889088895E-2</v>
      </c>
      <c r="M10" s="58"/>
    </row>
    <row r="11" spans="1:21" ht="14">
      <c r="A11" s="59">
        <v>3</v>
      </c>
      <c r="B11" s="60" t="s">
        <v>145</v>
      </c>
      <c r="C11" s="60"/>
      <c r="D11" s="82">
        <v>16</v>
      </c>
      <c r="E11" s="83">
        <v>0.55000000000000004</v>
      </c>
      <c r="F11" s="62">
        <f t="shared" si="2"/>
        <v>39.810717055349755</v>
      </c>
      <c r="G11" s="62">
        <f t="shared" si="0"/>
        <v>0.58519418237808196</v>
      </c>
      <c r="H11" s="63">
        <f t="shared" si="1"/>
        <v>39.153136544971382</v>
      </c>
      <c r="I11" s="63">
        <f>H11/G11</f>
        <v>66.906229972866242</v>
      </c>
      <c r="M11" s="58" t="s">
        <v>89</v>
      </c>
    </row>
    <row r="12" spans="1:21">
      <c r="A12" s="59">
        <v>4</v>
      </c>
      <c r="B12" s="60" t="s">
        <v>130</v>
      </c>
      <c r="C12" s="80">
        <v>0.5</v>
      </c>
      <c r="D12" s="65">
        <f>-(2.7/100)*C12</f>
        <v>-1.3500000000000002E-2</v>
      </c>
      <c r="E12" s="66"/>
      <c r="F12" s="62">
        <f t="shared" si="2"/>
        <v>0.99689633647692688</v>
      </c>
      <c r="G12" s="62">
        <f t="shared" si="0"/>
        <v>0.58701608278166872</v>
      </c>
      <c r="H12" s="63">
        <f t="shared" si="1"/>
        <v>0.902864609646441</v>
      </c>
      <c r="I12" s="63">
        <f t="shared" ref="I12:I13" si="4">H12/G12</f>
        <v>1.5380577059627973</v>
      </c>
      <c r="M12" s="64" t="s">
        <v>90</v>
      </c>
    </row>
    <row r="13" spans="1:21">
      <c r="A13" s="59">
        <v>5</v>
      </c>
      <c r="B13" s="59" t="s">
        <v>91</v>
      </c>
      <c r="C13" s="59"/>
      <c r="D13" s="82">
        <v>-0.1</v>
      </c>
      <c r="E13" s="66"/>
      <c r="F13" s="62">
        <f t="shared" si="2"/>
        <v>0.97723722095581067</v>
      </c>
      <c r="G13" s="62">
        <f t="shared" si="0"/>
        <v>0.60068944386658063</v>
      </c>
      <c r="H13" s="63">
        <f t="shared" si="1"/>
        <v>6.7549677614186887</v>
      </c>
      <c r="I13" s="63">
        <f t="shared" si="4"/>
        <v>11.245357864019727</v>
      </c>
    </row>
    <row r="14" spans="1:21">
      <c r="A14" s="59">
        <v>6</v>
      </c>
      <c r="B14" s="60" t="s">
        <v>131</v>
      </c>
      <c r="C14" s="80">
        <v>0.5</v>
      </c>
      <c r="D14" s="65">
        <f>-(2.7/100)*C14</f>
        <v>-1.3500000000000002E-2</v>
      </c>
      <c r="E14" s="66"/>
      <c r="F14" s="62">
        <f t="shared" si="2"/>
        <v>0.99689633647692688</v>
      </c>
      <c r="G14" s="62">
        <f t="shared" si="0"/>
        <v>0.60255958607435767</v>
      </c>
      <c r="H14" s="63">
        <f t="shared" si="1"/>
        <v>0.902864609646441</v>
      </c>
      <c r="I14" s="63">
        <f t="shared" si="3"/>
        <v>1.4983822853579576</v>
      </c>
    </row>
    <row r="15" spans="1:21">
      <c r="A15" s="59">
        <v>7</v>
      </c>
      <c r="B15" s="59" t="s">
        <v>146</v>
      </c>
      <c r="C15" s="59"/>
      <c r="D15" s="82">
        <v>-0.85</v>
      </c>
      <c r="E15" s="66"/>
      <c r="F15" s="62">
        <f t="shared" si="2"/>
        <v>0.82224264994707108</v>
      </c>
      <c r="G15" s="62">
        <f t="shared" si="0"/>
        <v>0.73282453313890406</v>
      </c>
      <c r="H15" s="63">
        <f t="shared" si="1"/>
        <v>62.693940187446735</v>
      </c>
      <c r="I15" s="63">
        <f t="shared" si="3"/>
        <v>85.551093546104497</v>
      </c>
    </row>
    <row r="16" spans="1:21">
      <c r="A16" s="59">
        <v>8</v>
      </c>
      <c r="B16" s="60" t="s">
        <v>132</v>
      </c>
      <c r="C16" s="80">
        <v>50</v>
      </c>
      <c r="D16" s="65">
        <f>-(2.7/100)*C16</f>
        <v>-1.35</v>
      </c>
      <c r="E16" s="66"/>
      <c r="F16" s="62">
        <f>10^(D16/10)</f>
        <v>0.73282453313890406</v>
      </c>
      <c r="G16" s="62">
        <f>G17*F17</f>
        <v>1</v>
      </c>
      <c r="H16" s="63">
        <f t="shared" si="1"/>
        <v>105.7291096107881</v>
      </c>
      <c r="I16" s="63">
        <f t="shared" si="3"/>
        <v>105.7291096107881</v>
      </c>
      <c r="Q16" s="19" t="s">
        <v>93</v>
      </c>
      <c r="R16" s="19" t="s">
        <v>94</v>
      </c>
      <c r="S16" s="19" t="s">
        <v>95</v>
      </c>
      <c r="T16" s="19" t="s">
        <v>135</v>
      </c>
      <c r="U16" s="19" t="s">
        <v>96</v>
      </c>
    </row>
    <row r="17" spans="1:21">
      <c r="A17" s="59"/>
      <c r="B17" s="59"/>
      <c r="C17" s="59"/>
      <c r="D17" s="65"/>
      <c r="E17" s="66"/>
      <c r="F17" s="62">
        <f>10^(D17/10)</f>
        <v>1</v>
      </c>
      <c r="G17" s="62">
        <f>G18*F18</f>
        <v>1</v>
      </c>
      <c r="H17" s="63">
        <f t="shared" si="1"/>
        <v>0</v>
      </c>
      <c r="I17" s="63">
        <f t="shared" si="3"/>
        <v>0</v>
      </c>
      <c r="O17" s="19" t="s">
        <v>97</v>
      </c>
      <c r="P17" s="17"/>
      <c r="Q17" s="17">
        <v>100</v>
      </c>
      <c r="R17" s="17">
        <v>10</v>
      </c>
      <c r="S17" s="17">
        <v>-0.5</v>
      </c>
      <c r="T17" s="62">
        <v>0.6</v>
      </c>
      <c r="U17" s="62">
        <f>Q17*T17</f>
        <v>60</v>
      </c>
    </row>
    <row r="18" spans="1:21">
      <c r="A18" s="59"/>
      <c r="B18" s="59"/>
      <c r="C18" s="59"/>
      <c r="D18" s="66"/>
      <c r="E18" s="66"/>
      <c r="F18" s="62">
        <f>10^(D18/10)</f>
        <v>1</v>
      </c>
      <c r="G18" s="62">
        <f>G19*F19</f>
        <v>1</v>
      </c>
      <c r="H18" s="63">
        <f t="shared" si="1"/>
        <v>0</v>
      </c>
      <c r="I18" s="63">
        <f t="shared" si="3"/>
        <v>0</v>
      </c>
      <c r="O18" s="19" t="s">
        <v>97</v>
      </c>
      <c r="P18" s="17"/>
      <c r="Q18" s="17">
        <v>100</v>
      </c>
      <c r="R18" s="17">
        <v>10</v>
      </c>
      <c r="S18" s="17">
        <v>-1.5</v>
      </c>
      <c r="T18" s="62">
        <v>0.25</v>
      </c>
      <c r="U18" s="62">
        <f>Q18*T18</f>
        <v>25</v>
      </c>
    </row>
    <row r="19" spans="1:21">
      <c r="A19" s="59"/>
      <c r="B19" s="59"/>
      <c r="C19" s="59"/>
      <c r="D19" s="66"/>
      <c r="E19" s="66"/>
      <c r="F19" s="62">
        <f>10^(D19/10)</f>
        <v>1</v>
      </c>
      <c r="G19" s="62">
        <f>G20*F20</f>
        <v>1</v>
      </c>
      <c r="H19" s="63">
        <f t="shared" si="1"/>
        <v>0</v>
      </c>
      <c r="I19" s="63">
        <f t="shared" si="3"/>
        <v>0</v>
      </c>
      <c r="O19" s="19" t="s">
        <v>97</v>
      </c>
      <c r="P19" s="17"/>
      <c r="Q19" s="17">
        <v>100</v>
      </c>
      <c r="R19" s="17">
        <v>10</v>
      </c>
      <c r="S19" s="67">
        <v>-3</v>
      </c>
      <c r="T19" s="62">
        <v>0.09</v>
      </c>
      <c r="U19" s="62">
        <f>Q19*T19</f>
        <v>9</v>
      </c>
    </row>
    <row r="20" spans="1:21">
      <c r="A20" s="59"/>
      <c r="B20" s="59"/>
      <c r="C20" s="59"/>
      <c r="D20" s="66"/>
      <c r="E20" s="66"/>
      <c r="F20" s="62">
        <f>10^(D20/10)</f>
        <v>1</v>
      </c>
      <c r="G20" s="62">
        <f>G21*F21</f>
        <v>1</v>
      </c>
      <c r="H20" s="63">
        <f t="shared" si="1"/>
        <v>0</v>
      </c>
      <c r="I20" s="63">
        <f t="shared" si="3"/>
        <v>0</v>
      </c>
      <c r="O20" s="19" t="s">
        <v>137</v>
      </c>
      <c r="P20" s="17"/>
      <c r="Q20" s="17">
        <v>1000</v>
      </c>
      <c r="R20" s="17">
        <v>150</v>
      </c>
      <c r="S20" s="67">
        <v>-25</v>
      </c>
      <c r="T20" s="62">
        <v>0.05</v>
      </c>
      <c r="U20" s="62">
        <f>Q20*T20</f>
        <v>50</v>
      </c>
    </row>
    <row r="21" spans="1:21">
      <c r="A21" s="59"/>
      <c r="B21" s="59"/>
      <c r="C21" s="59"/>
      <c r="D21" s="66"/>
      <c r="E21" s="66"/>
      <c r="F21" s="62">
        <f t="shared" si="2"/>
        <v>1</v>
      </c>
      <c r="G21" s="62">
        <v>1</v>
      </c>
      <c r="H21" s="63">
        <f t="shared" si="1"/>
        <v>0</v>
      </c>
      <c r="I21" s="63">
        <f t="shared" si="3"/>
        <v>0</v>
      </c>
      <c r="O21" s="19" t="s">
        <v>98</v>
      </c>
      <c r="P21" s="17"/>
      <c r="Q21" s="17">
        <v>290</v>
      </c>
      <c r="R21" s="17">
        <v>180</v>
      </c>
      <c r="S21" s="67">
        <v>-40</v>
      </c>
      <c r="T21" s="62">
        <v>0.01</v>
      </c>
      <c r="U21" s="62">
        <f>Q21*T21</f>
        <v>2.9</v>
      </c>
    </row>
    <row r="22" spans="1:21" ht="14">
      <c r="I22" s="6"/>
      <c r="P22" s="15" t="s">
        <v>99</v>
      </c>
      <c r="Q22" s="15"/>
      <c r="S22" s="68">
        <f>SUM(U17:U21)</f>
        <v>146.9</v>
      </c>
      <c r="T22" s="15" t="s">
        <v>31</v>
      </c>
    </row>
    <row r="23" spans="1:21">
      <c r="A23" t="s">
        <v>100</v>
      </c>
      <c r="D23" s="63">
        <f>SUM(I9:I21)</f>
        <v>420.88025170278013</v>
      </c>
    </row>
    <row r="24" spans="1:21">
      <c r="A24" t="s">
        <v>101</v>
      </c>
      <c r="D24" s="63">
        <f>10*LOG(D23/290+1)</f>
        <v>3.8939845176937506</v>
      </c>
      <c r="I24" s="6"/>
    </row>
    <row r="25" spans="1:21">
      <c r="H25" s="6"/>
      <c r="I25" s="6"/>
    </row>
    <row r="26" spans="1:21" ht="13">
      <c r="C26" s="106" t="s">
        <v>21</v>
      </c>
      <c r="D26" s="106" t="s">
        <v>31</v>
      </c>
      <c r="I26" s="6"/>
    </row>
    <row r="27" spans="1:21">
      <c r="A27" t="s">
        <v>102</v>
      </c>
      <c r="C27" s="83">
        <v>0.05</v>
      </c>
      <c r="D27" s="63">
        <f>(10^(C27/10)-1)*290</f>
        <v>3.3580417353705916</v>
      </c>
      <c r="E27" s="62">
        <f>10^(-C27/10)</f>
        <v>0.98855309465693875</v>
      </c>
      <c r="F27" s="62"/>
      <c r="I27" s="6"/>
    </row>
    <row r="28" spans="1:21">
      <c r="A28" t="s">
        <v>103</v>
      </c>
      <c r="D28" s="85">
        <v>45</v>
      </c>
      <c r="E28" s="15" t="s">
        <v>136</v>
      </c>
      <c r="H28" s="6"/>
      <c r="I28" s="6"/>
    </row>
    <row r="29" spans="1:21">
      <c r="A29" t="s">
        <v>104</v>
      </c>
      <c r="D29" s="66">
        <f>S22</f>
        <v>146.9</v>
      </c>
      <c r="E29" s="15" t="s">
        <v>105</v>
      </c>
      <c r="H29" s="6"/>
      <c r="I29" s="6"/>
    </row>
    <row r="30" spans="1:21">
      <c r="A30" t="s">
        <v>106</v>
      </c>
      <c r="D30" s="63">
        <f>E27*(D28+D29)+D27</f>
        <v>193.06138060003715</v>
      </c>
      <c r="H30" s="6"/>
      <c r="I30" s="6"/>
    </row>
    <row r="31" spans="1:21">
      <c r="A31" t="s">
        <v>107</v>
      </c>
      <c r="C31" s="66">
        <f>'USC Link Budget'!C29</f>
        <v>16</v>
      </c>
      <c r="E31" s="62">
        <f>10^(C31/10)</f>
        <v>39.810717055349755</v>
      </c>
      <c r="G31" s="69"/>
      <c r="H31" s="6"/>
      <c r="I31" s="6"/>
    </row>
    <row r="32" spans="1:21" ht="15.5">
      <c r="A32" s="13" t="s">
        <v>108</v>
      </c>
      <c r="C32" s="70">
        <f>C31-C27-10*LOG((D28+D29)*E27+D27+D23)</f>
        <v>-11.931270845390035</v>
      </c>
      <c r="H32" s="6"/>
      <c r="I32" s="6"/>
    </row>
    <row r="33" spans="1:9">
      <c r="C33">
        <f>C32-C27-10*LOG((D27+D28+D29)*E27+D23)</f>
        <v>-39.862269768368087</v>
      </c>
      <c r="E33" s="6"/>
      <c r="H33" s="6"/>
      <c r="I33" s="6"/>
    </row>
    <row r="34" spans="1:9">
      <c r="E34" s="6"/>
      <c r="H34" s="6"/>
      <c r="I34" s="6"/>
    </row>
    <row r="35" spans="1:9">
      <c r="E35" s="6"/>
      <c r="H35" s="6"/>
      <c r="I35" s="6"/>
    </row>
    <row r="36" spans="1:9" ht="15.5">
      <c r="A36" s="11" t="s">
        <v>119</v>
      </c>
      <c r="E36" s="6"/>
      <c r="H36" s="6"/>
      <c r="I36" s="6"/>
    </row>
    <row r="37" spans="1:9" ht="13">
      <c r="A37" s="107" t="s">
        <v>80</v>
      </c>
      <c r="B37" s="107" t="s">
        <v>81</v>
      </c>
      <c r="C37" s="108" t="s">
        <v>82</v>
      </c>
      <c r="H37" s="69"/>
      <c r="I37" s="6"/>
    </row>
    <row r="38" spans="1:9" ht="13">
      <c r="A38" s="109"/>
      <c r="B38" s="110"/>
      <c r="C38" s="111" t="s">
        <v>85</v>
      </c>
    </row>
    <row r="39" spans="1:9">
      <c r="A39" s="59">
        <v>1</v>
      </c>
      <c r="B39" s="60" t="s">
        <v>154</v>
      </c>
      <c r="C39" s="61"/>
    </row>
    <row r="40" spans="1:9">
      <c r="A40" s="59">
        <v>2</v>
      </c>
      <c r="B40" s="60" t="s">
        <v>120</v>
      </c>
      <c r="C40" s="65">
        <f>(2.7/100)*0.5</f>
        <v>1.3500000000000002E-2</v>
      </c>
    </row>
    <row r="41" spans="1:9">
      <c r="A41" s="59">
        <v>3</v>
      </c>
      <c r="B41" s="60" t="s">
        <v>121</v>
      </c>
      <c r="C41" s="65">
        <v>0</v>
      </c>
    </row>
    <row r="42" spans="1:9">
      <c r="A42" s="59">
        <v>4</v>
      </c>
      <c r="B42" s="59" t="s">
        <v>91</v>
      </c>
      <c r="C42" s="65">
        <v>0</v>
      </c>
    </row>
    <row r="43" spans="1:9">
      <c r="A43" s="59">
        <v>5</v>
      </c>
      <c r="B43" s="60" t="s">
        <v>122</v>
      </c>
      <c r="C43" s="65">
        <v>0</v>
      </c>
      <c r="D43">
        <v>0.01</v>
      </c>
    </row>
    <row r="44" spans="1:9">
      <c r="A44" s="59">
        <v>6</v>
      </c>
      <c r="B44" s="59" t="s">
        <v>92</v>
      </c>
      <c r="C44" s="65">
        <v>0</v>
      </c>
      <c r="D44">
        <v>0.85</v>
      </c>
    </row>
    <row r="45" spans="1:9">
      <c r="A45" s="59">
        <v>7</v>
      </c>
      <c r="B45" s="60" t="s">
        <v>153</v>
      </c>
      <c r="C45" s="65">
        <f>(2.7/100)*70</f>
        <v>1.8900000000000001</v>
      </c>
    </row>
    <row r="46" spans="1:9" ht="13">
      <c r="B46" s="59" t="s">
        <v>155</v>
      </c>
      <c r="C46" s="73">
        <f>SUM(C40:C45)</f>
        <v>1.9035000000000002</v>
      </c>
      <c r="D46" s="15" t="s">
        <v>21</v>
      </c>
    </row>
  </sheetData>
  <mergeCells count="1">
    <mergeCell ref="H7:I7"/>
  </mergeCells>
  <phoneticPr fontId="2" type="noConversion"/>
  <hyperlinks>
    <hyperlink ref="M9" r:id="rId1" xr:uid="{34AE3B18-939B-4F52-90F9-5E8DA5097B63}"/>
    <hyperlink ref="M12" r:id="rId2" xr:uid="{05CB060A-FDF5-4F19-BEF7-4C463DAB2EB8}"/>
  </hyperlinks>
  <pageMargins left="0.7" right="0.7" top="0.75" bottom="0.75" header="0.3" footer="0.3"/>
  <pageSetup orientation="portrait" r:id="rId3"/>
  <headerFooter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USC Link Budget</vt:lpstr>
      <vt:lpstr>UHF G-over-T Calculator</vt:lpstr>
    </vt:vector>
  </TitlesOfParts>
  <Company>USC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Unrestricted</cp:keywords>
  <cp:lastModifiedBy>Griffin MacRae</cp:lastModifiedBy>
  <cp:lastPrinted>2021-08-14T16:41:10Z</cp:lastPrinted>
  <dcterms:created xsi:type="dcterms:W3CDTF">2009-09-29T21:45:38Z</dcterms:created>
  <dcterms:modified xsi:type="dcterms:W3CDTF">2024-02-28T01:22:07Z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ACCT04\ashenoy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